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ateo.osorio\Downloads\"/>
    </mc:Choice>
  </mc:AlternateContent>
  <bookViews>
    <workbookView xWindow="0" yWindow="0" windowWidth="21570" windowHeight="7365" tabRatio="890" firstSheet="1" activeTab="1"/>
  </bookViews>
  <sheets>
    <sheet name="Instructions" sheetId="8" state="hidden" r:id="rId1"/>
    <sheet name="1) Budget Tables" sheetId="1" r:id="rId2"/>
    <sheet name="GL NRC" sheetId="10" state="hidden" r:id="rId3"/>
    <sheet name="ACONC " sheetId="11" state="hidden" r:id="rId4"/>
    <sheet name="PACIFISTA" sheetId="12" state="hidden" r:id="rId5"/>
    <sheet name="2) By Category" sheetId="5" state="hidden" r:id="rId6"/>
    <sheet name="3) Explanatory Notes" sheetId="3" state="hidden" r:id="rId7"/>
    <sheet name="4) For PBSO Use" sheetId="6" state="hidden" r:id="rId8"/>
    <sheet name="5) For MPTF Use" sheetId="4" r:id="rId9"/>
    <sheet name="DRAFT" sheetId="13" state="hidden" r:id="rId10"/>
    <sheet name="Expenses MPTF" sheetId="14" r:id="rId11"/>
    <sheet name="Sheet2" sheetId="7" state="hidden" r:id="rId12"/>
  </sheets>
  <externalReferences>
    <externalReference r:id="rId13"/>
    <externalReference r:id="rId14"/>
    <externalReference r:id="rId15"/>
    <externalReference r:id="rId16"/>
  </externalReferences>
  <definedNames>
    <definedName name="_xlnm._FilterDatabase" localSheetId="1" hidden="1">'1) Budget Tables'!$B$5:$K$5</definedName>
    <definedName name="_xlnm._FilterDatabase" localSheetId="3" hidden="1">'ACONC '!$C$1:$C$159</definedName>
    <definedName name="_xlnm._FilterDatabase" localSheetId="9" hidden="1">DRAFT!$A$1:$V$160</definedName>
    <definedName name="_xlnm._FilterDatabase" localSheetId="2" hidden="1">'GL NRC'!$A$1:$AD$2509</definedName>
    <definedName name="OneZero">[1]_SetUP!$I$70:$I$71</definedName>
    <definedName name="UnitName">[2]!Table46[Name]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20" i="1" l="1"/>
  <c r="X2578" i="10"/>
  <c r="AC2510" i="10"/>
  <c r="AC2511" i="10"/>
  <c r="AC2512" i="10"/>
  <c r="AC2513" i="10"/>
  <c r="AC2514" i="10"/>
  <c r="AC2515" i="10"/>
  <c r="AC2516" i="10"/>
  <c r="AC2517" i="10"/>
  <c r="AC2518" i="10"/>
  <c r="AC2519" i="10"/>
  <c r="AC2520" i="10"/>
  <c r="AC2521" i="10"/>
  <c r="AC2522" i="10"/>
  <c r="AC2523" i="10"/>
  <c r="AC2524" i="10"/>
  <c r="AC2525" i="10"/>
  <c r="AC2526" i="10"/>
  <c r="AC2527" i="10"/>
  <c r="AC2528" i="10"/>
  <c r="AC2529" i="10"/>
  <c r="AC2530" i="10"/>
  <c r="AC2531" i="10"/>
  <c r="AC2532" i="10"/>
  <c r="AC2533" i="10"/>
  <c r="AC2534" i="10"/>
  <c r="AC2535" i="10"/>
  <c r="AC2536" i="10"/>
  <c r="AC2537" i="10"/>
  <c r="AC2538" i="10"/>
  <c r="AC2539" i="10"/>
  <c r="AC2540" i="10"/>
  <c r="AC2541" i="10"/>
  <c r="AC2542" i="10"/>
  <c r="AC2543" i="10"/>
  <c r="AC2544" i="10"/>
  <c r="AC2545" i="10"/>
  <c r="AC2546" i="10"/>
  <c r="AC2547" i="10"/>
  <c r="AC2548" i="10"/>
  <c r="AC2549" i="10"/>
  <c r="AC2550" i="10"/>
  <c r="AC2551" i="10"/>
  <c r="AC2552" i="10"/>
  <c r="AC2553" i="10"/>
  <c r="AC2554" i="10"/>
  <c r="AC2555" i="10"/>
  <c r="AC2556" i="10"/>
  <c r="AC2557" i="10"/>
  <c r="AC2558" i="10"/>
  <c r="AC2559" i="10"/>
  <c r="AC2560" i="10"/>
  <c r="AC2561" i="10"/>
  <c r="AC2562" i="10"/>
  <c r="AC2563" i="10"/>
  <c r="AC2564" i="10"/>
  <c r="AC2565" i="10"/>
  <c r="AC2566" i="10"/>
  <c r="AC2567" i="10"/>
  <c r="AC2568" i="10"/>
  <c r="AC2569" i="10"/>
  <c r="AC2570" i="10"/>
  <c r="AC2571" i="10"/>
  <c r="AC2572" i="10"/>
  <c r="AC2573" i="10"/>
  <c r="AC2574" i="10"/>
  <c r="AC2575" i="10"/>
  <c r="F10" i="4"/>
  <c r="F12" i="4"/>
  <c r="F8" i="4"/>
  <c r="D14" i="14"/>
  <c r="I225" i="1"/>
  <c r="D220" i="1"/>
  <c r="J158" i="12"/>
  <c r="J134" i="11"/>
  <c r="AC1904" i="10"/>
  <c r="AC1905" i="10"/>
  <c r="AC1906" i="10"/>
  <c r="AC1907" i="10"/>
  <c r="AC1908" i="10"/>
  <c r="AC1909" i="10"/>
  <c r="AC1910" i="10"/>
  <c r="AC1911" i="10"/>
  <c r="AC1912" i="10"/>
  <c r="AC1913" i="10"/>
  <c r="AC1914" i="10"/>
  <c r="AC1915" i="10"/>
  <c r="AC1916" i="10"/>
  <c r="AC1917" i="10"/>
  <c r="AC1918" i="10"/>
  <c r="AC1919" i="10"/>
  <c r="AC1920" i="10"/>
  <c r="AC1921" i="10"/>
  <c r="AC1922" i="10"/>
  <c r="AC1923" i="10"/>
  <c r="AC1924" i="10"/>
  <c r="AC1925" i="10"/>
  <c r="AC1926" i="10"/>
  <c r="AC1927" i="10"/>
  <c r="AC1928" i="10"/>
  <c r="AC1929" i="10"/>
  <c r="AC1930" i="10"/>
  <c r="AC1931" i="10"/>
  <c r="AC1932" i="10"/>
  <c r="AC1933" i="10"/>
  <c r="AC1934" i="10"/>
  <c r="AC1935" i="10"/>
  <c r="AC1936" i="10"/>
  <c r="AC1937" i="10"/>
  <c r="AC1938" i="10"/>
  <c r="AC1939" i="10"/>
  <c r="AC1940" i="10"/>
  <c r="AC1941" i="10"/>
  <c r="AC1942" i="10"/>
  <c r="AC1943" i="10"/>
  <c r="AC1944" i="10"/>
  <c r="AC1945" i="10"/>
  <c r="AC1946" i="10"/>
  <c r="AC1947" i="10"/>
  <c r="AC1948" i="10"/>
  <c r="AC1949" i="10"/>
  <c r="AC1950" i="10"/>
  <c r="AC1951" i="10"/>
  <c r="AC1952" i="10"/>
  <c r="AC1953" i="10"/>
  <c r="AC1954" i="10"/>
  <c r="AC1955" i="10"/>
  <c r="AC1956" i="10"/>
  <c r="AC1957" i="10"/>
  <c r="AC1958" i="10"/>
  <c r="AC1959" i="10"/>
  <c r="AC1960" i="10"/>
  <c r="AC1961" i="10"/>
  <c r="AC1962" i="10"/>
  <c r="AC1963" i="10"/>
  <c r="AC1964" i="10"/>
  <c r="AC1965" i="10"/>
  <c r="AC1966" i="10"/>
  <c r="AC1967" i="10"/>
  <c r="AC1968" i="10"/>
  <c r="AC1969" i="10"/>
  <c r="AC1970" i="10"/>
  <c r="AC1971" i="10"/>
  <c r="AC1972" i="10"/>
  <c r="AC1973" i="10"/>
  <c r="AC1974" i="10"/>
  <c r="AC1975" i="10"/>
  <c r="AC1976" i="10"/>
  <c r="AC1977" i="10"/>
  <c r="AC1978" i="10"/>
  <c r="AC1979" i="10"/>
  <c r="AC1980" i="10"/>
  <c r="AC1981" i="10"/>
  <c r="AC1982" i="10"/>
  <c r="AC1983" i="10"/>
  <c r="AC1984" i="10"/>
  <c r="AC1985" i="10"/>
  <c r="AC1986" i="10"/>
  <c r="AC1987" i="10"/>
  <c r="AC1988" i="10"/>
  <c r="AC1989" i="10"/>
  <c r="AC1990" i="10"/>
  <c r="AC1991" i="10"/>
  <c r="AC1992" i="10"/>
  <c r="AC1993" i="10"/>
  <c r="AC1994" i="10"/>
  <c r="AC1995" i="10"/>
  <c r="AC1996" i="10"/>
  <c r="AC1997" i="10"/>
  <c r="AC1998" i="10"/>
  <c r="AC1999" i="10"/>
  <c r="AC2000" i="10"/>
  <c r="AC2001" i="10"/>
  <c r="AC2002" i="10"/>
  <c r="AC2003" i="10"/>
  <c r="AC2004" i="10"/>
  <c r="AC2005" i="10"/>
  <c r="AC2006" i="10"/>
  <c r="AC2007" i="10"/>
  <c r="AC2008" i="10"/>
  <c r="AC2009" i="10"/>
  <c r="AC2010" i="10"/>
  <c r="AC2011" i="10"/>
  <c r="AC2012" i="10"/>
  <c r="AC2013" i="10"/>
  <c r="AC2014" i="10"/>
  <c r="AC2015" i="10"/>
  <c r="AC2016" i="10"/>
  <c r="AC2017" i="10"/>
  <c r="AC2018" i="10"/>
  <c r="AC2019" i="10"/>
  <c r="AC2020" i="10"/>
  <c r="AC2021" i="10"/>
  <c r="AC2022" i="10"/>
  <c r="AC2023" i="10"/>
  <c r="AC2024" i="10"/>
  <c r="AC2025" i="10"/>
  <c r="AC2026" i="10"/>
  <c r="AC2027" i="10"/>
  <c r="AC2028" i="10"/>
  <c r="AC2029" i="10"/>
  <c r="AC2030" i="10"/>
  <c r="AC2031" i="10"/>
  <c r="AC2032" i="10"/>
  <c r="AC2033" i="10"/>
  <c r="AC2034" i="10"/>
  <c r="AC2035" i="10"/>
  <c r="AC2036" i="10"/>
  <c r="AC2037" i="10"/>
  <c r="AC2038" i="10"/>
  <c r="AC2039" i="10"/>
  <c r="AC2040" i="10"/>
  <c r="AC2041" i="10"/>
  <c r="AC2042" i="10"/>
  <c r="AC2043" i="10"/>
  <c r="AC2044" i="10"/>
  <c r="AC2045" i="10"/>
  <c r="AC2046" i="10"/>
  <c r="AC2047" i="10"/>
  <c r="AC2048" i="10"/>
  <c r="AC2049" i="10"/>
  <c r="AC2050" i="10"/>
  <c r="AC2051" i="10"/>
  <c r="AC2052" i="10"/>
  <c r="AC2053" i="10"/>
  <c r="AC2054" i="10"/>
  <c r="AC2055" i="10"/>
  <c r="AC2056" i="10"/>
  <c r="AC2057" i="10"/>
  <c r="AC2058" i="10"/>
  <c r="AC2059" i="10"/>
  <c r="AC2060" i="10"/>
  <c r="AC2061" i="10"/>
  <c r="AC2062" i="10"/>
  <c r="AC2063" i="10"/>
  <c r="AC2064" i="10"/>
  <c r="AC2065" i="10"/>
  <c r="AC2066" i="10"/>
  <c r="AC2067" i="10"/>
  <c r="AC2068" i="10"/>
  <c r="AC2069" i="10"/>
  <c r="AC2070" i="10"/>
  <c r="AC2071" i="10"/>
  <c r="AC2072" i="10"/>
  <c r="AC2073" i="10"/>
  <c r="AC2074" i="10"/>
  <c r="AC2075" i="10"/>
  <c r="AC2076" i="10"/>
  <c r="AC2077" i="10"/>
  <c r="AC2078" i="10"/>
  <c r="AC2079" i="10"/>
  <c r="AC2080" i="10"/>
  <c r="AC2081" i="10"/>
  <c r="AC2082" i="10"/>
  <c r="AC2083" i="10"/>
  <c r="AC2084" i="10"/>
  <c r="AC2085" i="10"/>
  <c r="AC2086" i="10"/>
  <c r="AC2087" i="10"/>
  <c r="AC2088" i="10"/>
  <c r="AC2089" i="10"/>
  <c r="AC2090" i="10"/>
  <c r="AC2091" i="10"/>
  <c r="AC2092" i="10"/>
  <c r="AC2093" i="10"/>
  <c r="AC2094" i="10"/>
  <c r="AC2095" i="10"/>
  <c r="AC2096" i="10"/>
  <c r="AC2097" i="10"/>
  <c r="AC2098" i="10"/>
  <c r="AC2099" i="10"/>
  <c r="AC2100" i="10"/>
  <c r="AC2101" i="10"/>
  <c r="AC2102" i="10"/>
  <c r="AC2104" i="10"/>
  <c r="AC2106" i="10"/>
  <c r="AC2107" i="10"/>
  <c r="AC2108" i="10"/>
  <c r="AC2109" i="10"/>
  <c r="AC2110" i="10"/>
  <c r="AC2111" i="10"/>
  <c r="AC2112" i="10"/>
  <c r="AC2113" i="10"/>
  <c r="AC2114" i="10"/>
  <c r="AC2115" i="10"/>
  <c r="AC2116" i="10"/>
  <c r="AC2117" i="10"/>
  <c r="AC2118" i="10"/>
  <c r="AC2119" i="10"/>
  <c r="AC2120" i="10"/>
  <c r="AC2121" i="10"/>
  <c r="AC2122" i="10"/>
  <c r="AC2123" i="10"/>
  <c r="AC2124" i="10"/>
  <c r="AC2125" i="10"/>
  <c r="AC2126" i="10"/>
  <c r="AC2127" i="10"/>
  <c r="AC2128" i="10"/>
  <c r="AC2129" i="10"/>
  <c r="AC2130" i="10"/>
  <c r="AC2131" i="10"/>
  <c r="AC2132" i="10"/>
  <c r="AC2133" i="10"/>
  <c r="AC2134" i="10"/>
  <c r="AC2135" i="10"/>
  <c r="AC2136" i="10"/>
  <c r="AC2137" i="10"/>
  <c r="AC2138" i="10"/>
  <c r="AC2139" i="10"/>
  <c r="AC2140" i="10"/>
  <c r="AC2141" i="10"/>
  <c r="AC2142" i="10"/>
  <c r="AC2143" i="10"/>
  <c r="AC2144" i="10"/>
  <c r="AC2145" i="10"/>
  <c r="AC2146" i="10"/>
  <c r="AC2147" i="10"/>
  <c r="AC2150" i="10"/>
  <c r="AC2151" i="10"/>
  <c r="AC2152" i="10"/>
  <c r="AC2153" i="10"/>
  <c r="AC2155" i="10"/>
  <c r="AC2156" i="10"/>
  <c r="AC2157" i="10"/>
  <c r="AC2160" i="10"/>
  <c r="AC2161" i="10"/>
  <c r="AC2162" i="10"/>
  <c r="AC2163" i="10"/>
  <c r="AC2164" i="10"/>
  <c r="AC2165" i="10"/>
  <c r="AC2166" i="10"/>
  <c r="AC2167" i="10"/>
  <c r="AC2168" i="10"/>
  <c r="AC2169" i="10"/>
  <c r="AC2171" i="10"/>
  <c r="AC2172" i="10"/>
  <c r="AC2173" i="10"/>
  <c r="AC2174" i="10"/>
  <c r="AC2175" i="10"/>
  <c r="AC2177" i="10"/>
  <c r="AC2178" i="10"/>
  <c r="AC2179" i="10"/>
  <c r="AC2180" i="10"/>
  <c r="AC2181" i="10"/>
  <c r="AC2182" i="10"/>
  <c r="AC2183" i="10"/>
  <c r="AC2184" i="10"/>
  <c r="AC2185" i="10"/>
  <c r="AC2186" i="10"/>
  <c r="AC2187" i="10"/>
  <c r="AC2188" i="10"/>
  <c r="AC2189" i="10"/>
  <c r="AC2190" i="10"/>
  <c r="AC2191" i="10"/>
  <c r="AC2192" i="10"/>
  <c r="AC2193" i="10"/>
  <c r="AC2194" i="10"/>
  <c r="AC2195" i="10"/>
  <c r="AC2196" i="10"/>
  <c r="AC2197" i="10"/>
  <c r="AC2198" i="10"/>
  <c r="AC2199" i="10"/>
  <c r="AC2200" i="10"/>
  <c r="AC2201" i="10"/>
  <c r="AC2202" i="10"/>
  <c r="AC2203" i="10"/>
  <c r="AC2204" i="10"/>
  <c r="AC2205" i="10"/>
  <c r="AC2206" i="10"/>
  <c r="AC2207" i="10"/>
  <c r="AC2208" i="10"/>
  <c r="AC2209" i="10"/>
  <c r="AC2210" i="10"/>
  <c r="AC2211" i="10"/>
  <c r="AC2212" i="10"/>
  <c r="AC2213" i="10"/>
  <c r="AC2214" i="10"/>
  <c r="AC2215" i="10"/>
  <c r="AC2216" i="10"/>
  <c r="AC2217" i="10"/>
  <c r="AC2218" i="10"/>
  <c r="AC2219" i="10"/>
  <c r="AC2220" i="10"/>
  <c r="AC2221" i="10"/>
  <c r="AC2222" i="10"/>
  <c r="AC2223" i="10"/>
  <c r="AC2224" i="10"/>
  <c r="AC2225" i="10"/>
  <c r="AC2226" i="10"/>
  <c r="AC2227" i="10"/>
  <c r="AC2228" i="10"/>
  <c r="AC2229" i="10"/>
  <c r="AC2230" i="10"/>
  <c r="AC2231" i="10"/>
  <c r="AC2232" i="10"/>
  <c r="AC2233" i="10"/>
  <c r="AC2234" i="10"/>
  <c r="AC2235" i="10"/>
  <c r="AC2236" i="10"/>
  <c r="AC2237" i="10"/>
  <c r="AC2238" i="10"/>
  <c r="AC2239" i="10"/>
  <c r="AC2240" i="10"/>
  <c r="AC2241" i="10"/>
  <c r="AC2242" i="10"/>
  <c r="AC2243" i="10"/>
  <c r="AC2244" i="10"/>
  <c r="AC2245" i="10"/>
  <c r="AC2246" i="10"/>
  <c r="AC2247" i="10"/>
  <c r="AC2248" i="10"/>
  <c r="AC2249" i="10"/>
  <c r="AC2250" i="10"/>
  <c r="AC2251" i="10"/>
  <c r="AC2252" i="10"/>
  <c r="AC2253" i="10"/>
  <c r="AC2254" i="10"/>
  <c r="AC2255" i="10"/>
  <c r="AC2256" i="10"/>
  <c r="AC2257" i="10"/>
  <c r="AC2258" i="10"/>
  <c r="AC2259" i="10"/>
  <c r="AC2260" i="10"/>
  <c r="AC2261" i="10"/>
  <c r="AC2262" i="10"/>
  <c r="AC2263" i="10"/>
  <c r="AC2264" i="10"/>
  <c r="AC2265" i="10"/>
  <c r="AC2266" i="10"/>
  <c r="AC2267" i="10"/>
  <c r="AC2268" i="10"/>
  <c r="AC2269" i="10"/>
  <c r="AC2270" i="10"/>
  <c r="AC2271" i="10"/>
  <c r="AC2272" i="10"/>
  <c r="AC2273" i="10"/>
  <c r="AC2274" i="10"/>
  <c r="AC2275" i="10"/>
  <c r="AC2276" i="10"/>
  <c r="AC2277" i="10"/>
  <c r="AC2278" i="10"/>
  <c r="AC2279" i="10"/>
  <c r="AC2280" i="10"/>
  <c r="AC2281" i="10"/>
  <c r="AC2282" i="10"/>
  <c r="AC2283" i="10"/>
  <c r="AC2284" i="10"/>
  <c r="AC2285" i="10"/>
  <c r="AC2286" i="10"/>
  <c r="AC2287" i="10"/>
  <c r="AC2288" i="10"/>
  <c r="AC2289" i="10"/>
  <c r="AC2290" i="10"/>
  <c r="AC2291" i="10"/>
  <c r="AC2292" i="10"/>
  <c r="AC2293" i="10"/>
  <c r="AC2294" i="10"/>
  <c r="AC2295" i="10"/>
  <c r="AC2296" i="10"/>
  <c r="AC2297" i="10"/>
  <c r="AC2298" i="10"/>
  <c r="AC2299" i="10"/>
  <c r="AC2300" i="10"/>
  <c r="AC2301" i="10"/>
  <c r="AC2302" i="10"/>
  <c r="AC2303" i="10"/>
  <c r="AC2304" i="10"/>
  <c r="AC2305" i="10"/>
  <c r="AC2306" i="10"/>
  <c r="AC2307" i="10"/>
  <c r="AC2308" i="10"/>
  <c r="AC2309" i="10"/>
  <c r="AC2310" i="10"/>
  <c r="AC2311" i="10"/>
  <c r="AC2312" i="10"/>
  <c r="AC2313" i="10"/>
  <c r="AC2314" i="10"/>
  <c r="AC2315" i="10"/>
  <c r="AC2316" i="10"/>
  <c r="AC2317" i="10"/>
  <c r="AC2318" i="10"/>
  <c r="AC2319" i="10"/>
  <c r="AC2320" i="10"/>
  <c r="AC2321" i="10"/>
  <c r="AC2322" i="10"/>
  <c r="AC2323" i="10"/>
  <c r="AC2324" i="10"/>
  <c r="AC2325" i="10"/>
  <c r="AC2326" i="10"/>
  <c r="AC2327" i="10"/>
  <c r="AC2328" i="10"/>
  <c r="AC2329" i="10"/>
  <c r="AC2330" i="10"/>
  <c r="AC2331" i="10"/>
  <c r="AC2332" i="10"/>
  <c r="AC2333" i="10"/>
  <c r="AC2334" i="10"/>
  <c r="AC2335" i="10"/>
  <c r="AC2336" i="10"/>
  <c r="AC2337" i="10"/>
  <c r="AC2338" i="10"/>
  <c r="AC2339" i="10"/>
  <c r="AC2340" i="10"/>
  <c r="AC2341" i="10"/>
  <c r="AC2342" i="10"/>
  <c r="AC2343" i="10"/>
  <c r="AC2344" i="10"/>
  <c r="AC2345" i="10"/>
  <c r="AC2346" i="10"/>
  <c r="AC2347" i="10"/>
  <c r="AC2348" i="10"/>
  <c r="AC2349" i="10"/>
  <c r="AC2350" i="10"/>
  <c r="AC2351" i="10"/>
  <c r="AC2352" i="10"/>
  <c r="AC2353" i="10"/>
  <c r="AC2354" i="10"/>
  <c r="AC2355" i="10"/>
  <c r="AC2356" i="10"/>
  <c r="AC2357" i="10"/>
  <c r="AC2358" i="10"/>
  <c r="AC2359" i="10"/>
  <c r="AC2360" i="10"/>
  <c r="AC2361" i="10"/>
  <c r="AC2362" i="10"/>
  <c r="AC2363" i="10"/>
  <c r="AC2364" i="10"/>
  <c r="AC2365" i="10"/>
  <c r="AC2366" i="10"/>
  <c r="AC2367" i="10"/>
  <c r="AC2368" i="10"/>
  <c r="AC2369" i="10"/>
  <c r="AC2370" i="10"/>
  <c r="AC2371" i="10"/>
  <c r="AC2372" i="10"/>
  <c r="AC2373" i="10"/>
  <c r="AC2374" i="10"/>
  <c r="AC2375" i="10"/>
  <c r="AC2376" i="10"/>
  <c r="AC2377" i="10"/>
  <c r="AC2378" i="10"/>
  <c r="AC2379" i="10"/>
  <c r="AC2380" i="10"/>
  <c r="AC2381" i="10"/>
  <c r="AC2382" i="10"/>
  <c r="AC2383" i="10"/>
  <c r="AC2384" i="10"/>
  <c r="AC2385" i="10"/>
  <c r="AC2386" i="10"/>
  <c r="AC2387" i="10"/>
  <c r="AC2388" i="10"/>
  <c r="AC2389" i="10"/>
  <c r="AC2390" i="10"/>
  <c r="AC2391" i="10"/>
  <c r="AC2392" i="10"/>
  <c r="AC2393" i="10"/>
  <c r="AC2394" i="10"/>
  <c r="AC2395" i="10"/>
  <c r="AC2396" i="10"/>
  <c r="AC2397" i="10"/>
  <c r="AC2398" i="10"/>
  <c r="AC2399" i="10"/>
  <c r="AC2400" i="10"/>
  <c r="AC2401" i="10"/>
  <c r="AC2402" i="10"/>
  <c r="AC2403" i="10"/>
  <c r="AC2404" i="10"/>
  <c r="AC2405" i="10"/>
  <c r="AC2406" i="10"/>
  <c r="AC2407" i="10"/>
  <c r="AC2408" i="10"/>
  <c r="AC2409" i="10"/>
  <c r="AC2410" i="10"/>
  <c r="AC2411" i="10"/>
  <c r="AC2412" i="10"/>
  <c r="AC2413" i="10"/>
  <c r="AC2414" i="10"/>
  <c r="AC2415" i="10"/>
  <c r="AC2416" i="10"/>
  <c r="AC2417" i="10"/>
  <c r="AC2418" i="10"/>
  <c r="AC2419" i="10"/>
  <c r="AC2420" i="10"/>
  <c r="AC2421" i="10"/>
  <c r="AC2422" i="10"/>
  <c r="AC2423" i="10"/>
  <c r="AC2424" i="10"/>
  <c r="AC2425" i="10"/>
  <c r="AC2426" i="10"/>
  <c r="AC2427" i="10"/>
  <c r="AC2428" i="10"/>
  <c r="AC2429" i="10"/>
  <c r="AC2430" i="10"/>
  <c r="AC2431" i="10"/>
  <c r="AC2432" i="10"/>
  <c r="AC2433" i="10"/>
  <c r="AC2434" i="10"/>
  <c r="AC2435" i="10"/>
  <c r="AC2436" i="10"/>
  <c r="AC2437" i="10"/>
  <c r="AC2438" i="10"/>
  <c r="AC2439" i="10"/>
  <c r="AC2440" i="10"/>
  <c r="AC2441" i="10"/>
  <c r="AC2442" i="10"/>
  <c r="AC2443" i="10"/>
  <c r="AC2444" i="10"/>
  <c r="AC2445" i="10"/>
  <c r="AC2446" i="10"/>
  <c r="AC2447" i="10"/>
  <c r="AC2448" i="10"/>
  <c r="AC2449" i="10"/>
  <c r="AC2450" i="10"/>
  <c r="AC2451" i="10"/>
  <c r="AC2452" i="10"/>
  <c r="AC2453" i="10"/>
  <c r="AC2454" i="10"/>
  <c r="AC2455" i="10"/>
  <c r="AC2456" i="10"/>
  <c r="AC2457" i="10"/>
  <c r="AC2458" i="10"/>
  <c r="AC2459" i="10"/>
  <c r="AC2460" i="10"/>
  <c r="AC2461" i="10"/>
  <c r="AC2462" i="10"/>
  <c r="AC2463" i="10"/>
  <c r="AC2464" i="10"/>
  <c r="AC2465" i="10"/>
  <c r="AC2466" i="10"/>
  <c r="AC2467" i="10"/>
  <c r="AC2468" i="10"/>
  <c r="AC2469" i="10"/>
  <c r="AC2470" i="10"/>
  <c r="AC2471" i="10"/>
  <c r="AC2472" i="10"/>
  <c r="AC2473" i="10"/>
  <c r="AC2474" i="10"/>
  <c r="AC2475" i="10"/>
  <c r="AC2476" i="10"/>
  <c r="AC2477" i="10"/>
  <c r="AC2478" i="10"/>
  <c r="AC2479" i="10"/>
  <c r="AC2480" i="10"/>
  <c r="AC2481" i="10"/>
  <c r="AC2482" i="10"/>
  <c r="AC2483" i="10"/>
  <c r="AC2484" i="10"/>
  <c r="AC2485" i="10"/>
  <c r="AC2486" i="10"/>
  <c r="AC2487" i="10"/>
  <c r="AC2488" i="10"/>
  <c r="AC2489" i="10"/>
  <c r="AC2490" i="10"/>
  <c r="AC2491" i="10"/>
  <c r="AC2492" i="10"/>
  <c r="AC2493" i="10"/>
  <c r="AC2494" i="10"/>
  <c r="AC2495" i="10"/>
  <c r="AC2496" i="10"/>
  <c r="AC2497" i="10"/>
  <c r="AC2498" i="10"/>
  <c r="AC2499" i="10"/>
  <c r="AC2500" i="10"/>
  <c r="AC2501" i="10"/>
  <c r="AC2502" i="10"/>
  <c r="AC2503" i="10"/>
  <c r="AC2504" i="10"/>
  <c r="AC2505" i="10"/>
  <c r="AC2506" i="10"/>
  <c r="AC2507" i="10"/>
  <c r="AC2508" i="10"/>
  <c r="AC2509" i="10"/>
  <c r="AC1903" i="10"/>
  <c r="U1" i="13"/>
  <c r="F15" i="4" l="1"/>
  <c r="I8" i="1"/>
  <c r="I10" i="1"/>
  <c r="I9" i="1"/>
  <c r="M8" i="1" l="1"/>
  <c r="L8" i="1"/>
  <c r="L30" i="1" l="1"/>
  <c r="L20" i="1"/>
  <c r="D193" i="1" l="1"/>
  <c r="D36" i="1"/>
  <c r="D26" i="1"/>
  <c r="D16" i="1"/>
  <c r="Q36" i="1" l="1"/>
  <c r="F24" i="4"/>
  <c r="F23" i="4"/>
  <c r="F22" i="4"/>
  <c r="C20" i="4"/>
  <c r="C6" i="4"/>
  <c r="F207" i="5"/>
  <c r="E14" i="4" s="1"/>
  <c r="E207" i="5"/>
  <c r="D14" i="4" s="1"/>
  <c r="F206" i="5"/>
  <c r="E13" i="4" s="1"/>
  <c r="E206" i="5"/>
  <c r="D13" i="4" s="1"/>
  <c r="D206" i="5"/>
  <c r="F205" i="5"/>
  <c r="E12" i="4" s="1"/>
  <c r="E205" i="5"/>
  <c r="D12" i="4" s="1"/>
  <c r="D205" i="5"/>
  <c r="F204" i="5"/>
  <c r="E11" i="4" s="1"/>
  <c r="E204" i="5"/>
  <c r="D11" i="4" s="1"/>
  <c r="D204" i="5"/>
  <c r="F203" i="5"/>
  <c r="E10" i="4" s="1"/>
  <c r="E203" i="5"/>
  <c r="D10" i="4" s="1"/>
  <c r="D203" i="5"/>
  <c r="F202" i="5"/>
  <c r="E9" i="4" s="1"/>
  <c r="E202" i="5"/>
  <c r="D9" i="4" s="1"/>
  <c r="D202" i="5"/>
  <c r="F201" i="5"/>
  <c r="E201" i="5"/>
  <c r="D199" i="5"/>
  <c r="F196" i="5"/>
  <c r="E196" i="5"/>
  <c r="D195" i="5"/>
  <c r="G194" i="5"/>
  <c r="G193" i="5"/>
  <c r="G192" i="5"/>
  <c r="G191" i="5"/>
  <c r="G190" i="5"/>
  <c r="D189" i="5"/>
  <c r="F185" i="5"/>
  <c r="E185" i="5"/>
  <c r="D185" i="5"/>
  <c r="G185" i="5" s="1"/>
  <c r="G184" i="5"/>
  <c r="G183" i="5"/>
  <c r="G182" i="5"/>
  <c r="G181" i="5"/>
  <c r="G180" i="5"/>
  <c r="G179" i="5"/>
  <c r="G178" i="5"/>
  <c r="F174" i="5"/>
  <c r="E174" i="5"/>
  <c r="D174" i="5"/>
  <c r="G174" i="5" s="1"/>
  <c r="G173" i="5"/>
  <c r="G172" i="5"/>
  <c r="G171" i="5"/>
  <c r="G170" i="5"/>
  <c r="G169" i="5"/>
  <c r="G168" i="5"/>
  <c r="G167" i="5"/>
  <c r="F163" i="5"/>
  <c r="E163" i="5"/>
  <c r="D163" i="5"/>
  <c r="G162" i="5"/>
  <c r="G161" i="5"/>
  <c r="G160" i="5"/>
  <c r="G159" i="5"/>
  <c r="G158" i="5"/>
  <c r="G157" i="5"/>
  <c r="G156" i="5"/>
  <c r="F152" i="5"/>
  <c r="E152" i="5"/>
  <c r="D152" i="5"/>
  <c r="G151" i="5"/>
  <c r="G150" i="5"/>
  <c r="G149" i="5"/>
  <c r="G148" i="5"/>
  <c r="G147" i="5"/>
  <c r="G146" i="5"/>
  <c r="G145" i="5"/>
  <c r="F140" i="5"/>
  <c r="E140" i="5"/>
  <c r="D140" i="5"/>
  <c r="G140" i="5" s="1"/>
  <c r="G139" i="5"/>
  <c r="G138" i="5"/>
  <c r="G137" i="5"/>
  <c r="G136" i="5"/>
  <c r="G135" i="5"/>
  <c r="G134" i="5"/>
  <c r="G133" i="5"/>
  <c r="F129" i="5"/>
  <c r="E129" i="5"/>
  <c r="D129" i="5"/>
  <c r="G129" i="5" s="1"/>
  <c r="G128" i="5"/>
  <c r="G127" i="5"/>
  <c r="G126" i="5"/>
  <c r="G125" i="5"/>
  <c r="G124" i="5"/>
  <c r="G123" i="5"/>
  <c r="G122" i="5"/>
  <c r="F118" i="5"/>
  <c r="E118" i="5"/>
  <c r="D118" i="5"/>
  <c r="G117" i="5"/>
  <c r="G116" i="5"/>
  <c r="G115" i="5"/>
  <c r="G114" i="5"/>
  <c r="G113" i="5"/>
  <c r="G112" i="5"/>
  <c r="G111" i="5"/>
  <c r="F107" i="5"/>
  <c r="E107" i="5"/>
  <c r="D107" i="5"/>
  <c r="G106" i="5"/>
  <c r="G105" i="5"/>
  <c r="G104" i="5"/>
  <c r="G103" i="5"/>
  <c r="G102" i="5"/>
  <c r="G101" i="5"/>
  <c r="G100" i="5"/>
  <c r="F95" i="5"/>
  <c r="E95" i="5"/>
  <c r="D95" i="5"/>
  <c r="G95" i="5" s="1"/>
  <c r="G94" i="5"/>
  <c r="G93" i="5"/>
  <c r="G92" i="5"/>
  <c r="G91" i="5"/>
  <c r="G90" i="5"/>
  <c r="G89" i="5"/>
  <c r="G88" i="5"/>
  <c r="F84" i="5"/>
  <c r="E84" i="5"/>
  <c r="D84" i="5"/>
  <c r="G84" i="5" s="1"/>
  <c r="G83" i="5"/>
  <c r="G82" i="5"/>
  <c r="G81" i="5"/>
  <c r="G80" i="5"/>
  <c r="G79" i="5"/>
  <c r="G78" i="5"/>
  <c r="G77" i="5"/>
  <c r="F73" i="5"/>
  <c r="E73" i="5"/>
  <c r="D73" i="5"/>
  <c r="G72" i="5"/>
  <c r="G71" i="5"/>
  <c r="G70" i="5"/>
  <c r="G69" i="5"/>
  <c r="G68" i="5"/>
  <c r="G67" i="5"/>
  <c r="G66" i="5"/>
  <c r="F62" i="5"/>
  <c r="E62" i="5"/>
  <c r="D62" i="5"/>
  <c r="G61" i="5"/>
  <c r="G60" i="5"/>
  <c r="G59" i="5"/>
  <c r="G58" i="5"/>
  <c r="G57" i="5"/>
  <c r="G56" i="5"/>
  <c r="G55" i="5"/>
  <c r="F50" i="5"/>
  <c r="E50" i="5"/>
  <c r="D50" i="5"/>
  <c r="G50" i="5" s="1"/>
  <c r="G49" i="5"/>
  <c r="G48" i="5"/>
  <c r="G47" i="5"/>
  <c r="G46" i="5"/>
  <c r="G45" i="5"/>
  <c r="G44" i="5"/>
  <c r="G43" i="5"/>
  <c r="F39" i="5"/>
  <c r="E39" i="5"/>
  <c r="D39" i="5"/>
  <c r="G39" i="5" s="1"/>
  <c r="G38" i="5"/>
  <c r="G37" i="5"/>
  <c r="G36" i="5"/>
  <c r="G35" i="5"/>
  <c r="G34" i="5"/>
  <c r="G33" i="5"/>
  <c r="G32" i="5"/>
  <c r="F28" i="5"/>
  <c r="E28" i="5"/>
  <c r="D28" i="5"/>
  <c r="G27" i="5"/>
  <c r="G26" i="5"/>
  <c r="G25" i="5"/>
  <c r="G24" i="5"/>
  <c r="G23" i="5"/>
  <c r="G22" i="5"/>
  <c r="G21" i="5"/>
  <c r="F17" i="5"/>
  <c r="E17" i="5"/>
  <c r="D17" i="5"/>
  <c r="G16" i="5"/>
  <c r="G15" i="5"/>
  <c r="G14" i="5"/>
  <c r="G13" i="5"/>
  <c r="G12" i="5"/>
  <c r="G11" i="5"/>
  <c r="G10" i="5"/>
  <c r="D6" i="5"/>
  <c r="M153" i="12"/>
  <c r="N153" i="12" s="1"/>
  <c r="I153" i="12"/>
  <c r="H153" i="12"/>
  <c r="N151" i="12"/>
  <c r="J151" i="12"/>
  <c r="O151" i="12" s="1"/>
  <c r="P151" i="12" s="1"/>
  <c r="N150" i="12"/>
  <c r="J150" i="12"/>
  <c r="N149" i="12"/>
  <c r="J149" i="12"/>
  <c r="N148" i="12"/>
  <c r="J148" i="12"/>
  <c r="O148" i="12" s="1"/>
  <c r="P148" i="12" s="1"/>
  <c r="N147" i="12"/>
  <c r="J147" i="12"/>
  <c r="O147" i="12" s="1"/>
  <c r="P147" i="12" s="1"/>
  <c r="N146" i="12"/>
  <c r="N145" i="12"/>
  <c r="J145" i="12"/>
  <c r="N144" i="12"/>
  <c r="J144" i="12"/>
  <c r="N143" i="12"/>
  <c r="J143" i="12"/>
  <c r="N142" i="12"/>
  <c r="J142" i="12"/>
  <c r="N141" i="12"/>
  <c r="J141" i="12"/>
  <c r="N140" i="12"/>
  <c r="J140" i="12"/>
  <c r="N139" i="12"/>
  <c r="N138" i="12"/>
  <c r="J138" i="12"/>
  <c r="N137" i="12"/>
  <c r="J137" i="12"/>
  <c r="O137" i="12" s="1"/>
  <c r="P137" i="12" s="1"/>
  <c r="N136" i="12"/>
  <c r="J136" i="12"/>
  <c r="O136" i="12" s="1"/>
  <c r="P136" i="12" s="1"/>
  <c r="N135" i="12"/>
  <c r="J135" i="12"/>
  <c r="N134" i="12"/>
  <c r="J134" i="12"/>
  <c r="N133" i="12"/>
  <c r="J133" i="12"/>
  <c r="O133" i="12" s="1"/>
  <c r="P133" i="12" s="1"/>
  <c r="N132" i="12"/>
  <c r="J132" i="12"/>
  <c r="O132" i="12" s="1"/>
  <c r="P132" i="12" s="1"/>
  <c r="N131" i="12"/>
  <c r="J131" i="12"/>
  <c r="N130" i="12"/>
  <c r="J130" i="12"/>
  <c r="N129" i="12"/>
  <c r="J129" i="12"/>
  <c r="O129" i="12" s="1"/>
  <c r="P129" i="12" s="1"/>
  <c r="N128" i="12"/>
  <c r="J128" i="12"/>
  <c r="N126" i="12"/>
  <c r="J126" i="12"/>
  <c r="N125" i="12"/>
  <c r="J125" i="12"/>
  <c r="N124" i="12"/>
  <c r="J124" i="12"/>
  <c r="O124" i="12" s="1"/>
  <c r="P124" i="12" s="1"/>
  <c r="N122" i="12"/>
  <c r="J122" i="12"/>
  <c r="O122" i="12" s="1"/>
  <c r="P122" i="12" s="1"/>
  <c r="N121" i="12"/>
  <c r="J121" i="12"/>
  <c r="N120" i="12"/>
  <c r="J120" i="12"/>
  <c r="N119" i="12"/>
  <c r="J119" i="12"/>
  <c r="O119" i="12" s="1"/>
  <c r="P119" i="12" s="1"/>
  <c r="N118" i="12"/>
  <c r="J118" i="12"/>
  <c r="O118" i="12" s="1"/>
  <c r="P118" i="12" s="1"/>
  <c r="N117" i="12"/>
  <c r="J117" i="12"/>
  <c r="J116" i="12"/>
  <c r="N115" i="12"/>
  <c r="J115" i="12"/>
  <c r="N114" i="12"/>
  <c r="J114" i="12"/>
  <c r="N112" i="12"/>
  <c r="J112" i="12"/>
  <c r="N111" i="12"/>
  <c r="J111" i="12"/>
  <c r="N110" i="12"/>
  <c r="J110" i="12"/>
  <c r="N109" i="12"/>
  <c r="J109" i="12"/>
  <c r="N108" i="12"/>
  <c r="J108" i="12"/>
  <c r="N107" i="12"/>
  <c r="J107" i="12"/>
  <c r="N106" i="12"/>
  <c r="J106" i="12"/>
  <c r="N105" i="12"/>
  <c r="J105" i="12"/>
  <c r="N104" i="12"/>
  <c r="J104" i="12"/>
  <c r="N103" i="12"/>
  <c r="J103" i="12"/>
  <c r="N101" i="12"/>
  <c r="J101" i="12"/>
  <c r="N100" i="12"/>
  <c r="J100" i="12"/>
  <c r="N99" i="12"/>
  <c r="J99" i="12"/>
  <c r="N98" i="12"/>
  <c r="J98" i="12"/>
  <c r="N97" i="12"/>
  <c r="J97" i="12"/>
  <c r="N95" i="12"/>
  <c r="J95" i="12"/>
  <c r="N94" i="12"/>
  <c r="J94" i="12"/>
  <c r="N93" i="12"/>
  <c r="J93" i="12"/>
  <c r="N92" i="12"/>
  <c r="J92" i="12"/>
  <c r="N91" i="12"/>
  <c r="J91" i="12"/>
  <c r="N90" i="12"/>
  <c r="J90" i="12"/>
  <c r="N89" i="12"/>
  <c r="J89" i="12"/>
  <c r="N88" i="12"/>
  <c r="J88" i="12"/>
  <c r="N87" i="12"/>
  <c r="J87" i="12"/>
  <c r="N86" i="12"/>
  <c r="J86" i="12"/>
  <c r="P85" i="12"/>
  <c r="N84" i="12"/>
  <c r="J84" i="12"/>
  <c r="O84" i="12" s="1"/>
  <c r="P84" i="12" s="1"/>
  <c r="N83" i="12"/>
  <c r="J83" i="12"/>
  <c r="N82" i="12"/>
  <c r="J82" i="12"/>
  <c r="N81" i="12"/>
  <c r="J81" i="12"/>
  <c r="O81" i="12" s="1"/>
  <c r="P81" i="12" s="1"/>
  <c r="O80" i="12"/>
  <c r="P80" i="12" s="1"/>
  <c r="N80" i="12"/>
  <c r="L80" i="12"/>
  <c r="K80" i="12"/>
  <c r="N79" i="12"/>
  <c r="J79" i="12"/>
  <c r="N78" i="12"/>
  <c r="J78" i="12"/>
  <c r="N77" i="12"/>
  <c r="J77" i="12"/>
  <c r="N76" i="12"/>
  <c r="J76" i="12"/>
  <c r="N75" i="12"/>
  <c r="J75" i="12"/>
  <c r="N74" i="12"/>
  <c r="J74" i="12"/>
  <c r="N73" i="12"/>
  <c r="J73" i="12"/>
  <c r="N72" i="12"/>
  <c r="J72" i="12"/>
  <c r="N71" i="12"/>
  <c r="J71" i="12"/>
  <c r="N70" i="12"/>
  <c r="J70" i="12"/>
  <c r="N69" i="12"/>
  <c r="J69" i="12"/>
  <c r="N68" i="12"/>
  <c r="J68" i="12"/>
  <c r="N67" i="12"/>
  <c r="J67" i="12"/>
  <c r="N66" i="12"/>
  <c r="J66" i="12"/>
  <c r="N65" i="12"/>
  <c r="J65" i="12"/>
  <c r="N64" i="12"/>
  <c r="J64" i="12"/>
  <c r="N63" i="12"/>
  <c r="J63" i="12"/>
  <c r="N61" i="12"/>
  <c r="J61" i="12"/>
  <c r="N60" i="12"/>
  <c r="J60" i="12"/>
  <c r="N59" i="12"/>
  <c r="J59" i="12"/>
  <c r="N58" i="12"/>
  <c r="J58" i="12"/>
  <c r="N57" i="12"/>
  <c r="J57" i="12"/>
  <c r="N56" i="12"/>
  <c r="J56" i="12"/>
  <c r="N55" i="12"/>
  <c r="J55" i="12"/>
  <c r="N54" i="12"/>
  <c r="J54" i="12"/>
  <c r="N52" i="12"/>
  <c r="J52" i="12"/>
  <c r="N51" i="12"/>
  <c r="J51" i="12"/>
  <c r="N49" i="12"/>
  <c r="J49" i="12"/>
  <c r="M45" i="12"/>
  <c r="N45" i="12" s="1"/>
  <c r="I45" i="12"/>
  <c r="H45" i="12"/>
  <c r="N43" i="12"/>
  <c r="J43" i="12"/>
  <c r="N42" i="12"/>
  <c r="J42" i="12"/>
  <c r="N41" i="12"/>
  <c r="J41" i="12"/>
  <c r="O41" i="12" s="1"/>
  <c r="P41" i="12" s="1"/>
  <c r="N40" i="12"/>
  <c r="J40" i="12"/>
  <c r="O40" i="12" s="1"/>
  <c r="P40" i="12" s="1"/>
  <c r="N39" i="12"/>
  <c r="J39" i="12"/>
  <c r="M36" i="12"/>
  <c r="N36" i="12" s="1"/>
  <c r="I36" i="12"/>
  <c r="H36" i="12"/>
  <c r="P35" i="12"/>
  <c r="N35" i="12"/>
  <c r="K35" i="12"/>
  <c r="J35" i="12"/>
  <c r="N34" i="12"/>
  <c r="J34" i="12"/>
  <c r="N33" i="12"/>
  <c r="J33" i="12"/>
  <c r="N32" i="12"/>
  <c r="J32" i="12"/>
  <c r="N31" i="12"/>
  <c r="J31" i="12"/>
  <c r="N30" i="12"/>
  <c r="J30" i="12"/>
  <c r="N29" i="12"/>
  <c r="J29" i="12"/>
  <c r="N28" i="12"/>
  <c r="J28" i="12"/>
  <c r="N27" i="12"/>
  <c r="J27" i="12"/>
  <c r="I24" i="12"/>
  <c r="H24" i="12"/>
  <c r="P23" i="12"/>
  <c r="N23" i="12"/>
  <c r="K23" i="12"/>
  <c r="J23" i="12"/>
  <c r="N22" i="12"/>
  <c r="J22" i="12"/>
  <c r="M21" i="12"/>
  <c r="J21" i="12"/>
  <c r="N20" i="12"/>
  <c r="J20" i="12"/>
  <c r="N19" i="12"/>
  <c r="J19" i="12"/>
  <c r="N18" i="12"/>
  <c r="J18" i="12"/>
  <c r="N17" i="12"/>
  <c r="J17" i="12"/>
  <c r="M14" i="12"/>
  <c r="I14" i="12"/>
  <c r="H14" i="12"/>
  <c r="H155" i="12" s="1"/>
  <c r="N12" i="12"/>
  <c r="J12" i="12"/>
  <c r="N11" i="12"/>
  <c r="J11" i="12"/>
  <c r="N10" i="12"/>
  <c r="J10" i="12"/>
  <c r="N9" i="12"/>
  <c r="J9" i="12"/>
  <c r="O9" i="12" s="1"/>
  <c r="P9" i="12" s="1"/>
  <c r="N8" i="12"/>
  <c r="J8" i="12"/>
  <c r="N7" i="12"/>
  <c r="J7" i="12"/>
  <c r="N6" i="12"/>
  <c r="J6" i="12"/>
  <c r="N5" i="12"/>
  <c r="J5" i="12"/>
  <c r="O5" i="12" s="1"/>
  <c r="I126" i="11"/>
  <c r="H126" i="11"/>
  <c r="J125" i="11"/>
  <c r="G125" i="11"/>
  <c r="J124" i="11"/>
  <c r="G124" i="11"/>
  <c r="I122" i="11"/>
  <c r="H122" i="11"/>
  <c r="G122" i="11"/>
  <c r="N121" i="11"/>
  <c r="J121" i="11"/>
  <c r="N120" i="11"/>
  <c r="J120" i="11"/>
  <c r="N119" i="11"/>
  <c r="J119" i="11"/>
  <c r="N118" i="11"/>
  <c r="J118" i="11"/>
  <c r="I116" i="11"/>
  <c r="H116" i="11"/>
  <c r="N115" i="11"/>
  <c r="J115" i="11"/>
  <c r="N114" i="11"/>
  <c r="J114" i="11"/>
  <c r="M113" i="11"/>
  <c r="N113" i="11" s="1"/>
  <c r="J113" i="11"/>
  <c r="N112" i="11"/>
  <c r="J112" i="11"/>
  <c r="M111" i="11"/>
  <c r="N111" i="11" s="1"/>
  <c r="J111" i="11"/>
  <c r="N109" i="11"/>
  <c r="J109" i="11"/>
  <c r="P108" i="11"/>
  <c r="N108" i="11"/>
  <c r="K108" i="11"/>
  <c r="J108" i="11"/>
  <c r="J107" i="11"/>
  <c r="G107" i="11"/>
  <c r="J106" i="11"/>
  <c r="G106" i="11"/>
  <c r="J105" i="11"/>
  <c r="G105" i="11"/>
  <c r="M103" i="11"/>
  <c r="J103" i="11"/>
  <c r="G103" i="11"/>
  <c r="J102" i="11"/>
  <c r="G102" i="11"/>
  <c r="J101" i="11"/>
  <c r="G101" i="11"/>
  <c r="M100" i="11"/>
  <c r="J100" i="11"/>
  <c r="G100" i="11"/>
  <c r="J99" i="11"/>
  <c r="I84" i="1" s="1"/>
  <c r="L84" i="1" s="1"/>
  <c r="G99" i="11"/>
  <c r="P98" i="11"/>
  <c r="N98" i="11"/>
  <c r="K98" i="11"/>
  <c r="J98" i="11"/>
  <c r="N97" i="11"/>
  <c r="J97" i="11"/>
  <c r="J96" i="11"/>
  <c r="G96" i="11"/>
  <c r="J95" i="11"/>
  <c r="G95" i="11"/>
  <c r="J94" i="11"/>
  <c r="G94" i="11"/>
  <c r="J93" i="11"/>
  <c r="G93" i="11"/>
  <c r="M91" i="11"/>
  <c r="N91" i="11" s="1"/>
  <c r="J91" i="11"/>
  <c r="M90" i="11"/>
  <c r="N90" i="11" s="1"/>
  <c r="J90" i="11"/>
  <c r="M89" i="11"/>
  <c r="N89" i="11" s="1"/>
  <c r="J89" i="11"/>
  <c r="J88" i="11"/>
  <c r="N86" i="11"/>
  <c r="J86" i="11"/>
  <c r="N85" i="11"/>
  <c r="J85" i="11"/>
  <c r="I83" i="11"/>
  <c r="H83" i="11"/>
  <c r="G83" i="11"/>
  <c r="M82" i="11"/>
  <c r="N82" i="11" s="1"/>
  <c r="J82" i="11"/>
  <c r="M81" i="11"/>
  <c r="N81" i="11" s="1"/>
  <c r="N83" i="11" s="1"/>
  <c r="J81" i="11"/>
  <c r="I79" i="11"/>
  <c r="H79" i="11"/>
  <c r="G79" i="11"/>
  <c r="N78" i="11"/>
  <c r="J78" i="11"/>
  <c r="M77" i="11"/>
  <c r="N77" i="11" s="1"/>
  <c r="J77" i="11"/>
  <c r="N76" i="11"/>
  <c r="J76" i="11"/>
  <c r="N75" i="11"/>
  <c r="J75" i="11"/>
  <c r="M74" i="11"/>
  <c r="N74" i="11" s="1"/>
  <c r="J74" i="11"/>
  <c r="M73" i="11"/>
  <c r="J73" i="11"/>
  <c r="I71" i="11"/>
  <c r="H71" i="11"/>
  <c r="G71" i="11"/>
  <c r="N70" i="11"/>
  <c r="J70" i="11"/>
  <c r="N69" i="11"/>
  <c r="J69" i="11"/>
  <c r="M68" i="11"/>
  <c r="N68" i="11" s="1"/>
  <c r="J68" i="11"/>
  <c r="N67" i="11"/>
  <c r="J67" i="11"/>
  <c r="N66" i="11"/>
  <c r="J66" i="11"/>
  <c r="M65" i="11"/>
  <c r="N65" i="11" s="1"/>
  <c r="J65" i="11"/>
  <c r="N64" i="11"/>
  <c r="J64" i="11"/>
  <c r="M63" i="11"/>
  <c r="N63" i="11" s="1"/>
  <c r="J63" i="11"/>
  <c r="M62" i="11"/>
  <c r="J62" i="11"/>
  <c r="I60" i="11"/>
  <c r="H60" i="11"/>
  <c r="G60" i="11"/>
  <c r="N59" i="11"/>
  <c r="J59" i="11"/>
  <c r="M58" i="11"/>
  <c r="N58" i="11" s="1"/>
  <c r="J58" i="11"/>
  <c r="N57" i="11"/>
  <c r="J57" i="11"/>
  <c r="M56" i="11"/>
  <c r="N56" i="11" s="1"/>
  <c r="J56" i="11"/>
  <c r="I53" i="1" s="1"/>
  <c r="L53" i="1" s="1"/>
  <c r="M55" i="11"/>
  <c r="J55" i="11"/>
  <c r="J54" i="11"/>
  <c r="I51" i="11"/>
  <c r="H51" i="11"/>
  <c r="G51" i="11"/>
  <c r="P50" i="11"/>
  <c r="N50" i="11"/>
  <c r="K50" i="11"/>
  <c r="J50" i="11"/>
  <c r="P49" i="11"/>
  <c r="N49" i="11"/>
  <c r="K49" i="11"/>
  <c r="J49" i="11"/>
  <c r="P48" i="11"/>
  <c r="N48" i="11"/>
  <c r="K48" i="11"/>
  <c r="J48" i="11"/>
  <c r="P47" i="11"/>
  <c r="N47" i="11"/>
  <c r="K47" i="11"/>
  <c r="J47" i="11"/>
  <c r="M46" i="11"/>
  <c r="J46" i="11"/>
  <c r="P45" i="11"/>
  <c r="N45" i="11"/>
  <c r="K45" i="11"/>
  <c r="J45" i="11"/>
  <c r="P44" i="11"/>
  <c r="N44" i="11"/>
  <c r="K44" i="11"/>
  <c r="J44" i="11"/>
  <c r="P43" i="11"/>
  <c r="N43" i="11"/>
  <c r="K43" i="11"/>
  <c r="J43" i="11"/>
  <c r="I40" i="11"/>
  <c r="H40" i="11"/>
  <c r="G40" i="11"/>
  <c r="P39" i="11"/>
  <c r="N39" i="11"/>
  <c r="K39" i="11"/>
  <c r="J39" i="11"/>
  <c r="P38" i="11"/>
  <c r="N38" i="11"/>
  <c r="K38" i="11"/>
  <c r="J38" i="11"/>
  <c r="M37" i="11"/>
  <c r="N37" i="11" s="1"/>
  <c r="J37" i="11"/>
  <c r="P36" i="11"/>
  <c r="N36" i="11"/>
  <c r="K36" i="11"/>
  <c r="J36" i="11"/>
  <c r="P35" i="11"/>
  <c r="N35" i="11"/>
  <c r="K35" i="11"/>
  <c r="J35" i="11"/>
  <c r="N34" i="11"/>
  <c r="J34" i="11"/>
  <c r="M33" i="11"/>
  <c r="N33" i="11" s="1"/>
  <c r="J33" i="11"/>
  <c r="M32" i="11"/>
  <c r="N32" i="11" s="1"/>
  <c r="J32" i="11"/>
  <c r="M31" i="11"/>
  <c r="N31" i="11" s="1"/>
  <c r="J31" i="11"/>
  <c r="M30" i="11"/>
  <c r="N30" i="11" s="1"/>
  <c r="J30" i="11"/>
  <c r="M29" i="11"/>
  <c r="J29" i="11"/>
  <c r="I26" i="11"/>
  <c r="H26" i="11"/>
  <c r="G26" i="11"/>
  <c r="N25" i="11"/>
  <c r="J25" i="11"/>
  <c r="N24" i="11"/>
  <c r="J24" i="11"/>
  <c r="N23" i="11"/>
  <c r="J23" i="11"/>
  <c r="M22" i="11"/>
  <c r="N22" i="11" s="1"/>
  <c r="J22" i="11"/>
  <c r="I60" i="1" s="1"/>
  <c r="M21" i="11"/>
  <c r="N21" i="11" s="1"/>
  <c r="J21" i="11"/>
  <c r="M20" i="11"/>
  <c r="N20" i="11" s="1"/>
  <c r="J20" i="11"/>
  <c r="M19" i="11"/>
  <c r="N19" i="11" s="1"/>
  <c r="J19" i="11"/>
  <c r="M18" i="11"/>
  <c r="N18" i="11" s="1"/>
  <c r="J18" i="11"/>
  <c r="M17" i="11"/>
  <c r="N17" i="11" s="1"/>
  <c r="J17" i="11"/>
  <c r="M16" i="11"/>
  <c r="J16" i="11"/>
  <c r="I13" i="11"/>
  <c r="H13" i="11"/>
  <c r="G13" i="11"/>
  <c r="P12" i="11"/>
  <c r="N12" i="11"/>
  <c r="K12" i="11"/>
  <c r="J12" i="11"/>
  <c r="P11" i="11"/>
  <c r="N11" i="11"/>
  <c r="K11" i="11"/>
  <c r="J11" i="11"/>
  <c r="P10" i="11"/>
  <c r="N10" i="11"/>
  <c r="K10" i="11"/>
  <c r="J10" i="11"/>
  <c r="P9" i="11"/>
  <c r="N9" i="11"/>
  <c r="K9" i="11"/>
  <c r="J9" i="11"/>
  <c r="N8" i="11"/>
  <c r="J8" i="11"/>
  <c r="M7" i="11"/>
  <c r="N7" i="11" s="1"/>
  <c r="J7" i="11"/>
  <c r="M6" i="11"/>
  <c r="N6" i="11" s="1"/>
  <c r="J6" i="11"/>
  <c r="M5" i="11"/>
  <c r="J5" i="11"/>
  <c r="P4" i="11"/>
  <c r="N4" i="11"/>
  <c r="K4" i="11"/>
  <c r="J4" i="11"/>
  <c r="D213" i="1"/>
  <c r="D205" i="1"/>
  <c r="F196" i="1"/>
  <c r="E196" i="1"/>
  <c r="G195" i="1"/>
  <c r="G194" i="1"/>
  <c r="D192" i="1"/>
  <c r="G192" i="1" s="1"/>
  <c r="I191" i="1"/>
  <c r="M191" i="1" s="1"/>
  <c r="D191" i="1"/>
  <c r="I188" i="1"/>
  <c r="F188" i="1"/>
  <c r="E188" i="1"/>
  <c r="D188" i="1"/>
  <c r="G187" i="1"/>
  <c r="G186" i="1"/>
  <c r="G185" i="1"/>
  <c r="G184" i="1"/>
  <c r="G183" i="1"/>
  <c r="G182" i="1"/>
  <c r="G181" i="1"/>
  <c r="G180" i="1"/>
  <c r="I178" i="1"/>
  <c r="F178" i="1"/>
  <c r="E178" i="1"/>
  <c r="D178" i="1"/>
  <c r="G177" i="1"/>
  <c r="G176" i="1"/>
  <c r="G175" i="1"/>
  <c r="G174" i="1"/>
  <c r="G173" i="1"/>
  <c r="G172" i="1"/>
  <c r="G171" i="1"/>
  <c r="G170" i="1"/>
  <c r="I168" i="1"/>
  <c r="F168" i="1"/>
  <c r="E168" i="1"/>
  <c r="D168" i="1"/>
  <c r="G167" i="1"/>
  <c r="G166" i="1"/>
  <c r="G165" i="1"/>
  <c r="G164" i="1"/>
  <c r="G163" i="1"/>
  <c r="G162" i="1"/>
  <c r="G161" i="1"/>
  <c r="G160" i="1"/>
  <c r="I158" i="1"/>
  <c r="F158" i="1"/>
  <c r="E158" i="1"/>
  <c r="D158" i="1"/>
  <c r="G157" i="1"/>
  <c r="G156" i="1"/>
  <c r="G155" i="1"/>
  <c r="G154" i="1"/>
  <c r="G153" i="1"/>
  <c r="G152" i="1"/>
  <c r="G151" i="1"/>
  <c r="G150" i="1"/>
  <c r="I146" i="1"/>
  <c r="F146" i="1"/>
  <c r="E146" i="1"/>
  <c r="D146" i="1"/>
  <c r="G145" i="1"/>
  <c r="G144" i="1"/>
  <c r="G143" i="1"/>
  <c r="G142" i="1"/>
  <c r="G141" i="1"/>
  <c r="G140" i="1"/>
  <c r="G139" i="1"/>
  <c r="G138" i="1"/>
  <c r="F136" i="1"/>
  <c r="E136" i="1"/>
  <c r="D136" i="1"/>
  <c r="G135" i="1"/>
  <c r="G134" i="1"/>
  <c r="G133" i="1"/>
  <c r="G132" i="1"/>
  <c r="G131" i="1"/>
  <c r="G130" i="1"/>
  <c r="G129" i="1"/>
  <c r="G128" i="1"/>
  <c r="F126" i="1"/>
  <c r="E126" i="1"/>
  <c r="D126" i="1"/>
  <c r="G125" i="1"/>
  <c r="G124" i="1"/>
  <c r="G123" i="1"/>
  <c r="G122" i="1"/>
  <c r="G121" i="1"/>
  <c r="G120" i="1"/>
  <c r="G119" i="1"/>
  <c r="G118" i="1"/>
  <c r="F116" i="1"/>
  <c r="E116" i="1"/>
  <c r="D116" i="1"/>
  <c r="G115" i="1"/>
  <c r="G114" i="1"/>
  <c r="G113" i="1"/>
  <c r="G112" i="1"/>
  <c r="G111" i="1"/>
  <c r="G110" i="1"/>
  <c r="G109" i="1"/>
  <c r="G108" i="1"/>
  <c r="I104" i="1"/>
  <c r="F104" i="1"/>
  <c r="E104" i="1"/>
  <c r="D104" i="1"/>
  <c r="G103" i="1"/>
  <c r="G102" i="1"/>
  <c r="G101" i="1"/>
  <c r="G100" i="1"/>
  <c r="G99" i="1"/>
  <c r="G98" i="1"/>
  <c r="G97" i="1"/>
  <c r="G96" i="1"/>
  <c r="F94" i="1"/>
  <c r="E94" i="1"/>
  <c r="D94" i="1"/>
  <c r="G93" i="1"/>
  <c r="G92" i="1"/>
  <c r="G91" i="1"/>
  <c r="G90" i="1"/>
  <c r="G89" i="1"/>
  <c r="G88" i="1"/>
  <c r="I87" i="1"/>
  <c r="L87" i="1" s="1"/>
  <c r="G87" i="1"/>
  <c r="I86" i="1"/>
  <c r="L86" i="1" s="1"/>
  <c r="G86" i="1"/>
  <c r="I85" i="1"/>
  <c r="L85" i="1" s="1"/>
  <c r="G85" i="1"/>
  <c r="G84" i="1"/>
  <c r="I83" i="1"/>
  <c r="G83" i="1"/>
  <c r="F81" i="1"/>
  <c r="E81" i="1"/>
  <c r="D81" i="1"/>
  <c r="G80" i="1"/>
  <c r="I78" i="1"/>
  <c r="L78" i="1" s="1"/>
  <c r="G78" i="1"/>
  <c r="I77" i="1"/>
  <c r="L77" i="1" s="1"/>
  <c r="G77" i="1"/>
  <c r="I76" i="1"/>
  <c r="L76" i="1" s="1"/>
  <c r="G76" i="1"/>
  <c r="I75" i="1"/>
  <c r="L75" i="1" s="1"/>
  <c r="G75" i="1"/>
  <c r="I74" i="1"/>
  <c r="L74" i="1" s="1"/>
  <c r="G74" i="1"/>
  <c r="I73" i="1"/>
  <c r="L73" i="1" s="1"/>
  <c r="G73" i="1"/>
  <c r="I72" i="1"/>
  <c r="L72" i="1" s="1"/>
  <c r="G72" i="1"/>
  <c r="I71" i="1"/>
  <c r="L71" i="1" s="1"/>
  <c r="G71" i="1"/>
  <c r="I70" i="1"/>
  <c r="L70" i="1" s="1"/>
  <c r="G70" i="1"/>
  <c r="I69" i="1"/>
  <c r="L69" i="1" s="1"/>
  <c r="G69" i="1"/>
  <c r="I68" i="1"/>
  <c r="L68" i="1" s="1"/>
  <c r="G68" i="1"/>
  <c r="I67" i="1"/>
  <c r="L67" i="1" s="1"/>
  <c r="G67" i="1"/>
  <c r="I66" i="1"/>
  <c r="L66" i="1" s="1"/>
  <c r="G66" i="1"/>
  <c r="I65" i="1"/>
  <c r="L65" i="1" s="1"/>
  <c r="G65" i="1"/>
  <c r="I64" i="1"/>
  <c r="L64" i="1" s="1"/>
  <c r="G64" i="1"/>
  <c r="I63" i="1"/>
  <c r="L63" i="1" s="1"/>
  <c r="G63" i="1"/>
  <c r="I62" i="1"/>
  <c r="L62" i="1" s="1"/>
  <c r="G62" i="1"/>
  <c r="I61" i="1"/>
  <c r="L61" i="1" s="1"/>
  <c r="G61" i="1"/>
  <c r="G60" i="1"/>
  <c r="F58" i="1"/>
  <c r="E58" i="1"/>
  <c r="D58" i="1"/>
  <c r="G57" i="1"/>
  <c r="G56" i="1"/>
  <c r="G55" i="1"/>
  <c r="I54" i="1"/>
  <c r="L54" i="1" s="1"/>
  <c r="G54" i="1"/>
  <c r="G53" i="1"/>
  <c r="I52" i="1"/>
  <c r="L52" i="1" s="1"/>
  <c r="G52" i="1"/>
  <c r="I51" i="1"/>
  <c r="L51" i="1" s="1"/>
  <c r="G51" i="1"/>
  <c r="I50" i="1"/>
  <c r="G50" i="1"/>
  <c r="I46" i="1"/>
  <c r="F46" i="1"/>
  <c r="E46" i="1"/>
  <c r="D46" i="1"/>
  <c r="G45" i="1"/>
  <c r="G44" i="1"/>
  <c r="G43" i="1"/>
  <c r="G42" i="1"/>
  <c r="G41" i="1"/>
  <c r="G40" i="1"/>
  <c r="G39" i="1"/>
  <c r="G38" i="1"/>
  <c r="F36" i="1"/>
  <c r="E36" i="1"/>
  <c r="D31" i="5"/>
  <c r="G35" i="1"/>
  <c r="G34" i="1"/>
  <c r="G33" i="1"/>
  <c r="G32" i="1"/>
  <c r="G31" i="1"/>
  <c r="G30" i="1"/>
  <c r="G29" i="1"/>
  <c r="I28" i="1"/>
  <c r="G28" i="1"/>
  <c r="F26" i="1"/>
  <c r="E26" i="1"/>
  <c r="D20" i="5"/>
  <c r="G25" i="1"/>
  <c r="G24" i="1"/>
  <c r="G23" i="1"/>
  <c r="G22" i="1"/>
  <c r="G21" i="1"/>
  <c r="G20" i="1"/>
  <c r="I19" i="1"/>
  <c r="G19" i="1"/>
  <c r="I18" i="1"/>
  <c r="G18" i="1"/>
  <c r="F16" i="1"/>
  <c r="E16" i="1"/>
  <c r="G15" i="1"/>
  <c r="G14" i="1"/>
  <c r="G13" i="1"/>
  <c r="G12" i="1"/>
  <c r="G11" i="1"/>
  <c r="G10" i="1"/>
  <c r="G9" i="1"/>
  <c r="G8" i="1"/>
  <c r="I94" i="1" l="1"/>
  <c r="L83" i="1"/>
  <c r="I81" i="1"/>
  <c r="L60" i="1"/>
  <c r="I58" i="1"/>
  <c r="L50" i="1"/>
  <c r="M28" i="1"/>
  <c r="L28" i="1"/>
  <c r="M18" i="1"/>
  <c r="L18" i="1"/>
  <c r="M19" i="1"/>
  <c r="L19" i="1"/>
  <c r="M9" i="1"/>
  <c r="L9" i="1"/>
  <c r="M10" i="1"/>
  <c r="L10" i="1"/>
  <c r="I16" i="1"/>
  <c r="I26" i="1"/>
  <c r="H16" i="1"/>
  <c r="F76" i="5"/>
  <c r="D110" i="5"/>
  <c r="F155" i="5"/>
  <c r="E188" i="5"/>
  <c r="E155" i="5"/>
  <c r="E110" i="5"/>
  <c r="F188" i="5"/>
  <c r="F110" i="5"/>
  <c r="D42" i="5"/>
  <c r="E144" i="5"/>
  <c r="F144" i="5"/>
  <c r="F42" i="5"/>
  <c r="F54" i="5"/>
  <c r="E99" i="5"/>
  <c r="D132" i="5"/>
  <c r="G132" i="5" s="1"/>
  <c r="D177" i="5"/>
  <c r="E76" i="5"/>
  <c r="E42" i="5"/>
  <c r="E54" i="5"/>
  <c r="F99" i="5"/>
  <c r="E132" i="5"/>
  <c r="E177" i="5"/>
  <c r="G177" i="5" s="1"/>
  <c r="F177" i="5"/>
  <c r="F132" i="5"/>
  <c r="E31" i="5"/>
  <c r="D87" i="5"/>
  <c r="G87" i="5" s="1"/>
  <c r="E87" i="5"/>
  <c r="D166" i="5"/>
  <c r="G166" i="5" s="1"/>
  <c r="F31" i="5"/>
  <c r="F87" i="5"/>
  <c r="D121" i="5"/>
  <c r="E166" i="5"/>
  <c r="D65" i="5"/>
  <c r="H65" i="5" s="1"/>
  <c r="E121" i="5"/>
  <c r="F166" i="5"/>
  <c r="E20" i="5"/>
  <c r="E65" i="5"/>
  <c r="F121" i="5"/>
  <c r="F20" i="5"/>
  <c r="G20" i="5" s="1"/>
  <c r="F65" i="5"/>
  <c r="G65" i="5" s="1"/>
  <c r="D76" i="5"/>
  <c r="H76" i="5" s="1"/>
  <c r="D155" i="5"/>
  <c r="G155" i="5" s="1"/>
  <c r="G17" i="5"/>
  <c r="G107" i="5"/>
  <c r="I155" i="12"/>
  <c r="G73" i="5"/>
  <c r="G163" i="5"/>
  <c r="G62" i="5"/>
  <c r="G152" i="5"/>
  <c r="G28" i="5"/>
  <c r="G118" i="5"/>
  <c r="J126" i="11"/>
  <c r="G16" i="1"/>
  <c r="C7" i="6"/>
  <c r="D9" i="5"/>
  <c r="D207" i="1"/>
  <c r="D208" i="1" s="1"/>
  <c r="E9" i="5"/>
  <c r="E207" i="1"/>
  <c r="F9" i="5"/>
  <c r="F207" i="1"/>
  <c r="H26" i="1"/>
  <c r="G26" i="1"/>
  <c r="H36" i="1"/>
  <c r="G36" i="1"/>
  <c r="H46" i="1"/>
  <c r="G46" i="1"/>
  <c r="H58" i="1"/>
  <c r="G58" i="1"/>
  <c r="C18" i="6"/>
  <c r="D54" i="5"/>
  <c r="H81" i="1"/>
  <c r="G81" i="1"/>
  <c r="H94" i="1"/>
  <c r="G94" i="1"/>
  <c r="H104" i="1"/>
  <c r="G104" i="1"/>
  <c r="H116" i="1"/>
  <c r="G116" i="1"/>
  <c r="C29" i="6"/>
  <c r="D99" i="5"/>
  <c r="H126" i="1"/>
  <c r="G126" i="1"/>
  <c r="H136" i="1"/>
  <c r="G136" i="1"/>
  <c r="H146" i="1"/>
  <c r="G146" i="1"/>
  <c r="H158" i="1"/>
  <c r="G158" i="1"/>
  <c r="C40" i="6"/>
  <c r="D144" i="5"/>
  <c r="H168" i="1"/>
  <c r="G168" i="1"/>
  <c r="H178" i="1"/>
  <c r="G178" i="1"/>
  <c r="H188" i="1"/>
  <c r="G188" i="1"/>
  <c r="D196" i="1"/>
  <c r="G191" i="1"/>
  <c r="D223" i="1"/>
  <c r="G193" i="1"/>
  <c r="I193" i="1"/>
  <c r="M193" i="1" s="1"/>
  <c r="J13" i="11"/>
  <c r="O4" i="11"/>
  <c r="L4" i="11"/>
  <c r="O5" i="11"/>
  <c r="P5" i="11" s="1"/>
  <c r="L5" i="11"/>
  <c r="K5" i="11"/>
  <c r="M13" i="11"/>
  <c r="N5" i="11"/>
  <c r="N13" i="11" s="1"/>
  <c r="O6" i="11"/>
  <c r="P6" i="11" s="1"/>
  <c r="L6" i="11"/>
  <c r="K6" i="11"/>
  <c r="O7" i="11"/>
  <c r="P7" i="11" s="1"/>
  <c r="L7" i="11"/>
  <c r="K7" i="11"/>
  <c r="O8" i="11"/>
  <c r="P8" i="11" s="1"/>
  <c r="L8" i="11"/>
  <c r="K8" i="11"/>
  <c r="O9" i="11"/>
  <c r="L9" i="11"/>
  <c r="O10" i="11"/>
  <c r="L10" i="11"/>
  <c r="O11" i="11"/>
  <c r="L11" i="11"/>
  <c r="O12" i="11"/>
  <c r="L12" i="11"/>
  <c r="J26" i="11"/>
  <c r="O16" i="11"/>
  <c r="L16" i="11"/>
  <c r="K16" i="11"/>
  <c r="M26" i="11"/>
  <c r="N16" i="11"/>
  <c r="N26" i="11" s="1"/>
  <c r="O17" i="11"/>
  <c r="P17" i="11" s="1"/>
  <c r="L17" i="11"/>
  <c r="K17" i="11"/>
  <c r="O18" i="11"/>
  <c r="P18" i="11" s="1"/>
  <c r="L18" i="11"/>
  <c r="K18" i="11"/>
  <c r="O19" i="11"/>
  <c r="P19" i="11" s="1"/>
  <c r="L19" i="11"/>
  <c r="K19" i="11"/>
  <c r="O20" i="11"/>
  <c r="P20" i="11" s="1"/>
  <c r="L20" i="11"/>
  <c r="K20" i="11"/>
  <c r="O21" i="11"/>
  <c r="P21" i="11" s="1"/>
  <c r="L21" i="11"/>
  <c r="K21" i="11"/>
  <c r="O22" i="11"/>
  <c r="P22" i="11" s="1"/>
  <c r="L22" i="11"/>
  <c r="K22" i="11"/>
  <c r="O23" i="11"/>
  <c r="P23" i="11" s="1"/>
  <c r="L23" i="11"/>
  <c r="K23" i="11"/>
  <c r="O24" i="11"/>
  <c r="P24" i="11" s="1"/>
  <c r="L24" i="11"/>
  <c r="K24" i="11"/>
  <c r="O25" i="11"/>
  <c r="P25" i="11" s="1"/>
  <c r="L25" i="11"/>
  <c r="K25" i="11"/>
  <c r="J40" i="11"/>
  <c r="O29" i="11"/>
  <c r="L29" i="11"/>
  <c r="K29" i="11"/>
  <c r="M40" i="11"/>
  <c r="N29" i="11"/>
  <c r="N40" i="11" s="1"/>
  <c r="O30" i="11"/>
  <c r="P30" i="11" s="1"/>
  <c r="L30" i="11"/>
  <c r="K30" i="11"/>
  <c r="O31" i="11"/>
  <c r="P31" i="11" s="1"/>
  <c r="L31" i="11"/>
  <c r="K31" i="11"/>
  <c r="O32" i="11"/>
  <c r="P32" i="11" s="1"/>
  <c r="L32" i="11"/>
  <c r="K32" i="11"/>
  <c r="O33" i="11"/>
  <c r="P33" i="11" s="1"/>
  <c r="L33" i="11"/>
  <c r="K33" i="11"/>
  <c r="O34" i="11"/>
  <c r="P34" i="11" s="1"/>
  <c r="L34" i="11"/>
  <c r="K34" i="11"/>
  <c r="O35" i="11"/>
  <c r="L35" i="11"/>
  <c r="O36" i="11"/>
  <c r="L36" i="11"/>
  <c r="O37" i="11"/>
  <c r="P37" i="11" s="1"/>
  <c r="L37" i="11"/>
  <c r="K37" i="11"/>
  <c r="O38" i="11"/>
  <c r="L38" i="11"/>
  <c r="O39" i="11"/>
  <c r="L39" i="11"/>
  <c r="J51" i="11"/>
  <c r="O43" i="11"/>
  <c r="L43" i="11"/>
  <c r="O44" i="11"/>
  <c r="L44" i="11"/>
  <c r="O45" i="11"/>
  <c r="L45" i="11"/>
  <c r="O46" i="11"/>
  <c r="P46" i="11" s="1"/>
  <c r="L46" i="11"/>
  <c r="K46" i="11"/>
  <c r="K51" i="11" s="1"/>
  <c r="M51" i="11"/>
  <c r="N46" i="11"/>
  <c r="N51" i="11" s="1"/>
  <c r="O47" i="11"/>
  <c r="L47" i="11"/>
  <c r="O48" i="11"/>
  <c r="L48" i="11"/>
  <c r="O49" i="11"/>
  <c r="L49" i="11"/>
  <c r="O50" i="11"/>
  <c r="L50" i="11"/>
  <c r="J60" i="11"/>
  <c r="O55" i="11"/>
  <c r="L55" i="11"/>
  <c r="K55" i="11"/>
  <c r="M60" i="11"/>
  <c r="N55" i="11"/>
  <c r="N60" i="11" s="1"/>
  <c r="O56" i="11"/>
  <c r="P56" i="11" s="1"/>
  <c r="L56" i="11"/>
  <c r="K56" i="11"/>
  <c r="O57" i="11"/>
  <c r="P57" i="11" s="1"/>
  <c r="L57" i="11"/>
  <c r="K57" i="11"/>
  <c r="O58" i="11"/>
  <c r="P58" i="11" s="1"/>
  <c r="L58" i="11"/>
  <c r="K58" i="11"/>
  <c r="O59" i="11"/>
  <c r="P59" i="11" s="1"/>
  <c r="L59" i="11"/>
  <c r="K59" i="11"/>
  <c r="J71" i="11"/>
  <c r="O62" i="11"/>
  <c r="L62" i="11"/>
  <c r="K62" i="11"/>
  <c r="M71" i="11"/>
  <c r="N62" i="11"/>
  <c r="N71" i="11" s="1"/>
  <c r="O63" i="11"/>
  <c r="P63" i="11" s="1"/>
  <c r="L63" i="11"/>
  <c r="K63" i="11"/>
  <c r="O64" i="11"/>
  <c r="P64" i="11" s="1"/>
  <c r="L64" i="11"/>
  <c r="K64" i="11"/>
  <c r="O65" i="11"/>
  <c r="P65" i="11" s="1"/>
  <c r="L65" i="11"/>
  <c r="K65" i="11"/>
  <c r="O66" i="11"/>
  <c r="P66" i="11" s="1"/>
  <c r="L66" i="11"/>
  <c r="K66" i="11"/>
  <c r="O67" i="11"/>
  <c r="P67" i="11" s="1"/>
  <c r="L67" i="11"/>
  <c r="K67" i="11"/>
  <c r="O68" i="11"/>
  <c r="P68" i="11" s="1"/>
  <c r="L68" i="11"/>
  <c r="K68" i="11"/>
  <c r="O69" i="11"/>
  <c r="P69" i="11" s="1"/>
  <c r="L69" i="11"/>
  <c r="K69" i="11"/>
  <c r="O70" i="11"/>
  <c r="P70" i="11" s="1"/>
  <c r="L70" i="11"/>
  <c r="K70" i="11"/>
  <c r="J79" i="11"/>
  <c r="O73" i="11"/>
  <c r="L73" i="11"/>
  <c r="K73" i="11"/>
  <c r="M79" i="11"/>
  <c r="N73" i="11"/>
  <c r="N79" i="11" s="1"/>
  <c r="O74" i="11"/>
  <c r="P74" i="11" s="1"/>
  <c r="L74" i="11"/>
  <c r="K74" i="11"/>
  <c r="O75" i="11"/>
  <c r="P75" i="11" s="1"/>
  <c r="L75" i="11"/>
  <c r="K75" i="11"/>
  <c r="O76" i="11"/>
  <c r="P76" i="11" s="1"/>
  <c r="L76" i="11"/>
  <c r="K76" i="11"/>
  <c r="O77" i="11"/>
  <c r="P77" i="11" s="1"/>
  <c r="L77" i="11"/>
  <c r="K77" i="11"/>
  <c r="O78" i="11"/>
  <c r="P78" i="11" s="1"/>
  <c r="L78" i="11"/>
  <c r="K78" i="11"/>
  <c r="J83" i="11"/>
  <c r="O83" i="11" s="1"/>
  <c r="P83" i="11" s="1"/>
  <c r="O81" i="11"/>
  <c r="P81" i="11" s="1"/>
  <c r="L81" i="11"/>
  <c r="K81" i="11"/>
  <c r="O82" i="11"/>
  <c r="P82" i="11" s="1"/>
  <c r="L82" i="11"/>
  <c r="K82" i="11"/>
  <c r="L83" i="11"/>
  <c r="K83" i="11"/>
  <c r="J116" i="11"/>
  <c r="O85" i="11"/>
  <c r="L85" i="11"/>
  <c r="K85" i="11"/>
  <c r="O86" i="11"/>
  <c r="P86" i="11" s="1"/>
  <c r="L86" i="11"/>
  <c r="K86" i="11"/>
  <c r="L88" i="11"/>
  <c r="M88" i="11" s="1"/>
  <c r="K88" i="11"/>
  <c r="O89" i="11"/>
  <c r="P89" i="11" s="1"/>
  <c r="L89" i="11"/>
  <c r="K89" i="11"/>
  <c r="O90" i="11"/>
  <c r="P90" i="11" s="1"/>
  <c r="L90" i="11"/>
  <c r="K90" i="11"/>
  <c r="O91" i="11"/>
  <c r="P91" i="11" s="1"/>
  <c r="L91" i="11"/>
  <c r="K91" i="11"/>
  <c r="G116" i="11"/>
  <c r="O93" i="11"/>
  <c r="P93" i="11" s="1"/>
  <c r="N93" i="11"/>
  <c r="L93" i="11"/>
  <c r="K93" i="11"/>
  <c r="O94" i="11"/>
  <c r="P94" i="11" s="1"/>
  <c r="N94" i="11"/>
  <c r="L94" i="11"/>
  <c r="K94" i="11"/>
  <c r="O95" i="11"/>
  <c r="P95" i="11" s="1"/>
  <c r="N95" i="11"/>
  <c r="L95" i="11"/>
  <c r="K95" i="11"/>
  <c r="O96" i="11"/>
  <c r="P96" i="11" s="1"/>
  <c r="N96" i="11"/>
  <c r="L96" i="11"/>
  <c r="K96" i="11"/>
  <c r="O97" i="11"/>
  <c r="P97" i="11" s="1"/>
  <c r="L97" i="11"/>
  <c r="K97" i="11"/>
  <c r="O98" i="11"/>
  <c r="L98" i="11"/>
  <c r="O99" i="11"/>
  <c r="P99" i="11" s="1"/>
  <c r="N99" i="11"/>
  <c r="L99" i="11"/>
  <c r="K99" i="11"/>
  <c r="O100" i="11"/>
  <c r="P100" i="11" s="1"/>
  <c r="N100" i="11"/>
  <c r="L100" i="11"/>
  <c r="K100" i="11"/>
  <c r="O101" i="11"/>
  <c r="P101" i="11" s="1"/>
  <c r="N101" i="11"/>
  <c r="L101" i="11"/>
  <c r="K101" i="11"/>
  <c r="O102" i="11"/>
  <c r="P102" i="11" s="1"/>
  <c r="N102" i="11"/>
  <c r="L102" i="11"/>
  <c r="K102" i="11"/>
  <c r="O103" i="11"/>
  <c r="P103" i="11" s="1"/>
  <c r="N103" i="11"/>
  <c r="L103" i="11"/>
  <c r="K103" i="11"/>
  <c r="O105" i="11"/>
  <c r="P105" i="11" s="1"/>
  <c r="N105" i="11"/>
  <c r="L105" i="11"/>
  <c r="K105" i="11"/>
  <c r="O106" i="11"/>
  <c r="P106" i="11" s="1"/>
  <c r="N106" i="11"/>
  <c r="L106" i="11"/>
  <c r="K106" i="11"/>
  <c r="O107" i="11"/>
  <c r="P107" i="11" s="1"/>
  <c r="N107" i="11"/>
  <c r="L107" i="11"/>
  <c r="K107" i="11"/>
  <c r="O108" i="11"/>
  <c r="L108" i="11"/>
  <c r="O109" i="11"/>
  <c r="P109" i="11" s="1"/>
  <c r="L109" i="11"/>
  <c r="K109" i="11"/>
  <c r="O111" i="11"/>
  <c r="P111" i="11" s="1"/>
  <c r="L111" i="11"/>
  <c r="K111" i="11"/>
  <c r="O112" i="11"/>
  <c r="P112" i="11" s="1"/>
  <c r="L112" i="11"/>
  <c r="K112" i="11"/>
  <c r="O113" i="11"/>
  <c r="P113" i="11" s="1"/>
  <c r="L113" i="11"/>
  <c r="K113" i="11"/>
  <c r="O114" i="11"/>
  <c r="P114" i="11" s="1"/>
  <c r="L114" i="11"/>
  <c r="K114" i="11"/>
  <c r="O115" i="11"/>
  <c r="P115" i="11" s="1"/>
  <c r="L115" i="11"/>
  <c r="K115" i="11"/>
  <c r="J122" i="11"/>
  <c r="O118" i="11"/>
  <c r="P118" i="11" s="1"/>
  <c r="L118" i="11"/>
  <c r="K118" i="11"/>
  <c r="O119" i="11"/>
  <c r="P119" i="11" s="1"/>
  <c r="L119" i="11"/>
  <c r="K119" i="11"/>
  <c r="O120" i="11"/>
  <c r="P120" i="11" s="1"/>
  <c r="L120" i="11"/>
  <c r="K120" i="11"/>
  <c r="O121" i="11"/>
  <c r="P121" i="11" s="1"/>
  <c r="L121" i="11"/>
  <c r="K121" i="11"/>
  <c r="N122" i="11"/>
  <c r="K122" i="11"/>
  <c r="H129" i="11"/>
  <c r="H131" i="11" s="1"/>
  <c r="I129" i="11"/>
  <c r="I131" i="11" s="1"/>
  <c r="G126" i="11"/>
  <c r="L124" i="11"/>
  <c r="K124" i="11"/>
  <c r="L125" i="11"/>
  <c r="M125" i="11" s="1"/>
  <c r="K125" i="11"/>
  <c r="K6" i="12"/>
  <c r="L6" i="12"/>
  <c r="K7" i="12"/>
  <c r="O7" i="12"/>
  <c r="P7" i="12" s="1"/>
  <c r="L7" i="12"/>
  <c r="L8" i="12"/>
  <c r="O8" i="12"/>
  <c r="P8" i="12" s="1"/>
  <c r="K10" i="12"/>
  <c r="L10" i="12"/>
  <c r="K11" i="12"/>
  <c r="O11" i="12"/>
  <c r="P11" i="12" s="1"/>
  <c r="L11" i="12"/>
  <c r="L12" i="12"/>
  <c r="O12" i="12"/>
  <c r="P12" i="12" s="1"/>
  <c r="N14" i="12"/>
  <c r="O17" i="12"/>
  <c r="I108" i="1"/>
  <c r="K17" i="12"/>
  <c r="I122" i="1"/>
  <c r="L122" i="1" s="1"/>
  <c r="O18" i="12"/>
  <c r="P18" i="12" s="1"/>
  <c r="L18" i="12"/>
  <c r="K18" i="12"/>
  <c r="L19" i="12"/>
  <c r="I121" i="1"/>
  <c r="L121" i="1" s="1"/>
  <c r="O19" i="12"/>
  <c r="P19" i="12" s="1"/>
  <c r="K19" i="12"/>
  <c r="O20" i="12"/>
  <c r="P20" i="12" s="1"/>
  <c r="I130" i="1"/>
  <c r="L130" i="1" s="1"/>
  <c r="K20" i="12"/>
  <c r="L21" i="12"/>
  <c r="I132" i="1"/>
  <c r="L132" i="1" s="1"/>
  <c r="O21" i="12"/>
  <c r="P21" i="12" s="1"/>
  <c r="K21" i="12"/>
  <c r="N21" i="12"/>
  <c r="M24" i="12"/>
  <c r="R14" i="12" s="1"/>
  <c r="J24" i="12"/>
  <c r="K24" i="12" s="1"/>
  <c r="O23" i="12"/>
  <c r="L23" i="12"/>
  <c r="J36" i="12"/>
  <c r="K36" i="12" s="1"/>
  <c r="I111" i="1"/>
  <c r="L111" i="1" s="1"/>
  <c r="O27" i="12"/>
  <c r="P27" i="12" s="1"/>
  <c r="L27" i="12"/>
  <c r="K27" i="12"/>
  <c r="O28" i="12"/>
  <c r="O36" i="12" s="1"/>
  <c r="P36" i="12" s="1"/>
  <c r="I112" i="1"/>
  <c r="L112" i="1" s="1"/>
  <c r="K28" i="12"/>
  <c r="O29" i="12"/>
  <c r="P29" i="12" s="1"/>
  <c r="K29" i="12"/>
  <c r="O30" i="12"/>
  <c r="P30" i="12" s="1"/>
  <c r="L30" i="12"/>
  <c r="K30" i="12"/>
  <c r="O31" i="12"/>
  <c r="P31" i="12" s="1"/>
  <c r="L31" i="12"/>
  <c r="K31" i="12"/>
  <c r="O32" i="12"/>
  <c r="P32" i="12" s="1"/>
  <c r="K32" i="12"/>
  <c r="O33" i="12"/>
  <c r="P33" i="12" s="1"/>
  <c r="K33" i="12"/>
  <c r="O34" i="12"/>
  <c r="P34" i="12" s="1"/>
  <c r="L34" i="12"/>
  <c r="K34" i="12"/>
  <c r="O35" i="12"/>
  <c r="L35" i="12"/>
  <c r="K39" i="12"/>
  <c r="I131" i="1"/>
  <c r="L131" i="1" s="1"/>
  <c r="O39" i="12"/>
  <c r="P39" i="12" s="1"/>
  <c r="L39" i="12"/>
  <c r="K42" i="12"/>
  <c r="O42" i="12"/>
  <c r="P42" i="12" s="1"/>
  <c r="L42" i="12"/>
  <c r="K43" i="12"/>
  <c r="O43" i="12"/>
  <c r="P43" i="12" s="1"/>
  <c r="L43" i="12"/>
  <c r="O49" i="12"/>
  <c r="K49" i="12"/>
  <c r="O51" i="12"/>
  <c r="P51" i="12" s="1"/>
  <c r="I109" i="1"/>
  <c r="L109" i="1" s="1"/>
  <c r="K51" i="12"/>
  <c r="O52" i="12"/>
  <c r="P52" i="12" s="1"/>
  <c r="L52" i="12"/>
  <c r="K52" i="12"/>
  <c r="I110" i="1"/>
  <c r="L110" i="1" s="1"/>
  <c r="O54" i="12"/>
  <c r="P54" i="12" s="1"/>
  <c r="L54" i="12"/>
  <c r="K54" i="12"/>
  <c r="O55" i="12"/>
  <c r="P55" i="12" s="1"/>
  <c r="K55" i="12"/>
  <c r="O56" i="12"/>
  <c r="P56" i="12" s="1"/>
  <c r="K56" i="12"/>
  <c r="O57" i="12"/>
  <c r="P57" i="12" s="1"/>
  <c r="L57" i="12"/>
  <c r="K57" i="12"/>
  <c r="O58" i="12"/>
  <c r="P58" i="12" s="1"/>
  <c r="L58" i="12"/>
  <c r="K58" i="12"/>
  <c r="O59" i="12"/>
  <c r="P59" i="12" s="1"/>
  <c r="K59" i="12"/>
  <c r="O60" i="12"/>
  <c r="P60" i="12" s="1"/>
  <c r="K60" i="12"/>
  <c r="O61" i="12"/>
  <c r="P61" i="12" s="1"/>
  <c r="L61" i="12"/>
  <c r="K61" i="12"/>
  <c r="O63" i="12"/>
  <c r="P63" i="12" s="1"/>
  <c r="L63" i="12"/>
  <c r="K63" i="12"/>
  <c r="O64" i="12"/>
  <c r="P64" i="12" s="1"/>
  <c r="K64" i="12"/>
  <c r="O65" i="12"/>
  <c r="P65" i="12" s="1"/>
  <c r="K65" i="12"/>
  <c r="O66" i="12"/>
  <c r="P66" i="12" s="1"/>
  <c r="L66" i="12"/>
  <c r="K66" i="12"/>
  <c r="O67" i="12"/>
  <c r="P67" i="12" s="1"/>
  <c r="L67" i="12"/>
  <c r="K67" i="12"/>
  <c r="O68" i="12"/>
  <c r="P68" i="12" s="1"/>
  <c r="K68" i="12"/>
  <c r="O69" i="12"/>
  <c r="P69" i="12" s="1"/>
  <c r="K69" i="12"/>
  <c r="O70" i="12"/>
  <c r="P70" i="12" s="1"/>
  <c r="L70" i="12"/>
  <c r="K70" i="12"/>
  <c r="O71" i="12"/>
  <c r="P71" i="12" s="1"/>
  <c r="L71" i="12"/>
  <c r="K71" i="12"/>
  <c r="O72" i="12"/>
  <c r="P72" i="12" s="1"/>
  <c r="K72" i="12"/>
  <c r="O73" i="12"/>
  <c r="P73" i="12" s="1"/>
  <c r="K73" i="12"/>
  <c r="O74" i="12"/>
  <c r="P74" i="12" s="1"/>
  <c r="L74" i="12"/>
  <c r="K74" i="12"/>
  <c r="O75" i="12"/>
  <c r="P75" i="12" s="1"/>
  <c r="L75" i="12"/>
  <c r="K75" i="12"/>
  <c r="O76" i="12"/>
  <c r="P76" i="12" s="1"/>
  <c r="K76" i="12"/>
  <c r="O77" i="12"/>
  <c r="P77" i="12" s="1"/>
  <c r="K77" i="12"/>
  <c r="O78" i="12"/>
  <c r="P78" i="12" s="1"/>
  <c r="L78" i="12"/>
  <c r="K78" i="12"/>
  <c r="O79" i="12"/>
  <c r="P79" i="12" s="1"/>
  <c r="L79" i="12"/>
  <c r="K79" i="12"/>
  <c r="K82" i="12"/>
  <c r="O82" i="12"/>
  <c r="P82" i="12" s="1"/>
  <c r="L82" i="12"/>
  <c r="K83" i="12"/>
  <c r="O83" i="12"/>
  <c r="P83" i="12" s="1"/>
  <c r="L83" i="12"/>
  <c r="O86" i="12"/>
  <c r="P86" i="12" s="1"/>
  <c r="I118" i="1"/>
  <c r="K86" i="12"/>
  <c r="O87" i="12"/>
  <c r="P87" i="12" s="1"/>
  <c r="L87" i="12"/>
  <c r="K87" i="12"/>
  <c r="O88" i="12"/>
  <c r="P88" i="12" s="1"/>
  <c r="L88" i="12"/>
  <c r="K88" i="12"/>
  <c r="O89" i="12"/>
  <c r="P89" i="12" s="1"/>
  <c r="K89" i="12"/>
  <c r="O90" i="12"/>
  <c r="P90" i="12" s="1"/>
  <c r="K90" i="12"/>
  <c r="O91" i="12"/>
  <c r="P91" i="12" s="1"/>
  <c r="L91" i="12"/>
  <c r="K91" i="12"/>
  <c r="O92" i="12"/>
  <c r="P92" i="12" s="1"/>
  <c r="L92" i="12"/>
  <c r="K92" i="12"/>
  <c r="O93" i="12"/>
  <c r="P93" i="12" s="1"/>
  <c r="K93" i="12"/>
  <c r="O94" i="12"/>
  <c r="P94" i="12" s="1"/>
  <c r="K94" i="12"/>
  <c r="O95" i="12"/>
  <c r="P95" i="12" s="1"/>
  <c r="L95" i="12"/>
  <c r="K95" i="12"/>
  <c r="I119" i="1"/>
  <c r="L119" i="1" s="1"/>
  <c r="O97" i="12"/>
  <c r="P97" i="12" s="1"/>
  <c r="L97" i="12"/>
  <c r="K97" i="12"/>
  <c r="O98" i="12"/>
  <c r="P98" i="12" s="1"/>
  <c r="K98" i="12"/>
  <c r="O99" i="12"/>
  <c r="P99" i="12" s="1"/>
  <c r="K99" i="12"/>
  <c r="O100" i="12"/>
  <c r="P100" i="12" s="1"/>
  <c r="L100" i="12"/>
  <c r="K100" i="12"/>
  <c r="O101" i="12"/>
  <c r="P101" i="12" s="1"/>
  <c r="L101" i="12"/>
  <c r="K101" i="12"/>
  <c r="O103" i="12"/>
  <c r="P103" i="12" s="1"/>
  <c r="I120" i="1"/>
  <c r="L120" i="1" s="1"/>
  <c r="K103" i="12"/>
  <c r="O104" i="12"/>
  <c r="P104" i="12" s="1"/>
  <c r="K104" i="12"/>
  <c r="O105" i="12"/>
  <c r="P105" i="12" s="1"/>
  <c r="L105" i="12"/>
  <c r="K105" i="12"/>
  <c r="O106" i="12"/>
  <c r="P106" i="12" s="1"/>
  <c r="L106" i="12"/>
  <c r="K106" i="12"/>
  <c r="O107" i="12"/>
  <c r="P107" i="12" s="1"/>
  <c r="K107" i="12"/>
  <c r="O108" i="12"/>
  <c r="P108" i="12" s="1"/>
  <c r="K108" i="12"/>
  <c r="O109" i="12"/>
  <c r="P109" i="12" s="1"/>
  <c r="L109" i="12"/>
  <c r="K109" i="12"/>
  <c r="O110" i="12"/>
  <c r="P110" i="12" s="1"/>
  <c r="L110" i="12"/>
  <c r="K110" i="12"/>
  <c r="O111" i="12"/>
  <c r="P111" i="12" s="1"/>
  <c r="K111" i="12"/>
  <c r="O112" i="12"/>
  <c r="P112" i="12" s="1"/>
  <c r="K112" i="12"/>
  <c r="O114" i="12"/>
  <c r="P114" i="12" s="1"/>
  <c r="L114" i="12"/>
  <c r="K114" i="12"/>
  <c r="O115" i="12"/>
  <c r="P115" i="12" s="1"/>
  <c r="L115" i="12"/>
  <c r="K115" i="12"/>
  <c r="K117" i="12"/>
  <c r="O117" i="12"/>
  <c r="P117" i="12" s="1"/>
  <c r="L117" i="12"/>
  <c r="K120" i="12"/>
  <c r="O120" i="12"/>
  <c r="P120" i="12" s="1"/>
  <c r="L120" i="12"/>
  <c r="K121" i="12"/>
  <c r="O121" i="12"/>
  <c r="P121" i="12" s="1"/>
  <c r="L121" i="12"/>
  <c r="K125" i="12"/>
  <c r="O125" i="12"/>
  <c r="P125" i="12" s="1"/>
  <c r="L125" i="12"/>
  <c r="K126" i="12"/>
  <c r="O126" i="12"/>
  <c r="P126" i="12" s="1"/>
  <c r="L126" i="12"/>
  <c r="O128" i="12"/>
  <c r="P128" i="12" s="1"/>
  <c r="I128" i="1"/>
  <c r="K130" i="12"/>
  <c r="O130" i="12"/>
  <c r="P130" i="12" s="1"/>
  <c r="L130" i="12"/>
  <c r="K131" i="12"/>
  <c r="O131" i="12"/>
  <c r="P131" i="12" s="1"/>
  <c r="L131" i="12"/>
  <c r="K134" i="12"/>
  <c r="O134" i="12"/>
  <c r="P134" i="12" s="1"/>
  <c r="L134" i="12"/>
  <c r="K135" i="12"/>
  <c r="O135" i="12"/>
  <c r="P135" i="12" s="1"/>
  <c r="L135" i="12"/>
  <c r="K138" i="12"/>
  <c r="O138" i="12"/>
  <c r="P138" i="12" s="1"/>
  <c r="L138" i="12"/>
  <c r="I129" i="1"/>
  <c r="L129" i="1" s="1"/>
  <c r="O140" i="12"/>
  <c r="P140" i="12" s="1"/>
  <c r="L140" i="12"/>
  <c r="K140" i="12"/>
  <c r="L141" i="12"/>
  <c r="O141" i="12"/>
  <c r="P141" i="12" s="1"/>
  <c r="K141" i="12"/>
  <c r="O142" i="12"/>
  <c r="P142" i="12" s="1"/>
  <c r="K142" i="12"/>
  <c r="O143" i="12"/>
  <c r="P143" i="12" s="1"/>
  <c r="L143" i="12"/>
  <c r="K143" i="12"/>
  <c r="O144" i="12"/>
  <c r="P144" i="12" s="1"/>
  <c r="L144" i="12"/>
  <c r="K144" i="12"/>
  <c r="L145" i="12"/>
  <c r="O145" i="12"/>
  <c r="P145" i="12" s="1"/>
  <c r="K145" i="12"/>
  <c r="K149" i="12"/>
  <c r="O149" i="12"/>
  <c r="P149" i="12" s="1"/>
  <c r="L149" i="12"/>
  <c r="K150" i="12"/>
  <c r="O150" i="12"/>
  <c r="P150" i="12" s="1"/>
  <c r="L150" i="12"/>
  <c r="D201" i="5"/>
  <c r="D196" i="5"/>
  <c r="G196" i="5" s="1"/>
  <c r="G189" i="5"/>
  <c r="D207" i="5"/>
  <c r="G195" i="5"/>
  <c r="D8" i="4"/>
  <c r="D15" i="4" s="1"/>
  <c r="E208" i="5"/>
  <c r="E8" i="4"/>
  <c r="E15" i="4" s="1"/>
  <c r="F208" i="5"/>
  <c r="C9" i="4"/>
  <c r="G202" i="5"/>
  <c r="C10" i="4"/>
  <c r="G203" i="5"/>
  <c r="C11" i="4"/>
  <c r="G204" i="5"/>
  <c r="C12" i="4"/>
  <c r="G205" i="5"/>
  <c r="C13" i="4"/>
  <c r="G206" i="5"/>
  <c r="I29" i="1"/>
  <c r="I192" i="1"/>
  <c r="M192" i="1" s="1"/>
  <c r="P28" i="12"/>
  <c r="P17" i="12"/>
  <c r="P49" i="12"/>
  <c r="P5" i="12"/>
  <c r="K5" i="12"/>
  <c r="K9" i="12"/>
  <c r="K22" i="12"/>
  <c r="K41" i="12"/>
  <c r="K81" i="12"/>
  <c r="K119" i="12"/>
  <c r="K124" i="12"/>
  <c r="K129" i="12"/>
  <c r="K133" i="12"/>
  <c r="K137" i="12"/>
  <c r="K148" i="12"/>
  <c r="L5" i="12"/>
  <c r="O6" i="12"/>
  <c r="P6" i="12" s="1"/>
  <c r="L9" i="12"/>
  <c r="O10" i="12"/>
  <c r="P10" i="12" s="1"/>
  <c r="J14" i="12"/>
  <c r="L22" i="12"/>
  <c r="L41" i="12"/>
  <c r="L81" i="12"/>
  <c r="L119" i="12"/>
  <c r="L124" i="12"/>
  <c r="L129" i="12"/>
  <c r="L133" i="12"/>
  <c r="L137" i="12"/>
  <c r="L148" i="12"/>
  <c r="J153" i="12"/>
  <c r="K153" i="12" s="1"/>
  <c r="K8" i="12"/>
  <c r="K12" i="12"/>
  <c r="L17" i="12"/>
  <c r="L29" i="12"/>
  <c r="L33" i="12"/>
  <c r="K40" i="12"/>
  <c r="L51" i="12"/>
  <c r="L56" i="12"/>
  <c r="L60" i="12"/>
  <c r="L65" i="12"/>
  <c r="L69" i="12"/>
  <c r="L73" i="12"/>
  <c r="L77" i="12"/>
  <c r="K84" i="12"/>
  <c r="L86" i="12"/>
  <c r="L90" i="12"/>
  <c r="L94" i="12"/>
  <c r="L99" i="12"/>
  <c r="L104" i="12"/>
  <c r="L108" i="12"/>
  <c r="L112" i="12"/>
  <c r="K118" i="12"/>
  <c r="K122" i="12"/>
  <c r="K128" i="12"/>
  <c r="K132" i="12"/>
  <c r="K136" i="12"/>
  <c r="L142" i="12"/>
  <c r="K147" i="12"/>
  <c r="K151" i="12"/>
  <c r="O22" i="12"/>
  <c r="L40" i="12"/>
  <c r="L45" i="12" s="1"/>
  <c r="J45" i="12"/>
  <c r="K45" i="12" s="1"/>
  <c r="L84" i="12"/>
  <c r="L118" i="12"/>
  <c r="L122" i="12"/>
  <c r="L128" i="12"/>
  <c r="L132" i="12"/>
  <c r="L136" i="12"/>
  <c r="L147" i="12"/>
  <c r="L151" i="12"/>
  <c r="L20" i="12"/>
  <c r="L28" i="12"/>
  <c r="L32" i="12"/>
  <c r="L49" i="12"/>
  <c r="L55" i="12"/>
  <c r="L59" i="12"/>
  <c r="L64" i="12"/>
  <c r="L68" i="12"/>
  <c r="L72" i="12"/>
  <c r="L76" i="12"/>
  <c r="L89" i="12"/>
  <c r="L93" i="12"/>
  <c r="L98" i="12"/>
  <c r="L103" i="12"/>
  <c r="L107" i="12"/>
  <c r="L111" i="12"/>
  <c r="I126" i="1" l="1"/>
  <c r="L118" i="1"/>
  <c r="I116" i="1"/>
  <c r="L108" i="1"/>
  <c r="I136" i="1"/>
  <c r="L128" i="1"/>
  <c r="I36" i="1"/>
  <c r="M29" i="1"/>
  <c r="L29" i="1"/>
  <c r="I196" i="1"/>
  <c r="I220" i="1" s="1"/>
  <c r="G144" i="5"/>
  <c r="G110" i="5"/>
  <c r="G99" i="5"/>
  <c r="G76" i="5"/>
  <c r="G42" i="5"/>
  <c r="G31" i="5"/>
  <c r="G54" i="5"/>
  <c r="D188" i="5"/>
  <c r="G188" i="5" s="1"/>
  <c r="G121" i="5"/>
  <c r="J129" i="11"/>
  <c r="J131" i="11" s="1"/>
  <c r="L122" i="11"/>
  <c r="O122" i="11"/>
  <c r="P122" i="11" s="1"/>
  <c r="O153" i="12"/>
  <c r="P153" i="12" s="1"/>
  <c r="L36" i="12"/>
  <c r="P22" i="12"/>
  <c r="O24" i="12"/>
  <c r="P24" i="12" s="1"/>
  <c r="L14" i="12"/>
  <c r="C14" i="4"/>
  <c r="G207" i="5"/>
  <c r="C8" i="4"/>
  <c r="D208" i="5"/>
  <c r="G201" i="5"/>
  <c r="O45" i="12"/>
  <c r="P45" i="12" s="1"/>
  <c r="N24" i="12"/>
  <c r="M155" i="12"/>
  <c r="N155" i="12" s="1"/>
  <c r="O125" i="11"/>
  <c r="P125" i="11" s="1"/>
  <c r="N125" i="11"/>
  <c r="K126" i="11"/>
  <c r="L126" i="11"/>
  <c r="M124" i="11"/>
  <c r="G129" i="11"/>
  <c r="M116" i="11"/>
  <c r="N88" i="11"/>
  <c r="N116" i="11" s="1"/>
  <c r="O88" i="11"/>
  <c r="P88" i="11" s="1"/>
  <c r="K116" i="11"/>
  <c r="L116" i="11"/>
  <c r="O116" i="11"/>
  <c r="P85" i="11"/>
  <c r="K79" i="11"/>
  <c r="L79" i="11"/>
  <c r="O79" i="11"/>
  <c r="P79" i="11" s="1"/>
  <c r="P73" i="11"/>
  <c r="K71" i="11"/>
  <c r="L71" i="11"/>
  <c r="O71" i="11"/>
  <c r="P71" i="11" s="1"/>
  <c r="P62" i="11"/>
  <c r="K60" i="11"/>
  <c r="L60" i="11"/>
  <c r="O60" i="11"/>
  <c r="P60" i="11" s="1"/>
  <c r="P55" i="11"/>
  <c r="L51" i="11"/>
  <c r="O51" i="11"/>
  <c r="P51" i="11" s="1"/>
  <c r="K40" i="11"/>
  <c r="L40" i="11"/>
  <c r="O40" i="11"/>
  <c r="P40" i="11" s="1"/>
  <c r="P29" i="11"/>
  <c r="K26" i="11"/>
  <c r="L26" i="11"/>
  <c r="O26" i="11"/>
  <c r="P26" i="11" s="1"/>
  <c r="P16" i="11"/>
  <c r="K13" i="11"/>
  <c r="L13" i="11"/>
  <c r="O13" i="11"/>
  <c r="H196" i="1"/>
  <c r="G196" i="1"/>
  <c r="D47" i="6"/>
  <c r="D46" i="6"/>
  <c r="D45" i="6"/>
  <c r="D44" i="6"/>
  <c r="D43" i="6"/>
  <c r="C41" i="6" s="1"/>
  <c r="D36" i="6"/>
  <c r="D35" i="6"/>
  <c r="D34" i="6"/>
  <c r="D33" i="6"/>
  <c r="D32" i="6"/>
  <c r="D25" i="6"/>
  <c r="D24" i="6"/>
  <c r="D23" i="6"/>
  <c r="D22" i="6"/>
  <c r="D21" i="6"/>
  <c r="F208" i="1"/>
  <c r="E208" i="1"/>
  <c r="D209" i="1"/>
  <c r="G207" i="1"/>
  <c r="G9" i="5"/>
  <c r="D14" i="6"/>
  <c r="D13" i="6"/>
  <c r="D12" i="6"/>
  <c r="D11" i="6"/>
  <c r="D10" i="6"/>
  <c r="J155" i="12"/>
  <c r="K14" i="12"/>
  <c r="L153" i="12"/>
  <c r="O14" i="12"/>
  <c r="L24" i="12"/>
  <c r="K221" i="1" l="1"/>
  <c r="C19" i="6"/>
  <c r="D221" i="1"/>
  <c r="L155" i="12"/>
  <c r="C30" i="6"/>
  <c r="C8" i="6"/>
  <c r="G208" i="1"/>
  <c r="G209" i="1" s="1"/>
  <c r="D217" i="1"/>
  <c r="C24" i="4" s="1"/>
  <c r="D216" i="1"/>
  <c r="C23" i="4" s="1"/>
  <c r="D215" i="1"/>
  <c r="D224" i="1"/>
  <c r="E216" i="1"/>
  <c r="D23" i="4" s="1"/>
  <c r="E215" i="1"/>
  <c r="E209" i="1"/>
  <c r="F216" i="1"/>
  <c r="E23" i="4" s="1"/>
  <c r="F215" i="1"/>
  <c r="F209" i="1"/>
  <c r="P13" i="11"/>
  <c r="P116" i="11"/>
  <c r="L129" i="11"/>
  <c r="L131" i="11" s="1"/>
  <c r="G131" i="11"/>
  <c r="M126" i="11"/>
  <c r="M129" i="11" s="1"/>
  <c r="M131" i="11" s="1"/>
  <c r="O124" i="11"/>
  <c r="N124" i="11"/>
  <c r="N126" i="11" s="1"/>
  <c r="D209" i="5"/>
  <c r="D210" i="5" s="1"/>
  <c r="G208" i="5"/>
  <c r="C15" i="4"/>
  <c r="P14" i="12"/>
  <c r="O155" i="12"/>
  <c r="P155" i="12" s="1"/>
  <c r="K155" i="12"/>
  <c r="L157" i="12"/>
  <c r="L158" i="12" s="1"/>
  <c r="C16" i="4" l="1"/>
  <c r="C17" i="4" s="1"/>
  <c r="D17" i="4"/>
  <c r="O126" i="11"/>
  <c r="P124" i="11"/>
  <c r="E22" i="4"/>
  <c r="F218" i="1"/>
  <c r="D22" i="4"/>
  <c r="E218" i="1"/>
  <c r="C22" i="4"/>
  <c r="D218" i="1"/>
  <c r="C25" i="4" s="1"/>
  <c r="I221" i="1"/>
  <c r="P126" i="11" l="1"/>
  <c r="O129" i="11"/>
  <c r="O131" i="11" l="1"/>
  <c r="P131" i="11" s="1"/>
  <c r="P129" i="11"/>
  <c r="F16" i="4"/>
  <c r="F17" i="4" s="1"/>
</calcChain>
</file>

<file path=xl/sharedStrings.xml><?xml version="1.0" encoding="utf-8"?>
<sst xmlns="http://schemas.openxmlformats.org/spreadsheetml/2006/main" count="42854" uniqueCount="4126">
  <si>
    <t>Annex D - PBF Project Budget</t>
  </si>
  <si>
    <t>CSO Version</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</si>
  <si>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</si>
  <si>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 xml:space="preserve">Annex D - PBF Project Budget </t>
  </si>
  <si>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</si>
  <si>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</si>
  <si>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</si>
  <si>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Recipient Organization</t>
  </si>
  <si>
    <t>Recipient Organization 2 Budget</t>
  </si>
  <si>
    <t>Recipient Organization 3 Budget</t>
  </si>
  <si>
    <t>Total</t>
  </si>
  <si>
    <r>
      <rPr>
        <b/>
        <sz val="12"/>
        <color theme="1"/>
        <rFont val="Calibri"/>
        <family val="2"/>
        <scheme val="minor"/>
      </rPr>
      <t xml:space="preserve">% of budget </t>
    </r>
    <r>
      <rPr>
        <sz val="12"/>
        <color theme="1"/>
        <rFont val="Calibri"/>
        <family val="2"/>
        <scheme val="minor"/>
      </rPr>
      <t xml:space="preserve">per activity allocated to </t>
    </r>
    <r>
      <rPr>
        <b/>
        <sz val="12"/>
        <color theme="1"/>
        <rFont val="Calibri"/>
        <family val="2"/>
        <scheme val="minor"/>
      </rPr>
      <t xml:space="preserve">Gender Equality and Women's Empowerment (GEWE) </t>
    </r>
    <r>
      <rPr>
        <sz val="12"/>
        <color theme="1"/>
        <rFont val="Calibri"/>
        <family val="2"/>
        <scheme val="minor"/>
      </rPr>
      <t>(if any):</t>
    </r>
  </si>
  <si>
    <r>
      <t xml:space="preserve">Current level of </t>
    </r>
    <r>
      <rPr>
        <b/>
        <sz val="12"/>
        <color theme="1"/>
        <rFont val="Calibri"/>
        <family val="2"/>
        <scheme val="minor"/>
      </rPr>
      <t>expenditure/ commitment</t>
    </r>
    <r>
      <rPr>
        <sz val="12"/>
        <color theme="1"/>
        <rFont val="Calibri"/>
        <family val="2"/>
        <scheme val="minor"/>
      </rPr>
      <t xml:space="preserve"> (to be completed at time of project progress reporting)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</si>
  <si>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</si>
  <si>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</si>
  <si>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</si>
  <si>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 xml:space="preserve">OUTCOME 1: % Young female and male leaders in Northern Cauca participate in spaces of representation, decision-making and self-government contributing to democratic governance and increasing their capacities as community peacebuilders. </t>
  </si>
  <si>
    <t>Output 1.1:</t>
  </si>
  <si>
    <t xml:space="preserve">Young female and male leaders in Northern Cauca participate in decision-making spaces for the identification of risks aiming at the creation of risk mitigation plan 
Young female and male leaders in Northern Cauca participate in decision-making spaces for the identification of risks aiming at the creation of risk mitigation plans </t>
  </si>
  <si>
    <t>1.1.1</t>
  </si>
  <si>
    <t>Risk identification and assessment workshops / sessions. Three in each micro-basin: 15 workshops</t>
  </si>
  <si>
    <t>4 out of 15 workshops will review the gender approach in the assessment of protection risks, threats, and vulnerabilities</t>
  </si>
  <si>
    <t>1.1.2</t>
  </si>
  <si>
    <t>Workshops to develop work plans to mitigate identified risks. One workshop per micro basin and one with authorities: 5 workshops</t>
  </si>
  <si>
    <t xml:space="preserve">2 out od 4 workshops will develop a gender approach to be included in the work plan and mitigation risks documents </t>
  </si>
  <si>
    <t>1.1.3</t>
  </si>
  <si>
    <t>General assembly for socialization and approval of work plan</t>
  </si>
  <si>
    <t>Gender parity and women participation will be promoted in the General Assembly with the participant authorities</t>
  </si>
  <si>
    <t>Activity 1.1.4</t>
  </si>
  <si>
    <t>Activity 1.1.5</t>
  </si>
  <si>
    <t>Activity 1.1.6</t>
  </si>
  <si>
    <t>Activity 1.1.7</t>
  </si>
  <si>
    <t>Activity 1.1.8</t>
  </si>
  <si>
    <t>Output Total</t>
  </si>
  <si>
    <t>Output 1.2:</t>
  </si>
  <si>
    <t>Young female and male leaders are trained to strengthen their knowledge and ability promote community protection in self-government spaces through replica sessions</t>
  </si>
  <si>
    <t>1.2.1</t>
  </si>
  <si>
    <t>Activity 1.2.1</t>
  </si>
  <si>
    <t>Training workshops on leadership, peacebuilding, non-violent strategic action, etc. 8 Workshops. School of Ancestral Justice and Political Empowerment consolidation</t>
  </si>
  <si>
    <t>2 out of 8 workshops will incluude a gender equality approach to be included in the trainings</t>
  </si>
  <si>
    <t>1.2.2</t>
  </si>
  <si>
    <t>Activity 1.2.2</t>
  </si>
  <si>
    <t xml:space="preserve">Replica spaces/sessions In each of the 43 community councils.
on self-government instruments  and use of pedagogical tools for self-protection </t>
  </si>
  <si>
    <t xml:space="preserve">In the self-government instruments replica and multiplication workshops in the 43 Community Councils, specific sessions will included raising  awareness on issues of prevention of GBV </t>
  </si>
  <si>
    <t>Activity 1.2.3</t>
  </si>
  <si>
    <t>Activity 1.2.4</t>
  </si>
  <si>
    <t>Activity 1.2.5</t>
  </si>
  <si>
    <t>Activity 1.2.6</t>
  </si>
  <si>
    <t>Activity 1.2.7</t>
  </si>
  <si>
    <t>Activity 1.2.8</t>
  </si>
  <si>
    <t>Output 1.3:</t>
  </si>
  <si>
    <t>Young female and male leaders design/update their self-government instruments increasing their capacities as community peacebuilders</t>
  </si>
  <si>
    <t>1.3.1</t>
  </si>
  <si>
    <t>Activity 1.3.1</t>
  </si>
  <si>
    <t>Self-government instrument construction / update workshops. Five workshops per microbasin. Two workshops with authorities for approval</t>
  </si>
  <si>
    <t>5 out of 12 workshops to create or strengthen self-government instruments will include a gender approach</t>
  </si>
  <si>
    <t>1.3.2</t>
  </si>
  <si>
    <t>Activity 1.3.2</t>
  </si>
  <si>
    <t>Production / development of self-government instruments / self-protection strategies. One for each micro-basin</t>
  </si>
  <si>
    <t xml:space="preserve"> Three of the 5 self-government instruments and community initiatives are expected to include GBV prevention as strategic components</t>
  </si>
  <si>
    <t>Activity 1.3.3</t>
  </si>
  <si>
    <t>Activity 1.3.4</t>
  </si>
  <si>
    <t>Activity 1.3.5</t>
  </si>
  <si>
    <t>Activity 1.3.6</t>
  </si>
  <si>
    <t>Activity 1.3.7</t>
  </si>
  <si>
    <t>Activity 1.3.8</t>
  </si>
  <si>
    <t>Saldo a Cargar en salarios  a progrmas en DRAFT</t>
  </si>
  <si>
    <t>Output 1.4:</t>
  </si>
  <si>
    <t>Activity 1.4.1</t>
  </si>
  <si>
    <t>Activity 1.4.2</t>
  </si>
  <si>
    <t>Activity 1.4.3</t>
  </si>
  <si>
    <t>Activity 1.4.4</t>
  </si>
  <si>
    <t>Activity 1.4.5</t>
  </si>
  <si>
    <t>Activity 1.4.6</t>
  </si>
  <si>
    <t>Activity 1.4.7</t>
  </si>
  <si>
    <t>Activity 1.4.8</t>
  </si>
  <si>
    <t xml:space="preserve">OUTCOME 2: </t>
  </si>
  <si>
    <t xml:space="preserve">% Of young women leaders empowered and strengthened to participate in decision-making spaces to develop community policies or plans to promote gender equality as a peacebuilding tool </t>
  </si>
  <si>
    <t>Outcome 2.1</t>
  </si>
  <si>
    <t>Young female and male leaders design/update their self-government instruments increasing their capacities as community peacebuilders.</t>
  </si>
  <si>
    <t>2.1.1</t>
  </si>
  <si>
    <t>Community pot 100 people who will participate in the diagnostic workshops 20,0000COP per 100 people (20 people x 5 micro basin, 2 workshops in each) for 10 workshops</t>
  </si>
  <si>
    <t>Young women leaders representing each of the 43 Community Councils will participate in workshops for the assessment and identification of GBV risks in the 5 micro-basins</t>
  </si>
  <si>
    <t>2.1.2</t>
  </si>
  <si>
    <t>Transportation to 100 people 40,000COP each for 10 workshops</t>
  </si>
  <si>
    <t>2.1.3</t>
  </si>
  <si>
    <t>Pedagogical materials $250.000 COP for 10 workshops</t>
  </si>
  <si>
    <t>2.1.4</t>
  </si>
  <si>
    <t xml:space="preserve">Location rental 300,000COP for each workshop, for 10 workshops </t>
  </si>
  <si>
    <t>2.1.5</t>
  </si>
  <si>
    <t>PPE  Kits 30,000COP 100 kits for 10 workshops</t>
  </si>
  <si>
    <t>Activity 2.1.6</t>
  </si>
  <si>
    <t>Activity 2.1.7</t>
  </si>
  <si>
    <t>Activity 2.1.8</t>
  </si>
  <si>
    <t>Output 2.2</t>
  </si>
  <si>
    <t xml:space="preserve">Female and male young leaders, leaders and local authorities in Northern Cauca participate in training workshops and develop community policies or plans for the prevention of GBV in self-government spaces as a tool for peacebuilding  </t>
  </si>
  <si>
    <t>2.2.1</t>
  </si>
  <si>
    <t>Activity 2.2.1</t>
  </si>
  <si>
    <t>5 workshops for young leaders and ethnic authorities to assess and identify risks to prevent GBV. Community pot 20,000COP per 100 people in 5 workshops</t>
  </si>
  <si>
    <t xml:space="preserve">Young women leaders representing each of the 43 Community Councils will participate in workshops for the assessment and identification of GBV risks in the 5 micro-basins 
</t>
  </si>
  <si>
    <t>2.2.2</t>
  </si>
  <si>
    <t>Activity 2.2.2</t>
  </si>
  <si>
    <t>Transportation for 100 people 40,000COP in 5 workshops</t>
  </si>
  <si>
    <t>2.2.3</t>
  </si>
  <si>
    <t>Activity 2.2.3</t>
  </si>
  <si>
    <t>Pedagogical materials</t>
  </si>
  <si>
    <t>2.2.4</t>
  </si>
  <si>
    <t>Activity 2.2.4</t>
  </si>
  <si>
    <t xml:space="preserve">Location rental 300,000COP for each workshop, for5 workshops </t>
  </si>
  <si>
    <t>2.2.5</t>
  </si>
  <si>
    <t>Activity 2.2.5</t>
  </si>
  <si>
    <t xml:space="preserve">PPE  Kits 30,000COP 100 kits for 5 workshops </t>
  </si>
  <si>
    <t>2.2.6</t>
  </si>
  <si>
    <t>Activity 2.2.6</t>
  </si>
  <si>
    <t>Workshop  facilitatior 500.000COP 6 hours per workshops/5 workshops</t>
  </si>
  <si>
    <t>The main issues discussed in this workshops will be differential approach, gender equality and GBV mitigation strategies for the construction of community policies or plans for the prevention of GBV</t>
  </si>
  <si>
    <t>2.2.7</t>
  </si>
  <si>
    <t>Activity 2.2.7</t>
  </si>
  <si>
    <t>Official clothing (t-shirts) to women participating in the training workshops 35,000 COP each/ 100 units</t>
  </si>
  <si>
    <t>2.2.8</t>
  </si>
  <si>
    <t>Activity 2.2.8</t>
  </si>
  <si>
    <t>Official notebook for women participating in the training workshops 20,000 COP each/ 100 units</t>
  </si>
  <si>
    <t>2.2.9</t>
  </si>
  <si>
    <t>Activity 2.2.9</t>
  </si>
  <si>
    <t xml:space="preserve"> ID for women participating in the training workshops 20,000 COP each/ 100 units</t>
  </si>
  <si>
    <t>2.2.10</t>
  </si>
  <si>
    <t>Activity 2.2.10</t>
  </si>
  <si>
    <t>Printer to produce educational material that will be used in training workshops</t>
  </si>
  <si>
    <t>2.2.11</t>
  </si>
  <si>
    <t>Activity 2.2.11</t>
  </si>
  <si>
    <t>Desktop computer needed to compile and produce the information from each of the training workshops</t>
  </si>
  <si>
    <t>2.2.12</t>
  </si>
  <si>
    <t>Activity 2.2.12</t>
  </si>
  <si>
    <t>Digital screens to project in training workshops</t>
  </si>
  <si>
    <t>2.2.13</t>
  </si>
  <si>
    <t>Activity 2.2.13</t>
  </si>
  <si>
    <t xml:space="preserve">Transportation for 100 women participating in the replica activities </t>
  </si>
  <si>
    <t>2.2.14</t>
  </si>
  <si>
    <t>Activity 2.2.14</t>
  </si>
  <si>
    <t xml:space="preserve">10 meetings for the construction of GBVprevention routes / community strategies against GBV, included in strategies / plans /self-government instruments. Community pot  20,000COP /170 people for 10workshop </t>
  </si>
  <si>
    <t>In these meetings community gender equality will be promoted by creating community policies or plans for the prevention GBV developed in decision making spaces in each micro-basin</t>
  </si>
  <si>
    <t>2.2.15</t>
  </si>
  <si>
    <t>Activity 2.2.15</t>
  </si>
  <si>
    <t xml:space="preserve">Transportation for 170 people 40,000 COP each for 10 workshops </t>
  </si>
  <si>
    <t>2.2.16</t>
  </si>
  <si>
    <t>Activity 2.2.16</t>
  </si>
  <si>
    <t>2.2.17</t>
  </si>
  <si>
    <t>Activity 2.2.17</t>
  </si>
  <si>
    <t>2.2.18</t>
  </si>
  <si>
    <t>Activity 2.2.18</t>
  </si>
  <si>
    <t xml:space="preserve">consultant 3000000COP x 5 meses </t>
  </si>
  <si>
    <t>This consultant promotes gender equality as a peace building tool by encouraging women participation in decision making scenarios</t>
  </si>
  <si>
    <t>2.2.19</t>
  </si>
  <si>
    <t>Activity 2.2.19</t>
  </si>
  <si>
    <t xml:space="preserve">3 Meetings with authorities for approval of documents (Community pot 20,000COP x 70 people and transportation 40,000 x 70 people 3 meetings)  </t>
  </si>
  <si>
    <t>In these meetings ethnic authorities will review, discuss and approve community policies or plans for the prevention GBV developed in decision making spaces in each micro-basin</t>
  </si>
  <si>
    <t>Activity 2.2.20</t>
  </si>
  <si>
    <t>Activity 2.2.21</t>
  </si>
  <si>
    <t>this activity promotes gender equality as a peace building tool by encouraging women participation in decision making scenarios</t>
  </si>
  <si>
    <t>Output 2.3</t>
  </si>
  <si>
    <t xml:space="preserve">Young and female leaders in northern Cauca strengthen local organizational structures through community initiatives and advocacy activities to promote self-protection, women participation and gender equality </t>
  </si>
  <si>
    <t>2.3.1</t>
  </si>
  <si>
    <t>Activity 2.3.1</t>
  </si>
  <si>
    <t>Observatory for the promotion of gender equality set-up</t>
  </si>
  <si>
    <t>This is a community initiative or self-protection strategy with a gender approach implemented as a result of this intervention</t>
  </si>
  <si>
    <t>2.3.2</t>
  </si>
  <si>
    <t>Activity 2.3.2</t>
  </si>
  <si>
    <t xml:space="preserve"> 2 Preparatory promotional advocacy and 2 advocacy events with institutional authorities, leaders, ethnic authorities (Community pot 200 people to 20,000COP each and transportation 40,000COP each for 4 events) </t>
  </si>
  <si>
    <t>With the participation of institutional authorities at the regional and national level to socialize the strategies and self-government documents of community self-protection developed, and articulate actions for the protection and access of women's rights</t>
  </si>
  <si>
    <t>2.3.3</t>
  </si>
  <si>
    <t>Activity 2.3.3</t>
  </si>
  <si>
    <t xml:space="preserve">1 meeting/Assembly of authorities to socialise the results (Community pot 200 people to 20,000 each and transport to 40,000 each </t>
  </si>
  <si>
    <t>This Assembly with ethnic authorities will socialise the result of the project regarding the initiatives with a gender approach</t>
  </si>
  <si>
    <t>2.3.4</t>
  </si>
  <si>
    <t>Activity 2.3.4</t>
  </si>
  <si>
    <t xml:space="preserve">1000 informative brochures </t>
  </si>
  <si>
    <t xml:space="preserve">This elements are design to socialise the result of the interventions related to this result and the initiatives with gender approach </t>
  </si>
  <si>
    <t>2.3.5</t>
  </si>
  <si>
    <t>Activity 2.3.5</t>
  </si>
  <si>
    <t xml:space="preserve"> 2000 booklets containing general information on the documents and routes built 5000COP each</t>
  </si>
  <si>
    <t>Activity 2.3.12</t>
  </si>
  <si>
    <t>Activity 2.3.13</t>
  </si>
  <si>
    <t>Activity 2.3.14</t>
  </si>
  <si>
    <t>Activity 2.3.15</t>
  </si>
  <si>
    <t>Activity 2.3.16</t>
  </si>
  <si>
    <t>Activity 2.3.8</t>
  </si>
  <si>
    <t>Output 2.4</t>
  </si>
  <si>
    <t>Activity 2.4.1</t>
  </si>
  <si>
    <t>Activity 2.4.2</t>
  </si>
  <si>
    <t>Activity 2.4.3</t>
  </si>
  <si>
    <t>Activity 2.4.4</t>
  </si>
  <si>
    <t>Activity 2.4.5</t>
  </si>
  <si>
    <t>Activity 2.4.6</t>
  </si>
  <si>
    <t>Activity 2.4.7</t>
  </si>
  <si>
    <t>Activity 2.4.8</t>
  </si>
  <si>
    <t xml:space="preserve">OUTCOME 3: </t>
  </si>
  <si>
    <t>% of young female and male leaders that strengthen their peace-building capacities by sharing and using Innovative Communication Pedagogical Tools (ICPT).</t>
  </si>
  <si>
    <t>Output 3.1</t>
  </si>
  <si>
    <t xml:space="preserve"> 
Female and male young leaders and community authorities participate in workshops on ICPT design </t>
  </si>
  <si>
    <t>3.1.1</t>
  </si>
  <si>
    <t>Activity 3.1.1</t>
  </si>
  <si>
    <t>Mapping young community leaders and authorities who will participate in the process</t>
  </si>
  <si>
    <t>The inclusion of women in the project targeting, particularly young women, will be addressed in this activity</t>
  </si>
  <si>
    <t>3.1.2</t>
  </si>
  <si>
    <t>Activity 3.1.2</t>
  </si>
  <si>
    <t>Methodological design of ICPT workshops</t>
  </si>
  <si>
    <t>It is expected that the methodological design be carried out by a woman who is an expert in working with communities and strategic communication focused on women. Within the design, spaces will be included to empower leaders and young women leaders selected for the process. expected leaders Empowerment of young women leaders will be crosscutting to the design</t>
  </si>
  <si>
    <t>3.1.3</t>
  </si>
  <si>
    <t>Activity 3.1.3</t>
  </si>
  <si>
    <t>Meetings for the establishment of nodes with main representatives</t>
  </si>
  <si>
    <t xml:space="preserve">The participation of young  women  leaders in the process of construction of the nodes in each micro-basin is considered fundamental for the inclusion, voice and ancestral narratives of the communities. </t>
  </si>
  <si>
    <t>3.1.4</t>
  </si>
  <si>
    <t>Activity 3.1.4</t>
  </si>
  <si>
    <t xml:space="preserve"> Five Implementation  workshops each node formed</t>
  </si>
  <si>
    <t>The workshops will include empowerment spaces for young  women leaders, which allow participation and equitable knowledge of the tools to be developed.</t>
  </si>
  <si>
    <t>3.1.5</t>
  </si>
  <si>
    <t>Activity 3.1.5</t>
  </si>
  <si>
    <t xml:space="preserve"> ICPT implementation plans Design </t>
  </si>
  <si>
    <t>As a result of the workshops carried out, the ICPTl implementation plans will have a fair view of the participating women leaders of the nodes. Being specially structured to ensure the emergence of collective leadership where women are a central figure</t>
  </si>
  <si>
    <t>Activity 3.1.6</t>
  </si>
  <si>
    <t>Activity 3.1.7</t>
  </si>
  <si>
    <t>Activity 3.1.8</t>
  </si>
  <si>
    <t>Output 3.2:</t>
  </si>
  <si>
    <t>Female and male young leaders and community authorities participate in meetings and discussion to develop ICPT</t>
  </si>
  <si>
    <t>3.2.1</t>
  </si>
  <si>
    <t>Activity 3.2.1</t>
  </si>
  <si>
    <t xml:space="preserve">Two training workshops the the nodes representatives to carry out the interviews that will collect relevant information about the community. </t>
  </si>
  <si>
    <t xml:space="preserve">The workshops will have a special module aimed at women members to strengthen their communication and thus their leadership within the basins they represent. Additionally,methodological  tools will be provided so that the survey is inclusive and representative, bearing in mind the women of the community. </t>
  </si>
  <si>
    <t>3.2.2</t>
  </si>
  <si>
    <t>Activity 3.2.2</t>
  </si>
  <si>
    <t>Follow-up on interviews conducted  community</t>
  </si>
  <si>
    <t>The Pacifista team! will monitor the implementation of the interviews in each basin in order to guarantee the gender approach in each area.</t>
  </si>
  <si>
    <t>3.2.3</t>
  </si>
  <si>
    <t>Activity 3.2.3</t>
  </si>
  <si>
    <t xml:space="preserve">Virtual Creative sessions with each of the nodes to define the thematic and conceptual structuring of the tools </t>
  </si>
  <si>
    <t>Conceptual and thematic structure of the ICPT will have a differential approach allowing for the vision, knowledge, expectations and leadership of women within each basin, and will seek to encourage the empowerement of women leaders</t>
  </si>
  <si>
    <t>3.2.4</t>
  </si>
  <si>
    <t>Activity 3.2.4</t>
  </si>
  <si>
    <t xml:space="preserve">Virtual ICPT production  to what was developed in each node </t>
  </si>
  <si>
    <t>The production of communication tools will develop technical communication and content development skills within the women of the community.</t>
  </si>
  <si>
    <t>3.2.5</t>
  </si>
  <si>
    <t>Activity 3.2.5</t>
  </si>
  <si>
    <t xml:space="preserve">2  consultaiton activities on the HPCI production </t>
  </si>
  <si>
    <t>Consultancies will propose spaces for listening and for collective construction, especially aimed at the young female leaders participating in each communication node.</t>
  </si>
  <si>
    <t>3.2.6</t>
  </si>
  <si>
    <t>Activity 3.2.6</t>
  </si>
  <si>
    <t>3.2.7</t>
  </si>
  <si>
    <t>Activity 3.2.7</t>
  </si>
  <si>
    <t>3.2.8</t>
  </si>
  <si>
    <t>Activity 3.2.8</t>
  </si>
  <si>
    <t>Output 3.3</t>
  </si>
  <si>
    <t xml:space="preserve">Female and male young leaders generate communication strategies for the replica and use of innovative communication pedagogical tools as self-protection strategies </t>
  </si>
  <si>
    <t>3.3.1</t>
  </si>
  <si>
    <t>Activity 3.3.1</t>
  </si>
  <si>
    <t>Virtual meetings with representatives of the nodes to design the replication possibilities of the HPCIs designed within each node</t>
  </si>
  <si>
    <t>The methodology of the virtual meetings will develop dynamics that will strengthen the relationship between the different basins, strengthen the ties between the women belonging to the different nodes, strengthen leadership skills, decision-making, and generate support networks within the different basins. .</t>
  </si>
  <si>
    <t>3.3.2</t>
  </si>
  <si>
    <t>Activity 3.3.2</t>
  </si>
  <si>
    <t>Virtual micro-workshop on audiences</t>
  </si>
  <si>
    <t>The microworkshopwill feature an audience generation session that encourages equality between men and women, discourages micromachisms and invites women in the community to actively participate in the different political and communication spaces within each basin.</t>
  </si>
  <si>
    <t>3.3.3</t>
  </si>
  <si>
    <t>Activity 3.3.3</t>
  </si>
  <si>
    <t>ICPT Publishing and Deployment</t>
  </si>
  <si>
    <t>Before and during the publication of the tools developed, the content director of the project will monitor the editorial and provide guidelines so that the publication of the content is influential and has a wide dissemination within the community, especially among women.</t>
  </si>
  <si>
    <t>3.3.4</t>
  </si>
  <si>
    <t>Activity 3.3.4</t>
  </si>
  <si>
    <t>Follow up on ICPT implementation</t>
  </si>
  <si>
    <t>There will be a workflow within each node that allows verifying the equitable participation of the node's members and also identifies the successes and improvements, to achieve a greater impact and dissemination within the different nodes.</t>
  </si>
  <si>
    <t>3.3.5</t>
  </si>
  <si>
    <t>Activity 3.3.5</t>
  </si>
  <si>
    <t>Strengthening of existing communication tools</t>
  </si>
  <si>
    <t>Through spaces for discussion, decision-making and joint construction, the communication tools to be strengthened will be defined. Methodologies will be implemented that allow the production and content to invite the strengthening of the collective leadership of women in each basin.</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</si>
  <si>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</si>
  <si>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</si>
  <si>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</si>
  <si>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</si>
  <si>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</si>
  <si>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</si>
  <si>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</si>
  <si>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</si>
  <si>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</si>
  <si>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</si>
  <si>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</si>
  <si>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</si>
  <si>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</si>
  <si>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</si>
  <si>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</si>
  <si>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</si>
  <si>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</si>
  <si>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</si>
  <si>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</si>
  <si>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</si>
  <si>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</si>
  <si>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</si>
  <si>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</si>
  <si>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</si>
  <si>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</si>
  <si>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</si>
  <si>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</si>
  <si>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</si>
  <si>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</si>
  <si>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</si>
  <si>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</si>
  <si>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</si>
  <si>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</si>
  <si>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</si>
  <si>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</si>
  <si>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</si>
  <si>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</si>
  <si>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</si>
  <si>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</si>
  <si>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</si>
  <si>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</si>
  <si>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</si>
  <si>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</si>
  <si>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</si>
  <si>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</si>
  <si>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</si>
  <si>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</si>
  <si>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</si>
  <si>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</si>
  <si>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 xml:space="preserve">SALARY SUPPORT </t>
  </si>
  <si>
    <t>Additional personnel costs</t>
  </si>
  <si>
    <t>Support Cost</t>
  </si>
  <si>
    <t>SUPPORT</t>
  </si>
  <si>
    <t>Additional operational costs</t>
  </si>
  <si>
    <t>MAE</t>
  </si>
  <si>
    <t>Monitoring budget</t>
  </si>
  <si>
    <t>M&amp;E (5%)</t>
  </si>
  <si>
    <t>Budget for independent final evaluation</t>
  </si>
  <si>
    <t>Budget for independent audit</t>
  </si>
  <si>
    <t>AUDITORIA (0,75%)</t>
  </si>
  <si>
    <t>Total Additional Costs</t>
  </si>
  <si>
    <t>Totals</t>
  </si>
  <si>
    <t>Recipient Organization 2</t>
  </si>
  <si>
    <t>Recipient Organization 3</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</si>
  <si>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</si>
  <si>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</si>
  <si>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</si>
  <si>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</si>
  <si>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</si>
  <si>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</si>
  <si>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</si>
  <si>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</si>
  <si>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</si>
  <si>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</si>
  <si>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OH</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</si>
  <si>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</si>
  <si>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</si>
  <si>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</si>
  <si>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</si>
  <si>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</si>
  <si>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Client</t>
  </si>
  <si>
    <t>Cost Center</t>
  </si>
  <si>
    <t>Head Account</t>
  </si>
  <si>
    <t>Account</t>
  </si>
  <si>
    <t>TT</t>
  </si>
  <si>
    <t>TT(T)</t>
  </si>
  <si>
    <t>TransNo</t>
  </si>
  <si>
    <t>Period</t>
  </si>
  <si>
    <t>Trans.date</t>
  </si>
  <si>
    <t>User</t>
  </si>
  <si>
    <t>Project</t>
  </si>
  <si>
    <t>Res No</t>
  </si>
  <si>
    <t>Resno Name</t>
  </si>
  <si>
    <t xml:space="preserve">Out Put </t>
  </si>
  <si>
    <t>LCO AP ID</t>
  </si>
  <si>
    <t>LCO AP ID NAME</t>
  </si>
  <si>
    <t>Activity</t>
  </si>
  <si>
    <t>Budget ID</t>
  </si>
  <si>
    <t>InvoiceNo</t>
  </si>
  <si>
    <t>Voucher no</t>
  </si>
  <si>
    <t>Text</t>
  </si>
  <si>
    <t>Cur</t>
  </si>
  <si>
    <t>Curr. amount</t>
  </si>
  <si>
    <t>USD</t>
  </si>
  <si>
    <t>NOK</t>
  </si>
  <si>
    <t>Local Currency</t>
  </si>
  <si>
    <t>Tax code</t>
  </si>
  <si>
    <t>Last Update</t>
  </si>
  <si>
    <t>CATEGORIA</t>
  </si>
  <si>
    <t>HK</t>
  </si>
  <si>
    <t>CO</t>
  </si>
  <si>
    <t>EL</t>
  </si>
  <si>
    <t>General Ledger Posting (eARCHIVE)</t>
  </si>
  <si>
    <t>ELR</t>
  </si>
  <si>
    <t>COFY2102</t>
  </si>
  <si>
    <t/>
  </si>
  <si>
    <t>4042</t>
  </si>
  <si>
    <t>51250537</t>
  </si>
  <si>
    <t>A6</t>
  </si>
  <si>
    <t>GL Posting Popayán (CO)</t>
  </si>
  <si>
    <t>IP1010</t>
  </si>
  <si>
    <t>FUNDACION PACIFISTA</t>
  </si>
  <si>
    <t>P901329558</t>
  </si>
  <si>
    <t>901329558 FUNDACION PACIFISTA</t>
  </si>
  <si>
    <t>Y4</t>
  </si>
  <si>
    <t>4042_SALARIO_DIRECTORA DE COOPERACIÓN_IP1010_COFY2102_PACIFISTA_PRIMER_INFORME_MARZO_2021</t>
  </si>
  <si>
    <t>COP</t>
  </si>
  <si>
    <t>IP1011</t>
  </si>
  <si>
    <t>ASOCIACION DE CONSEJOS COMUNITARIOS DEL NORTE DEL CAUCA</t>
  </si>
  <si>
    <t>P900274651</t>
  </si>
  <si>
    <t>900274651 ASOCIACION DE CONSEJOS COMUNITARIOS DEL NORTE DEL CAUCA</t>
  </si>
  <si>
    <t>IP1011-1</t>
  </si>
  <si>
    <t>4042_GASTOS_PERSONAL_COFY2102_IP1011_ACONC_TERCER_INFORME_MAYO_2021</t>
  </si>
  <si>
    <t>4042_SALARIOS_IP1010_COFY2102_PACIFISTA_SEGUNDO_INFORME_ABRIL A JUNIO_2021</t>
  </si>
  <si>
    <t>4042_GASTOS_PERSONAL_COFY2102_IP1011_ACONC_CUARTO_INFORME_JUNIO_2021_</t>
  </si>
  <si>
    <t>4042_GASTOS DE PERSONAL_COFY2102_IP1011_ACONC_SEXTO INFORME_AGOSTO 2021</t>
  </si>
  <si>
    <t>4042_GASTOS DE PERSONAL_COFY2102_IP1011_ACONC_QUINTO_INFORME_JULIO_2021</t>
  </si>
  <si>
    <t>4043</t>
  </si>
  <si>
    <t>51250538</t>
  </si>
  <si>
    <t>4043_GASTOS_ADMINISTRATIVOS_COFY2102_IP1010_PACIFISTA_PRIMER_INFORME_MARZO_2021</t>
  </si>
  <si>
    <t>4043_GASTOS_ADMINISTRATIVOS_COFY2102_IP1011_ACONC_SEGUNDO_INFORME_ABRIL_2021</t>
  </si>
  <si>
    <t>4043_GASTOS_ADMINISTRATIVOS_COFY2102_IP1011_ACONC_TERCER_INFORME_MAYO_2021</t>
  </si>
  <si>
    <t>4043_GASTOS OPERACIONALES_IP1010_COFY2102_PACIFISTA_SEGUNDO_INFORME_ABRIL A JUNIO_2021</t>
  </si>
  <si>
    <t>4043_GASTOS_ADMINISTRATIVOS_COFY2102_IP1011_ACONC_CUARTO_INFORME_JUNIO_2021_</t>
  </si>
  <si>
    <t>4043_GASTOS ADMINISTRATIVOS_COFY2102_IP1011_ACONC_QUINTO_INFORME_JULIO_2021</t>
  </si>
  <si>
    <t>4043_GASTOS ADMINISTRATIVOS_COFY2102_IP1011_ACONC_SEXTO INFORME_AGOSTO 2021</t>
  </si>
  <si>
    <t>4044</t>
  </si>
  <si>
    <t>51250539</t>
  </si>
  <si>
    <t>4044_GASTOS DE VIAJE_IP1010_COFY2102_PACIFISTA_SEGUNDO_INFORME_ABRIL A JUNIO_2021</t>
  </si>
  <si>
    <t>4045</t>
  </si>
  <si>
    <t>51250540</t>
  </si>
  <si>
    <t>4045_GASTOS_ACTIVIDADES_COFY2102_IP1011_ACONC_CUARTO_INFORME_JUNIO_2021_</t>
  </si>
  <si>
    <t>4045_GASTOS_ACTIVIDADES_COFY2102_IP1011_ACONC_SEXTO INFORME_AGOSTO 2021</t>
  </si>
  <si>
    <t>4050</t>
  </si>
  <si>
    <t>13609501</t>
  </si>
  <si>
    <t>A1</t>
  </si>
  <si>
    <t>GL Posting Bogota (CO)</t>
  </si>
  <si>
    <t>CLVA</t>
  </si>
  <si>
    <t>IP1010-1</t>
  </si>
  <si>
    <t>PRIMER DESEMBOLSO FUNDACION PACIFISTA IP1010-1</t>
  </si>
  <si>
    <t>IP1010_PACIFISTA_PRIMER_INFORME_MARZO_2021</t>
  </si>
  <si>
    <t>1ER DESEMBOLSO A ASOCIACION DE CONSEJOS COMUNITARIOS DEL NORTE DEL CAUCA</t>
  </si>
  <si>
    <t>4050_COFY2102_IP1011_ACONC_SEGUNDO_INFORME_ABRIL_2021</t>
  </si>
  <si>
    <t>4050_COFY2102_IP1011_ACONC_TERCER_INFORME_MAYO_2021</t>
  </si>
  <si>
    <t>IP1010_PACIFISTA_SEGUNDO_INFORME_ABRIL A JUNIO_2021</t>
  </si>
  <si>
    <t>2</t>
  </si>
  <si>
    <t>IP1011_ACONC_CUARTO_INFORME_JUNIO_2021</t>
  </si>
  <si>
    <t>3</t>
  </si>
  <si>
    <t>CO4PP</t>
  </si>
  <si>
    <t>AJUSTE_BID_MAL ALOCADO_4050_IP1011_ACONC_CUARTO_INFORME_JUNIO_2021</t>
  </si>
  <si>
    <t>4050_COFY2102_IP1011_ACONC_QUINTO_INFORME_JULIO_2021</t>
  </si>
  <si>
    <t>4050_COFY2102_IP1011_ACONC_SEXTO INFORME_AGOSTO 2021</t>
  </si>
  <si>
    <t>4240</t>
  </si>
  <si>
    <t>51157005</t>
  </si>
  <si>
    <t>SO04-262</t>
  </si>
  <si>
    <t>LAPTOP</t>
  </si>
  <si>
    <t>P807004387</t>
  </si>
  <si>
    <t>807004387 DOCUXER LTDA</t>
  </si>
  <si>
    <t>Z4</t>
  </si>
  <si>
    <t>AJ_6101615_CUENTA_IVA_CLO0981-1_FC002302_COMPRA_PORTATIL__ELITEBOOK 840 G7 Core i7_5CG1224730_SO04-262</t>
  </si>
  <si>
    <t>M326</t>
  </si>
  <si>
    <t>CLO0981-1_FC002302_COMPRA_PORTATIL__ELITEBOOK 840 G7 Core i7_5CG1224730_SO04-262</t>
  </si>
  <si>
    <t>SO04-263</t>
  </si>
  <si>
    <t>CLO0981-1_FC002302_COMPRA_PORTATIL__ELITEBOOK 840 G7 Core i7_5CG12247Q9_SO04-263</t>
  </si>
  <si>
    <t>AJ_6101615_CUENTA_IVA_CLO0981-1_FC002302_COMPRA_PORTATIL__ELITEBOOK 840 G7 Core i7_5CG12247Q9_SO04-263</t>
  </si>
  <si>
    <t>SO04-264</t>
  </si>
  <si>
    <t>AJ_6101615_CUENTA_IVA_CLO0981-1_FC002302_COMPRA_PORTATIL__ELITEBOOK 840 G7 Core i7_5CG1213SGK_SO04-264</t>
  </si>
  <si>
    <t>CLO0981-1_FC002302_COMPRA_PORTATIL__ELITEBOOK 840 G7 Core i7_5CG1213SGK_SO04-264</t>
  </si>
  <si>
    <t>SO04-265</t>
  </si>
  <si>
    <t>CLO0981-1_FC002302_COMPRA_PORTATIL__ELITEBOOK 840 G7 Core i7_5CG1213SGB_SO04-265</t>
  </si>
  <si>
    <t>AJ_6101615_CUENTA_IVA_CLO0981-1_FC002302_COMPRA_PORTATIL__ELITEBOOK 840 G7 Core i7_5CG1213SGB_SO04-265</t>
  </si>
  <si>
    <t>SO04-266</t>
  </si>
  <si>
    <t>AJ_6101615_CUENTA_IVA_CLO0981-1_FC002302_COMPRA_PORTATIL__ELITEBOOK 840 G7 Core i7_5CG1213SG3_SO04-266</t>
  </si>
  <si>
    <t>CLO0981-1_FC002302_COMPRA_PORTATIL__ELITEBOOK 840 G7 Core i7_5CG1213SG3_SO04-266</t>
  </si>
  <si>
    <t>SO04-267</t>
  </si>
  <si>
    <t>CLO0981-1_FC002302_COMPRA_PORTATIL__ELITEBOOK 840 G7 Core i7_5CG1213SFX_SO04-267</t>
  </si>
  <si>
    <t>AJ_6101615_CUENTA_IVA_CLO0981-1_FC002302_COMPRA_PORTATIL__ELITEBOOK 840 G7 Core i7_5CG1213SFX_SO04-267</t>
  </si>
  <si>
    <t>4251</t>
  </si>
  <si>
    <t>51157007</t>
  </si>
  <si>
    <t>CLO0981-1_FC002302_GARANTIA_COMPRA_PORTATIL__ELITEBOOK 840 G7 Core i7_5CG122491S_SO04-262</t>
  </si>
  <si>
    <t>CLO0981-1_FC002302_GARANTIA_COMPRA_PORTATIL__ELITEBOOK 840 G7 Core i7_5CG122491S_SO04-263</t>
  </si>
  <si>
    <t>CLO0981-1_FC002302_GARANTIA_COMPRA_PORTATIL__ELITEBOOK 840 G7 Core i7_5CG122491S_SO04-264</t>
  </si>
  <si>
    <t>CLO0981-1_FC002302_GARANTIA_COMPRA_PORTATIL__ELITEBOOK 840 G7 Core i7_5CG122491S_SO04-265</t>
  </si>
  <si>
    <t>CLO0981-1_FC002302_GARANTIA_COMPRA_PORTATIL__ELITEBOOK 840 G7 Core i7_5CG122491S_SO04-266</t>
  </si>
  <si>
    <t>CLO0981-1_FC002302_GARANTIA_COMPRA_PORTATIL__ELITEBOOK 840 G7 Core i7_5CG122491S_SO04-267</t>
  </si>
  <si>
    <t>51452506</t>
  </si>
  <si>
    <t>4491</t>
  </si>
  <si>
    <t>51157086</t>
  </si>
  <si>
    <t>P890300279</t>
  </si>
  <si>
    <t>890300279 BANCO DE OCCIDENTE</t>
  </si>
  <si>
    <t>AJUST_TRANS_6101768_IVAS_CUENTA_1862_202108_CARGUES_WA</t>
  </si>
  <si>
    <t>IVAS_CUENTA_1862_202108_CARGUES_WA</t>
  </si>
  <si>
    <t>IVAS_1852_202108_CARGUES_WA</t>
  </si>
  <si>
    <t>AJUST_TRANS_6101771_IVAS_1852_202108_CARGUES_WA</t>
  </si>
  <si>
    <t>4500</t>
  </si>
  <si>
    <t>51109503</t>
  </si>
  <si>
    <t>P1062310736</t>
  </si>
  <si>
    <t>1062310736 LISET ALEJANDRA LARRAHONDO VASQUEZ</t>
  </si>
  <si>
    <t>E4</t>
  </si>
  <si>
    <t>WA003892</t>
  </si>
  <si>
    <t>CLO0932_WA003892_ALQUILER_ESPACIO_ PARA ACTIVIDAD PROYECTO PBF ACONC 2 Y 3 DE JULIO EN SANTANDER DE QUILICHAO CAUCA</t>
  </si>
  <si>
    <t>P1059986410</t>
  </si>
  <si>
    <t>1059986410 YILBER FABIAN LOPEZ GUAZA</t>
  </si>
  <si>
    <t>CLO1161-2_WA013003_HONORARIOS_CONTRATACIÓN_TALLERISTAS_ESCUELA_JÓVENES_EL_10_Y_11_DE_SEPTIEMBRE_EN_SANTANDER_DE_QUILICHAO_CAUCA</t>
  </si>
  <si>
    <t>P10554857</t>
  </si>
  <si>
    <t>10554857 RAMIRO BALLESTEROS</t>
  </si>
  <si>
    <t>CLO1137_WA008889_CONTRATACIÓN _TALLERISTAS_ESCUELA_JÓVENES_EL_27_Y_28_DE_AGOSTO_EN_VILLA_RICA CAUCA</t>
  </si>
  <si>
    <t>P1149686393</t>
  </si>
  <si>
    <t>1149686393 YAN CARLOS ROMERO MANCILLA</t>
  </si>
  <si>
    <t>CLO1137-1_WA008890_CONTRATACIÓN_TALLERISTAS_ESCUELA_JÓVENES_EL_27_Y_28_DE_AGOSTO_EN_VILLA_RICA_CAUCA</t>
  </si>
  <si>
    <t>P3885386</t>
  </si>
  <si>
    <t>3885386 MANUEL HERNANDEZ VALDES</t>
  </si>
  <si>
    <t>CLO1161-1_WA013002_HONORARIOS_CONTRATACIÓN_TALLERISTAS_ESCUELA_JÓVENES_EL_10_Y_11_DE_SEPTIEMBRE_EN_SANTANDER_DE_QUILICHAO_CAUCA</t>
  </si>
  <si>
    <t>P10740071</t>
  </si>
  <si>
    <t>10740071 BALANTA QUINTERO HEBERTO</t>
  </si>
  <si>
    <t>CLO1137-2__WA008992_COFY2102_HERIBERTO_BALANTA_QUINTERO_CONTRATACIÓN_TALLERISTAS_ESCUELA_JÓVENES_EL_27_Y_28_DE_AGOSTO_EN_VILLA_RICA_CAUCA</t>
  </si>
  <si>
    <t>51157013</t>
  </si>
  <si>
    <t>P890100577</t>
  </si>
  <si>
    <t>890100577 AVIANCA S.A</t>
  </si>
  <si>
    <t>TKT_FC769812_L.MORENO_BOG_CLO_BOG_23_02_2021_25_02_2021</t>
  </si>
  <si>
    <t>P900815663</t>
  </si>
  <si>
    <t>900815663 FROSCH COLOMBIA SAS</t>
  </si>
  <si>
    <t>P25281355</t>
  </si>
  <si>
    <t>25281355 MANA AUTOSERVICIO BELLA VISTA</t>
  </si>
  <si>
    <t>FC034247</t>
  </si>
  <si>
    <t>ALIMNETAC_GERARDO_FLETCHER_ACOMPAÑ_PROTECCION_SANTANDER_QUILICHAO</t>
  </si>
  <si>
    <t>C2</t>
  </si>
  <si>
    <t>GL Posting UCM (CO)</t>
  </si>
  <si>
    <t>BRBE</t>
  </si>
  <si>
    <t>FC770521</t>
  </si>
  <si>
    <t>FC770521_COFY2102_TIQUETE AEREO LEIDY MORENO</t>
  </si>
  <si>
    <t>TKT_FC770521_L.MORENO_BOG_CLO_BOG_07_A_10_03_2021</t>
  </si>
  <si>
    <t>TKT_FC770751_J.MORENO_BOG_CLO_BOG_07_03_A_09_03_2021</t>
  </si>
  <si>
    <t>Reversed Tr 12100576 FC770521_COFY2102_TIQUETE AEREO LEIDY MORENO</t>
  </si>
  <si>
    <t>TKT_FC773202_G.DIAZ_FLA_BOG_CLO_26_04_2021</t>
  </si>
  <si>
    <t>P900589600</t>
  </si>
  <si>
    <t>900589600 COMERCIALIZADORA Y DISTRIBUIDORA RAYGO</t>
  </si>
  <si>
    <t>FC000419</t>
  </si>
  <si>
    <t>CLO0772__FC000419__COMPRA_ELEMNTOS_BIOSEGURIDAD_ACTIV_PROYECTO_PBF_ACONC_PACIFISTA</t>
  </si>
  <si>
    <t>P900943243</t>
  </si>
  <si>
    <t>900943243 SURAMERICANA COMERCIAL SAS</t>
  </si>
  <si>
    <t>FC287883</t>
  </si>
  <si>
    <t>FC287883_A_ALIMNETAC_GERARDO_FLETCHER_TRANSP_REUNION_EQUIPO_IMPLEMENTAD_ACONCN_PACIFISTA</t>
  </si>
  <si>
    <t>P800190654</t>
  </si>
  <si>
    <t>800190654 PAPELERIA LOS COLORES SAS</t>
  </si>
  <si>
    <t>FC006658</t>
  </si>
  <si>
    <t>CLO0940_FC006658_COMPRA DE MATERIALES DE PAPELERÍA ACTIVIDADES ACONC</t>
  </si>
  <si>
    <t>P69030950</t>
  </si>
  <si>
    <t>69030950 MELO ROMERO AGLAY LILIAM</t>
  </si>
  <si>
    <t>FC430141</t>
  </si>
  <si>
    <t>FC430141_COMPRA_INSUMOS_PAPELERIA_RIESGO_PROYECTO_PBF</t>
  </si>
  <si>
    <t>TKT_FC781434_M.HERNANDEZ_BAQ_BOG_CLO_BOG_BAQ_09_A_12_09_2021</t>
  </si>
  <si>
    <t>P900941915</t>
  </si>
  <si>
    <t>900941915 INNTEGROUP SAS</t>
  </si>
  <si>
    <t>CLO1149_FC001182_COMPRA_DE_MATERIALES_PARA_LA_ESCUELA_DE_JÓVENES</t>
  </si>
  <si>
    <t>51201006</t>
  </si>
  <si>
    <t>P31219010</t>
  </si>
  <si>
    <t>31219010 DORALICE CAMACHO</t>
  </si>
  <si>
    <t>WA003834_CLO0095_DP_SERVICIO_ALQUILER_SALON_SOLICALIZACION_PROYECTO_ACONC_PROTECCION</t>
  </si>
  <si>
    <t>P34596339</t>
  </si>
  <si>
    <t>34596339 LEDEZMA SAMBONI GLORIA STELLA</t>
  </si>
  <si>
    <t>FC000086</t>
  </si>
  <si>
    <t>CLO0847_FC000086_ALQUILER_SALON_ACTIVIDAD PROYECTO PBF ACONC</t>
  </si>
  <si>
    <t>WA003886</t>
  </si>
  <si>
    <t>CLO0923-1_WA003886_ALQUILER DE ESPACIO PARA ACTIVIDAD PROYECTO PBF ACONC 21 Y 22 DE JUNIO EN PADILLA CAUCA</t>
  </si>
  <si>
    <t>P1059066786</t>
  </si>
  <si>
    <t>1059066786 PAULA ANDREA VERGARA CARABALI</t>
  </si>
  <si>
    <t>WA003896</t>
  </si>
  <si>
    <t>CLO0928_WA003896_SERVICIO DE ALQUILER DE ESPACIO PARA ACTIVIDAD PROYECTO PBF ACONC 28 Y 29 DE JUNIO EN VILLA RICA CAUCA</t>
  </si>
  <si>
    <t>FC000116</t>
  </si>
  <si>
    <t>CLO0982_FC000116_SERVICIO_ALQUILER DE ESPACIO CONSTRUCCIÓN PLAN DE TRABAJO PBF 12 Y 13 EN SANTANDER DE QUILICHAO</t>
  </si>
  <si>
    <t>FC000122</t>
  </si>
  <si>
    <t>CLO1018_FC000122_SERVICIO_ALQUILER_SALON_ CONSTRUCCIÓN PLAN DE TRABAJO PBF 22 DE JULIO EN SANTANDER DE QUILICHAO</t>
  </si>
  <si>
    <t>P1060418106</t>
  </si>
  <si>
    <t>1060418106 CLAUDIA MARCELA GARCIA DIAZ</t>
  </si>
  <si>
    <t>CLO0213_DP__WA009635_COFY2102_CLAUDIA_MARCELA_GARCIA_DIAZ__ALQUILER_ESPACIO_REUNIÓN_EN_VILLA_RICA__|</t>
  </si>
  <si>
    <t>CLO1127_WA008888_SERVICIO_DE_ALQUILER_SALON_ESCUELA_JÓVENES_EL_28_DE_AGOSTO_EN_SANTANDER_DE_QUILICHAO</t>
  </si>
  <si>
    <t>51354002</t>
  </si>
  <si>
    <t>CLO0772__FC000419_TRANSP_COMPRA_ELEMNTOS_BIOSEGURIDAD_ACTIV_PROYECTO_PBF_ACONC_PACIFISTA</t>
  </si>
  <si>
    <t>51559504</t>
  </si>
  <si>
    <t>P10539667</t>
  </si>
  <si>
    <t>10539667 DIAZ POLANCO ABSALON</t>
  </si>
  <si>
    <t>WA003212_ALIMENTACION_MARLON_GALINDO_TRANSP_ACOMPAÑ_PPY_SANTAMDER_QUILICHO</t>
  </si>
  <si>
    <t>P34659809</t>
  </si>
  <si>
    <t>34659809 NARVAEZ OLGA</t>
  </si>
  <si>
    <t>WA003213_ALIMENTACION_MARLON_GALINDO_TRANSP_ACOMPAÑ_PPY_SANTAMDER_QUILICHO</t>
  </si>
  <si>
    <t>WA003214_ALIMENTACION_MARLON_GALINDO_TRANSP_ACOMPAÑ_PPY_SANTAMDER_QUILICHO</t>
  </si>
  <si>
    <t>P800215807</t>
  </si>
  <si>
    <t>800215807 INSTITUTO NACIONAL DE VIAS</t>
  </si>
  <si>
    <t>FC580016_PEAJE_VEHICULO_HTY157_MARLON_GALINDO_TRANSP_ACOMPAÑ_PPY_SANTAMDER_QUILICHO</t>
  </si>
  <si>
    <t>FC471077_PEAJE_VEHICULO_HTY157_MARLON_GALINDO_TRANSP_ACOMPAÑ_PPY_SANTAMDER_QUILICHO</t>
  </si>
  <si>
    <t>FC624956_PEAJE_VEHICULO_HTY157_MARLON_GALINDO_TRANSP_ACOMPAÑ_PPY_SANTAMDER_QUILICHO</t>
  </si>
  <si>
    <t>FC523138_PEAJE_VEHICULO_HTY157_MARLON_GALINDO_TRANSP_ACOMPAÑ_PPY_SANTAMDER_QUILICHO</t>
  </si>
  <si>
    <t>FC279010_PEAJE_VEHICULO_HTY157_MARLON_GALINDO_TRANSP_ACOMPAÑ_PPY_SANTAMDER_QUILICHO</t>
  </si>
  <si>
    <t>FC261623_PEAJE_VEHICULO_HTY157_MARLON_GALINDO_TRANSP_ACOMPAÑ_PPY_SANTAMDER_QUILICHO</t>
  </si>
  <si>
    <t>P444444053</t>
  </si>
  <si>
    <t>444444053 TRANSPORTE INTERNO NRC</t>
  </si>
  <si>
    <t>PTUCO187_TRANSP_URB_MARLON_GALINDO_TRANSP_ACOMPAÑ_PPY_SANTAMDER_QUILICHO</t>
  </si>
  <si>
    <t>P900545230</t>
  </si>
  <si>
    <t>900545230 GRUPO ARGURI SAS</t>
  </si>
  <si>
    <t>FC106355_COMPRA_COMBUST_13,9GL_TRANSP_ACOMPAÑ_PPY_SANTAMDER_QUILICHO</t>
  </si>
  <si>
    <t>P34602194</t>
  </si>
  <si>
    <t>34602194 ZUNIGA GLORIA ELENA</t>
  </si>
  <si>
    <t>FC038943_ALIMENTAC_MARLON_GALINDO_TRANSP_ACOMPAÑ_PPY_SANTAMDER_QUILICHO</t>
  </si>
  <si>
    <t>P1006513240</t>
  </si>
  <si>
    <t>1006513240 ANDRES DAVID MORALES SALGUERO</t>
  </si>
  <si>
    <t>WA003216_ALIMENTAC_MARLON_GALINDO_CAROLINA_BUSBANO_FUCNIONARIOS_PACIFISTAS_ACOMPAÑ_PPY_SANTAMDER_QUILICHO</t>
  </si>
  <si>
    <t>P16917294</t>
  </si>
  <si>
    <t>16917294 FERNANDEZ PENILLA IVAN ALFONSO</t>
  </si>
  <si>
    <t>WA003217_LAVADO_VEHICULO_INST_HTY157_ACOMPAÑ_PPY_SANTAMDER_QUILICHO</t>
  </si>
  <si>
    <t>FC166422_COMPRA_COMBUST_5,3GL_TRANSP_ACOMPAÑ_PPY_SANTAMDER_QUILICHO</t>
  </si>
  <si>
    <t>P10490246</t>
  </si>
  <si>
    <t>10490246 LOPEZ HURTADO JUAN RUBIEL</t>
  </si>
  <si>
    <t>WA003064</t>
  </si>
  <si>
    <t>ALIMENTAC_GERARDO_FLETCHER_ACOMPAÑ_PROTECCION_SANTANDER_QUILICHAO</t>
  </si>
  <si>
    <t>FC857204</t>
  </si>
  <si>
    <t>PEAJE_VEHICULO_INSTITUC_URW110_ACOMPAÑ_PROTECCION_SANTANDER_QUILICHAO</t>
  </si>
  <si>
    <t>FC477067</t>
  </si>
  <si>
    <t>FC534428</t>
  </si>
  <si>
    <t>FC285139</t>
  </si>
  <si>
    <t>FC038944</t>
  </si>
  <si>
    <t>P6064073</t>
  </si>
  <si>
    <t>6064073 FERNANDEZ PAZ FABIAN</t>
  </si>
  <si>
    <t>FC052880</t>
  </si>
  <si>
    <t>FC052880_COMPRA_COMBUST_7,12GL_ACOMPAÑ_PROTECCION_SANTANDER_QUILICHAO</t>
  </si>
  <si>
    <t>WA003401</t>
  </si>
  <si>
    <t>WA003401_AIMENTAC_GERARDO_FLETCHER_ACOMPAÑ_PROTECCION_SANTANDER_QUILICHAO</t>
  </si>
  <si>
    <t>P24675910</t>
  </si>
  <si>
    <t>24675910 LELIS LEANDRA MADROÑERO PEREZ</t>
  </si>
  <si>
    <t>WA003402</t>
  </si>
  <si>
    <t>AIMENTAC_GERARDO_FLETCHER_ACOMPAÑ_PROTECCION_SANTANDER_QUILICHAO</t>
  </si>
  <si>
    <t>P10532988</t>
  </si>
  <si>
    <t>10532988 FRANCISCO LOPEZ MUÑOZ</t>
  </si>
  <si>
    <t>WA003403</t>
  </si>
  <si>
    <t>PTUCO276</t>
  </si>
  <si>
    <t>PTUCO276_TRANSP_URB_GERARDO_FLETCHER_ACOMPAÑ_PROTECCION_SANTANDER_QUILICHAO</t>
  </si>
  <si>
    <t>P14229592</t>
  </si>
  <si>
    <t>14229592 LUBIN VILLARREAL</t>
  </si>
  <si>
    <t>WA003404</t>
  </si>
  <si>
    <t>FC055333</t>
  </si>
  <si>
    <t>COMISION_RETIRO_ANTICIPO_GERARDO_FLETCHER_ACOMPAÑ_PROTECCION_SANTANDER_QUILICHAO</t>
  </si>
  <si>
    <t>FC046425</t>
  </si>
  <si>
    <t>AJUSTE_PESO_COMISION_RETIRO_ANTICIPO_GERARDO_FLETCHER_ACOMPAÑ_PROTECCION_SANTANDER_QUILICHAO</t>
  </si>
  <si>
    <t>WA003526_ALIMENTAC_JESICA_PERDOMO_REUNION_ACONT_SANTADER_QUILICHAO</t>
  </si>
  <si>
    <t>WA003525_ALIMENTAC_JESICA_PERDOMO_REUNION_ACONT_SANTADER_QUILICHAO</t>
  </si>
  <si>
    <t>PTU119010_TRANSP_URB_JESICA_PERDOMO_REUNION_ACONT_SANTADER_QUILICHAO</t>
  </si>
  <si>
    <t>P900843898</t>
  </si>
  <si>
    <t>900843898 RAPPI SAS</t>
  </si>
  <si>
    <t>FC033482</t>
  </si>
  <si>
    <t>ALIMENTAC_CAROLINA_BURBANO_REUNION_COORDINACION_EQUIPO_PROTECCION</t>
  </si>
  <si>
    <t>P800128709</t>
  </si>
  <si>
    <t>800128709 BASILO KLONIS &amp; CIA SA</t>
  </si>
  <si>
    <t>FC033135</t>
  </si>
  <si>
    <t>B6</t>
  </si>
  <si>
    <t>AP Posting Popayán (CO)</t>
  </si>
  <si>
    <t>P901431910</t>
  </si>
  <si>
    <t>901431910 ALILAT S.A.S.</t>
  </si>
  <si>
    <t>FC000587_ALIMENTAC_GERARDO_FLETCHER_REUNIN_ACOMPAÑ_PADILLA_Y_SANTANDER_QUILICHAO</t>
  </si>
  <si>
    <t>FC324705_PEAJE_CALI_VILLARICA_URW110_TRANSP_JORNADA_ICLA_MIGRANTES_SANTA_ELENA</t>
  </si>
  <si>
    <t>FC687733_PEAJE_CALI_VILLARICA_URW110_TRANSP_JORNADA_ICLA_MIGRANTES_SANTA_ELENA</t>
  </si>
  <si>
    <t>P10487595</t>
  </si>
  <si>
    <t>10487595 MONTENEGRO ACOSTA ALVEIRO</t>
  </si>
  <si>
    <t>WA003453_ALIMENTAC_GERARDO_F_TRANSP_JORNADA_ICLA_MIGRANTES_SANTA_ELENA</t>
  </si>
  <si>
    <t>PTUCO276_TRABSP_URB_GERARDO_F_TRANSP_JORNADA_ICLA_MIGRANTES_SANTA_ELENA</t>
  </si>
  <si>
    <t>FC663873_COMBUST_5,01GL_URW110_TRANSP_JORNADA_ICLA_MIGRANTES_SANTA_ELENA</t>
  </si>
  <si>
    <t>WA003454_ALIMENTAC_GERARDO_F_TRANSP_JORNADA_ICLA_MIGRANTES_SANTA_ELENA</t>
  </si>
  <si>
    <t>P10485843</t>
  </si>
  <si>
    <t>10485843 LOBOA JUAN CARLOS</t>
  </si>
  <si>
    <t>WA003452_ALIMENTAC_GERARDO_F_TRANSP_JORNADA_ICLA_MIGRANTES_SANTA_ELENA</t>
  </si>
  <si>
    <t>WA003455_ALIMENTAC_GERARDO_F_TRANSP_JORNADA_ICLA_MIGRANTES_SANTA_ELENA</t>
  </si>
  <si>
    <t>JE11</t>
  </si>
  <si>
    <t>RECLAS_H_FC001338_C.BURBANO_CALI_22_A_24_02_2021_PROYECTO MAL ALOCADO</t>
  </si>
  <si>
    <t>FC001401</t>
  </si>
  <si>
    <t>CLO0068_DPFC001401_SERVC_ALOJAM_LEIDY_MORENO_REPRESENTA_PACIFISTA</t>
  </si>
  <si>
    <t>CLO0078_DP_FC001496_ALOJAMIENTO_LEIDY_MORENO_PACIFISTAS_CALI_07_A_08</t>
  </si>
  <si>
    <t>CLO0100_DP_FC001512_ALOJAMIENTO_LEIDY_MORENO_PACIFISTAS_CALI_08_A_09_03</t>
  </si>
  <si>
    <t>FC034029</t>
  </si>
  <si>
    <t>ALIMENTAC_MAYRA_ACUÑA_MISION_MULTICOMPET:LOPEZ_MICAY</t>
  </si>
  <si>
    <t>FC034036</t>
  </si>
  <si>
    <t>PTU123780</t>
  </si>
  <si>
    <t>TRANSP_URB_MAYRA_ACUÑA_MISION_MULTICOMPET:LOPEZ_MICAY</t>
  </si>
  <si>
    <t>P34329404</t>
  </si>
  <si>
    <t>34329404 MUÑOZ MUÑOZ MARIA DEL PILAR</t>
  </si>
  <si>
    <t>WA003546</t>
  </si>
  <si>
    <t>P805008909</t>
  </si>
  <si>
    <t>805008909 AUTOCENTRO CAPRI SA</t>
  </si>
  <si>
    <t>FC326841</t>
  </si>
  <si>
    <t>FC326841_COMBUST_10,04GL_HTY157_MISION_MULTICOMPET:LOPEZ_MICAY</t>
  </si>
  <si>
    <t>P901166056</t>
  </si>
  <si>
    <t>901166056 EDS TEXACO 17 IMBAMACO</t>
  </si>
  <si>
    <t>FC211090</t>
  </si>
  <si>
    <t>FC211090_COMBUST_7,89GL_HTY157__TRANSP_ACOMPAÑ_MISION_PROTECCION_MARZO</t>
  </si>
  <si>
    <t>FC780920</t>
  </si>
  <si>
    <t>PEAJE_CALI_TUNIA__HTY157__TRANSP_ACOMPAÑ_MISION_PROTECCION_MARZO</t>
  </si>
  <si>
    <t>FC663178</t>
  </si>
  <si>
    <t>FC301137</t>
  </si>
  <si>
    <t>FC573457</t>
  </si>
  <si>
    <t>WA003418</t>
  </si>
  <si>
    <t>ALIMENTAC_GERARDO_FLETCHER_TRANSP_ACOMPAÑ_MISION_PROTECCION_MARZO</t>
  </si>
  <si>
    <t>P34537020</t>
  </si>
  <si>
    <t>34537020 DIONICIA AMPARO GOMEZ COLLAZOS</t>
  </si>
  <si>
    <t>WA003419</t>
  </si>
  <si>
    <t>PARQUEO_VEHICULO_INSTITUC_URW110_TRANSP_ACOMPAÑ_MISION_PROTECCION_MARZO</t>
  </si>
  <si>
    <t>WA003420</t>
  </si>
  <si>
    <t>P67021540</t>
  </si>
  <si>
    <t>67021540 MUNOZ MILENA</t>
  </si>
  <si>
    <t>WA003421</t>
  </si>
  <si>
    <t>TRANSP_URB_GERARDO_FLETCHER_TRANSP_ACOMPAÑ_MISION_PROTECCION_MARZO</t>
  </si>
  <si>
    <t>WA003423</t>
  </si>
  <si>
    <t>WA003422</t>
  </si>
  <si>
    <t>P10491539</t>
  </si>
  <si>
    <t>10491539 CRUZ MESTIZO WILMER</t>
  </si>
  <si>
    <t>CLO0848_WA003839_TRANSPORTE STAFF DE PARA ACTIVIDAD PROYECTO PBF ACONC</t>
  </si>
  <si>
    <t>P34592657</t>
  </si>
  <si>
    <t>34592657 GARCES MAZORRA YOLANDA LUCIA</t>
  </si>
  <si>
    <t>H_FC000182_M.ACUÑA_G.FLETCHER_SANTANDER_DE_QUILICHAO_26_A_27_03_2021</t>
  </si>
  <si>
    <t>P811034562</t>
  </si>
  <si>
    <t>811034562 LA RECETA Y CIA SAS</t>
  </si>
  <si>
    <t>FC429995_ALIMNETAC_MAYRA_ACUÑA_ENTREGA_MALETAS_PEDAGOGICAS_CASA_MATRIA</t>
  </si>
  <si>
    <t>WA003552_ALIMNETAC_MAYRA_ACUÑA_SOCIALIZA_MICROCUENCA_ALTO_SUAREZ</t>
  </si>
  <si>
    <t>PTUCO167_TRANSP_URB_MAYRA_ACUÑA_SOCIALIZA_MICROCUENCA_ALTO_SUAREZ</t>
  </si>
  <si>
    <t>FC000588_ALIMNETAC_MAYRA_ACUÑA_ENTREGA_MALETAS_PEDAGOGICAS_CASA_MATRIA</t>
  </si>
  <si>
    <t>FC004078_ALIMNETAC_MAYRA_ACUÑA_ENTREGA_MALETAS_PEDAGOGICAS_CASA_MATRIA</t>
  </si>
  <si>
    <t>WA003551_ALIMNETAC_MAYRA_ACUÑA_ENTREGA_MALETAS_PEDAGOGICAS_CASA_MATRIA</t>
  </si>
  <si>
    <t>H_FC00240_C.BURBANO_SANTANDER_DE_QUILICHAO_26_A_27_04_2021</t>
  </si>
  <si>
    <t>H_FC00237_M.ACUÑA_SANTANDER_DE_QUILICHAO_26_A_27_04_2021</t>
  </si>
  <si>
    <t>P900478797</t>
  </si>
  <si>
    <t>900478797 SUBVALLE S.A.S.</t>
  </si>
  <si>
    <t>FC213099_ALIMENTAC_CAROLINA_BURBANOReuniones cooridnación PBf- ACONC y PACIFISTA</t>
  </si>
  <si>
    <t>PTUCO339_TRANSP_URB_CAROLINA_BURBANO_Reuniones cooridnación PBf- ACONC y PACIFISTA</t>
  </si>
  <si>
    <t>P1061750527</t>
  </si>
  <si>
    <t>1061750527 BURBANO GOMEZ ANGIE CAROLINA</t>
  </si>
  <si>
    <t>WA003181_ALIMENTAC_CAROLINA_BURBANOReuniones cooridnación PBf- ACONC y PACIFISTA</t>
  </si>
  <si>
    <t>P34612374</t>
  </si>
  <si>
    <t>34612374 GUILLERMINA GARCIA ANGARITA</t>
  </si>
  <si>
    <t>WA003180_ALIMENTAC_CAROLINA_BURBANOReuniones cooridnación PBf- ACONC y PACIFISTA</t>
  </si>
  <si>
    <t>FC006760</t>
  </si>
  <si>
    <t>ALIMENTAC_MAYRA_ACUÑA_ACTIVIDADES_CAPACITAC_EQUIPO_ACONC</t>
  </si>
  <si>
    <t>P1107064934</t>
  </si>
  <si>
    <t>1107064934 GABRIELA ROJAS PELAEZ</t>
  </si>
  <si>
    <t>WA003553</t>
  </si>
  <si>
    <t>A_WA003949_COFY2102_DESAYUNO_ANGELA_GONZALEZ</t>
  </si>
  <si>
    <t>A_DE070866_COFY2102_DESAYUNO_ANGELA_GONZALEZ</t>
  </si>
  <si>
    <t>H_FC000330_C.BURBANO_SANTADER_DE_QUILICHAO_17_A_18_06_2021</t>
  </si>
  <si>
    <t>H_FC000336_J.JARAMILLO_SANTANDER_DE_QUILICHAO_17_A_22_06_2021</t>
  </si>
  <si>
    <t>H_FC000337_M.ACUÑA_SANTANDER_DE_QUILICHAO_17_A_22_06_2021</t>
  </si>
  <si>
    <t>H_FC000338_A.GONZALEZ_SANTANDER_DE_QUILICHAO_21_A_22_06_2021</t>
  </si>
  <si>
    <t>P901312723</t>
  </si>
  <si>
    <t>901312723 INVERSIONES LEEI SA</t>
  </si>
  <si>
    <t>FC037260</t>
  </si>
  <si>
    <t>A_ALMU_CAROLINA_BURBANO_ACTIVIADDES_MONITOREO_ACONC_PAEO_RIESGO</t>
  </si>
  <si>
    <t>PTUCO339</t>
  </si>
  <si>
    <t>T_TRANSP_URBA_PTUCO339_CAROLINA_BURBANO_ACTIVID_MONITORE_ESPACIOS_PROTECTORES_MAPEOS_RIESGO_PBF_</t>
  </si>
  <si>
    <t>P1116263938</t>
  </si>
  <si>
    <t>1116263938 LAURA ISABEL JARAMILLO ZUÑIGA</t>
  </si>
  <si>
    <t>WA003490</t>
  </si>
  <si>
    <t>A_HIDRATC_WA03490__GERARDO_FLETCHER_MAPEO_RIESGO_PBF</t>
  </si>
  <si>
    <t>P10492849</t>
  </si>
  <si>
    <t>10492849 VASQUEZ FRANCO MAURICIO</t>
  </si>
  <si>
    <t>WA003491</t>
  </si>
  <si>
    <t>A_CENA_WA03491__GERARDO_FLETCHER_MAPEO_RIESGO_PBF</t>
  </si>
  <si>
    <t>P1112489080</t>
  </si>
  <si>
    <t>1112489080 SANTIAGO LOZADA BAHOS</t>
  </si>
  <si>
    <t>WA003492</t>
  </si>
  <si>
    <t>A_DESAY_WA03492__GERARDO_FLETCHER_MAPEO_RIESGO_PBF</t>
  </si>
  <si>
    <t>P830101778</t>
  </si>
  <si>
    <t>830101778 FRANQUICIAS Y CONCESIONES S.A.S.</t>
  </si>
  <si>
    <t>FC025201</t>
  </si>
  <si>
    <t>A_CENA_WFC025201__GERARDO_FLETCHER_MAPEO_RIESGO_PBF</t>
  </si>
  <si>
    <t>T_TRANSP_URB_PTUCO276__GERARDO_FLETCHER_MAPEO_RIESGO_PBF</t>
  </si>
  <si>
    <t>P48656904</t>
  </si>
  <si>
    <t>48656904 MARIA MARGARITA PIÑEROS MORA</t>
  </si>
  <si>
    <t>WA003487</t>
  </si>
  <si>
    <t>A_ALMU_WA3487_GERARDO_FLETCHER_MAPEO_RIESGO_PBF</t>
  </si>
  <si>
    <t>P830053812</t>
  </si>
  <si>
    <t>830053812 ALIANZA FIDUCIARIA FIDEICOMISO</t>
  </si>
  <si>
    <t>FC054985</t>
  </si>
  <si>
    <t>PEAJE_FC054986_HTY157_CLO_SANTANDER_QUILICHAO_GERARDO_FLETCHER_MAPEO_RIESGO_PBF</t>
  </si>
  <si>
    <t>FC059474</t>
  </si>
  <si>
    <t>PEAJE_FC059474_HTY157_CLO_SANTANDER_QUILICHAO_GERARDO_FLETCHER_MAPEO_RIESGO_PBF</t>
  </si>
  <si>
    <t>P900796282</t>
  </si>
  <si>
    <t>900796282 SLAZAR SAENZ SAS</t>
  </si>
  <si>
    <t>FC326697</t>
  </si>
  <si>
    <t>FC326697_COMBUSTIB_9,58GL_HTY157_CLO_SANTANDER_QUILICHAO_GERARDO_FLETCHER_MAPEO_RIESGO_PBF</t>
  </si>
  <si>
    <t>WA003488</t>
  </si>
  <si>
    <t>WA003488_LAVADO_VEHICULO_INSTIT_HTY157_CLO_SANTANDER_QUILICHAO_GERARDO_FLETCHER_MAPEO_RIESGO_PBF</t>
  </si>
  <si>
    <t>WA003489</t>
  </si>
  <si>
    <t>A_ALMU_WA03489__GERARDO_FLETCHER_MAPEO_RIESGO_PBF</t>
  </si>
  <si>
    <t>P70162496</t>
  </si>
  <si>
    <t>70162496 FABIO DE JESUS MEJIA ZULUAGA</t>
  </si>
  <si>
    <t>WA003497</t>
  </si>
  <si>
    <t>WA003497_A_ALIMENTAC_GERARDO_FLETCHER_TRANSP_MAPEO_RIESGO_PROYECTO_PBF</t>
  </si>
  <si>
    <t>P830513729</t>
  </si>
  <si>
    <t>830513729 COMBUSTIBLES DE COLOMBIA S.A.</t>
  </si>
  <si>
    <t>FC177417</t>
  </si>
  <si>
    <t>FC177417_AJUSTE_PESO_COMPRA_COMBUST_9,11_GL_URW110_GERARDO_FLETCHER_TRANSP_MAPEO_RIESGO_PROYECTO_PBF</t>
  </si>
  <si>
    <t>P900981453</t>
  </si>
  <si>
    <t>900981453 INVERSIONES MAYA RAMOS S.A.S.</t>
  </si>
  <si>
    <t>FC239887</t>
  </si>
  <si>
    <t>FC239887_A_ALIMETAC_GERARDO_FLETCHER_TRANSP_MAPEO_RIESGO_PROYECTO_PBF</t>
  </si>
  <si>
    <t>WA003494</t>
  </si>
  <si>
    <t>WA003494_A_ALIMETAC_GERARDO_FLETCHER_TRANSP_MAPEO_RIESGO_PROYECTO_PBF</t>
  </si>
  <si>
    <t>P10490624</t>
  </si>
  <si>
    <t>10490624 PECHUCHE DAGUA RUBIEL</t>
  </si>
  <si>
    <t>WA003496</t>
  </si>
  <si>
    <t>WA003496_A_ALIMETAC_GERARDO_FLETCHER_TRANSP_MAPEO_RIESGO_PROYECTO_PBF</t>
  </si>
  <si>
    <t>WA003495</t>
  </si>
  <si>
    <t>WA003495_A_ALIMETAC_GERARDO_FLETCHER_TRANSP_MAPEO_RIESGO_PROYECTO_PBF</t>
  </si>
  <si>
    <t>FC07709_A_ALIMENTAC_CAROLINA_BURBANO_ACTIVIDADES_MAPEO_RIESGO_PBF</t>
  </si>
  <si>
    <t>WA008337_A_ALIMENTAC_CAROLINA_BURBANO_ACTIVIDADES_MAPEO_RIESGO_PBF</t>
  </si>
  <si>
    <t>WA005143_A_ALIMENTAC_CAROLINA_BURBANO_ACTIVIDADES_MAPEO_RIESGO_PBF</t>
  </si>
  <si>
    <t>PTUCO339_TRANSP_URB_CAROLINA_BURBANO_ACTIVIDADES_MAPEO_RIESGO_PBF</t>
  </si>
  <si>
    <t>FC069481_A_ALIMENTAC_CAROLINA_BURBANO_ACTIVIDADES_MAPEO_SANTANDER_QUILICHAO</t>
  </si>
  <si>
    <t>ORDEN_SERVICIO_0028_FACTURADA_DOBLE_H_FC000353_A.GONZALEZ_SANTANDER_DE_QUILICHAO_28_A_29_06_2021</t>
  </si>
  <si>
    <t>ORDEN_SERVICIO_0028_FACTURADA_DOBLE_H_NC000016_A.GONZALEZ_SANTANDER_DE_QUILICHAO_28_A_29_06_2021</t>
  </si>
  <si>
    <t>FC016743</t>
  </si>
  <si>
    <t>FC016743_COMISION_RETIRO_ANTICIPO_GERARDO_FLETCHER_MAPEO_RIESGO_PROYECTO_PBF</t>
  </si>
  <si>
    <t>FC024917</t>
  </si>
  <si>
    <t>FC024917_COMISION_RETIRO_ANTICIPO_GERARDO_FLETCHER_MAPEO_RIESGO_PROYECTO_PBF</t>
  </si>
  <si>
    <t>PTUCO276_T_TRANSP_URB_GERARDO_FLETCHER_MAPEO_RIESGO_PROYECTO_PBF</t>
  </si>
  <si>
    <t>FC040788</t>
  </si>
  <si>
    <t>FC040788_PEAJE_GERARDO_FLETCHER_TRANSP_MAPEO_RIESGO_PROYECTO_PBF</t>
  </si>
  <si>
    <t>FC043115</t>
  </si>
  <si>
    <t>FC043115_PEAJE_GERARDO_FLETCHER_TRANSP_MAPEO_RIESGO_PROYECTO_PBF</t>
  </si>
  <si>
    <t>FC177417_COMPRA_COMBUST_9,11_GL_HTY157_GERARDO_FLETCHER_TRANSP_MAPEO_RIESGO_PROYECTO_PBF</t>
  </si>
  <si>
    <t>WA003281</t>
  </si>
  <si>
    <t>WA003281_A_ALIMNETAC_GERARDO_FLETCHER_TRANSP_REUNION_EQUIPO_IMPLEMENTAD_ACONCN_PACIFISTA</t>
  </si>
  <si>
    <t>WA003280</t>
  </si>
  <si>
    <t>WA003280_A_ALIMNETAC_GERARDO_FLETCHER_TRANSP_REUNION_EQUIPO_IMPLEMENTAD_ACONCN_PACIFISTA</t>
  </si>
  <si>
    <t>WA003279</t>
  </si>
  <si>
    <t>WA003279_A_ALIMNETAC_GERARDO_FLETCHER_TRANSP_REUNION_EQUIPO_IMPLEMENTAD_ACONCN_PACIFISTA</t>
  </si>
  <si>
    <t>P901241386</t>
  </si>
  <si>
    <t>901241386 RIVERA BRAVA S.A.S.</t>
  </si>
  <si>
    <t>FC336327</t>
  </si>
  <si>
    <t>FC336327_COMPRA_COMBUSTI_11,809GL_HTY157_TRANSP_REUNION_EQUIPO_IMPLEMENTAD_ACONCN_PACIFISTA</t>
  </si>
  <si>
    <t>P31527412</t>
  </si>
  <si>
    <t>31527412 ESPERANZA DEL SOCORRO AMAYA</t>
  </si>
  <si>
    <t>WA003499</t>
  </si>
  <si>
    <t>WA003499_LAVADO_VEHIC_INST_HTY157_TRANSP_REUNION_EQUIPO_IMPLEMENTAD_ACONCN_PACIFISTA</t>
  </si>
  <si>
    <t>PTUCO276_T_TRANSP_URB_GERARDO_FLETCHER_TRANSP_REUNION_EQUIPO_IMPLEMENTAD_ACONCN_PACIFISTA</t>
  </si>
  <si>
    <t>FC050288</t>
  </si>
  <si>
    <t>FC050288_COMISION_RETIRO_ANTICIPO_GERARDO_FLETCHER_MAPEO_RIESGO_PROYECTO_PBF</t>
  </si>
  <si>
    <t>FC336327_AJUSTE_PESO_COMPRA_COMBUSTI_11,809GL_HTY157_TRANSP_REUNION_EQUIPO_IMPLEMENTAD_ACONCN_PACIFISTA</t>
  </si>
  <si>
    <t>FC011343</t>
  </si>
  <si>
    <t>FC011343_PEAJE_HTY157_TRANSP_REUNION_EQUIPO_IMPLEMENTAD_ACONCN_PACIFISTA</t>
  </si>
  <si>
    <t>FC137172</t>
  </si>
  <si>
    <t>FC137172_PEAJE_HTY157_TRANSP_REUNION_EQUIPO_IMPLEMENTAD_ACONCN_PACIFISTA</t>
  </si>
  <si>
    <t>FC010591</t>
  </si>
  <si>
    <t>FC010591_PEAJE_HTY157_TRANSP_REUNION_EQUIPO_IMPLEMENTAD_ACONCN_PACIFISTA</t>
  </si>
  <si>
    <t>FC013660</t>
  </si>
  <si>
    <t>FC013660_PEAJE_HTY157_TRANSP_REUNION_EQUIPO_IMPLEMENTAD_ACONCN_PACIFISTA</t>
  </si>
  <si>
    <t>P860533413</t>
  </si>
  <si>
    <t>860533413 I.R.C.C LTDA</t>
  </si>
  <si>
    <t>FC016202</t>
  </si>
  <si>
    <t>FC016202_A_ALIMNETAC_GERARDO_FLETCHER_TRANSP_REUNION_EQUIPO_IMPLEMENTAD_ACONCN_PACIFISTA</t>
  </si>
  <si>
    <t>WA003282</t>
  </si>
  <si>
    <t>WA003282_A_ALIMNETAC_GERARDO_FLETCHER_TRANSP_REUNION_EQUIPO_IMPLEMENTAD_ACONCN_PACIFISTA</t>
  </si>
  <si>
    <t>P901465184</t>
  </si>
  <si>
    <t>901465184 GRUPO TIERRA DE ORO ZOMAC SAS</t>
  </si>
  <si>
    <t>H_FC000011_C.BURBANO_SANTANDER_DE_QUILICHAO_12_A_13_07_2021</t>
  </si>
  <si>
    <t>H_FC000012_J.JARAMILLO_SANTANDER_DE_QUILICHAO_12_A_13_07_2021</t>
  </si>
  <si>
    <t>H_FC000013_G.FLETCHER_SANTANDER_DE_QUILICHAO_12_A_13_07_2021</t>
  </si>
  <si>
    <t>H_FC000014_M.ACUÑA_SANTANDER_DE_QUILICHAO_12_A_13_07_2021</t>
  </si>
  <si>
    <t>FC069754</t>
  </si>
  <si>
    <t>DESAY_FC069754_MAYRA_ACUÑA_MAPEO_RIESGO_PROYECTO_PBF</t>
  </si>
  <si>
    <t>P76308702</t>
  </si>
  <si>
    <t>76308702 JOSE LUIS PECHENE SANDOVAL</t>
  </si>
  <si>
    <t>WA003769</t>
  </si>
  <si>
    <t>DESAY_WA003769_MAYRA_ACUÑA_MAPEO_RIESGO_PROYECTO_PBF</t>
  </si>
  <si>
    <t>WA003772</t>
  </si>
  <si>
    <t>CENA_WA003772_MAYRA_ACUÑA_MAPEO_RIESGO_PROYECTO_PBF</t>
  </si>
  <si>
    <t>FC070350</t>
  </si>
  <si>
    <t>DESAY_FC070350_MAYRA_ACUÑA_MAPEO_RIESGO_PROYECTO_PBF</t>
  </si>
  <si>
    <t>FC070575</t>
  </si>
  <si>
    <t>DESAY_FC070575_MAYRA_ACUÑA_MAPEO_RIESGO_PROYECTO_PBF</t>
  </si>
  <si>
    <t>WA003770</t>
  </si>
  <si>
    <t>CENA_WA003770_MAYRA_ACUÑA_MAPEO_RIESGO_PROYECTO_PBF</t>
  </si>
  <si>
    <t>FC070865</t>
  </si>
  <si>
    <t>DESAY_FC070865_MAYRA_ACUÑA_MAPEO_RIESGO_PROYECTO_PBF</t>
  </si>
  <si>
    <t>FC070864</t>
  </si>
  <si>
    <t>DESAY_FC070864_MAYRA_ACUÑA_MAPEO_RIESGO_PROYECTO_PBF</t>
  </si>
  <si>
    <t>FC058106</t>
  </si>
  <si>
    <t>DESAY_FC058106_MAYRA_ACUÑA_MAPEO_RIESGO_PROYECTO_PBF</t>
  </si>
  <si>
    <t>P900962695</t>
  </si>
  <si>
    <t>900962695 TURK HOUSE SAS</t>
  </si>
  <si>
    <t>FC204377</t>
  </si>
  <si>
    <t>ALMU_FC204377_MAYRA_ACUÑA_MAPEO_RIESGO_PROYECTO_PBF</t>
  </si>
  <si>
    <t>PTU123780_TRANSP_URB_MAYRA_ACUÑA_MAPEO_RIESGO_PROYECTO_PBF</t>
  </si>
  <si>
    <t>FC070010</t>
  </si>
  <si>
    <t>DESAY_FC070010_MAYRA_ACUÑA_MAPEO_RIESGO_PROYECTO_PBF</t>
  </si>
  <si>
    <t>FC069477</t>
  </si>
  <si>
    <t>DESAY_FC069477_MAYRA_ACUÑA_MAPEO_RIESGO_PROYECTO_PBF</t>
  </si>
  <si>
    <t>WA008336</t>
  </si>
  <si>
    <t>CENA_WA008336_MAYRA_ACUÑA_MAPEO_RIESGO_PROYECTO_PBF</t>
  </si>
  <si>
    <t>P700120426</t>
  </si>
  <si>
    <t>700120426 VICTOR HUGO ORTEGA CAICEDO</t>
  </si>
  <si>
    <t>WA003771</t>
  </si>
  <si>
    <t>H_FC000365_M.ACUNA_SANTANDER_DE_QUILICHAO_02_A_03_07_2021</t>
  </si>
  <si>
    <t>H_FC000367_J.JARAMILLO_SANTANDER_DE_QUILICHAO_02_A_03_07_2021</t>
  </si>
  <si>
    <t>H_FC000354_J.JARAMILLO_SANTANDER_DE_QUILICHAO_28_A_29_06_2021</t>
  </si>
  <si>
    <t>H_FC000355_M.ACUNA_SANTANDER_DE_QUILICHAO_28_A_29_06_2021</t>
  </si>
  <si>
    <t>H_FC000356_G.FLETCHER_SANTANDER_DE_QUILICHAO_28_A_29_06_2021</t>
  </si>
  <si>
    <t>H_FC000361_A.GONZALEZ_SANTANDER_DE_QUILICHAO_28_A_29_06_2021</t>
  </si>
  <si>
    <t>H_FC000144_G.FLETCHER_STDER_DE_QUILICHAO_12_A_13_07_2021</t>
  </si>
  <si>
    <t>P1031172235</t>
  </si>
  <si>
    <t>1031172235 LINA MARCELA HURTADO MOLINA</t>
  </si>
  <si>
    <t>A_WA008300_ALMUERZO_MAYRA_ACUÑA_REUNIÓN_CON_AUTORIDADES_PLAN_DE_TRABAJO_PROYECTO_PBF_EN_VILLA_RICA</t>
  </si>
  <si>
    <t>A_WA008299_DESAYUNO_MAYRA_ACUÑA_REUNIÓN_CON_AUTORIDADES_PLAN_DE_TRABAJO_PROYECTO_PBF_EN_VILLA_RICA</t>
  </si>
  <si>
    <t>T_PTU123780_MAYRA_ACUÑA_REUNIÓN_CON_AUTORIDADES_PLAN_DE_TRABAJO_PROYECTO_PBF_EN_VILLA_RICA</t>
  </si>
  <si>
    <t>A_FC008294_ALMUERZO_MAYRA_ACUÑA_CONSTRUCCIÓN_PLAN_DE_TRABAJO_PROYECTO_PBF</t>
  </si>
  <si>
    <t>A_DESAYUNO_HIDRATACION_MAYRA_ACUÑA_CONSTRUCCIÓN_PLAN_DE_TRABAJO_PROYECTO_PBF</t>
  </si>
  <si>
    <t>P31228378</t>
  </si>
  <si>
    <t>31228378 HILDA LEYDA QUINTERO DEL GIL</t>
  </si>
  <si>
    <t>A_WA008298_DESAYUNO_MAYRA_ACUÑA_REUNIÓN_CON_AUTORIDADES_PLAN_DE_TRABAJO_PROYECTO_PBF_EN_VILLA_RICA</t>
  </si>
  <si>
    <t>P34600401</t>
  </si>
  <si>
    <t>34600401 FERNANDEZ NOELIA</t>
  </si>
  <si>
    <t>A_FC054853_DESAYUNO_MAYRA_ACUÑA_REUNIÓN_CON_AUTORIDADES_PLAN_DE_TRABAJO_PROYECTO_PBF_EN_VILLA_RICA</t>
  </si>
  <si>
    <t>P1112775702</t>
  </si>
  <si>
    <t>1112775702 ANA MICHEL VASQUEZ MACHADO</t>
  </si>
  <si>
    <t>WA002290</t>
  </si>
  <si>
    <t>O - Otros gastos_WA002290_MAYRA_ACUÑA_Mapeo de riesgos microcuencas proyecto PBF</t>
  </si>
  <si>
    <t>P1053851959</t>
  </si>
  <si>
    <t>1053851959 NATALIA DAVILA SUAZA</t>
  </si>
  <si>
    <t>WA002292</t>
  </si>
  <si>
    <t>A - Alimentación_WA002292_MAYRA_ACUÑA_Mapeo de riesgos microcuencas proyecto PBF</t>
  </si>
  <si>
    <t>P16692589</t>
  </si>
  <si>
    <t>16692589 GUSTAVO VALENCIA ESCOBAR</t>
  </si>
  <si>
    <t>WA002293</t>
  </si>
  <si>
    <t>A - Alimentación_WA002293_MAYRA_ACUÑA_Mapeo de riesgos microcuencas proyecto PBF</t>
  </si>
  <si>
    <t>WA003773</t>
  </si>
  <si>
    <t>A - Alimentación_WA003773_MAYRA_ACUÑA_Mapeo de riesgos microcuencas proyecto PBF</t>
  </si>
  <si>
    <t>WA008334</t>
  </si>
  <si>
    <t>A - Alimentación_WA008334_MAYRA_ACUÑA_Mapeo de riesgos microcuencas proyecto PBF</t>
  </si>
  <si>
    <t>FC002960</t>
  </si>
  <si>
    <t>A - Alimentación_FC002960_MAYRA_ACUÑA_Mapeo de riesgos microcuencas proyecto PBF</t>
  </si>
  <si>
    <t>FC002869</t>
  </si>
  <si>
    <t>A - Alimentación_FC002869_MAYRA_ACUÑA_Mapeo de riesgos microcuencas proyecto PBF</t>
  </si>
  <si>
    <t>P31528378</t>
  </si>
  <si>
    <t>31528378 MIRANDA CENEIDA</t>
  </si>
  <si>
    <t>WA008603</t>
  </si>
  <si>
    <t>A_ALIMENTAC_WA008603_HENRY_SAMBONI_REUNION_AUTORID_ACONC_PBF</t>
  </si>
  <si>
    <t>FC008700</t>
  </si>
  <si>
    <t>PEAJE_FC008700_URW110_HENRY_SAMBONI_REUNION_AUTORID_ACONC_PBF</t>
  </si>
  <si>
    <t>FC008070</t>
  </si>
  <si>
    <t>PEAJE_FC008070_URW110__HENRY_SAMBONI_REUNION_AUTORID_ACONC_PBF</t>
  </si>
  <si>
    <t>FC00515</t>
  </si>
  <si>
    <t>FC000515_LAVADA_VEHICULO_URW110__HENRY_SAMBONI_REUNION_AUTORID_ACONC_PBF</t>
  </si>
  <si>
    <t>PTU125338</t>
  </si>
  <si>
    <t>T_TRANSP_URB_PTO125338_HENRY_SAMBONI_REUNION_AUTORID_ACONC_PBF</t>
  </si>
  <si>
    <t>WA008333</t>
  </si>
  <si>
    <t>A - Alimentación_WA008333_MAYRA_ACUÑA_construccion plan de trabajo proyecto PBF</t>
  </si>
  <si>
    <t>WA008296</t>
  </si>
  <si>
    <t>A - Alimentación_WA008296_MAYRA_ACUÑA_construccion plan de trabajo proyecto PBF</t>
  </si>
  <si>
    <t>WA002294</t>
  </si>
  <si>
    <t>A - Alimentación_WA002294_MAYRA_ACUÑA_construccion plan de trabajo proyecto PBF</t>
  </si>
  <si>
    <t>FC009809</t>
  </si>
  <si>
    <t>A - Alimentación_FC009809_MAYRA_ACUÑA_construccion plan de trabajo proyecto PBF</t>
  </si>
  <si>
    <t>T_PTUCO339_ANGIE_BURBANO_REUNIONES DE PLANEACIÓN SANTANDER PBF</t>
  </si>
  <si>
    <t>P901059059</t>
  </si>
  <si>
    <t>901059059 SISTEMA OPERATIVO Y LOGISTICO EN TRANSPORTE Y MOVILIDAD PRIVADA ESCOBAR VIP S.A.S.</t>
  </si>
  <si>
    <t>CLO0250_DP_FC000229_COFY2102_SON_COSAS_DEL_CORAZÓN_SERVICIO_DE_TRANSPORTE_STAFF_JÓVENES_EL_27_Y_28_DE_AGOSTO_VILLA_RICA_-_SANTANDER_DE_QUILICHAO</t>
  </si>
  <si>
    <t>H_FC000190_J.JARAMILLO_STDER_DE_QUILICHAO_27_A_28_08_2021</t>
  </si>
  <si>
    <t>CLO1126_ FC000230_COFY2102_SON_COSAS_DEL_CORAZÓN_TRANSPORTE_STAFF_JÓVENES_EL_27_Y_28_DE_AGOSTO_EN_SANTANDER_DE_QUILICHAO</t>
  </si>
  <si>
    <t>H_FC000236_J.JARAMILLO_STDER_DE_QUILICHAO_07_A_08_09_2021</t>
  </si>
  <si>
    <t>H_FC000251_M.ACUÑA_STDER_DE_QUILICHAO_10_A_11_09_2021</t>
  </si>
  <si>
    <t>H_FC000252_J.JARAMILLO_STDER_DE_QUILICHAO_10_A_11_09_2021</t>
  </si>
  <si>
    <t>H_FC000191_M.ACUNA_STDER_DE_QUILICHAO_27_A_28_08_2021</t>
  </si>
  <si>
    <t>H_FC000232_A.GOMEZ_STDER_DE_QUILICHAO_07_A_08_09_2021</t>
  </si>
  <si>
    <t>H_FC000233_M.ACUÑA_STDER_DE_QUILICHAO_07_A_08_09_2021</t>
  </si>
  <si>
    <t>A_FC094152_ALIMENT_M.ACUÑA_ESCUELA_JOVENES_PBF</t>
  </si>
  <si>
    <t>A_FC0000591_ALIMENT_M.ACUÑA_ESCUELA_JOVENES_PBF</t>
  </si>
  <si>
    <t>A_WA008927_ALIMENT_M.ACUÑA_ESCUELA_JOVENES_PBF</t>
  </si>
  <si>
    <t>A_WA13020_ALIMENT_M.ACUÑA_ESCUELA_JOVENES_PBF</t>
  </si>
  <si>
    <t>A_WA013018_ALIMENT_M.ACUÑA_ESCUELA_JOVENES_PBF</t>
  </si>
  <si>
    <t>P1061737525</t>
  </si>
  <si>
    <t>1061737525 MARLEN LISETH MANCILLA TORO</t>
  </si>
  <si>
    <t>A_WA008924_ALIMENT_M.ACUÑA_ESCUELA_JOVENES_PBF</t>
  </si>
  <si>
    <t>A_WA008931_ALIMENT_M.ACUÑA_ESCUELA_JOVENES_PBF</t>
  </si>
  <si>
    <t>A_WA013019_ALIMENT_M.ACUÑA_ESCUELA_JOVENES_PBF</t>
  </si>
  <si>
    <t>P18603511</t>
  </si>
  <si>
    <t>18603511 ORLANDO DAVILA RAIGOZA</t>
  </si>
  <si>
    <t>A_FC000064_ALIMENT_M.ACUÑA_ESCUELA_JOVENES_PBF</t>
  </si>
  <si>
    <t>A_WA013021_ALIMENT_M.ACUÑA_ESCUELA_JOVENES_PBF</t>
  </si>
  <si>
    <t>P1062276352</t>
  </si>
  <si>
    <t>1062276352 LIZETH IVONE BALANTA GARCIA</t>
  </si>
  <si>
    <t>A_WA013022_ALIMENT_M.ACUÑA_ESCUELA_JOVENES_PBF</t>
  </si>
  <si>
    <t>T_PTU123780_TRANSPORT_M.ACUÑA_ENCUELA_JOVENES_PBR</t>
  </si>
  <si>
    <t>A_WA008920_ALIMENT_M.ACUÑA_ESCUELA_JOVENES_PBF</t>
  </si>
  <si>
    <t>P1061432175</t>
  </si>
  <si>
    <t>1061432175 SABY APNAZA</t>
  </si>
  <si>
    <t>A_WA008923_ALIMENT_M.ACUÑA_ESCUELA_JOVENES_PBF</t>
  </si>
  <si>
    <t>A_WA008930_ALIMENT_M.ACUÑA_ESCUELA_JOVENES_PBF</t>
  </si>
  <si>
    <t>A_WA008929_ALIMENT_M.ACUÑA_ESCUELA_JOVENES_PBF</t>
  </si>
  <si>
    <t>A_WA008448_ALIMENTACION_ALEJANDRA_GONZALEZ_SEGUIMIENTO_COFY2102</t>
  </si>
  <si>
    <t>A_WA008449_ALIMENTACION_ALEJANDRA_GONZALEZ_SEGUIMIENTO_COFY2102</t>
  </si>
  <si>
    <t>A_WA008238_DESAYUNO_JULIAN_JARAMILLO_MISION_MONITOREO_SANTANDER_DE_QUILICHAO_PBF</t>
  </si>
  <si>
    <t>P1107099227</t>
  </si>
  <si>
    <t>1107099227 ALVAREZ ESCOBAR LUIS FERNANDO</t>
  </si>
  <si>
    <t>O_WA008893_FOTOCOPIAS_JULIAN_JARAMILLO_MISION_MONITOREO_SANTANDER_DE_QUILICHAO_PBF</t>
  </si>
  <si>
    <t>A_WA008894_DESAYUNO_JULIAN_JARAMILLO_MISION_MONITOREO_SANTANDER_DE_QUILICHAO_PBF</t>
  </si>
  <si>
    <t>A_WA008895_ALMUERZO_JULIAN_JARAMILLO_MISION_MONITOREO_SANTANDER_DE_QUILICHAO_PBF</t>
  </si>
  <si>
    <t>A_WA008872_ALMINTACION_HENRY_SAMBONI_ESCUELA_JOVENES_PROYECTO_PBF</t>
  </si>
  <si>
    <t>P91361728</t>
  </si>
  <si>
    <t>91361728 MATEUS JOSE HERNE</t>
  </si>
  <si>
    <t>A_WA008874_ALMINTACION_HENRY_SAMBONI_ESCUELA_JOVENES_PROYECTO_PBF</t>
  </si>
  <si>
    <t>P14932049</t>
  </si>
  <si>
    <t>14932049 HERRERA FERNANDO</t>
  </si>
  <si>
    <t>H_WA008866_HOSPEDAJE_HENRY_SAMBONI_ESCUELA_JOVENES_PROYECTO_PBF</t>
  </si>
  <si>
    <t>A_WA008877_ALMINTACION_HENRY_SAMBONI_ESCUELA_JOVENES_PROYECTO_PBF</t>
  </si>
  <si>
    <t>P830054539</t>
  </si>
  <si>
    <t>830054539 FIDUCOLOMBIA S.A.</t>
  </si>
  <si>
    <t>T_FC26068_PEAJE_HENRY_SAMBONI_ESCUELA_JOVENES_PROYECTO_PBF</t>
  </si>
  <si>
    <t>T_PTU125338_HENRY_SAMBONI_ESCUELA_JOVENES_PROYECTO_PBF</t>
  </si>
  <si>
    <t>O_FC000597_LAVADO_HENRY_SAMBONI_ESCUELA_JOVENES_PROYECTO_PBF</t>
  </si>
  <si>
    <t>51953012</t>
  </si>
  <si>
    <t>P901160842</t>
  </si>
  <si>
    <t>901160842 PAPELERIA UNIVERSAL DISTR SAS</t>
  </si>
  <si>
    <t>FC115070</t>
  </si>
  <si>
    <t>FC115070_COMPRA_INSUMOS_PAPELERIA_RIESGO_PROYECTO_PBF</t>
  </si>
  <si>
    <t>51954503</t>
  </si>
  <si>
    <t>P444444023</t>
  </si>
  <si>
    <t>444444023 PAGOS A BENEFICIARIOS</t>
  </si>
  <si>
    <t>PTBCO999</t>
  </si>
  <si>
    <t>PTBCO999_APOYO_BENEFICAR_TRANSP_</t>
  </si>
  <si>
    <t>ELM7</t>
  </si>
  <si>
    <t xml:space="preserve">CLO0725 COFY2102_AUXILIO_DE_TRANSPORTE_SOCIALIZACIO_ PROYECTO_PBF_ACONC_Y_PACIFISTA
</t>
  </si>
  <si>
    <t>P830131993</t>
  </si>
  <si>
    <t>830131993 EFECTIVO LTDA</t>
  </si>
  <si>
    <t>CLO0725 COFY2102_AUXILIO_DE_TRANSPORTE_SOCIALIZACIO_ PROYECTO_PBF_ACONC_Y_PACIFISTA
_COMISION</t>
  </si>
  <si>
    <t>CLO0762_COFY2102_AUXILIO_TRANSPORTE_SOCIALIZACION_PACIFISTA_MICROCUENTA_CAUCA</t>
  </si>
  <si>
    <t>CLO0762_COFY2102_AUXILIO_TRANSPORTE_SOCIALIZACION_PACIFISTA_MICROCUENTA_CAUCA_COMISION</t>
  </si>
  <si>
    <t>REINTEGRO_CLO0762_COFY2102_AUXILIO_TRANSPORTE_SOCIALIZACION_PACIFISTA_MICROCUENTA_CAUCA</t>
  </si>
  <si>
    <t>WA003566</t>
  </si>
  <si>
    <t>CLO0069_DP_WA003566_TRANSP_PERSONAL_CALI_SDER_QUILICHAO_LEIDY_MORENO_DE_PACIFISCTA</t>
  </si>
  <si>
    <t>CLO0751_COFY2102_AUXILIO_DE_TRANSPORTE_AUXILIO_TRANSPORTE_AUTORIDADES_RIO_DESBARATADO</t>
  </si>
  <si>
    <t>CLO0751_COFY2102_AUXILIO_DE_TRANSPORTE_AUXILIO_TRANSPORTE_AUTORIDADES_RIO_DESBARATADO_COMISION</t>
  </si>
  <si>
    <t>CLO0921_AUXILIO_DE_TRANSPORTE_ASISTENTES_ACTIVIDAD_SOCIALIZACION_DE_METODOLIA_DE_MAPEO_DE_RIESGO_AUTORIDADES_ACONC</t>
  </si>
  <si>
    <t>CLO0921_AUXILIO_DE_TRANSPORTE_ASISTENTES_ACTIVIDAD_SOCIALIZACION_DE_METODOLIA_DE_MAPEO_DE_RIESGO_AUTORIDADES_ACONC_COMISION</t>
  </si>
  <si>
    <t>P805021222</t>
  </si>
  <si>
    <t>805021222 TRANSPORTES ESPECIALES ACAR LTDA</t>
  </si>
  <si>
    <t>FC001915</t>
  </si>
  <si>
    <t>CLO0926_FC001915_SERVICIO TRANSPORTE STAFF PARA ACTIVIDAD PROYECTO PBF</t>
  </si>
  <si>
    <t>WA003875</t>
  </si>
  <si>
    <t>CLO0934_WA003875_TRANSPORTE_STAFF_ACTIVIDAD PROYECTO PBF</t>
  </si>
  <si>
    <t>SIB2</t>
  </si>
  <si>
    <t>"CLO0968 COFY2102_EFECTY_AUXILIO DE TRANSPORTE ACONC
"</t>
  </si>
  <si>
    <t>"CLO0968 COFY2102_EFECTY_AUXILIO DE TRANSPORTE ACONC
"_COMISION GIRO</t>
  </si>
  <si>
    <t>CLO0199_DP_FC000198_COFY2102_SON_COSAS_DEL_CORAZON_SERVICIO_TRANSPORTE_CONTRUCCION_PLAN_DE_TRABAJO_PBF_SANTANDER_DE_QUILICHAO</t>
  </si>
  <si>
    <t>CLO1049_AUXILIO_DE_TRANSPORTE_PRESENTACION_PLAN_DE_ACCION_COMUNITARIO_AUTORIDADES_CONC</t>
  </si>
  <si>
    <t>CLO1049_AUXILIO_DE_TRANSPORTE_PRESENTACION_PLAN_DE_ACCION_COMUNITARIO_AUTORIDADES_CONC_COMISION</t>
  </si>
  <si>
    <t>CLO1049_AUXILIO_DE_TRANSPORTE_PRESENTACION_PLAN_DE_ACCION_COMUNITARIO_AUTORIDADES_ACONC</t>
  </si>
  <si>
    <t>CLO1049_AUXILIO_DE_TRANSPORTE_PRESENTACION_PLAN_DE_ACCION_COMUNITARIO_AUTORIDADES_ACONC_COMISION</t>
  </si>
  <si>
    <t>CLO0968</t>
  </si>
  <si>
    <t xml:space="preserve">DEVOLUCION_GIRO _NO_COBRADO_CLO0968 COFY2102_EFECTY_AUXILIO DE TRANSPORTE ACONC
</t>
  </si>
  <si>
    <t>CLO0921</t>
  </si>
  <si>
    <t>DEVOLUCION_GIRO_NO_COBRADO_ COFY2102_CLO0921_AUXILIO_DE_TRANSPORTE_ASISTENTES_ACTIVIDAD_SOCIALIZACION_DE_METODOLIA_DE_MAPEO_DE_RIESGO_AUTORIDADES_ACONC</t>
  </si>
  <si>
    <t>REINTEGRO_GIRO_NO_COBRADO_CLO1049_AUXILIO_DE_TRANSPORTE_PRESENTACION_PLAN_DE_ACCION_COMUNITARIO_AUTORIDADES_CONC</t>
  </si>
  <si>
    <t>EDM2</t>
  </si>
  <si>
    <t>CLO0247_DP_FC002288_ COFY2102_TRANSPORTES ACAR_Transporte para Staff (2 personas) para actividades  del proyecto de PBF</t>
  </si>
  <si>
    <t>CLO1159_AUXILIO DE_TRANSPORTE_ACTIVIDADES_DE_REUNIÓN_PARA_LA_CONSTRUCCIÓN_DEL_OBSERVATORIO_EL_7_DE_SEPTIEMBRE_COMISION</t>
  </si>
  <si>
    <t>CLO1159_AUXILIO DE_TRANSPORTE_ACTIVIDADES_DE_REUNIÓN_PARA_LA_CONSTRUCCIÓN_DEL_OBSERVATORIO_EL_7_DE_SEPTIEMBRE</t>
  </si>
  <si>
    <t>CLO1243 COFY2102_EFECTY_AUXILIO DE TRANSPORTE PARA VISITA DE ASESORA GLOBAL DE PROTECCIÓN EL 4 DE OCTUBRE, SESIONES DE ESCUELA DE JÓVENES 8,9, 22 Y 23 DE OCTUBRE Y SESIONES DE ESCUELA DE GUARDIAS 1, 2, 8, 9, 22 Y 23 EN SANTANDER DE QUILICHAO CAUCA</t>
  </si>
  <si>
    <t>CLO1243 COFY2102_EFECTY_AUXILIO DE TRANSPORTE PARA VISITA DE ASESORA GLOBAL DE PROTECCIÓN EL 4 DE OCTUBRE, SESIONES DE ESCUELA DE JÓVENES 8,9, 22 Y 23 DE OCTUBRE Y SESIONES DE ESCUELA DE GUARDIAS 1, 2, 8, 9, 22 Y 23 EN SANTANDER DE QUILICHAO CAUCA_COMISIO</t>
  </si>
  <si>
    <t>DEVOLUCION _DE_GIRO_NO_COBRADO_CLO1159_AUXILIO DE_TRANSPORTE_ACTIVIDADES_DE_REUNIÓN_PARA_LA_CONSTRUCCIÓN_DEL_OBSERVATORIO_EL_7_DE_SEPTIEMBRE</t>
  </si>
  <si>
    <t>51956002</t>
  </si>
  <si>
    <t>CLO0087_DP_FC000065_SERVICIO_CATERING_ACTIVIDAD_PROTECCION_PUERTO_TEJADA</t>
  </si>
  <si>
    <t>FC000064</t>
  </si>
  <si>
    <t>CLO0721_FC000064_SERV_ALIMENTAC_SOCIALIZA_PROYECTO_PACIFISTA_SANTANDER_QUILICHAO</t>
  </si>
  <si>
    <t>P34607515</t>
  </si>
  <si>
    <t>34607515 CHOCUE CAROLINA</t>
  </si>
  <si>
    <t>WA003824_CLO0093_DP_SERVICIO_ALIMENTACION__ACTIVIDAD_SOLICIALIZACION_ACONE_SANTANDER_PROTECCION</t>
  </si>
  <si>
    <t>P1121917664</t>
  </si>
  <si>
    <t>1121917664 DIANGMARIS LILIBETH DIAZ ANDRADES</t>
  </si>
  <si>
    <t>CLO0759_WA003809_SERVICIO DE ALIMENTACIÓN PARA ACTIVIDADES DE SOCIALIZACIÓN DEL PROYECTO CON ACONC</t>
  </si>
  <si>
    <t>P1062277531</t>
  </si>
  <si>
    <t>1062277531 NORMA INES LASSO RIVERA</t>
  </si>
  <si>
    <t>WA003841</t>
  </si>
  <si>
    <t>CLO0759-1_WA003841_SERVIC_ALIMENTAC_PARA_ACTIVIDADES DE SOCIALIZACIÓN DEL PROYECTO CON ACONC</t>
  </si>
  <si>
    <t>CLO0847_FC000086_SERVIC_ALIMENTAC_ACTIVIDAD PROYECTO PBF ACONC</t>
  </si>
  <si>
    <t>P1062279883</t>
  </si>
  <si>
    <t>1062279883 YULI FERNANDA LUCUMI</t>
  </si>
  <si>
    <t>CLO0759-3_WA003858_SERVICIO_ALIMENTACIÓN_ACTIVIDADES_DE_SOCIALIZACIÓN_DEL_PROYECTO_ACONC_SILOE</t>
  </si>
  <si>
    <t>WA003876</t>
  </si>
  <si>
    <t>CLO0923 _WA003876_SERVICIO DE ALIMENTACIÓN_PBF ACONC 21 Y 22 DE JUNIO EN PADILLA CAUCA</t>
  </si>
  <si>
    <t>WA003862</t>
  </si>
  <si>
    <t>CLO1018_FC000122_AJUSTE_PESO_SERVICIO DE ALIMENTACIÓN_ CONSTRUCCIÓN PLAN DE TRABAJO PBF 22 DE JULIO EN SANTANDER DE QUILICHAO</t>
  </si>
  <si>
    <t>CLO1018_FC000122_SERVICIO DE ALIMENTACIÓN_ CONSTRUCCIÓN PLAN DE TRABAJO PBF 22 DE JULIO EN SANTANDER DE QUILICHAO</t>
  </si>
  <si>
    <t>CLO0982_FC000116_SERVICIO_ALIMENTAC_CONSTRUCCIÓN PLAN DE TRABAJO PBF 12 Y 13 EN SANTANDER DE QUILICHAO</t>
  </si>
  <si>
    <t>CLO0928_WA003896_SERVICIO DE ALIMENTACION_PARA ACTIVIDAD PROYECTO PBF ACONC 28 Y 29 DE JUNIO EN VILLA RICA CAUCA</t>
  </si>
  <si>
    <t>CLO0932_WA003892_SERVICIO DE ALIMENTACIÓN_ PARA ACTIVIDAD PROYECTO PBF ACONC 2 Y 3 DE JULIO EN SANTANDER DE QUILICHAO CAUCA</t>
  </si>
  <si>
    <t>CLO1037_WA008783_ COFY2102_CLAUDIA MARCELA GARCIA DIAZ_SERVICIO DE ALIMENTACIÓN REUNIÓN AUTORIDADES EL 4 DE AGOSTO EN VILLA RICA CAUCA</t>
  </si>
  <si>
    <t>CLO0224_DP_FC000135_ COFY2112_CASABLANCA_Servicio de alimentación reunión equipo implementador el 12 de agosto en  Santander de Quilichao para 17 personas</t>
  </si>
  <si>
    <t>CLO1038_WA00887_SERVICIO_DE_ALIMENTACIÓN_ESCUELA_JÓVENES_EL_12_DE_AGOSTO_EN_VILLA_RICA</t>
  </si>
  <si>
    <t>CLO1038_WA00887_SERVICIO_DE_ALQUILER_ESAPCIO_PARA_ACTIVIDAD_ESCUELA_JÓVENES_EL_12_DE_AGOSTO_EN_VILLA_RICA</t>
  </si>
  <si>
    <t>CLO1127_WA008888_SERVICIO_DE_ALIMENTACIÓN_ESCUELA_JÓVENES_EL_28_DE_AGOSTO_EN_SANTANDER_DE_QUILICHAO</t>
  </si>
  <si>
    <t>CLO0280_DP_FC000147_SERVICIO_DE_ALIMENTACIÓN_PARA_TALLERISTAS_ESCUELA_JÓVENES_EN_SANTANDER_DE_QUILICHAO_CAUCA</t>
  </si>
  <si>
    <t>51959510</t>
  </si>
  <si>
    <t>P10530870</t>
  </si>
  <si>
    <t>10530870 GODOY CERON CARLOS ENRIQUE</t>
  </si>
  <si>
    <t>O_WA008300_IMPRESION_MAYRA_ACUÑA_REUNIÓN_CON_AUTORIDADES_PLAN_DE_TRABAJO_PROYECTO_PBF_EN_VILLA_RICA</t>
  </si>
  <si>
    <t>CLO0217_DP_FC002227_COFY2102_TRANSPORTE ACAR S.A._ TRANSPORTE STAFF REUNIÓN EL 5 AGOSTO A SANTANDER DE QUILICHAO</t>
  </si>
  <si>
    <t>LO1153_WA013001_SERVICIO_DE_ALIMENTACIÓN_Y_ALQUILER_DE_ESPACIOS_PARA_ESCUELA_JÓVENES_SANTANDER_DE_QUILICHAO</t>
  </si>
  <si>
    <t>AJUSTE_TRANSACCION_6101937_CLO1184_FC002398_SERVICIO_TRANSPORTE_PARA_STAFF_PARA_ACTIVIDADES_DEL_PROYECTO_DE_PBF</t>
  </si>
  <si>
    <t>CLO0253_DP_FC000257_SERVICIO_HOSPEDAJE PARA TALLERISTAS ESCUELA JÓVENE</t>
  </si>
  <si>
    <t>CLO1167_FC002400_SERVICIO_TRANSPORTE_TALLERISTAS_ESCUELA_JÓVENES_EL_9_10_11_Y_12_DE_SEPTIEMBRE_EN_SANTANDER_DE_QUILICHAO_CAUCA</t>
  </si>
  <si>
    <t>CLO1179_WA013004_SERVICIO_TRANSPORTE_PARA_STAFF_PARA_EL_DESARROLLO_DE_LA_ACTIVIDAD_DE_CONSTRUCCIÓN_DEL_OBSERVATORIO_DE_ GÉNERO</t>
  </si>
  <si>
    <t>CLO1184_FC002398_SERVICIO_TRANSPORTE_PARA_STAFF_PARA_ACTIVIDADES_DEL_PROYECTO_DE_PBF</t>
  </si>
  <si>
    <t>4900</t>
  </si>
  <si>
    <t>53959506</t>
  </si>
  <si>
    <t>D3</t>
  </si>
  <si>
    <t>AP Posting Caquetá (CO)</t>
  </si>
  <si>
    <t>INES</t>
  </si>
  <si>
    <t>P860025461</t>
  </si>
  <si>
    <t>860025461 AVESCO S.A.</t>
  </si>
  <si>
    <t>FC156607</t>
  </si>
  <si>
    <t>A_ALMU_26/04_GUSTAVO_DIAZ_Socialización MQR Socios Implementadores</t>
  </si>
  <si>
    <t>P800070655</t>
  </si>
  <si>
    <t>800070655 MAQUITE S.A.</t>
  </si>
  <si>
    <t>FC555347</t>
  </si>
  <si>
    <t>A_ALMU_27/04_GUSTAVO_DIAZ_Socialización MQR Socios Implementadores</t>
  </si>
  <si>
    <t>P800228108</t>
  </si>
  <si>
    <t>800228108 FRANQUICIAS EL SANDWICHE CUBANO LTDA</t>
  </si>
  <si>
    <t>FC076935</t>
  </si>
  <si>
    <t>A_ALMU_29/04_GUSTAVO_DIAZ_Socialización MQR Socios Implementadores</t>
  </si>
  <si>
    <t>FC002189</t>
  </si>
  <si>
    <t>A_ALMU_28/04_GUSTAVO_DIAZ_Socialización MQR Socios Implementadores</t>
  </si>
  <si>
    <t>A_CENA_28/04_GUSTAVO_DIAZ_Socialización MQR Socios Implementadores</t>
  </si>
  <si>
    <t>P3747733</t>
  </si>
  <si>
    <t>3747733 FRANCISCO PASCUAL DE LA HOZ ORTIZ</t>
  </si>
  <si>
    <t>EA002029</t>
  </si>
  <si>
    <t>A_CENA_29/04_GUSTAVO_DIAZ_Socialización MQR Socios Implementadores</t>
  </si>
  <si>
    <t>PTUCO524</t>
  </si>
  <si>
    <t>T_URBANO_GUSTAVO_DIAZ_Socialización MQR Socios Implementadores</t>
  </si>
  <si>
    <t>P900794394</t>
  </si>
  <si>
    <t>900794394 GRUPO CENCO SAS</t>
  </si>
  <si>
    <t>FC044323</t>
  </si>
  <si>
    <t>A_HIDRA_29/04_GUSTAVO_DIAZ_Socialización MQR Socios Implementadores</t>
  </si>
  <si>
    <t>A_CENA_26/04_GUSTAVO_DIAZ_Socialización MQR Socios Implementadores</t>
  </si>
  <si>
    <t>A_CENA_27/04_GUSTAVO_DIAZ_Socialización MQR Socios Implementadores</t>
  </si>
  <si>
    <t>C3</t>
  </si>
  <si>
    <t>GL Posting Caquetá (CO)</t>
  </si>
  <si>
    <t>RECLA_13100148_COFY2102_A_ALMU_26/04_GUSTAVO_DIAZ_Socialización MQR Socios Implementadores</t>
  </si>
  <si>
    <t>RECLA_13100148_COFY2102_A_ALMU_27/04_GUSTAVO_DIAZ_Socialización MQR Socios Implementadores</t>
  </si>
  <si>
    <t>RECLA_13100148_COFY2102_A_ALMU_29/04_GUSTAVO_DIAZ_Socialización MQR Socios Implementadores</t>
  </si>
  <si>
    <t>RECLA_13100148_COFY2102_A_ALMU_28/04_GUSTAVO_DIAZ_Socialización MQR Socios Implementadores</t>
  </si>
  <si>
    <t>RECLA_13100148_COFY2102_A_CENA_28/04_GUSTAVO_DIAZ_Socialización MQR Socios Implementadores</t>
  </si>
  <si>
    <t>RECLA_13100148_COFY2102_A_CENA_29/04_GUSTAVO_DIAZ_Socialización MQR Socios Implementadores</t>
  </si>
  <si>
    <t>RECLA_13100148_COFY2102_T_URBANO_GUSTAVO_DIAZ_Socialización MQR Socios Implementadores</t>
  </si>
  <si>
    <t>RECLA_13100148_COFY2102_A_HIDRA_29/04_GUSTAVO_DIAZ_Socialización MQR Socios Implementadores</t>
  </si>
  <si>
    <t>RECLA_13100148_COFY2102_A_CENA_26/04_GUSTAVO_DIAZ_Socialización MQR Socios Implementadores</t>
  </si>
  <si>
    <t>RECLA_13100148_COFY2102_A_CENA_27/04_GUSTAVO_DIAZ_Socialización MQR Socios Implementadores</t>
  </si>
  <si>
    <t>5290</t>
  </si>
  <si>
    <t>51058403</t>
  </si>
  <si>
    <t>P800049104</t>
  </si>
  <si>
    <t>800049104 LABORATORIO CLINICO COLMEDICOS IPS SAS</t>
  </si>
  <si>
    <t>FC036867_EXAMENES_INGRESO_JULIAN_JARAMILLO</t>
  </si>
  <si>
    <t>FC036867_EXAMENES_INGRESO_ANGELA_GONZALEZ</t>
  </si>
  <si>
    <t>FC043975_EMO_EXAMENES_OCUPACIONALES _CAMILO_NARVAEZ</t>
  </si>
  <si>
    <t>5295</t>
  </si>
  <si>
    <t>51059999</t>
  </si>
  <si>
    <t>DIG2</t>
  </si>
  <si>
    <t>Mayra Alejandra Acuña López</t>
  </si>
  <si>
    <t>P1144175733</t>
  </si>
  <si>
    <t>1144175733 ACUÑA LOPEZ MAYRA ALEJANDRA</t>
  </si>
  <si>
    <t>SALARY 202102</t>
  </si>
  <si>
    <t>CO4TC</t>
  </si>
  <si>
    <t>Jesica Daniela Perdomo Cedeño</t>
  </si>
  <si>
    <t>P1117542687</t>
  </si>
  <si>
    <t>1117542687 JESICA DANIELA PERDOMO CEDEÑO</t>
  </si>
  <si>
    <t>SALARY 202003</t>
  </si>
  <si>
    <t>CO339</t>
  </si>
  <si>
    <t>Angie Carolina Burbano Gomez</t>
  </si>
  <si>
    <t>SALARY 202004</t>
  </si>
  <si>
    <t>Julian Alfredo Jaramillo Guerrero</t>
  </si>
  <si>
    <t>P1122783820</t>
  </si>
  <si>
    <t>1122783820 JARAMILLO GUERRERO JULIAN ALFREDO</t>
  </si>
  <si>
    <t>PLANILLA MAYO 2020</t>
  </si>
  <si>
    <t>DISTRIBUCION PLANILLA PENSION MAYO 2020</t>
  </si>
  <si>
    <t>CO609</t>
  </si>
  <si>
    <t>Jesús David Caicedo Benavidez</t>
  </si>
  <si>
    <t>P1085257236</t>
  </si>
  <si>
    <t>1085257236 CAICEDO BENAVIDEZ JESUS DAVID</t>
  </si>
  <si>
    <t>SALARY 202005</t>
  </si>
  <si>
    <t>CO106</t>
  </si>
  <si>
    <t>Francisco Javier Altamar Morales</t>
  </si>
  <si>
    <t>P80135178</t>
  </si>
  <si>
    <t>80135178 FRANCISCO JAVIER ALTAMAR MORALES</t>
  </si>
  <si>
    <t>CO330</t>
  </si>
  <si>
    <t>Diego Alejandro Ayala Arenales</t>
  </si>
  <si>
    <t>P1098662567</t>
  </si>
  <si>
    <t>1098662567 AYALA ARENALES GERSSON JAIR</t>
  </si>
  <si>
    <t>CO366</t>
  </si>
  <si>
    <t>Jenniffer Jurany Mafla Playonero</t>
  </si>
  <si>
    <t>P1144126693</t>
  </si>
  <si>
    <t>1144126693 MAFLA PLAYONERO JENNIFFER JURANY</t>
  </si>
  <si>
    <t>CO441</t>
  </si>
  <si>
    <t>Ray Leonard Caicedo Solis</t>
  </si>
  <si>
    <t>P1116235866</t>
  </si>
  <si>
    <t>1116235866 CAICEDO SOLIS RAY LEONARD</t>
  </si>
  <si>
    <t>CO476</t>
  </si>
  <si>
    <t>Hernando Andres Enriquez Ruiz</t>
  </si>
  <si>
    <t>P12752041</t>
  </si>
  <si>
    <t>12752041 ENRIQUEZ RUIZ HERNANDO ANDRES</t>
  </si>
  <si>
    <t>CO532</t>
  </si>
  <si>
    <t>Maria Alejandra Alejandra Gonzalez</t>
  </si>
  <si>
    <t>P1020777365</t>
  </si>
  <si>
    <t>1020777365 MARIA ALEJANDRA GONZALEZ MARTINEZ</t>
  </si>
  <si>
    <t>CO632</t>
  </si>
  <si>
    <t>Felipe Andres Tejada Vargas</t>
  </si>
  <si>
    <t>P1110584643</t>
  </si>
  <si>
    <t>1110584643 FELIPE ANDRES TEJADA VARGAS</t>
  </si>
  <si>
    <t>SALARY 202106</t>
  </si>
  <si>
    <t>SALARY 202006</t>
  </si>
  <si>
    <t>José Miguel Miguel Campos Cetina</t>
  </si>
  <si>
    <t>P1019061144</t>
  </si>
  <si>
    <t>1019061144 CAMPOS CETINA JOSE MIGUEL</t>
  </si>
  <si>
    <t>Angela Maria Gonzalez Zambrano</t>
  </si>
  <si>
    <t>P1085285273</t>
  </si>
  <si>
    <t>1085285273 GONZALEZ ZAMBRANO ANGELA MARIA</t>
  </si>
  <si>
    <t>Hector Mauricio Morillo Salazar</t>
  </si>
  <si>
    <t>P1085908701</t>
  </si>
  <si>
    <t>1085908701 MORILLO SALAZAR HECTOR MAURICIO</t>
  </si>
  <si>
    <t>CO4QB</t>
  </si>
  <si>
    <t>CO527</t>
  </si>
  <si>
    <t>July Andrea Castillo Soacha</t>
  </si>
  <si>
    <t>P1015394584</t>
  </si>
  <si>
    <t>1015394584 JULY ANDREA CASTILLO SOACHA</t>
  </si>
  <si>
    <t>CO706</t>
  </si>
  <si>
    <t>Diana Paola Estrada Paz</t>
  </si>
  <si>
    <t>P37083004</t>
  </si>
  <si>
    <t>37083004 ESTRADA  PAZ DIANA PAOLA</t>
  </si>
  <si>
    <t>Reversed Tr 1101079 SALARY 202006</t>
  </si>
  <si>
    <t>SALARY 202107</t>
  </si>
  <si>
    <t>RECLAS_TRANS_1100897_50%_SALARIO_COFY2102_A_COFM2012_SALARY 202006</t>
  </si>
  <si>
    <t>Reversed Tr 1101080 SALARY 202006</t>
  </si>
  <si>
    <t>SALARY 202108</t>
  </si>
  <si>
    <t>Jenifer Viviana Torres Munoz</t>
  </si>
  <si>
    <t>P1063813765</t>
  </si>
  <si>
    <t>1063813765 TORRES MUÑOZ JENIFER VIVIANA</t>
  </si>
  <si>
    <t>Harry Kevin Escobar Medina</t>
  </si>
  <si>
    <t>P1113637243</t>
  </si>
  <si>
    <t>1113637243 ESCOBAR MEDINA HARRY KEVIN</t>
  </si>
  <si>
    <t>CO273</t>
  </si>
  <si>
    <t>Jairo David Moran Jojoa</t>
  </si>
  <si>
    <t>P1085274079</t>
  </si>
  <si>
    <t>1085274079 MORAN JOJOA JAIRO DAVID</t>
  </si>
  <si>
    <t>SALARY 202109</t>
  </si>
  <si>
    <t>Reversed Tr 1101439 SALARY 202109</t>
  </si>
  <si>
    <t>Edna Rocio Castro Toledo</t>
  </si>
  <si>
    <t>P1117542686</t>
  </si>
  <si>
    <t>1117542686 EDNA ROCIO CASTRO TOLEDO</t>
  </si>
  <si>
    <t>Jenny Julieth Rodriguez Rojas</t>
  </si>
  <si>
    <t>P1144170158</t>
  </si>
  <si>
    <t>1144170158 JENNY JULIETH RODRIGUEZ ROJAS</t>
  </si>
  <si>
    <t>Reversed Tr 1101440 SALARY 202109</t>
  </si>
  <si>
    <t>CO363</t>
  </si>
  <si>
    <t>Paula Marcela Bastidas Rivera</t>
  </si>
  <si>
    <t>P1061706042</t>
  </si>
  <si>
    <t>1061706042 BASTIDAS RIVERA PAULA MARCELA</t>
  </si>
  <si>
    <t>CO4IP</t>
  </si>
  <si>
    <t>6520</t>
  </si>
  <si>
    <t>51157040</t>
  </si>
  <si>
    <t>A5</t>
  </si>
  <si>
    <t>GL Posting Pasto (CO)</t>
  </si>
  <si>
    <t>P830118571</t>
  </si>
  <si>
    <t>830118571 SERVITRONIC COMPUTADORES Y SERVICIOS DEL LAGO LTDA</t>
  </si>
  <si>
    <t>IPI0318_FC052422_ COFY2102_COFM2012_COFM1911_COFM1904_SERVITRONIC_BASE REFRIGERANTE_Dotación elementos de cómputo para oficinas WA</t>
  </si>
  <si>
    <t>IPI0318_FC052422_ COFY2102_COFM2012_COFM1911_COFM1904_SERVITRONIC_DIADEMA_Dotación elementos de cómputo para oficinas WA</t>
  </si>
  <si>
    <t>IPI0318_FC052422_ COFY2102_COFM2012_COFM1911_COFM1904_SERVITRONIC_CABLE HDMI_Dotación elementos de cómputo para oficinas WA</t>
  </si>
  <si>
    <t>IPI0318_FC052422_ COFY2102_COFM2012_COFM1911_COFM1904_SERVITRONIC_CONVERTIDOR HDMI A VGA_Dotación elementos de cómputo para oficinas WA</t>
  </si>
  <si>
    <t>IPI0318_FC052422_ COFY2102_COFM2012_COFM1911_COFM1904_SERVITRONIC_CONVERTIDOR USB HDMI_Dotación elementos de cómputo para oficinas WA</t>
  </si>
  <si>
    <t>IPI0318_FC052422_ COFY2102_COFM2012_COFM1911_COFM1904_SERVITRONIC_MULTIPUERTO USB_Dotación elementos de cómputo para oficinas WA</t>
  </si>
  <si>
    <t>IPI0318_FC052422_ COFY2102_COFM2012_COFM1911_COFM1904_SERVITRONIC_BRAZOS MONITOR_Dotación elementos de cómputo para oficinas WA</t>
  </si>
  <si>
    <t>202108</t>
  </si>
  <si>
    <t>IPI0318_FC052422_ COFY2102_COFM2012_COFM1911_COFM1904_SERVITRONIC_Dotación elementos de cómputo para oficinas WA</t>
  </si>
  <si>
    <t>P901431290</t>
  </si>
  <si>
    <t>901431290 EASY Y QUICK LOGISTICA SAS</t>
  </si>
  <si>
    <t>CLO0981-1_FC002302_COMPRA_FUNDAS_PARA_EQUIPOS_COMPUTO_AREA_SW</t>
  </si>
  <si>
    <t>AJUST TRANS#7100155_IPI0318_FC052422_ COFY2102_COFM2012_COFM1911_COFM1904_SERVITRONIC_BRAZOS MONITOR_Dotación elementos de cómputo para oficinas WA</t>
  </si>
  <si>
    <t>51452507</t>
  </si>
  <si>
    <t>6600</t>
  </si>
  <si>
    <t>51157041</t>
  </si>
  <si>
    <t>P5212180</t>
  </si>
  <si>
    <t>5212180 MIGUEL FEDERMAN CALVACHE CAGUAZANGO</t>
  </si>
  <si>
    <t>AJUS_6101280_RECLASI_CUENTA_FC000726_COMPRA_LAMPARAS_SENSORES_OFIC_CALI</t>
  </si>
  <si>
    <t>P16678341</t>
  </si>
  <si>
    <t>16678341 JAVIER ORTIZ CORREA</t>
  </si>
  <si>
    <t>FC000032_MANTENIM_PREVENTI_PUERTA_ELECTRICA_OFIC_CALI</t>
  </si>
  <si>
    <t>51451003</t>
  </si>
  <si>
    <t>P900817562</t>
  </si>
  <si>
    <t>900817562 INGENIARQ SOLUCIONES CONSTRUCCIONES Y CONSULTORIAS S.A.S</t>
  </si>
  <si>
    <t>CLO1207_FC000015_SUMINISTRO_E_INSTALACION_BARRERAS DE RETARDO MOISS</t>
  </si>
  <si>
    <t>6800</t>
  </si>
  <si>
    <t>51157047</t>
  </si>
  <si>
    <t>P31282486</t>
  </si>
  <si>
    <t>31282486 ALUMCALI</t>
  </si>
  <si>
    <t>FC021950_COFY2102_COMPRA_CHAPAS_DE_SEGURIDAD_SEGUNDO_PISO_CALI</t>
  </si>
  <si>
    <t>FC000990_COMPRA_PAPEL_ADHESIVO_CARTA_PARA_ARCHIVO_CALI</t>
  </si>
  <si>
    <t>FC000726_COMPRA_LAMPARAS_SENSORES_OFIC_CALI</t>
  </si>
  <si>
    <t>P901376085</t>
  </si>
  <si>
    <t>901376085 ALUMCENTRO SAS</t>
  </si>
  <si>
    <t>FC002078_COMPRA_CERRADURAS_PARA_VENTANAS_OFIC_CALI</t>
  </si>
  <si>
    <t>P800185150</t>
  </si>
  <si>
    <t>800185150 SONY COLOMBIA</t>
  </si>
  <si>
    <t>FC004851</t>
  </si>
  <si>
    <t>FC004851_COMPRA_AUDIFOOS_PARA_REUNIONES_FRANCISCO_ALTAMAR</t>
  </si>
  <si>
    <t>P41490513</t>
  </si>
  <si>
    <t>41490513 SARA EVA REYES DE RODRIGUEZ Y/O RELIEVES</t>
  </si>
  <si>
    <t>FC074353</t>
  </si>
  <si>
    <t>FC074353_COMPRA_SELLO_ENTINTADO_AUTOMATICO</t>
  </si>
  <si>
    <t>51952504</t>
  </si>
  <si>
    <t>AJUSTE_PES_CAJA_EFECTIVO_CALI_FC002078_COMPRA_CERRADURAS_PARA_VENTANAS_OFIC_CALI</t>
  </si>
  <si>
    <t>P94541298</t>
  </si>
  <si>
    <t>94541298 HERMES LEANDRO RUIZ JARAMILLO</t>
  </si>
  <si>
    <t>FC009233_COMPRA_AEROSOL_OCI_PARA_BISAGRAS_PUERTA_BODEGA</t>
  </si>
  <si>
    <t>51953002</t>
  </si>
  <si>
    <t>51959515</t>
  </si>
  <si>
    <t>6860</t>
  </si>
  <si>
    <t>51157051</t>
  </si>
  <si>
    <t>P890900608</t>
  </si>
  <si>
    <t>890900608 ALMACENES EXITO S.A.</t>
  </si>
  <si>
    <t>FC421767_COMPRA_ALMUERZOS_EQUIPO_FINANCIERO_ARCHIVO_FISICO_GESTION_DOCUEMTNAL_ABRIL_MAYO_JUNIO</t>
  </si>
  <si>
    <t>P890303208</t>
  </si>
  <si>
    <t>890303208 COMFANDI SANTAROSA</t>
  </si>
  <si>
    <t>FC158830_REFRIGERIOS_JORNADA_ARCHIVATON_LABORAL_CALI</t>
  </si>
  <si>
    <t>51956001</t>
  </si>
  <si>
    <t>FC421768_COMPRA_ALMUERZOS_EQUIPO_FINANCIERO_ARCHIVO_FISICO_GESTION_DOCUEMTNAL_ABRIL_MAYO_JUNIO</t>
  </si>
  <si>
    <t>FC158220_COMPRA_ALMUERZOS_EQUIPO_FINANCIERO_ARCHIVO_FISICO_GESTION_DOCUEMTNAL_ABRIL_MAYO_JUNIO</t>
  </si>
  <si>
    <t>P891408584</t>
  </si>
  <si>
    <t>891408584 FRISBY S.A</t>
  </si>
  <si>
    <t>FC993895_COMPRA_ALMUERZOS_EQUIPO_FINANCIERO_ARCHIVO_FISICO_GESTION_DOCUEMTNAL_ABRIL_MAYO_JUNIO</t>
  </si>
  <si>
    <t>FC158830_AJUSTE_PESO_REFRIGERIOS_JORNADA_ARCHIVATON_LABORAL_CALI</t>
  </si>
  <si>
    <t>FC158830_ALMUERZOS_JORNADA_ARCHIVATON_LABORAL_CALI</t>
  </si>
  <si>
    <t>A_FC005935_ALMUERZO_JESICA_PERDOMO_FRANCISCO_ALTMAR_JESSICA_VASQUEZ_REUNION_SOCIO_IMPLEMENTADOR_ACONC</t>
  </si>
  <si>
    <t>6910</t>
  </si>
  <si>
    <t>51157053</t>
  </si>
  <si>
    <t>P800153993</t>
  </si>
  <si>
    <t>800153993 COMUNICACIÓN CELULAR S.A COMCEL S.A</t>
  </si>
  <si>
    <t>FC363545_SERVICIO_TELEFONIA_MOVIL_ABRIL_WA</t>
  </si>
  <si>
    <t>FC758281_SERVICIO_TELEFONIA_MOVIL_MAYO_WA</t>
  </si>
  <si>
    <t>FC198556_CLARO_SERVICIO_TELEFONIA_MOVIL_JUNIO_WA</t>
  </si>
  <si>
    <t>FC892143_CLARO_SERVICIO_TELEFONIA_MOVIL_JULIO_WA</t>
  </si>
  <si>
    <t>FC483021_CLARO_SERVICIO_TELEFONIA_MOVIL_AGOSTO_WA</t>
  </si>
  <si>
    <t>FC0172438_CLARO_SERVICIO_TELEFONIA_MOVIL_SEPTIEMBRE_WA</t>
  </si>
  <si>
    <t>51159507</t>
  </si>
  <si>
    <t>51353501</t>
  </si>
  <si>
    <t>6920</t>
  </si>
  <si>
    <t>JA33</t>
  </si>
  <si>
    <t>N042355</t>
  </si>
  <si>
    <t>IEC Iridium monthly fee Colombia May 2021 - POPAYAN _8988169234002336915</t>
  </si>
  <si>
    <t>IEC Iridium monthly fee Colombia May 2021 - POPAYÁN_8988169234002335966</t>
  </si>
  <si>
    <t>IEC Iridium monthly fee Colombia June 2021 - POPAYAN _8988169234002336915</t>
  </si>
  <si>
    <t>IEC Iridium monthly fee Colombia June 2021 - POPAYÁN_8988169234002335966</t>
  </si>
  <si>
    <t>N042673</t>
  </si>
  <si>
    <t>IEC Iridium monthly fee Colombia July 2021 - POPAYAN _8988169234002336915</t>
  </si>
  <si>
    <t>IEC Iridium monthly fee Colombia July 2021 - POPAYÁN_8988169234002335966</t>
  </si>
  <si>
    <t>6960</t>
  </si>
  <si>
    <t>51954501</t>
  </si>
  <si>
    <t>T_PTU125062_J.RODRIGUEZ_GESTION_DE_ARCHIVO_OFICINA_CALI</t>
  </si>
  <si>
    <t>T_PTUCO404_M.GONZALEZ_GESTION_DE_ARCHIVO_OFICINA_CALI</t>
  </si>
  <si>
    <t>T_PTU119010_J.PERDOMO_GESTION_DE_ARCHIVO_OFICINA_CALI</t>
  </si>
  <si>
    <t>T_PTU124932_G.GUEVARA_GESTION_DE_ARCHIVO_OFICINA_CALI</t>
  </si>
  <si>
    <t>T_PTUCO435_ELIZABETH_MAFLA_GESTION_ARCHIVO_FISICO_GUAPI</t>
  </si>
  <si>
    <t>7040</t>
  </si>
  <si>
    <t>51154005</t>
  </si>
  <si>
    <t>CO14</t>
  </si>
  <si>
    <t>TOYOTA HILUX (7) (FL)</t>
  </si>
  <si>
    <t>P899999996</t>
  </si>
  <si>
    <t>899999996 SECRETARIA DE HACIENDA DISTRITAL -BOGOTA</t>
  </si>
  <si>
    <t>FC153240 SECRETARIA DISTRITAL DE HACIENDA IMPUESTO VEHICULO CO14 URW110</t>
  </si>
  <si>
    <t>7140</t>
  </si>
  <si>
    <t>51157063</t>
  </si>
  <si>
    <t>P805000301</t>
  </si>
  <si>
    <t>805000301 CORPORACION CLUB CAMPESTRE LOS ANDES</t>
  </si>
  <si>
    <t>CLO0793_FC000822_JORNADA CAPACITACIÓN DE SOCIO IMPLEMENTADOR EN SANTANDER DE QUILICHAO</t>
  </si>
  <si>
    <t>P900088915</t>
  </si>
  <si>
    <t>900088915 EASYFLY</t>
  </si>
  <si>
    <t>TKT_FC772219_J.MORAN_PSO_CLO_PSO_11_A_18_04_2021</t>
  </si>
  <si>
    <t>TKT_FC778292_J.PERDOMO_CLO_BOG_CLO_26_A_28_07_2021</t>
  </si>
  <si>
    <t>TKT_FC778306_F.ALTAMAR_CLO_BOG_CLO_26_A_28_07_2021</t>
  </si>
  <si>
    <t>TKT_FC779613_P.BASTIDAS_PPN_BOG_PPN_15_08_A_16_09_2021</t>
  </si>
  <si>
    <t>TKT_FC780096_H.ENRIQUEZ_PPN_BOG_PPN_30_08_2021</t>
  </si>
  <si>
    <t>TKT_FC783831_M.GONZALEZ_CLO_BOG_CLO_04_A_07_10_2021</t>
  </si>
  <si>
    <t>CO110</t>
  </si>
  <si>
    <t>DAVID FELIPE GARCIA HERRERA</t>
  </si>
  <si>
    <t>TKT_FC782247_D.GARCIA_BOG_PPN_BOG_20_A_21_09_2021</t>
  </si>
  <si>
    <t>TKT_FC781516_A.BURBANO_CO_PSO_08_09_2021</t>
  </si>
  <si>
    <t>FC781516</t>
  </si>
  <si>
    <t>P890704196</t>
  </si>
  <si>
    <t>890704196 AIRES</t>
  </si>
  <si>
    <t>FC783838</t>
  </si>
  <si>
    <t>TKT_FC783838_P.BASTIDAS_BOG_CLO_09_10_2021</t>
  </si>
  <si>
    <t>TKT_FC783837_P.BASTIDAS_CLO_BOG_04_10_2021</t>
  </si>
  <si>
    <t>TKT_FC783828_M.GONZALEZ_CLO_BOG_CLO_04_A_07_10_2021</t>
  </si>
  <si>
    <t>51159501</t>
  </si>
  <si>
    <t>CO187</t>
  </si>
  <si>
    <t>Marlon Alonso Galindo</t>
  </si>
  <si>
    <t>FC706553</t>
  </si>
  <si>
    <t>PEAJE_CALI_SANTADER_QUILICHAO_HTY157_REUNION_ACONC</t>
  </si>
  <si>
    <t>FC768669</t>
  </si>
  <si>
    <t>CO276</t>
  </si>
  <si>
    <t>Gerardo Alfonso Fletcher Serrano</t>
  </si>
  <si>
    <t>FC200983_PEAJE_CALI_SANTANDER_QUILICHAO_URW110_APOYO_ACTIVIDADE_PROTECCION</t>
  </si>
  <si>
    <t>FC389147_PEAJE_CALI_SANTANDER_QUILICHAO_URW110_APOYO_ACTIVIDADE_PROTECCION</t>
  </si>
  <si>
    <t>FC742963_PEAJE_CALI_SANTANDER_QUILICHAO_URW110_APOYO_ACTIVIDADE_PROTECCION</t>
  </si>
  <si>
    <t>O_FC088058_PEAJE_TRANSPORTE_SEGURIDAD_REUNIONES_POPAYAN</t>
  </si>
  <si>
    <t>O_FC076042_PEAJE_TRANSPORTE_SEGURIDAD_REUNIONES_POPAYAN</t>
  </si>
  <si>
    <t>51550503</t>
  </si>
  <si>
    <t>H_FC000238_J.PERDOMO_SANTANDER_DE_QUILICHAO_26_A_27_04_2021</t>
  </si>
  <si>
    <t>H_FC000205_J.PERDOMO_J.CASTILLO_M.GALINDO_H.ENRIQUEZ_J.MORAN_F.ALTAMAR_SANTANDER_DE_QUILICHAO_13_A_14_04_2021</t>
  </si>
  <si>
    <t>H_FC000239_J.JARAMILLO_SANTANDER_DE_QUILICHAO_26_A_27_04_2021</t>
  </si>
  <si>
    <t>H_FC002044_J.MORAN_CALI_12_A_13_04_2021</t>
  </si>
  <si>
    <t>H_FC002072_J.MORAN_CALI_14_A_16_04_2021</t>
  </si>
  <si>
    <t>H_FC000236_A.GONZALEZ_SANTANDER_DE_QUILICHAO_26_A_27_04_2021</t>
  </si>
  <si>
    <t>CO524</t>
  </si>
  <si>
    <t>Gustavo Adolfo Diaz Tovar</t>
  </si>
  <si>
    <t>H_FC002228_G.DIAZ_CALI_26_A_29_04_2021</t>
  </si>
  <si>
    <t>P901237778</t>
  </si>
  <si>
    <t>901237778 HOTEL METROTEL SAS</t>
  </si>
  <si>
    <t>H_FC003017_J.PERDOMO_BOGOTA_26_A_28_07_2021</t>
  </si>
  <si>
    <t>H_FC003014_F.ALTAMAR_BOGOTA_26_A_28_07_2021</t>
  </si>
  <si>
    <t>P830087832</t>
  </si>
  <si>
    <t>830087832 INVERSIONES HOTELERAS ROSALES SA</t>
  </si>
  <si>
    <t>H_FC002272_M.GONZALEZ_BOGOTA_04_A_07_08_2021</t>
  </si>
  <si>
    <t>H_FC000192_J.PERDOMO_STDER_DE_QUILICHAO_31_08_A_01_09_2021</t>
  </si>
  <si>
    <t>P650187917</t>
  </si>
  <si>
    <t>650187917 FREI HEINRICH ERNEST</t>
  </si>
  <si>
    <t>CLO0271_DP_FC001201_SERVICIO_ALOJAMIENTO_PERSONA_EXTERNA_ACONC</t>
  </si>
  <si>
    <t>H_FC000193_F.ALTAMAR_STDER_DE_QUILICHAO_31_08_A_01_09_2021</t>
  </si>
  <si>
    <t>51550504</t>
  </si>
  <si>
    <t>WA003982_ALIMNETAC_JESICA_PERDOMO_ACTIVIDAD_SANTANDER_QUILICHAO_REVISION_PRESUPUESTAL_</t>
  </si>
  <si>
    <t>WA003983__ALIMNETAC_JESICA_PERDOMO_ACTIVIDAD_SANTANDER_QUILICHAO_REVISION_PRESUPUESTAL_</t>
  </si>
  <si>
    <t>WA003984_ALIMNETAC_JESICA_PERDOMO_ACTIVIDAD_SANTANDER_QUILICHAO_REVISION_PRESUPUESTAL_</t>
  </si>
  <si>
    <t>FC555350_ALIMNETAC_JESICA_PERDOMO_ACTIVIDAD_SANTANDER_QUILICHAO_REVISION_PRESUPUESTAL_</t>
  </si>
  <si>
    <t>FC009356</t>
  </si>
  <si>
    <t>ALIMENTAC_JESICA_PERDOMO_JORNADA_CAPACITA_IMPLEMENTAC_ACONC</t>
  </si>
  <si>
    <t>P901015402</t>
  </si>
  <si>
    <t>901015402 TRIPLETE SAS</t>
  </si>
  <si>
    <t>FC034709</t>
  </si>
  <si>
    <t>NC000010</t>
  </si>
  <si>
    <t>CLO0793_FC000822_NC_010_ PAGO2/2_JORNADA CAPACITACIÓN DE SOCIO IMPLEMENTADOR EN SANTANDER DE QUILICHAO</t>
  </si>
  <si>
    <t>FC000822</t>
  </si>
  <si>
    <t>CLO0793_FC000822_NC_010_ AJUSTE__PESO_PAGO2/2_JORNADA CAPACITACIÓN DE SOCIO IMPLEMENTADOR EN SANTANDER DE QUILICHAO</t>
  </si>
  <si>
    <t>WA003948_ALIMNETAC_JULIAN_JARAMILLO_MISION_MONITOREO_SANTANDER_QUILICHAO</t>
  </si>
  <si>
    <t>FC555348_ALIMNETAC_JULIAN_JARAMILLO_MISION_MONITOREO_SANTANDER_QUILICHAO</t>
  </si>
  <si>
    <t>P1112477138</t>
  </si>
  <si>
    <t>1112477138 MORALES AMAYA JAIME ALBERTO</t>
  </si>
  <si>
    <t>FC043941</t>
  </si>
  <si>
    <t>FC043941_SERV_ALIMENTACION_EQUIPO_REUNION_ACONC</t>
  </si>
  <si>
    <t>WA003230</t>
  </si>
  <si>
    <t>WA003230_SERV_ALIMENTACION_EQUIPO_REUNION_ACONC</t>
  </si>
  <si>
    <t>FC010962</t>
  </si>
  <si>
    <t>SERV_ALIMENTACION_MARLON_GALINDO_EQUIPO_REUNION_ACONC</t>
  </si>
  <si>
    <t>P900934851</t>
  </si>
  <si>
    <t>900934851 GASTRONMIA ITALIANA EN COLOMBIA SAS</t>
  </si>
  <si>
    <t>FC412860</t>
  </si>
  <si>
    <t>A7</t>
  </si>
  <si>
    <t>GL Posting Tumaco (CO)</t>
  </si>
  <si>
    <t>P800065567</t>
  </si>
  <si>
    <t>800065567 VENTOLINI S.A</t>
  </si>
  <si>
    <t>A_FC078085_CENA_D.MORAN_CO273_MISION SOCIALIZACION PROCESOS LOGISTICOS PARA IMPLEMENTACION</t>
  </si>
  <si>
    <t>A_WA004914_ALMU_D.MORAN_CO273_MISION SOCIALIZACION PROCESOS LOGISTICOS PARA IMPLEMENTACION</t>
  </si>
  <si>
    <t>A_FC552541_CENA_D.MORAN_CO273_MISION SOCIALIZACION PROCESOS LOGISTICOS PARA IMPLEMENTACION</t>
  </si>
  <si>
    <t>P900449935</t>
  </si>
  <si>
    <t>900449935 CHEF BURGUER COMPANY SAS</t>
  </si>
  <si>
    <t>A_FC015500_CENA_D.MORAN_CO273_MISION SOCIALIZACION PROCESOS LOGISTICOS PARA IMPLEMENTACION</t>
  </si>
  <si>
    <t>A_WA004916_ALMU_D.MORAN_CO273_MISION SOCIALIZACION PROCESOS LOGISTICOS PARA IMPLEMENTACION</t>
  </si>
  <si>
    <t>P1193134846</t>
  </si>
  <si>
    <t>1193134846 WENDY LISETH GUERRERO FERNANDEZ</t>
  </si>
  <si>
    <t>A_WA004915_CENA_D.MORAN_CO273_MISION SOCIALIZACION PROCESOS LOGISTICOS PARA IMPLEMENTACION</t>
  </si>
  <si>
    <t>P59672712</t>
  </si>
  <si>
    <t>59672712 DAYRA CORTES</t>
  </si>
  <si>
    <t>A_WA004917_ALMU_D.MORAN_CO273_MISION SOCIALIZACION PROCESOS LOGISTICOS PARA IMPLEMENTACION</t>
  </si>
  <si>
    <t>P900498326</t>
  </si>
  <si>
    <t>900498326 MES SOLUCIONES INMOBILIARIAS SAS</t>
  </si>
  <si>
    <t>A_FC036097_CENA_D.MORAN_CO273_MISION SOCIALIZACION PROCESOS LOGISTICOS PARA IMPLEMENTACION</t>
  </si>
  <si>
    <t>A_FC178648_ALMU_D.MORAN_CO273_MISION SOCIALIZACION PROCESOS LOGISTICOS PARA IMPLEMENTACION</t>
  </si>
  <si>
    <t>A_FC891965_CENA_D.MORAN_CO273_MISION SOCIALIZACION PROCESOS LOGISTICOS PARA IMPLEMENTACION</t>
  </si>
  <si>
    <t>WA003475_ALIMNETAC_GERARDO_FLETCHER_SANTANDER_QUILICHAO_APOYO_ACTIVIDADE_PROTECCION</t>
  </si>
  <si>
    <t>WA003138_ALIMNETAC_ALEJANDRA_GONZALEZ_SOCIALIZACION_LINEA_BASE_COFY2102</t>
  </si>
  <si>
    <t>FC555349_ALIMNETAC_ALEJANDRA_GONZALEZ_SOCIALIZACION_LINEA_BASE_COFY2102</t>
  </si>
  <si>
    <t>P1144193370</t>
  </si>
  <si>
    <t>1144193370 CARLOS QUINTERO ANGULO</t>
  </si>
  <si>
    <t>WA003139_ALIMNETAC_ALEJANDRA_GONZALEZ_SOCIALIZACION_LINEA_BASE_COFY2102</t>
  </si>
  <si>
    <t>WA003140_ALIMNETAC_ALEJANDRA_GONZALEZ_SOCIALIZACION_LINEA_BASE_COFY2102</t>
  </si>
  <si>
    <t>WA003141_ALIMNETAC_ALEJANDRA_GONZALEZ_SOCIALIZACION_LINEA_BASE_COFY2102</t>
  </si>
  <si>
    <t>WA003947_ALIMENTAC_ANGELA_GONZALEZ_Socialización línea de base COFY2102</t>
  </si>
  <si>
    <t>WA008228</t>
  </si>
  <si>
    <t>ANUL_6101246_WA008228_ALIMENTAC_JULIAN_JARAMILLO_MONITOREO_SANTANDER_QUILICHAO_PBF</t>
  </si>
  <si>
    <t>WA008229</t>
  </si>
  <si>
    <t>ANUL_6101246_WA008229_ALIMENTAC_JULIAN_JARAMILLO_MONITOREO_SANTANDER_QUILICHAO_PBF</t>
  </si>
  <si>
    <t>FC070349</t>
  </si>
  <si>
    <t>ANUL_6101246_FC070349_ALIMENTAC_JULIAN_JARAMILLO_MONITOREO_SANTANDER_QUILICHAO_PBF</t>
  </si>
  <si>
    <t>FC070572</t>
  </si>
  <si>
    <t>ANUL_6101246_FC070572_ALIMENTAC_JULIAN_JARAMILLO_MONITOREO_SANTANDER_QUILICHAO_PBF</t>
  </si>
  <si>
    <t>FC070867</t>
  </si>
  <si>
    <t>ANUL_6101246_FC070867_ALIMENTAC_JULIAN_JARAMILLO_MONITOREO_SANTANDER_QUILICHAO_PBF</t>
  </si>
  <si>
    <t>WA008231</t>
  </si>
  <si>
    <t>ANUL_6101246_WA008231_ALIMENTAC_JULIAN_JARAMILLO_MONITOREO_SANTANDER_QUILICHAO_PBF</t>
  </si>
  <si>
    <t>FC069480</t>
  </si>
  <si>
    <t>ANUL_6101246_FC069480_ALIMENT_JULIAN_JARAMILLO_MONITOREO_SANTANDER_QUILICHAO_PBF</t>
  </si>
  <si>
    <t>WA008225</t>
  </si>
  <si>
    <t>ANUL_6101246_WA008225_ALIMENT_JULIAN_JARAMILLO_MONITOREO_SANTANDER_QUILICHAO_PBF</t>
  </si>
  <si>
    <t>WA008226</t>
  </si>
  <si>
    <t>ANUL_6101246_WA008226_ALIMENT_JULIAN_JARAMILLO_MONITOREO_SANTANDER_QUILICHAO_PBF</t>
  </si>
  <si>
    <t>P817002544</t>
  </si>
  <si>
    <t>817002544 SUPERMERCADOS EL RENDIDOR S.A.</t>
  </si>
  <si>
    <t>FC000408</t>
  </si>
  <si>
    <t>ANUL_6101246_FC000408_ALIMENT_JULIAN_JARAMILLO_MONITOREO_SANTANDER_QUILICHAO_PBF</t>
  </si>
  <si>
    <t>FC070011</t>
  </si>
  <si>
    <t>ANUL_6101246_FC070011_ALIMENT_JULIAN_JARAMILLO_MONITOREO_SANTANDER_QUILICHAO_PBF</t>
  </si>
  <si>
    <t>CENA_WA008228_JULIAN_JARAMILLO_MONITOR_SANTANDER_QUILICHAO</t>
  </si>
  <si>
    <t>CENA_WA008229_JULIAN_JARAMILLO_MONITOR_SANTANDER_QUILICHAO</t>
  </si>
  <si>
    <t>DESAY_FC070349_JULIAN_JARAMILLO_MONITOR_SANTANDER_QUILICHAO</t>
  </si>
  <si>
    <t>DESAY_FC070572_JULIAN_JARAMILLO_MONITOR_SANTANDER_QUILICHAO</t>
  </si>
  <si>
    <t>DESAY_FC070867_JULIAN_JARAMILLO_MONITOR_SANTANDER_QUILICHAO</t>
  </si>
  <si>
    <t>WA008232_ALIMENT_JULIAN_JARAMILLO_MONITOREO_SANTANDER_QUILICHAO</t>
  </si>
  <si>
    <t>FC052959_ALIMENT_JULIAN_JARAMILLO_MONITOREO_SANTANDER_QUILICHAO</t>
  </si>
  <si>
    <t>WA008233_ALIMENT_JULIAN_JARAMILLO_MONITOREO_SANTANDER_QUILICHAO</t>
  </si>
  <si>
    <t>WA008234_ALIMENT_JULIAN_JARAMILLO_MONITOREO_SANTANDER_QUILICHAO</t>
  </si>
  <si>
    <t>FC070349_ALIMENTAC_JULIAN_JARAMILLO_MONITOREO_SANTANDER_QUILICHAO_PBF</t>
  </si>
  <si>
    <t>FC070572_ALIMENTAC_JULIAN_JARAMILLO_MONITOREO_SANTANDER_QUILICHAO_PBF</t>
  </si>
  <si>
    <t>FC070867_ALIMENTAC_JULIAN_JARAMILLO_MONITOREO_SANTANDER_QUILICHAO_PBF</t>
  </si>
  <si>
    <t>WA008231_ALIMENTAC_JULIAN_JARAMILLO_MONITOREO_SANTANDER_QUILICHAO_PBF</t>
  </si>
  <si>
    <t>WA008228_ALIMENTAC_JULIAN_JARAMILLO_MONITOREO_SANTANDER_QUILICHAO_PBF</t>
  </si>
  <si>
    <t>WA008229_ALIMENTAC_JULIAN_JARAMILLO_MONITOREO_SANTANDER_QUILICHAO_PBF</t>
  </si>
  <si>
    <t>FC069480_ALIMENT_JULIAN_JARAMILLO_MONITOREO_SANTANDER_QUILICHAO_PBF</t>
  </si>
  <si>
    <t>WA008225_ALIMENT_JULIAN_JARAMILLO_MONITOREO_SANTANDER_QUILICHAO_PBF</t>
  </si>
  <si>
    <t>WA008226_ALIMENT_JULIAN_JARAMILLO_MONITOREO_SANTANDER_QUILICHAO_PBF</t>
  </si>
  <si>
    <t>FC000408_ALIMENT_JULIAN_JARAMILLO_MONITOREO_SANTANDER_QUILICHAO_PBF</t>
  </si>
  <si>
    <t>FC070011_ALIMENT_JULIAN_JARAMILLO_MONITOREO_SANTANDER_QUILICHAO_PBF</t>
  </si>
  <si>
    <t>CENA_WA008231_JULIAN_JARAMILLO_MONITOR_SANTANDER_QUILICHAO</t>
  </si>
  <si>
    <t>DESAY_FC070011_JULIAN_JARAMILLO_MONITOR_SANTANDER_QUILICHAO</t>
  </si>
  <si>
    <t>DESAY_FC069480_JULIAN_JARAMILLO_MONITOR_SANTANDER_QUILICHAO</t>
  </si>
  <si>
    <t>CENA_WA008225_JULIAN_JARAMILLO_MONITOR_SANTANDER_QUILICHAO</t>
  </si>
  <si>
    <t>HIDRAT_FC000408_JULIAN_JARAMILLO_MONITOR_SANTANDER_QUILICHAO</t>
  </si>
  <si>
    <t>CENA_WA008226_JULIAN_JARAMILLO_MONITOR_SANTANDER_QUILICHAO</t>
  </si>
  <si>
    <t>FC079811</t>
  </si>
  <si>
    <t>A_ALIMNETAC_FC079811_JESICA_PERDOMO_REUNION_FORTALEC_PACIFISTA</t>
  </si>
  <si>
    <t>P830055725</t>
  </si>
  <si>
    <t>830055725 INGERMEX SAS</t>
  </si>
  <si>
    <t>FC138380</t>
  </si>
  <si>
    <t>A ALIMENTAC_FC138380_JESICA_PERDOMO_REUNION_FORTALEC_PACIFISTA</t>
  </si>
  <si>
    <t>FC075232</t>
  </si>
  <si>
    <t>A ALIMENTAC_FC075232_JESICA_PERDOMO_REUNION_FORTALEC_PACIFISTA</t>
  </si>
  <si>
    <t>P830005452</t>
  </si>
  <si>
    <t>830005452 CAFE BARRA INTERNACIONAL</t>
  </si>
  <si>
    <t>FC222202</t>
  </si>
  <si>
    <t>A ALIMENTAC_FC222202_JESICA_PERDOMO_REUNION_FORTALEC_PACIFISTA</t>
  </si>
  <si>
    <t>P860076919</t>
  </si>
  <si>
    <t>860076919 CREPES &amp; WAFFLES S.A.</t>
  </si>
  <si>
    <t>FC009569</t>
  </si>
  <si>
    <t>A ALIMENTAC_FC009569_JESICA_PERDOMO_REUNION_FORTALEC_PACIFISTA</t>
  </si>
  <si>
    <t>P901296320</t>
  </si>
  <si>
    <t>901296320 PERROMONO SAS</t>
  </si>
  <si>
    <t>FC069880</t>
  </si>
  <si>
    <t>A ALIMENTAC_FC069880_JESICA_PERDOMO_REUNION_FORTALEC_PACIFISTA</t>
  </si>
  <si>
    <t>P830112317</t>
  </si>
  <si>
    <t>830112317 PROCAFECOL S.A.</t>
  </si>
  <si>
    <t>FC247610</t>
  </si>
  <si>
    <t>A ALIMENTAC_FC247610_JESICA_PERDOMO_REUNION_FORTALEC_PACIFISTA</t>
  </si>
  <si>
    <t>FC009761</t>
  </si>
  <si>
    <t>A ALIMENTAC_FC009761_JESICA_PERDOMO_REUNION_FORTALEC_PACIFISTA</t>
  </si>
  <si>
    <t>P830129327</t>
  </si>
  <si>
    <t>830129327 FARMATODO COLOMBIA S.A</t>
  </si>
  <si>
    <t>FC422801</t>
  </si>
  <si>
    <t>A ALIMENTAC_FC422801_JESICA_PERDOMO_REUNION_FORTALEC_PACIFISTA</t>
  </si>
  <si>
    <t>WA008640</t>
  </si>
  <si>
    <t>A ALIMENTAC_WA008640_JESICA_PERDOMO_REUNION_FORTALEC_PACIFISTA</t>
  </si>
  <si>
    <t>P94404852</t>
  </si>
  <si>
    <t>94404852 MOLLE PIZZA GRANADA</t>
  </si>
  <si>
    <t>FC028036</t>
  </si>
  <si>
    <t>A ALIMENTAC_FC028036_JESICA_PERDOMO_REUNION_FORTALEC_PACIFISTA</t>
  </si>
  <si>
    <t>A_WA008846_DESAYUNO_JESICA_PERDOMO_FRANCISCO_ALTAMAR_VISITA_FINANCIERA_A_SOCIO_IMPLEMENTADOR_ACONC</t>
  </si>
  <si>
    <t>A_FC056032_ALMUERZO_JESICA_PERDOMO_FRANCISCO_ALTAMAR_MAS_EQUIPO_VISITA_FINANCIERA_A_SOCIO_IMPLEMENTADOR_ACONC</t>
  </si>
  <si>
    <t>P1062290702</t>
  </si>
  <si>
    <t>1062290702 CAICEDO BANGUERO MARIA ANGELICA</t>
  </si>
  <si>
    <t>A_WA008848_CENA_JESICA_PERDOMO_FRANCISCO_ALTAMAR_VISITA_FINANCIERA_A_SOCIO_IMPLEMENTADOR_ACONC</t>
  </si>
  <si>
    <t>A_WA008847_DESAYUNO_JESICA_PERDOMO_FRANCISCO_ALTAMAR_VISITA_FINANCIERA_A_SOCIO_IMPLEMENTADOR_ACONC</t>
  </si>
  <si>
    <t>A_FC583954_HIDRATACION_JESICA_PERDOMO_FRANCISCO_ALTAMAR_VISITA_FINANCIERA_A_SOCIO_IMPLEMENTADOR_ACONC</t>
  </si>
  <si>
    <t>A_WA008235_DEAYUNO_JULIAN_JARAMILLO_MISION_MONITOREO_SANTANDER_QUILICHAO</t>
  </si>
  <si>
    <t>A_WA008236_CENA_JULIAN_JARAMILLO_MISION_MONITOREO_SANTANDER_QUILICHAO</t>
  </si>
  <si>
    <t>A_WA008237_DESAYUNO_JULIAN_JARAMILLO_MISION_MONITOREO_SANTANDER_QUILICHAO</t>
  </si>
  <si>
    <t>A_WA008538_ALIMENTACION_GERARDO_FLETCHER_TRANSPORTE_SEGURIDAD_REUNIONES_POPAYAN</t>
  </si>
  <si>
    <t>A_WA008544_ALIMENTACION_GERARDO_FLETCHER_TRANSPORTE_SEGURIDAD_REUNIONES_POPAYAN</t>
  </si>
  <si>
    <t>P900808267</t>
  </si>
  <si>
    <t>900808267 LA COSECHA PARRILLADA GOURMET S.A.S</t>
  </si>
  <si>
    <t>A_FC203531_ALIMENTACION_GERARDO_FLETCHER_TRANSPORTE_SEGURIDAD_REUNIONES_POPAYAN</t>
  </si>
  <si>
    <t>P800213075</t>
  </si>
  <si>
    <t>800213075 RESTAURANTE CAFE OMA S.A.</t>
  </si>
  <si>
    <t>A_FC404539_ALIMENTACION_HERNANDO_ENRIQUEZ_PLANEACION_ESTRATEGICA_BOGOTA</t>
  </si>
  <si>
    <t>A_FC003540_ALIMENTACION_HERNANDO_ENRIQUEZ_PLANEACION_ESTRATEGICA_BOGOTA</t>
  </si>
  <si>
    <t>P1130638580</t>
  </si>
  <si>
    <t>1130638580 MORENO NARANJO JOHN JAIRO</t>
  </si>
  <si>
    <t>A_WA003155_ALIMENTACION_EQUIPO_Y_JESUS_CAICEDO_ACOMPAÑAMIENTO_VISITA_GLOBAL_PROTECTION_CLÚSTER</t>
  </si>
  <si>
    <t>51551501</t>
  </si>
  <si>
    <t>FC781502</t>
  </si>
  <si>
    <t>TKT_FC781502_H.ENRIQUEZ_BOG_PPN_03_09_2021</t>
  </si>
  <si>
    <t>51552001</t>
  </si>
  <si>
    <t>PTU119010</t>
  </si>
  <si>
    <t>TRANSP_URB_JESICA_PERDOMO_JORNADA_CAPACITA_IMPLEMENTAC_ACONC</t>
  </si>
  <si>
    <t>PTUCO119010_TRANSP_JESICA_PERDOMO_ACTIVIDAD_SANTANDER_QUILICHAO_REVISION_PRESUPUESTAL_</t>
  </si>
  <si>
    <t>PTUCO187</t>
  </si>
  <si>
    <t>TRANSP_URB_MARLON_GALINDO_EQUIPO_REUNION_ACONC</t>
  </si>
  <si>
    <t>T_TRANSP_URBANO_D.MORAN_PTUCO273_MISION SOCIALIZACION PROCESOS LOGISTICOS PARA IMPLEMENTACION</t>
  </si>
  <si>
    <t>PTUCO276_TRANSP_URB_GERARDO_FLETCHER_SANTANDER_QUILICHAO_APOYO_ACTIVIDADE_PROTECCION</t>
  </si>
  <si>
    <t>PTUCO532_TRANSP_URB_ALEJANDRA_GONZALEZ_SOCIALIZACION_LINEA_BASE_COFY2102</t>
  </si>
  <si>
    <t>PTU124475_TRANSP_URB_ANGELA_GONZALEZ_Socialización línea de base COFY2102</t>
  </si>
  <si>
    <t>T_TRANP_URB_PTU119010_JESICA_PERDOMO_REUNION_FORTALEC_PACIFISTA</t>
  </si>
  <si>
    <t>PTUCO106</t>
  </si>
  <si>
    <t>T_TRANP_URB_PTUCO106_FRANCISCO_ALTAMAR_REUNION_FORTALEC_PACIFISTA</t>
  </si>
  <si>
    <t>CLO0252_DP_WA008891_SERVICIO DE TRANSPORTE PARA SANTANDER DE QUILICHAO PARA GESTIÓN FINANCIERA CON SOCIO IMPLEMENTADOR ACONC</t>
  </si>
  <si>
    <t>T_PTU119010_JESICA_PERDOMO_VISITA_FINANCIERA_A_SOCIO_IMPLEMENTADOR_ACONC</t>
  </si>
  <si>
    <t>T_PTUCO0276_GERARDO_FLETCHER_REALIZAR_MONITOREO_DE_MERCADO_JMMI</t>
  </si>
  <si>
    <t>T_PTUCO476_HERNANDO_ENRIQUEZ_PLANEACION_ESTRATEGICA_BOGOTA</t>
  </si>
  <si>
    <t>51559503</t>
  </si>
  <si>
    <t>FC074380_COMPRA_COMBUSTIBLE__GERARDO_FLETCHER_6,6GL_URW110_APOYO_ACTIVIDADE_PROTECCION</t>
  </si>
  <si>
    <t>WA003476_LAVADO_VEHICULO_INSTITC_URW110_APOYO_ACTIVIDADE_PROTECCION</t>
  </si>
  <si>
    <t>P1062279490</t>
  </si>
  <si>
    <t>1062279490 COLLAZOS TORRES SULLY PAOLA</t>
  </si>
  <si>
    <t>WA008227</t>
  </si>
  <si>
    <t>ANUL_6101246_WA008227_IMPRESIONES_FOTOCOIPIAS_JULIAN_JARAMILLO_MONITOREO_SANTANDER_QUILICHAO_PBF</t>
  </si>
  <si>
    <t>P76042311</t>
  </si>
  <si>
    <t>76042311 WILSON ALBERTO VIAFARA VIAFARA</t>
  </si>
  <si>
    <t>WA008230</t>
  </si>
  <si>
    <t>ANUL_6101246_WA008230_FOTOCOIPIAS_MONITOREO_SANTANDER_QUILICHAO_PBF</t>
  </si>
  <si>
    <t>WA008230_IMPRESION_Y_COPIAS_ACTIVID_MONITOR_SANTANDER_QUILICHAO</t>
  </si>
  <si>
    <t>WA008227_IMPRESION_Y_COPIAS_ACTIVID_MONITOR_SANTANDER_QUILICHAO</t>
  </si>
  <si>
    <t>WA008227_IMPRESIONES_FOTOCOIPIAS_JULIAN_JARAMILLO_MONITOREO_SANTANDER_QUILICHAO_PBF</t>
  </si>
  <si>
    <t>WA008230_FOTOCOIPIAS_MONITOREO_SANTANDER_QUILICHAO_PBF</t>
  </si>
  <si>
    <t>FC055174</t>
  </si>
  <si>
    <t>O_GASTOS_COMIIONES_FC55174_JESICA_PERDOMO_REUNION_FORTALEC_PACIFISTA</t>
  </si>
  <si>
    <t>FC050454</t>
  </si>
  <si>
    <t>O_GASTOS_COMIIONES_FC50454_JESICA_PERDOMO_REUNION_FORTALEC_PACIFISTA</t>
  </si>
  <si>
    <t>FC049103</t>
  </si>
  <si>
    <t>O_GASTOS_COMIIONES_FC49103_JESICA_PERDOMO_REUNION_FORTALEC_PACIFISTA</t>
  </si>
  <si>
    <t>FC031178</t>
  </si>
  <si>
    <t>O_GASTOS_COMIIONES_FC31178_JESICA_PERDOMO_REUNION_FORTALEC_PACIFISTA</t>
  </si>
  <si>
    <t>FC024682</t>
  </si>
  <si>
    <t>O_GASTOS_COMIIONES_FC24682_JESICA_PERDOMO_REUNION_FORTALEC_PACIFISTA</t>
  </si>
  <si>
    <t>C_FC430367_COMBUSTIBLE_GERARDO_FLETCHER_TRANSPORTE_SEGURIDAD_REUNIONES_POPAYAN</t>
  </si>
  <si>
    <t>O_WA008539_PARQUEADERO_GERARDO_FLETCHER_TRANSPORTE_SEGURIDAD_REUNIONES_POPAYAN</t>
  </si>
  <si>
    <t>7770</t>
  </si>
  <si>
    <t>Z0</t>
  </si>
  <si>
    <t>From UNDP COFY2102 - PBF/IRF-401-COL - bank fee</t>
  </si>
  <si>
    <t>8170</t>
  </si>
  <si>
    <t>51157081</t>
  </si>
  <si>
    <t>GASTOS_BANCARIOS_MES_ABRIL_CTA_4020_COMISIONES_IVA</t>
  </si>
  <si>
    <t>GASTOS_BANCARIOS_CUENTA_CALI_JUNIO</t>
  </si>
  <si>
    <t>IVA_CUENTA_CARGUES_1862_202107</t>
  </si>
  <si>
    <t>IVA_CUENTA_1862_202107_CARGUES_WA</t>
  </si>
  <si>
    <t>IVA_CUENTA_1858_202107</t>
  </si>
  <si>
    <t>IVA_CUENTA_1862_202108_CARGUES_WA</t>
  </si>
  <si>
    <t>IVAS_CUENTA_1861_202108_CARGUES_WA</t>
  </si>
  <si>
    <t>IVA_CUENTA_1858_202108</t>
  </si>
  <si>
    <t>IVAS_CUENTA_1862_202108_TARJETAS_WA</t>
  </si>
  <si>
    <t>IVA_CUENTA_1858_202109</t>
  </si>
  <si>
    <t>51159502</t>
  </si>
  <si>
    <t>AJUS_6100777_AUSTE_PESO_GASTOS_BANCARIOS_CTA_4020 ABRIL</t>
  </si>
  <si>
    <t>AJUSTE_PESO_GASTOS_BANCARIOS_CTA_4020 ABRIL</t>
  </si>
  <si>
    <t>GASTOS_BANCARIOS_MES_ABRIL_CTA_4020_GMF</t>
  </si>
  <si>
    <t>GMF_CUENTA_1858_202107</t>
  </si>
  <si>
    <t>REVERSO_GMF_1858_202108_WA</t>
  </si>
  <si>
    <t>GMF_CUENTA_1858_202108</t>
  </si>
  <si>
    <t>GMF_CUENTA_1858_202109</t>
  </si>
  <si>
    <t>53051501</t>
  </si>
  <si>
    <t>COMISIONES_CUENTA_1862_202107_CARGUES_WA</t>
  </si>
  <si>
    <t>COMISIONES_CUENTA_1858_202107</t>
  </si>
  <si>
    <t>COMISIONES_CUENTA_1862_202108_CARGUES_WA</t>
  </si>
  <si>
    <t>COMISIONES_CUENTA_1862_202108_TARJETAS_WA</t>
  </si>
  <si>
    <t>COMISIONES_CUENTA_1861_202108_CARGUES_WA</t>
  </si>
  <si>
    <t>COMISIONES_CUENTA_1858_202108</t>
  </si>
  <si>
    <t>COMISIONES_CUENTA_1858_202109</t>
  </si>
  <si>
    <t>LEG</t>
  </si>
  <si>
    <t>O_IMPUESTO4XMIL_JESICA_PERDOMO_VISITA_FINANCIERA_A_SOCIO_IMPLEMENTADOR_ACONC</t>
  </si>
  <si>
    <t>COMISIONES_TCR_2589</t>
  </si>
  <si>
    <t>53059501</t>
  </si>
  <si>
    <t>P837000332</t>
  </si>
  <si>
    <t>837000332 IPIALES PASTORAL SOCIAL CARITAS</t>
  </si>
  <si>
    <t>FC000100</t>
  </si>
  <si>
    <t>AJ_T6101958_AJUSTE_AL_PESO_ARRIENDO_FC000100_BODEGA_IPIALES_SEPTIEMBRE</t>
  </si>
  <si>
    <t>4010</t>
  </si>
  <si>
    <t>JUCA</t>
  </si>
  <si>
    <t>COFY2102 Admin cost 7% UNDP</t>
  </si>
  <si>
    <t>4042_SALARIOS_IP1010_COFY2102_PACIFISTA_TERCER_INFORME_JULIO A SEPTIEMBRE_2021</t>
  </si>
  <si>
    <t>4042_GASTOS DE PERSONAL_COFY2102_IP1011_ACONC_SEPTIMO INFORME_SEPTIEMBRE 2021</t>
  </si>
  <si>
    <t>AJUSTE TASA_TRANS#6101661_4042_SALARIOS_IP1010_COFY2102_PACIFISTA_SEGUNDO_INFORME_ABRIL A JUNIO_2021</t>
  </si>
  <si>
    <t>AJUSTE TASA_TRANS#6100680_4042_SALARIO_DIRECTORA DE COOPERACIÓN_IP1010_COFY2102_PACIFISTA_PRIMER_INFORME_MARZO_2021</t>
  </si>
  <si>
    <t>AJ_TRANS#6101661_DISCRIMINACION_LINEA_GASTOS_4042_SALARIO_DIRECTORA COOPERACION_ABR-JUN_IP1010_COFY2102_PACIFISTA_SEGUNDO_INFORME_ABRIL A JUNIO_2021</t>
  </si>
  <si>
    <t>AJ_TRANS#6101661_DISCRIMINACION_LINEA_GASTOS_4042_SALARIO_PRODUCTORA GENERAL_ABR-JUN_IP1010_COFY2102_PACIFISTA_SEGUNDO_INFORME_ABRIL A JUNIO_2021</t>
  </si>
  <si>
    <t>AJ_TRANS#6101661_DISCRIMINACION_LINEA_GASTOS_4042_SALARIO_DIREC ADMIN_ABR-JUN_IP1010_COFY2102_PACIFISTA_SEGUNDO_INFORME_ABRIL A JUNIO_2021</t>
  </si>
  <si>
    <t>AJUSTE TASA_TRANS#6103125_4042_SALARIOS_IP1010_COFY2102_PACIFISTA_TERCER_INFORME_JULIO A SEPTIEMBRE_2021</t>
  </si>
  <si>
    <t>AJ_TRANS#6103125_DISCRIMINACION_LINEA_GASTOS_4042_SALARIO_ DIR COOPERACION_JUL-SEP_IP1010_COFY2102_PACIFISTA_TERCER_INFORME_JULIO A SEPTIEMBRE_2021</t>
  </si>
  <si>
    <t>AJ_TRANS#6103125_DISCRIMINACION_LINEA_GASTOS_4042_SALARIO_ PROD GENERAL_JUL-SEP_IP1010_COFY2102_PACIFISTA_TERCER_INFORME_JULIO A SEPTIEMBRE_2021</t>
  </si>
  <si>
    <t>AJ_TRANS#6103125_DISCRIMINACION_LINEA_GASTOS_4042_SALARIO_ DIR ADMIN_JUL-SEP_IP1010_COFY2102_PACIFISTA_TERCER_INFORME_JULIO A SEPTIEMBRE_2021</t>
  </si>
  <si>
    <t>AJ_TRANS#6103125_DISCRIMINACION_LINEA_GASTOS_4042_SALARIO_ DIR CONT_JUL-SEP_IP1010_COFY2102_PACIFISTA_TERCER_INFORME_JULIO A SEPTIEMBRE_2021</t>
  </si>
  <si>
    <t>AJ_TRANS#6103125_DISCRIMINACION_LINEA_GASTOS_4042_SALARIO_ DISEÑO METODOL_AGO-SEP_IP1010_COFY2102_PACIFISTA_TERCER_INFORME_JULIO A SEPTIEMBRE_2021</t>
  </si>
  <si>
    <t>AJ_TRANS#6103125_DISCRIMINACION_LINEA_GASTOS_4042_SALARIO_ DIR PROYECTO_JUL-SEP_IP1010_COFY2102_PACIFISTA_TERCER_INFORME_JULIO A SEPTIEMBRE_2021</t>
  </si>
  <si>
    <t>4042_SALARIO_ DIR COOPERACION_OCT-DIC_IP1010_COFY2102_PACIFISTA_CUARTO_INFORME_OCTUBRE A DICIEMBRE_2021</t>
  </si>
  <si>
    <t>4042_SALARIO_ PROD GENERAL_OCT-DIC_IP1010_COFY2102_PACIFISTA_CUARTO_INFORME_OCTUBRE A DICIEMBRE_2021</t>
  </si>
  <si>
    <t>4042_SALARIO_ DIR ADMIN_OCT-DIC_IP1010_COFY2102_PACIFISTA_CUARTO_INFORME_OCTUBRE A DICIEMBRE_2021</t>
  </si>
  <si>
    <t>AJ_TRANS#6101661_DISCRIMINACION_LINEA_GASTOS_4042_SALARIO_DIREC CONT_ABR-JUN_IP1010_COFY2102_PACIFISTA_SEGUNDO_INFORME_ABRIL A JUNIO_2021</t>
  </si>
  <si>
    <t>AJ_TRANS#6101661_DISCRIMINACION_LINEA_GASTOS_4042_SALARIO_COORD PROYEC_ABR-JUN_IP1010_COFY2102_PACIFISTA_SEGUNDO_INFORME_ABRIL A JUNIO_2021</t>
  </si>
  <si>
    <t>4042_SALARIO_ DISEÑO METODOL_OCT-DIC_IP1010_COFY2102_PACIFISTA_CUARTO_INFORME_OCTUBRE A DICIEMBRE_2021</t>
  </si>
  <si>
    <t>4042_SALARIO_COORDINADOR JOVENES_IP1011__ACONC_DÉCIMO_INFORME_DICIEMBRE_2021</t>
  </si>
  <si>
    <t>4042_SALARIO_COORDINADOR COMUNICACIONES_DICIEMBRE_IP1011__ACONC_DÉCIMO_INFORME_DICIEMBRE_2021</t>
  </si>
  <si>
    <t>4042_SALARIO_COORDINADOR MUJER_IP1011_ACONC_DÉCIMO_INFORME_DICIEMBRE_2021</t>
  </si>
  <si>
    <t>4042_SALARIO_CONSULTOR IMPULSOR_15 NOV A 15 DIC_IP1011_ACONC_DÉCIMO_INFORME_DICIEMBRE_2021</t>
  </si>
  <si>
    <t>4042_SALARIO_AUXILIAR CONTABLE_15 NOV A 15 DIC_IP1011_ACONC_DÉCIMO_INFORME_DICIEMBRE_2021</t>
  </si>
  <si>
    <t>4042_SALARIO_CONTADOR_IP1011_15 NOV A 15 DIC_IP1011_ACONC_DÉCIMO_INFORME_DICIEMBRE_2021</t>
  </si>
  <si>
    <t>4042_SALARIO_SECRETARIA_IP1011_15 NOV A 15 DIC_IP1011_ACONC_DÉCIMO_INFORME_DICIEMBRE_2021</t>
  </si>
  <si>
    <t>4042_SALARIO_TRABAJADOR SOCIAL_15 NOV A 15 DIC_IP1011_ACONC_DÉCIMO_INFORME_DICIEMBRE_2021</t>
  </si>
  <si>
    <t>4042_SALARIO_PSICÓLOGO_DICIEMBRE_IP1011_ACONC_DÉCIMO_INFORME_DICIEMBRE_2021</t>
  </si>
  <si>
    <t>4042_SALARIO_COORDINADOR_15 NOV A 15 DIC_IP1011_ACONC_DÉCIMO_INFORME_DICIEMBRE_2021</t>
  </si>
  <si>
    <t>4042_SALARIO_CONTADOR_IP1011_15 OCT A 15 NOV_IP1011_ACONC_NOVENO_INFORME_NOVIEMBRE_2021</t>
  </si>
  <si>
    <t>4042_SALARIO_AUXILIAR CONTABLE_15 OCT A 15 NOV_IP1011_ACONC_NOVENO_INFORME_NOVIEMBRE_2021</t>
  </si>
  <si>
    <t>4042_SALARIO_CONSULTOR IMPULSOR_15 OCT A 15 NOV_IP1011_ACONC_NOVENO_INFORME_NOVIEMBRE_2021</t>
  </si>
  <si>
    <t>4042_SALARIO_COORDINADOR MUJER_AGOSTO A OCTUBRE_IP1011_ACONC_NOVENO_INFORME_NOVIEMBRE_2021</t>
  </si>
  <si>
    <t>4042_SALARIO_COORDINADOR COMUNICACIONES_AGOSTO A NOVIEMBRE_IP1011_ACONC_NOVENO_INFORME_NOVIEMBRE_2021</t>
  </si>
  <si>
    <t>4042_SALARIO_COORDINADOR JOVENES_AGOSTO A OCTUBRE_IP1011_ACONC_NOVENO_INFORME_NOVIEMBRE_2021</t>
  </si>
  <si>
    <t>AJ_TRANS#6101019_DISCRIMINACION_LINEA_GASTOS_4042_SALARIO AUX CONTABLE_15 MARZO A 15 MAYO_COFY2102_IP1011_ACONC_TERCER_INFORME_MAYO_2021</t>
  </si>
  <si>
    <t>AJ_TRANS#6101019_DISCRIMINACION_LINEA_GASTOS_4042_SALARIO CONSULTOR IMPULSOR_15 MARZO A 15 MAYO_COFY2102_IP1011_ACONC_TERCER_INFORME_MAYO_2021</t>
  </si>
  <si>
    <t>AJ_TRANS#6102961_DISCRIMINACION_LINEA_GASTOS_4042_SALARIO SECRETARIA 15 AGOSTO A 15 SEPT_COFY2102_IP1011_ACONC_SEPTIMO INFORME_SEPTIEMBRE 2021</t>
  </si>
  <si>
    <t>AJ_TRANS#6102961_DISCRIMINACION_LINEA_GASTOS_4042_SALARIO CONTADO 15 AGOSTO A 15 SEPT_COFY2102_IP1011_ACONC_SEPTIMO INFORME_SEPTIEMBRE 2021</t>
  </si>
  <si>
    <t>AJ_TRANS#6102961_DISCRIMINACION_LINEA_GASTOS_4042_SALARIO AUX CONTABLE_ 15 AGOSTO A 15 SEPT_COFY2102_IP1011_ACONC_SEPTIMO INFORME_SEPTIEMBRE 2021</t>
  </si>
  <si>
    <t>AJ_TRANS#6102961_DISCRIMINACION_LINEA_GASTOS_4042_SALARIO CONSULTOR IMPULSOR_ 15 AGOSTO A 15 SEPT_COFY2102_IP1011_ACONC_SEPTIMO INFORME_SEPTIEMBRE 2021</t>
  </si>
  <si>
    <t>AJ_TRANS#6102961_DISCRIMINACION_LINEA_GASTOS_4042_SALARIO PSICÓLOGA_01 A 30 SEPT_COFY2102_IP1011_ACONC_SEPTIMO INFORME_SEPTIEMBRE 2021</t>
  </si>
  <si>
    <t>AJ_TRANS#6102961_DISCRIMINACION_LINEA_GASTOS_4042_GASTOS DE PERSONAL_COFY2102_IP1011_ACONC_SEPTIMO INFORME_SEPTIEMBRE 2021</t>
  </si>
  <si>
    <t>AJ_TRANS#6102961_DISCRIMINACION_LINEA_GASTOS_4042_SALARIO COORDINADORA_15 AGOSTO A 15 SEPT_COFY2102_IP1011_ACONC_SEPTIMO INFORME_SEPTIEMBRE 2021</t>
  </si>
  <si>
    <t>AJ_TRANS#6102961_DISCRIMINACION_LINEA_GASTOS_4042_SALARIO TRABAJADORA SOCIAL_15 AGOSTO A 15 SEPT_COFY2102_IP1011_ACONC_SEPTIMO INFORME_SEPTIEMBRE 2021</t>
  </si>
  <si>
    <t>Reversed Tr 6103527 4042_SALARIO_CONTADOR_IP1011_15 NOV A 15 DIC_IP1011_ACONC_DÉCIMO_INFORME_DICIEMBRE_2021</t>
  </si>
  <si>
    <t>Reversed Tr 6103527 4042_SALARIO_SECRETARIA_IP1011_15 NOV A 15 DIC_IP1011_ACONC_DÉCIMO_INFORME_DICIEMBRE_2021</t>
  </si>
  <si>
    <t>Reversed Tr 6103527 4042_SALARIO_TRABAJADOR SOCIAL_15 NOV A 15 DIC_IP1011_ACONC_DÉCIMO_INFORME_DICIEMBRE_2021</t>
  </si>
  <si>
    <t>Reversed Tr 6103527 4042_SALARIO_PSICÓLOGO_DICIEMBRE_IP1011_ACONC_DÉCIMO_INFORME_DICIEMBRE_2021</t>
  </si>
  <si>
    <t>Reversed Tr 6103527 4042_SALARIO_COORDINADOR_15 NOV A 15 DIC_IP1011_ACONC_DÉCIMO_INFORME_DICIEMBRE_2021</t>
  </si>
  <si>
    <t>Reversed Tr 6103527 4042_SALARIO_COORDINADOR JOVENES_IP1011__ACONC_DÉCIMO_INFORME_DICIEMBRE_2021</t>
  </si>
  <si>
    <t>Reversed Tr 6103527 4042_SALARIO_COORDINADOR COMUNICACIONES_DICIEMBRE_IP1011__ACONC_DÉCIMO_INFORME_DICIEMBRE_2021</t>
  </si>
  <si>
    <t>Reversed Tr 6103527 4042_SALARIO_COORDINADOR MUJER_IP1011_ACONC_DÉCIMO_INFORME_DICIEMBRE_2021</t>
  </si>
  <si>
    <t>Reversed Tr 6103527 4042_SALARIO_CONSULTOR IMPULSOR_15 NOV A 15 DIC_IP1011_ACONC_DÉCIMO_INFORME_DICIEMBRE_2021</t>
  </si>
  <si>
    <t>4042_SALARIO_COORDINADOR_15 OCT A 15 NOV_IP1011_ACONC_NOVENO_INFORME_NOVIEMBRE_2021</t>
  </si>
  <si>
    <t>4042_SALARIO_PSICÓLOGO_NOVIIEMBRE_IP1011_ACONC_NOVENO_INFORME_NOVIEMBRE_2021</t>
  </si>
  <si>
    <t>4042_SALARIO_TRABAJADOR SOCIAL_15 OCT A 15 NOV_IP1011_ACONC_NOVENO_INFORME_NOVIEMBRE_2021</t>
  </si>
  <si>
    <t>4042_SALARIO_SECRETARIA_IP1011_15 OCT A 15 NOV_IP1011_ACONC_NOVENO_INFORME_NOVIEMBRE_2021</t>
  </si>
  <si>
    <t>AJ_TRANS#6102147_DISCRIMINACION_LINEA_GASTOS_4042_GASTOS DE PERSONAL_COFY2102_IP1011_ACONC_SEXTO INFORME_AGOSTO 2021</t>
  </si>
  <si>
    <t>AJ_TRANS#6102147_DISCRIMINACION_LINEA_GASTOS_4042_SALARIO COORDINADORA_15 JULIO A 15 AGOSTO_COFY2102_IP1011_ACONC_SEXTO INFORME_AGOSTO 2021</t>
  </si>
  <si>
    <t>AJ_TRANS#6102147_DISCRIMINACION_LINEA_GASTOS_4042_SALARIO SECRETARIA 15 JULIO A 15 AGOSTO_COFY2102_IP1011_ACONC_SEXTO INFORME_AGOSTO 2021</t>
  </si>
  <si>
    <t>AJ_TRANS#6102147_DISCRIMINACION_LINEA_GASTOS_4042_SALARIO CONTADO 15 JULIO A 15 AGOSTO_COFY2102_IP1011_ACONC_SEXTO INFORME_AGOSTO 2021</t>
  </si>
  <si>
    <t>AJ_TRANS#6102147_DISCRIMINACION_LINEA_GASTOS_4042_SALARIO AUX CONTABLE_ 15 JULIO A 15 AGOSTO_COFY2102_IP1011_ACONC_SEXTO INFORME_AGOSTO 2021</t>
  </si>
  <si>
    <t>AJ_TRANS#6102147_DISCRIMINACION_LINEA_GASTOS_4042_SALARIO CONSULTOR IMPULSOR_ 15 JULIO A 15 AGOSTO_COFY2102_IP1011_ACONC_SEXTO INFORME_AGOSTO 2021</t>
  </si>
  <si>
    <t>AJ_TRANS#6102147_DISCRIMINACION_LINEA_GASTOS_4042_SALARIO PSICÓLOGA_01 AGOSTO A 31 AGOSTO_COFY2102_IP1011_ACONC_QUINTO_INFORME_JULIO_2021</t>
  </si>
  <si>
    <t>AJ_TRANS#6102147_DISCRIMINACION_LINEA_GASTOS_4042_SALARIO TRABAJADORA SOCIAL_15 JULIO A 15 AGOSTO_COFY2102_IP1011_ACONC_SEXTO INFORME_AGOSTO 2021</t>
  </si>
  <si>
    <t>AJ_TRANS#6101502_DISCRIMINACION_LINEA_GASTOS_4042_GASTOS_PERSONAL_COFY2102_IP1011_ACONC_CUARTO_INFORME_JUNIO_2021</t>
  </si>
  <si>
    <t>AJ_TRANS#6101502_DISCRIMINACION_LINEA_GASTOS_4042_SALARIO COORDINADORA_15 MAYO A 15 JUNIO_COFY2102_IP1011_ACONC_CUARTO_INFORME_JUNIO_2021</t>
  </si>
  <si>
    <t>AJ_TRANS#6101502_DISCRIMINACION_LINEA_GASTOS_4042_SALARIO SECRETARIA 15 MAYO A 15 JUNIO_COFY2102_IP1011_ACONC_CUARTO_INFORME_JUNIO_2021</t>
  </si>
  <si>
    <t>AJ_TRANS#6101502_DISCRIMINACION_LINEA_GASTOS_4042_SALARIO CONTADOR 15 MAYO A 15 JUNIO_COFY2102_IP1011_ACONC_CUARTO_INFORME_JUNIO_2021</t>
  </si>
  <si>
    <t>AJ_TRANS#6101502_DISCRIMINACION_LINEA_GASTOS_4042_SALARIO AUX CONTABLE_15 MAYO A 15 JUNIO_COFY2102_IP1011_ACONC_CUARTO_INFORME_JUNIO_2021</t>
  </si>
  <si>
    <t>AJ_TRANS#6101502_DISCRIMINACION_LINEA_GASTOS_4042_SALARIO CONSULTOR IMPULSOR_15 MAYO A 15 JUNIO_COFY2102_IP1011_ACONC_CUARTO_INFORME_JUNIO_2021</t>
  </si>
  <si>
    <t>AJ_TRANS#6101502_DISCRIMINACION_LINEA_GASTOS_4042_SALARIO PSICÓLOGA_01 MAYO A 30 JUNIO_COFY2102_IP1011_ACONC_CUARTO_INFORME_JUNIO_2021</t>
  </si>
  <si>
    <t>AJ_TRANS#6101502_DISCRIMINACION_LINEA_GASTOS_4042_SALARIO TRABAJADORA SOCIAL_15 MARZO A 15 JUNIO_COFY2102_IP1011_ACONC_CUARTO_INFORME_JUNIO_2021</t>
  </si>
  <si>
    <t>AJ_TRANS#6102011_DISCRIMINACION_LINEA_GASTOS_4042_GASTOS DE PERSONAL_COFY2102_IP1011_ACONC_QUINTO_INFORME_JULIO_2021</t>
  </si>
  <si>
    <t>AJ_TRANS#6102011_DISCRIMINACION_LINEA_GASTOS_4042_SALARIO COORDINADORA_15 JUNIO A 15 JULIO_COFY2102_IP1011_ACONC_QUINTO_INFORME_JULIO_2021</t>
  </si>
  <si>
    <t>AJ_TRANS#6102011_DISCRIMINACION_LINEA_GASTOS_4042_SALARIO SECRETARIA 15 JUNIO A 15 JULIO_COFY2102_IP1011_ACONC_QUINTO_INFORME_JULIO_2021</t>
  </si>
  <si>
    <t>AJ_TRANS#6102011_DISCRIMINACION_LINEA_GASTOS_4042_SALARIO CONTADOR 15 JUNIO A 15 JULIO_COFY2102_IP1011_ACONC_QUINTO_INFORME_JULIO_2021</t>
  </si>
  <si>
    <t>AJ_TRANS#6102011_DISCRIMINACION_LINEA_GASTOS_4042_SALARIO AUX CONTABLE_ 15 JUNIO A 15 JULIO__COFY2102_IP1011_ACONC_QUINTO_INFORME_JULIO_2021</t>
  </si>
  <si>
    <t>AJ_TRANS#6102011_DISCRIMINACION_LINEA_GASTOS_4042_SALARIO CONSULTOR IMPULSOR_ 15 JUNIO A 15 JULIO__COFY2102_IP1011_ACONC_QUINTO_INFORME_JULIO_2021</t>
  </si>
  <si>
    <t>AJ_TRANS#6102011_DISCRIMINACION_LINEA_GASTOS_4042_SALARIO PSICÓLOGA_01 JULIO A 31 JULIO_COFY2102_IP1011_ACONC_QUINTO_INFORME_JULIO_2021</t>
  </si>
  <si>
    <t>AJ_TRANS#6102011_DISCRIMINACION_LINEA_GASTOS_4042_SALARIO TRABAJADORA SOCIAL_15 JUNIO A 15 JULIO_COFY2102_IP1011_ACONC_QUINTO_INFORME_JULIO_2021</t>
  </si>
  <si>
    <t>Reversed Tr 6103527 4042_SALARIO_AUXILIAR CONTABLE_15 NOV A 15 DIC_IP1011_ACONC_DÉCIMO_INFORME_DICIEMBRE_2021</t>
  </si>
  <si>
    <t>4042_SALARIO_COORDINADOR_IP1011_ACONC_OCTAVO_INFORME_OCTUBRE_2021</t>
  </si>
  <si>
    <t>4042_SALARIO_PSICÓLOGO_IP1011_ACONC_OCTAVO_INFORME_OCTUBRE_2021</t>
  </si>
  <si>
    <t>4042_SALARIO_TRABAJADOR SOCIAL_IP1011_ACONC_OCTAVO_INFORME_OCTUBRE_2021</t>
  </si>
  <si>
    <t>4042_SALARIO_SECRETARIA_IP1011_ACONC_OCTAVO_INFORME_OCTUBRE_2021</t>
  </si>
  <si>
    <t>4042_SALARIO_CONTADOR_IP1011_ACONC_OCTAVO_INFORME_OCTUBRE_2021</t>
  </si>
  <si>
    <t>4042_SALARIO_AUXILIAR CONTABLE_IP1011_ACONC_OCTAVO_INFORME_OCTUBRE_2021</t>
  </si>
  <si>
    <t>4042_SALARIO_CONSULTOR IMPULSOR_IP1011_ACONC_OCTAVO_INFORME_OCTUBRE_2021</t>
  </si>
  <si>
    <t>AJ_TRANS#6101019_DISCRIMINACION_LINEA_GASTOS_4042_GASTOS_PERSONAL_COFY2102_IP1011_ACONC_TERCER_INFORME_MAYO_2021</t>
  </si>
  <si>
    <t>AJ_TRANS#6101019_DISCRIMINACION_LINEA_GASTOS_4042_SALARIO COORDINADORA_15 MARZO A 15 MAYO_COFY2102_IP1011_ACONC_TERCER_INFORME_MAYO_2021</t>
  </si>
  <si>
    <t>AJ_TRANS#6101019_DISCRIMINACION_LINEA_GASTOS_4042_SALARIO SECRETARIA 15 MARZO A 15 MAYO_COFY2102_IP1011_ACONC_TERCER_INFORME_MAYO_2021</t>
  </si>
  <si>
    <t>AJ_TRANS#6101019_DISCRIMINACION_LINEA_GASTOS_4042_SALARIO CONTADOR 15 MARZO A 15 MAYO_COFY2102_IP1011_ACONC_TERCER_INFORME_MAYO_2021</t>
  </si>
  <si>
    <t>4043_GASTOS OPERACIONALES_IP1010_COFY2102_PACIFISTA_SEGUNDO_INFORME_JULIO A SEPTIEMBRE_2021</t>
  </si>
  <si>
    <t>AJUS_TRAS#6100680_4043_GASTOS_ADMINISTRATIVOS_COFY2102_IP1010_PACIFISTA_PRIMER_INFORME_MARZO_2021</t>
  </si>
  <si>
    <t>4043_GASTOS ADMINISTRATIVOS_COFY2102_IP1011_ACONC_SEPTIMO INFORME_SEPTIEMBRE 2021</t>
  </si>
  <si>
    <t>AJUSTE TASA_TRANS#6101661_4043_GASTOS OPERACIONALES_IP1010_COFY2102_PACIFISTA_SEGUNDO_INFORME_ABRIL A JUNIO_2021</t>
  </si>
  <si>
    <t>AJUSTE TASA_TRANS#6100680_4043_GASTOS_ADMINISTRATIVOS_COFY2102_IP1010_PACIFISTA_PRIMER_INFORME_MARZO_2021</t>
  </si>
  <si>
    <t>AJUSTE TASA_TRANS#6100680_4043_GASTOS_ADMINISTRATIVOS_G. BANCARIOS_COFY2102_IP1010_PACIFISTA_PRIMER_INFORME_MARZO_2021</t>
  </si>
  <si>
    <t>AJ_TRANS#6103125_DISCRIMINACION_LINEA_GASTOS_4043_G. OPER_INTERNET_MARZO-SEPT_ IP1010_COFY2102_PACIFISTA_SEGUNDO_INFORME_JULIO A SEPTIEMBRE_2021</t>
  </si>
  <si>
    <t>AJ_TRANS#6103125_DISCRIMINACION_LINEA_GASTOS_4043_G. OPER_BIOSEGURIDAD_JUL-SEPT_ IP1010_COFY2102_PACIFISTA_SEGUNDO_INFORME_JULIO A SEPTIEMBRE_2021</t>
  </si>
  <si>
    <t>AJ_TRANS#6103125_DISCRIMINACION_LINEA_GASTOS_4043_G. OPER_PAPELERIA_JUL-SEPT_ IP1010_COFY2102_PACIFISTA_SEGUNDO_INFORME_JULIO A SEPTIEMBRE_2021</t>
  </si>
  <si>
    <t>AJ_TRANS#6103125_DISCRIMINACION_LINEA_GASTOS_4043_G. OPER_ARRIENDO OFIC_MARZO-SEPT_ IP1010_COFY2102_PACIFISTA_SEGUNDO_INFORME_JULIO A SEPTIEMBRE_2021</t>
  </si>
  <si>
    <t>AJ_TRANS#6103125_DISCRIMINACION_LINEA_GASTOS_4043_G. OPER_ELECTRICIDAD_MARZO-SEPT_ IP1010_COFY2102_PACIFISTA_SEGUNDO_INFORME_JULIO A SEPTIEMBRE_2021</t>
  </si>
  <si>
    <t>AJ_TRANS#6103125_DISCRIMINACION_LINEA_GASTOS_4043_G. OPER_ACUEDUCTO_MARZO-SEPT_ IP1010_COFY2102_PACIFISTA_SEGUNDO_INFORME_JULIO A SEPTIEMBRE_2021</t>
  </si>
  <si>
    <t>AJ_TRANS#6103125_DISCRIMINACION_LINEA_GASTOS_4043_G. OPER_TELÉFONO_MARZO-SEPT_ IP1010_COFY2102_PACIFISTA_SEGUNDO_INFORME_JULIO A SEPTIEMBRE_2021</t>
  </si>
  <si>
    <t>AJUSTE TASA_TRANS#6103125_4043_GASTOS OPERACIONALES_IP1010_COFY2102_PACIFISTA_SEGUNDO_INFORME_JULIO A SEPTIEMBRE_2021</t>
  </si>
  <si>
    <t>AJ_TRANS#6103125_DISCRIMINACION_LINEA_GASTOS_4043_G. OPER_G.BANCARIOS_JUL-SEPT_ IP1010_COFY2102_PACIFISTA_SEGUNDO_INFORME_JULIO A SEPTIEMBRE_2021</t>
  </si>
  <si>
    <t>4043_G. OPER_ARRIENDO OFIC_OCT-DIC_IP1010_COFY2102_PACIFISTA_CUARTO_INFORME_OCTUBRE A DICIEMBRE_2021</t>
  </si>
  <si>
    <t>4043_G. OPER_ELECTRICIDAD_OCT-DIC_IP1010_COFY2102_PACIFISTA_CUARTO_INFORME_OCTUBRE A DICIEMBRE_2021</t>
  </si>
  <si>
    <t>4043_G. OPER_ACUEDUCTO_OCT-DIC_IP1010_COFY2102_PACIFISTA_CUARTO_INFORME_OCTUBRE A DICIEMBRE_2021</t>
  </si>
  <si>
    <t>4043_G. OPER_TELÉFONO_OCT-DIC_IP1010_COFY2102_PACIFISTA_CUARTO_INFORME_OCTUBRE A DICIEMBRE_2021</t>
  </si>
  <si>
    <t>4043_G. OPER_INTERNET_OCT-DIC_IP1010_COFY2102_PACIFISTA_CUARTO_INFORME_OCTUBRE A DICIEMBRE_2021</t>
  </si>
  <si>
    <t>4043_G. OPER_BIOSEGURIDAD_OCT-DIC_IP1010_COFY2102_PACIFISTA_CUARTO_INFORME_OCTUBRE A DICIEMBRE_2021</t>
  </si>
  <si>
    <t>4043_G. OPER_G.BANCARIOS_OCT-DIC_IP1010_COFY2102_PACIFISTA_CUARTO_INFORME_OCTUBRE A DICIEMBRE_2021</t>
  </si>
  <si>
    <t>AJ_TRANS#6101661_DISCRIMINACION_LINEA_GASTOS_4043_GASTOS OPERACIONALES_BIOSEGURIDAD_IP1010_COFY2102_PACIFISTA_SEGUNDO_INFORME_ABRIL A JUNIO_2021</t>
  </si>
  <si>
    <t>AJ_TRANS#6101661_DISCRIMINACION_LINEA_GASTOS_4043_GASTOS OPERACIONALES_PAPELERIAIP1010_COFY2102_PACIFISTA_SEGUNDO_INFORME_ABRIL A JUNIO_2021</t>
  </si>
  <si>
    <t>AJ_TRANS#6101661_DISCRIMINACION_LINEA_GASTOS_4043_GASTOS OPER_G. BANCARIOS_IP1010_COFY2102_PACIFISTA_SEGUNDO_INFORME_ABRIL A JUNIO_2021</t>
  </si>
  <si>
    <t>4043_G OPERACIONALES_G_BANCARIOS_IP1011_ACONC_NOVENO_INFORME_NOVIEMBRE_2021</t>
  </si>
  <si>
    <t>AJ_TRANS#6102011_DISCRIMINACION_LINEA_GASTOS_4043_GASTOS_ADMINISTRATIVOS_COFY2102_IP1011_ACONC_QUINTO_INFORME_JULIO_2021</t>
  </si>
  <si>
    <t>AJ_TRANS#6102011_DISCRIMINACION_LINEA_GASTOS_4043_GASTOS_ADMINISTRATIVOS_SERV LUZ_COFY2102_IP1011_ACONC_QUINTO_INFORME_JULIO_2021</t>
  </si>
  <si>
    <t>AJ_TRANS#6102011_DISCRIMINACION_LINEA_GASTOS_4043_GASTOS_ADMINISTRATIVOS_SERV AGUA_COFY2102_IP1011_ACONC_QUINTO_INFORME_JULIO_2021</t>
  </si>
  <si>
    <t>AJ_TRANS#6102011_DISCRIMINACION_LINEA_GASTOS_4043_GASTOS_ADMINISTRATIVOS_GAST BANCARIOS_COFY2102_IP1011_ACONC_QUINTO_INFORME_JULIO_2021</t>
  </si>
  <si>
    <t>AJ_TRANS#6101502_DISCRIMINACION_LINEA_GASTOS_4043_GASTOS_ADMINISTRATIVOS_COFY2102_IP1011_ACONC_CUARTO_INFORME_JUNIO_2021</t>
  </si>
  <si>
    <t>AJ_TRANS#6101502_DISCRIMINACION_LINEA_GASTOS_4043_GASTOS_BANCARIOS_COFY2102_IP1011_ACONC_CUARTO_INFORME_JUNIO_2021</t>
  </si>
  <si>
    <t>4043_G OPERACIONALES_ELEMENTOS CAFETERIA_IP1011_ACONC_DÉCIMO_INFORME_DICIEMBRE_2021</t>
  </si>
  <si>
    <t>4043_G OPERACIONALES_OTROS GASTOS DE COMUNICACION_IP1011_ACONC_DÉCIMO_INFORME_DICIEMBRE_2021</t>
  </si>
  <si>
    <t>4043_G OPERACIONALES_GASTOS OFICINA_IP1011_ACONC_DÉCIMO_INFORME_DICIEMBRE_2021</t>
  </si>
  <si>
    <t>Reversed Tr 6103527 4043_G OPERACIONALES_G_BANCARIOS_IP1011_ACONC_NOVENO_INFORME_NOVIEMBRE_2021</t>
  </si>
  <si>
    <t>Reversed Tr 6103527 4043_G OPERACIONALES_ELEMENTOS CAFETERIA_IP1011_ACONC_DÉCIMO_INFORME_DICIEMBRE_2021</t>
  </si>
  <si>
    <t>Reversed Tr 6103527 4043_G OPERACIONALES_OTROS GASTOS DE COMUNICACION_IP1011_ACONC_DÉCIMO_INFORME_DICIEMBRE_2021</t>
  </si>
  <si>
    <t>Reversed Tr 6103527 4043_G OPERACIONALES_GASTOS OFICINA_IP1011_ACONC_DÉCIMO_INFORME_DICIEMBRE_2021</t>
  </si>
  <si>
    <t>4043_G OPERACIONALES_GASTOS OFICINA_IP1011_ACONC_NOVENO_INFORME_NOVIEMBRE_2021</t>
  </si>
  <si>
    <t>4043_G OPERACIONALES_GASTOS OFICINA_IP1011_ACONC_OCTAVO_INFORME_OCTUBRE_2021</t>
  </si>
  <si>
    <t>4043_G OPERACIONALES_G_BANCARIOS_IP1011_ACONC_OCTAVO_INFORME_OCTUBRE_2021</t>
  </si>
  <si>
    <t>AJ_TRANS#6102961_DISCRIMINACION_LINEA_GASTOS_4043_GASTOS ADMINISTRATIVOS_COFY2102_IP1011_ACONC_SEPTIMO INFORME_SEPTIEMBRE 2021</t>
  </si>
  <si>
    <t>AJ_TRANS#6102961_DISCRIMINACION_LINEA_GASTOS_4043_GASTOS_ADMINISTRATIVOS_OTROS COSTOS OF_COFY2102_IP1011_ACONC_SEPTIMO INFORME_SEPTIEMBRE 2021</t>
  </si>
  <si>
    <t>AJ_TRANS#6102961_DISCRIMINACION_LINEA_GASTOS_4043_GASTOS_ADMINISTRATIVOS_SERV LUZ_COFY2102_IP1011_ACONC_SEPTIMO INFORME_SEPTIEMBRE 2021</t>
  </si>
  <si>
    <t>AJ_TRANS#6102961_DISCRIMINACION_LINEA_GASTOS_4043_GASTOS_ADMINISTRATIVOS_SERV AGUA_COFY2102_IP1011_ACONC_SEPTIMO INFORME_SEPTIEMBRE 2021</t>
  </si>
  <si>
    <t>AJ_TRANS#6102961_DISCRIMINACION_LINEA_GASTOS_4043_GASTOS_ADMINISTRATIVOS_ELEM ASEO Y CAFET_COFY2102_IP1011_ACONC_SEPTIMO INFORME_SEPTIEMBRE 2021</t>
  </si>
  <si>
    <t>AJ_TRANS#6102961_DISCRIMINACION_LINEA_GASTOS_4043_GASTOS_ADMINISTRATIVOS_GAST BANCARIOS_COFY2102_IP1011_ACONC_SEPTIMO INFORME_SEPTIEMBRE 2021</t>
  </si>
  <si>
    <t>AJ_TRANS#6102147_DISCRIMINACION_LINEA_GASTOS_4043_GASTOS_ADMINISTRATIVOS_COFY2102_IP1011_ACONC_SEXTO INFORME_AGOSTO 2021</t>
  </si>
  <si>
    <t>AJ_TRANS#6102147_DISCRIMINACION_LINEA_GASTOS_4043_GASTOS_ADMINISTRATIVOS_GAST BANCARIOS_COFY2102_IP1011_ACONC_SEXTO INFORME_AGOSTO 2021</t>
  </si>
  <si>
    <t>4044_GASTOS DE VIAJE_IP1010_COFY2102_PACIFISTA_SEGUNDO_INFORME_JULIO A SEPTIEMBRE_2021</t>
  </si>
  <si>
    <t>AJ_TRANS#6101661_DISCRIMINACION_LINEA_GASTOS_4044_GASTOS DE VIAJE_TRANSP. AEREO_IP1010_COFY2102_PACIFISTA_SEGUNDO_INFORME_ABRIL A JUNIO_2021</t>
  </si>
  <si>
    <t>AJ_TRANS#6101661_DISCRIMINACION_LINEA_GASTOS_4044_GASTOS DE VIAJE_TRANSP TERRESSTRE_IP1010_COFY2102_PACIFISTA_SEGUNDO_INFORME_ABRIL A JUNIO_2021</t>
  </si>
  <si>
    <t>AJ_TRANS#6103125_DISCRIMINACION_LINEA_GASTOS_4044_GASTOS DE VIAJE_ALOJAMIENTO_IP1010_COFY2102_PACIFISTA_SEGUNDO_INFORME_JULIO A SEPTIEMBRE_2021</t>
  </si>
  <si>
    <t>AJ_TRANS#6103125_DISCRIMINACION_LINEA_GASTOS_4044_GASTOS DE VIAJE_ALIMENTACION_IP1010_COFY2102_PACIFISTA_SEGUNDO_INFORME_JULIO A SEPTIEMBRE_2021</t>
  </si>
  <si>
    <t>AJ_TRANS#6103125_DISCRIMINACION_LINEA_GASTOS_4044_GASTOS DE VIAJE_TRANSP AEREO_IP1010_COFY2102_PACIFISTA_SEGUNDO_INFORME_JULIO A SEPTIEMBRE_2021</t>
  </si>
  <si>
    <t>AJ_TRANS#6103125_DISCRIMINACION_LINEA_GASTOS_4044_GASTOS DE VIAJE_TRANSP TERRESTRE_IP1010_COFY2102_PACIFISTA_SEGUNDO_INFORME_JULIO A SEPTIEMBRE_2021</t>
  </si>
  <si>
    <t>AJUSTE TASA_TRANS#6101661_4044_GASTOS DE VIAJE_IP1010_COFY2102_PACIFISTA_SEGUNDO_INFORME_ABRIL A JUNIO_2021</t>
  </si>
  <si>
    <t>AJUSTE TASA_TRANS#6103125_4044_GASTOS DE VIAJE_IP1010_COFY2102_PACIFISTA_SEGUNDO_INFORME_JULIO A SEPTIEMBRE_2021</t>
  </si>
  <si>
    <t>AJ_TRANS#6101661_DISCRIMINACION_LINEA_GASTOS_4044_GASTOS DE VIAJE_ALOJAMIENTO_IP1010_COFY2102_PACIFISTA_SEGUNDO_INFORME_ABRIL A JUNIO_2021</t>
  </si>
  <si>
    <t>AJ_TRANS#6101661_DISCRIMINACION_LINEA_GASTOS_4044_GASTOS DE VIAJE_ALIMENTACION_IP1010_COFY2102_PACIFISTA_SEGUNDO_INFORME_ABRIL A JUNIO_2021</t>
  </si>
  <si>
    <t>4044_G TRANSPORTE Y VIAJE_T. TERRESTRE_IP1011_ACONC_OCTAVO_INFORME_OCTUBRE_2021</t>
  </si>
  <si>
    <t>4045_GASTOS ACTIVIDADES_IP1010_COFY2102_PACIFISTA_SEGUNDO_INFORME_JULIO A SEPTIEMBRE_2021</t>
  </si>
  <si>
    <t>4045_GASTOS ACTIVIDADES_COFY2102_IP1011_ACONC_SEPTIMO INFORME_SEPTIEMBRE 2021</t>
  </si>
  <si>
    <t>4045_ACTIV_MATERIALES_ESCUELA DE COMUNICACION_IP1010_COFY2102_PACIFISTA_CUARTO_INFORME_OCTUBRE A DICIEMBRE_2021</t>
  </si>
  <si>
    <t>4045_ACTIV_TALLERISTA PRINCIPAL Y DE RADIO_ESCUELA DE COMUNICACION_IP1010_COFY2102_PACIFISTA_CUARTO_INFORME_OCTUBRE A DICIEMBRE_2021</t>
  </si>
  <si>
    <t>4045_ACTIV_TALLERISTA VIDEO PRINCIPAL_ESCUELA DE COMUNICACION_IP1010_COFY2102_PACIFISTA_CUARTO_INFORME_OCTUBRE A DICIEMBRE_2021</t>
  </si>
  <si>
    <t>4045_ACTIV_TALLERISTA VIDEO SECUNDARIO_ESCUELA DE COMUNICACION_IP1010_COFY2102_PACIFISTA_CUARTO_INFORME_OCTUBRE A DICIEMBRE_2021</t>
  </si>
  <si>
    <t>4045_ACTIV_TALLERISTA DISEÑO_ESCUELA DE COMUNICACION_IP1010_COFY2102_PACIFISTA_CUARTO_INFORME_OCTUBRE A DICIEMBRE_2021</t>
  </si>
  <si>
    <t>4045_ACTIV_TALLERISTA EDITORIAL_ESCUELA DE COMUNICACION_IP1010_COFY2102_PACIFISTA_CUARTO_INFORME_OCTUBRE A DICIEMBRE_2021</t>
  </si>
  <si>
    <t>4045_ACTIV_TALLERISTA REDES SOCIALES_ESCUELA DE COMUNICACION_IP1010_COFY2102_PACIFISTA_CUARTO_INFORME_OCTUBRE A DICIEMBRE_2021</t>
  </si>
  <si>
    <t>4045_ACTIV_TALLERISTA APOYO_ESCUELA DE COMUNICACION_IP1010_COFY2102_PACIFISTA_CUARTO_INFORME_OCTUBRE A DICIEMBRE_2021</t>
  </si>
  <si>
    <t>4045_ACTIV_INCENTIVO TALLERISTA_ESCUELA DE COMUNICACION_IP1010_COFY2102_PACIFISTA_CUARTO_INFORME_OCTUBRE A DICIEMBRE_2021</t>
  </si>
  <si>
    <t>4045_ACTIV_ALIMENTACION_ESCUELA DE COMUNICACION_IP1010_COFY2102_PACIFISTA_CUARTO_INFORME_OCTUBRE A DICIEMBRE_2021</t>
  </si>
  <si>
    <t>4045_ACTIV_SUBSIDIO DE TRANSPORTE_ESCUELA DE COMUNICACION_IP1010_COFY2102_PACIFISTA_CUARTO_INFORME_OCTUBRE A DICIEMBRE_2021</t>
  </si>
  <si>
    <t>4045_ACTIV_TRANSPORTE AÉREO EQUIPO PACIFISTA_ESCUELA DE COMUNICACION_IP1010_COFY2102_PACIFISTA_CUARTO_INFORME_OCTUBRE A DICIEMBRE_2021</t>
  </si>
  <si>
    <t>4045_ACTIV_TRANSPORTE LOCAL EQUIPO PACIFISTA_ESCUELA DE COMUNICACION_IP1010_COFY2102_PACIFISTA_CUARTO_INFORME_OCTUBRE A DICIEMBRE_2021</t>
  </si>
  <si>
    <t>4045_ACTIV_DISEÑO GRÁFICO DE MATERIALES_MAPEO EN MICROCUENCAS_IP1010_COFY2102_PACIFISTA_CUARTO_INFORME_OCTUBRE A DICIEMBRE_2021</t>
  </si>
  <si>
    <t>4045_ACTIV_DISEÑADOR GRÁFICO_DISEÑO DE METODOLOGÍA_IP1010_COFY2102_PACIFISTA_CUARTO_INFORME_OCTUBRE A DICIEMBRE_2021</t>
  </si>
  <si>
    <t>4045_ACTIV_ALQUILER ESPACIOS_ESCUELA DE COMUNICACION_IP1010_COFY2102_PACIFISTA_CUARTO_INFORME_OCTUBRE A DICIEMBRE_2021</t>
  </si>
  <si>
    <t>4045_ACTIV_ALQUILER EQUIPOS_ESCUELA DE COMUNICACION_IP1010_COFY2102_PACIFISTA_CUARTO_INFORME_OCTUBRE A DICIEMBRE_2021</t>
  </si>
  <si>
    <t>4045_ACTIV_ALIMENTACION EQUIPO PACIFISTA_ESCUELA DE COMUNICACION_IP1010_COFY2102_PACIFISTA_CUARTO_INFORME_OCTUBRE A DICIEMBRE_2021</t>
  </si>
  <si>
    <t>4045_ACTIV_HOSPEDAJE QUIPO PACIFISTA_ESCUELA DE COMUNICACION_IP1010_COFY2102_PACIFISTA_CUARTO_INFORME_OCTUBRE A DICIEMBRE_2021</t>
  </si>
  <si>
    <t>4045_ACTIV_ENLACE DE FORTALECIMIENTO_TALLERES DE FORTALECIMIENTO_IP1010_COFY2102_PACIFISTA_CUARTO_INFORME_OCTUBRE A DICIEMBRE_2021</t>
  </si>
  <si>
    <t>4045_ACTIV_TALLERISTA DE RADIO_FORTALECIMIENTO DE HERRAMIENTAS_IP1010_COFY2102_PACIFISTA_CUARTO_INFORME_OCTUBRE A DICIEMBRE_2021</t>
  </si>
  <si>
    <t>AJUSTE TASA_TRANS#6103125_4045_GASTOS ACTIVIDADES_IP1010_COFY2102_PACIFISTA_SEGUNDO_INFORME_JULIO A SEPTIEMBRE_2021</t>
  </si>
  <si>
    <t>AJ_TRANS#6103125_DISCRIMINACION_LINEA_GASTOS_4045_ACTIV_ALIMENTACION_ESCUELA DE COMUNICACION_IP1010_COFY2102_PACIFISTA_SEGUNDO_INFORME_JULIO A SEPTIEMBRE_2021</t>
  </si>
  <si>
    <t>AJ_TRANS#6103125_DISCRIMINACION_LINEA_GASTOS_4045_ACTIV_SUBSIDIO DE TRANSPORTE_ESCUELA DE COMUNICACION_IP1010_COFY2102_PACIFISTA_SEGUNDO_INFORME_JULIO A SEPTIEMBRE_2021</t>
  </si>
  <si>
    <t>AJ_TRANS#6103125_DISCRIMINACION_LINEA_GASTOS_4045_ACTIV_ALQUILER ESPACIOS_ESCUELA DE COMUNICACION_IP1010_COFY2102_PACIFISTA_SEGUNDO_INFORME_JULIO A SEPTIEMBRE_2021</t>
  </si>
  <si>
    <t>AJ_TRANS#6103125_DISCRIMINACION_LINEA_GASTOS_4045_ACTIV_MATERIALES_ESCUELA DE COMUNICACION_IP1010_COFY2102_PACIFISTA_SEGUNDO_INFORME_JULIO A SEPTIEMBRE_2021</t>
  </si>
  <si>
    <t>AJ_TRANS#6103125_DISCRIMINACION_LINEA_GASTOS_4045_ACTIV_TALLERISTA DISEÑO_ESCUELA DE COMUNICACION_IP1010_COFY2102_PACIFISTA_SEGUNDO_INFORME_JULIO A SEPTIEMBRE_2021</t>
  </si>
  <si>
    <t>AJ_TRANS#6103125_DISCRIMINACION_LINEA_GASTOS_4045_ACTIV_TALLERISTA APOYO_ESCUELA DE COMUNICACION_IP1010_COFY2102_PACIFISTA_SEGUNDO_INFORME_JULIO A SEPTIEMBRE_2021</t>
  </si>
  <si>
    <t>4045_G ACTIVIDADES_TRANSPORTE PARTICIPANTES_TALLERES SOBRE IDENTIFICACION DE RIESGOS PREVENCION VBG_IP1011_ACONC_OCTAVO_INFORME_OCTUBRE_2021</t>
  </si>
  <si>
    <t>4045_G ACTIVIDADES_ALIMENTACION_TALLERES SOBRE IDENTIFICACION DE RIESGOS PREVENCION VBG_IP1011_ACONC_OCTAVO_INFORME_OCTUBRE_2021</t>
  </si>
  <si>
    <t>4045_G ACTIVIDADES_ALQUILER SALON_REUNIONES PARA LA CONSTRUCCION DE RUTAS_IP1011_ACONC_OCTAVO_INFORME_OCTUBRE_2021</t>
  </si>
  <si>
    <t>4045_G ACTIVIDADES_ENLACES ETNICOS_CONSEJOS DE PROTECCION VBG_IP1011_ACONC_OCTAVO_INFORME_OCTUBRE_2021</t>
  </si>
  <si>
    <t>4045_G ACTIVIDADES_ALQUILER SALON_CONSEJOS DE PROTECCION VBG_IP1011_ACONC_OCTAVO_INFORME_OCTUBRE_2021</t>
  </si>
  <si>
    <t>4045_G ACTIVIDADES_ALIMENTACION_CONSEJOS DE PROTECCION VBG_IP1011_ACONC_OCTAVO_INFORME_OCTUBRE_2021</t>
  </si>
  <si>
    <t>AJ_TRANS#6101502_DISCRIMINACION_LINEA_GASTOS_4045_GASTOS_ACTIVIDADES_COFY2102_IP1011_ACONC_CUARTO_INFORME_JUNIO_2021</t>
  </si>
  <si>
    <t>AJ_TRANS#6101502_DISCRIMINACION_LINEA_GASTOS_4045_GASTOS_ACT_ALQUILER DE SALON_CARACT E IDENT_COFY2102_IP1011_ACONC_CUARTO_INFORME_JUNIO_2021</t>
  </si>
  <si>
    <t>AJ_TRANS#6101502_DISCRIMINACION_LINEA_GASTOS_4045_GASTOS_ACT_ALIMENTACION_CARACT E IDENT_COFY2102_IP1011_ACONC_CUARTO_INFORME_JUNIO_2021</t>
  </si>
  <si>
    <t>AJ_TRANS#6101502_DISCRIMINACION_LINEA_GASTOS_4045_GASTOS_ACT_TRANSPORTE_TALLERES IDENTIF RIESGOS_COFY2102_IP1011_ACONC_CUARTO_INFORME_JUNIO_2021</t>
  </si>
  <si>
    <t>4045_G ACTIVIDADES_TRANSPORTE_TALLERES SOBRE IDENTIFICACION DE RIESGOS PREVENCION VBG_IP1011_ACONC_NOVENO_INFORME_NOVIEMBRE_2021</t>
  </si>
  <si>
    <t>4045_G ACTIVIDADES_ALIMENTACION_TALLERES SOBRE IDENTIFICACION DE RIESGOS PREVENCION VBG_IP1011_ACONC_NOVENO_INFORME_NOVIEMBRE_2021</t>
  </si>
  <si>
    <t>4045_G ACTIVIDADES_ALIMENTACION_REUNIONES PARA LA CONSTRUCCION DE RUTAS_IP1011_ACONC_NOVENO_INFORME_NOVIEMBRE_2021</t>
  </si>
  <si>
    <t>4045_G ACTIVIDADES_TRANSPORTE_REUNIONES CON AUTORIDADES PARA APROB DOCUMENTOS_IP1011_ACONC_NOVENO_INFORME_NOVIEMBRE_2021</t>
  </si>
  <si>
    <t>4045_G ACTIVIDADES_ALIMENTACION_REUNIONES CON AUTORIDADES PARA APROB DOCUMENTOS_IP1011_ACONC_NOVENO_INFORME_NOVIEMBRE_2021</t>
  </si>
  <si>
    <t>4045_G ACTIVIDADES_ENLACES ETNICOS_CONSEJOS DE PROTECCION VBG_IP1011_ACONC_NOVENO_INFORME_NOVIEMBRE_2021</t>
  </si>
  <si>
    <t>4045_G ACTIVIDADES_ALIMENTACION_CARACTERIZACION E IDENTIFICACIÓN_IP1011_ACONC_OCTAVO_INFORME_OCTUBRE_2021</t>
  </si>
  <si>
    <t>4045_G ACTIVIDADES_TALLERISTA_TALLERES SOBRE IDENTIFICACION DE RIESGOS PREVENCION VBG_IP1011_ACONC_OCTAVO_INFORME_OCTUBRE_2021</t>
  </si>
  <si>
    <t>AJ_TRANS#6102961_DISCRIMINACION_LINEA_GASTOS_4045_GASTOS ACTIVIDADES_COFY2102_IP1011_ACONC_SEPTIMO INFORME_SEPTIEMBRE 2021</t>
  </si>
  <si>
    <t>AJ_TRANS#6102961_DISCRIMINACION_LINEA_GASTOS_4045_GASTOS_ACT_TALLERISTA_CARACT E IDENT_COFY2102_IP1011_ACONC_SEPTIMO INFORME_SEPTIEMBRE 2021</t>
  </si>
  <si>
    <t>AJ_TRANS#6102961_DISCRIMINACION_LINEA_GASTOS_4045_GASTOS_ACT_ALIMENTACION_CARACT E IDENT_COFY2102_IP1011_ACONC_SEPTIMO INFORME_SEPTIEMBRE 2021</t>
  </si>
  <si>
    <t>AJ_TRANS#6102961_DISCRIMINACION_LINEA_GASTOS_4045_GASTOS_ACT_S_ALIMENTACION_CONTRUCCION RUTAS_COFY2102_IP1011_ACONC_SEPTIMO INFORME_SEPTIEMBRE 2021</t>
  </si>
  <si>
    <t>AJ_TRANS#6102961_DISCRIMINACION_LINEA_GASTOS_4045_GASTOS_ACT__ENLACE_CONSEJOS PROTEC_COFY2102_IP1011_ACONC_SEPTIMO INFORME_SEPTIEMBRE 2021</t>
  </si>
  <si>
    <t>AJ_TRANS#6102961_DISCRIMINACION_LINEA_GASTOS_4045_GASTOS_ACT__ALQUILER SALON_4TO ENCUENTRO CONSEJOS COM_COFY2102_IP1011_ACONC_SEPTIMO INFORME_SEPTIEMBRE 2021</t>
  </si>
  <si>
    <t>AJ_TRANS#6102961_DISCRIMINACION_LINEA_GASTOS_4045_GASTOS_ACT_ALIMENTACION_4TO ENCUENTRO CONSEJOS COM_COFY2102_IP1011_ACONC_SEPTIMO INFORME_SEPTIEMBRE 2021</t>
  </si>
  <si>
    <t>Reversed Tr 6103527 4045_G ACTIVIDADES_ALIMENTACION_REUNIONES PARA LA CONSTRUCCION DE RUTAS_IP1011_ACONC_DÉCIMO_INFORME_DICIEMBRE_2021</t>
  </si>
  <si>
    <t>Reversed Tr 6103527 4045_G ACTIVIDADES_ALQUILER SALON_REUNIONES PARA LA CONSTRUCCION DE RUTAS_IP1011_ACONC_DÉCIMO_INFORME_DICIEMBRE_2021</t>
  </si>
  <si>
    <t>Reversed Tr 6103527 4045_G ACTIVIDADES_ALIMENTACION_TALLERES SOBRE IDENTIFICACION DE RIESGOS PREVENCION VBG_IP1011_ACONC_DÉCIMO_INFORME_DICIEMBRE_2021</t>
  </si>
  <si>
    <t>Reversed Tr 6103527 4045_G ACTIVIDADES_ALQUILER SALON_TALLERES SOBRE IDENTIFICACION DE RIESGOS PREVENCION VBG_IP1011_ACONC_DÉCIMO_INFORME_DICIEMBRE_2021</t>
  </si>
  <si>
    <t>Reversed Tr 6103527 4045_G ACTIVIDADES_TRANSPORTE_TALLERES SOBRE IDENTIFICACION DE RIESGOS PREVENCION VBG_IP1011_ACONC_DÉCIMO_INFORME_DICIEMBRE_2021</t>
  </si>
  <si>
    <t>Reversed Tr 6103527 4045_G ACTIVIDADES_TALLERISTA_TALLERES SOBRE IDENTIFICACION DE RIESGOS PREVENCION VBG_IP1011_ACONC_DÉCIMO_INFORME_DICIEMBRE_2021</t>
  </si>
  <si>
    <t>Reversed Tr 6103527 4045_G ACTIVIDADES_ALIMENTACIÓN_CONSEJOS DE PROTECCIÓN VBG_IP1011_ACONC_DÉCIMO_INFORME_DICIEMBRE_2021</t>
  </si>
  <si>
    <t>Reversed Tr 6103527 4045_G ACTIVIDADES_ALQUILER SALON_CONSEJOS DE PROTECCIÓN VBG_IP1011_ACONC_DÉCIMO_INFORME_DICIEMBRE_2021</t>
  </si>
  <si>
    <t>Reversed Tr 6103527 4045_G ACTIVIDADES_ENLACES_CONSEJOS DE PROTECCIÓN VBG_IP1011_ACONC_DÉCIMO_INFORME_DICIEMBRE_2021</t>
  </si>
  <si>
    <t>Reversed Tr 6103527 4045_G ACTIVIDADES_ASESORIA_PUESTA EN MARCHA OBSERVATORIO_IP1011_ACONC_DÉCIMO_INFORME_DICIEMBRE_2021</t>
  </si>
  <si>
    <t>Reversed Tr 6103527 4045_G ACTIVIDADES_DISEÑO SOFTWARE_PUESTA EN MARCHA OBSERVATORIO_IP1011_ACONC_DÉCIMO_INFORME_DICIEMBRE_2021</t>
  </si>
  <si>
    <t>4045_G ACTIVIDADES_TALLERISTA_TALLERES SOBRE IDENTIFICACION DE RIESGOS PREVENCION VBG_IP1011_ACONC_DÉCIMO_INFORME_DICIEMBRE_2021</t>
  </si>
  <si>
    <t>4045_G ACTIVIDADES_ALIMENTACIÓN_CONSEJOS DE PROTECCIÓN VBG_IP1011_ACONC_DÉCIMO_INFORME_DICIEMBRE_2021</t>
  </si>
  <si>
    <t>4045_G ACTIVIDADES_ALQUILER SALON_CONSEJOS DE PROTECCIÓN VBG_IP1011_ACONC_DÉCIMO_INFORME_DICIEMBRE_2021</t>
  </si>
  <si>
    <t>4045_G ACTIVIDADES_ENLACES_CONSEJOS DE PROTECCIÓN VBG_IP1011_ACONC_DÉCIMO_INFORME_DICIEMBRE_2021</t>
  </si>
  <si>
    <t>4045_G ACTIVIDADES_ASESORIA_PUESTA EN MARCHA OBSERVATORIO_IP1011_ACONC_DÉCIMO_INFORME_DICIEMBRE_2021</t>
  </si>
  <si>
    <t>4045_G ACTIVIDADES_DISEÑO SOFTWARE_PUESTA EN MARCHA OBSERVATORIO_IP1011_ACONC_DÉCIMO_INFORME_DICIEMBRE_2021</t>
  </si>
  <si>
    <t>4045_G ACTIVIDADES_ALIMENTACION_REUNIONES PARA LA CONSTRUCCION DE RUTAS_IP1011_ACONC_DÉCIMO_INFORME_DICIEMBRE_2021</t>
  </si>
  <si>
    <t>4045_G ACTIVIDADES_ALQUILER SALON_REUNIONES PARA LA CONSTRUCCION DE RUTAS_IP1011_ACONC_DÉCIMO_INFORME_DICIEMBRE_2021</t>
  </si>
  <si>
    <t>4045_G ACTIVIDADES_ALIMENTACION_TALLERES SOBRE IDENTIFICACION DE RIESGOS PREVENCION VBG_IP1011_ACONC_DÉCIMO_INFORME_DICIEMBRE_2021</t>
  </si>
  <si>
    <t>4045_G ACTIVIDADES_ALQUILER SALON_TALLERES SOBRE IDENTIFICACION DE RIESGOS PREVENCION VBG_IP1011_ACONC_DÉCIMO_INFORME_DICIEMBRE_2021</t>
  </si>
  <si>
    <t>4045_G ACTIVIDADES_TRANSPORTE_TALLERES SOBRE IDENTIFICACION DE RIESGOS PREVENCION VBG_IP1011_ACONC_DÉCIMO_INFORME_DICIEMBRE_2021</t>
  </si>
  <si>
    <t>AJ_TRANS#6102147_DISCRIMINACION_LINEA_GASTOS_4045_GASTOS_ACT_COFY2102_IP1011_ACONC_SEXTO INFORME_AGOSTO 2021</t>
  </si>
  <si>
    <t>AJ_TRANS#6102147_DISCRIMINACION_LINEA_GASTOS_4045_GASTOS_ACT_ENLACES ÉTNICOS_CONSEJOS PROTECCION_COFY2102_IP1011_ACONC_SEXTO INFORME_AGOSTO 2021</t>
  </si>
  <si>
    <t>4050_IP1010_PACIFISTA_TERCER_INFORME_JULIO A SEPTIEMBRE_2021</t>
  </si>
  <si>
    <t>4050_COFY2102_IP1011_ACONC_SEPTIMO_INFORME_SEPTIEMBRE_2021</t>
  </si>
  <si>
    <t>AJUSTE TASA_TRANS#6100680_IP1010_PACIFISTA_PRIMER_INFORME_MARZO_2021</t>
  </si>
  <si>
    <t>AJUSTE TASA_TRANS#6101661_4050_IP1010_PACIFISTA_SEGUNDO_INFORME_ABRIL A JUNIO_2021</t>
  </si>
  <si>
    <t>AJUSTE TASA_TRANS#6103125_4050_IP1010_PACIFISTA_TERCER_INFORME_JULIO A SEPTIEMBRE_2021</t>
  </si>
  <si>
    <t>4050_IP1010_PACIFISTA_CUARTO_INFORME_OCTUBRE A DICIEMBRE_2021</t>
  </si>
  <si>
    <t>4050_CIERRE DE CUENTA_VIGENCIA_2021_COFY2102_PACIFISTA_IP1010</t>
  </si>
  <si>
    <t>4050_IP1011_ACONC_DÉCIMO_INFORME_DICIEMBRE_2021</t>
  </si>
  <si>
    <t>4050_IP1011_ACONC_NOVENO_INFORME_NOVIEMBRE_2021</t>
  </si>
  <si>
    <t>4050_IP1011_ACONC_OCTAVO_INFORME_OCTUBRE_2021</t>
  </si>
  <si>
    <t>Reversed Tr 6103527 4050_IP1011_ACONC_DÉCIMO_INFORME_DICIEMBRE_2021</t>
  </si>
  <si>
    <t>4050_CIERRE DE CUENTA_VIGENCIA_2021_COFY2102_ACONC_IP1011</t>
  </si>
  <si>
    <t>4220</t>
  </si>
  <si>
    <t>51157004</t>
  </si>
  <si>
    <t>SO06-197</t>
  </si>
  <si>
    <t>EXECUTIVE CHAIR</t>
  </si>
  <si>
    <t>P818001129</t>
  </si>
  <si>
    <t>818001129 EyS COMPUTADORES LTDA</t>
  </si>
  <si>
    <t>RECL_TRANS#22100491_COFE2107_A_COFY2102_FC006019_QBO1325_SUMINISTRO E INSTALACION_SILLA ERGONOMICA COLOR NEGRO 95*60*45</t>
  </si>
  <si>
    <t>SO06-198</t>
  </si>
  <si>
    <t>SO06-199</t>
  </si>
  <si>
    <t>SO06-200</t>
  </si>
  <si>
    <t>SO06-201</t>
  </si>
  <si>
    <t>SO06-202</t>
  </si>
  <si>
    <t>SO06-205</t>
  </si>
  <si>
    <t>DESKTOP</t>
  </si>
  <si>
    <t>RECL_TRANS#22100491_COFE2107_A_COFY2102_FC006019_QBO1325_SUMINISTRO E INSTALACION_ISLA DE TRABAJO 4 PX TABLEX DE 30 mm ENCHAPADA 3 CM X 1,2O0 CM</t>
  </si>
  <si>
    <t>SO06-206</t>
  </si>
  <si>
    <t>51452508</t>
  </si>
  <si>
    <t>4250</t>
  </si>
  <si>
    <t>51157006</t>
  </si>
  <si>
    <t>SO04-308</t>
  </si>
  <si>
    <t>FC002829_CLO1183-1_GARANTIA EXTENDIDA_ELITEBOOK 840 G7_5CG134092Z_SO04-308</t>
  </si>
  <si>
    <t>FC002829</t>
  </si>
  <si>
    <t>AJ_6103033_ERROR_TC_FC002829_CLO1183-1_GARANTIA EXTENDIDA_ELITEBOOK 840 G7_5CG134092Z_SO04-308</t>
  </si>
  <si>
    <t>SO04-309</t>
  </si>
  <si>
    <t>AJ_6103033_ERROR_TC_FC002829_CLO1183-1_GARANTIA_EXTENDI_ELITEBOOK 840 G7_5CG134093N_SO04-309</t>
  </si>
  <si>
    <t>FC002829_CLO1183-1_GARANTIA_EXTENDI_ELITEBOOK 840 G7_5CG134093N_SO04-309</t>
  </si>
  <si>
    <t>SO04-310</t>
  </si>
  <si>
    <t>FC002829_CLO1183-1_GARANTIA_EXTENDI_ELITEBOOK 840 G7_5CG134096B_SO04-310</t>
  </si>
  <si>
    <t>AJ_6103033_ERROR_TC_FC002829_CLO1183-1_GARANTIA_EXTENDI_ELITEBOOK 840 G7_5CG134096B_SO04-310</t>
  </si>
  <si>
    <t>FC002829_CLO1183-1_COMPRA_EQUIPOS_COMPUTO_AREA_SW_ELITEBOOK 840 G7_5CG134092Z_SO04-308</t>
  </si>
  <si>
    <t>FC002829_CLO1183-1_COMPRA_EQUIPOS_COMPUTO_AREA_SW_ELITEBOOK 840 G7_5CG134093N_SO04-309</t>
  </si>
  <si>
    <t>FC002829_CLO1183-1_COMPRA_EQUIPOS_COMPUTO_AREA_SW_ELITEBOOK 840 G7_5CG134096B_SO04-310</t>
  </si>
  <si>
    <t>P16830233</t>
  </si>
  <si>
    <t>16830233 PABLO CESAR MINA GARCIA</t>
  </si>
  <si>
    <t>WA014140_CLO1445_SERVICIO DE CONTRATACIÓN TALLERISTA ESCUELA DE GUARDIAS EL 19 Y 20 DE NOVIEMBRE EN SANTANDER DE QUILICHAO CAUCA</t>
  </si>
  <si>
    <t>P34373384</t>
  </si>
  <si>
    <t>34373384 ARELIS GUAZA CASTILLO</t>
  </si>
  <si>
    <t>WA003164_CLO1467-1_CONTRATACION_ TALLERISTAS ESCUELA JÓVENES EL 19 Y 20 DE NOVIEMBRE EN SANTANDER CAUCA</t>
  </si>
  <si>
    <t>P1062311623</t>
  </si>
  <si>
    <t>1062311623 MIGUEL JAVIER CARABALI</t>
  </si>
  <si>
    <t>WA003160_CLO1467-2_CONTRATACIÓN_TALLERISTAS ESCUELA JÓVENES EL 19 Y 20 DE NOVIEMBRE EN SANTANDER CAUCA</t>
  </si>
  <si>
    <t>WA013858_CLO1575_CONTRATACIÓN TALLERISTA PBF 16 HORAS</t>
  </si>
  <si>
    <t>WA003168_CLO1492-1_CONTRATACIÓN TALLERISTAS ESCUELA JÓVENES EL 3 Y 4 DE DICIEMBRE EN CALOTO CAUCA</t>
  </si>
  <si>
    <t>P1060357775</t>
  </si>
  <si>
    <t>1060357775 MARIA TERESA CARABALI</t>
  </si>
  <si>
    <t>WA003170_CLO1492-3_CONTRATACIÓN TALLERISTAS ESCUELA JÓVENES EL 3 Y 4 DE DICIEMBRE EN CALOTO CAUCA</t>
  </si>
  <si>
    <t>WA013854_CLO1332-1_CONTRATACIÓN TALLERISTAS ESCUELA JÓVENES EL 22 Y 23 DE OCTUBRE EN SUAREZ CAUCA</t>
  </si>
  <si>
    <t>P1059066217</t>
  </si>
  <si>
    <t>1059066217 CARABALI GOMEZ ANGIE MELISSA</t>
  </si>
  <si>
    <t>WA003169_CLO1492-2 _CONTRATACIÓN TALLERISTAS ESCUELA JÓVENES EL 3 Y 4 DE DICIEMBRE EN CALOTO CAUCA</t>
  </si>
  <si>
    <t>P1062305464</t>
  </si>
  <si>
    <t>1062305464 YESID MINA RAMOS</t>
  </si>
  <si>
    <t>WA003171_CLO1492-4 _CONTRATACIÓN TALLERISTAS ESCUELA JÓVENES EL 3 Y 4 DE DICIEMBRE EN CALOTO CAUCA</t>
  </si>
  <si>
    <t>P1062275225</t>
  </si>
  <si>
    <t>1062275225 VICTOR HUGO MORENO MINA</t>
  </si>
  <si>
    <t>WA003166_CLO1488-1_CONTRATACIÓN TALLERISTAS ESCUELA DE GUARDIAS EL 3 Y 4 DE DICIEMBRE EN SANTANDER DE QUILICHAO CAUCA</t>
  </si>
  <si>
    <t>P4654777</t>
  </si>
  <si>
    <t>4654777 SEVERO VALENCIA VILLEGAS</t>
  </si>
  <si>
    <t>WA013849_CLO1488-2_CONTRATACIÓN TALLERISTAS ESCUELA DE GUARDIAS EL 3 Y 4 DE DICIEMBRE EN SANTANDER DE QUILICHAO CAUCA</t>
  </si>
  <si>
    <t>P76269685</t>
  </si>
  <si>
    <t>76269685 MANUEL DOMINGO JIMENEZ MENA</t>
  </si>
  <si>
    <t>WA013850_CLO1488-3_CONTRATACIÓN TALLERISTAS ESCUELA DE GUARDIAS EL 3 Y 4 DE DICIEMBRE EN SANTANDER DE QUILICHAO CAUCA</t>
  </si>
  <si>
    <t>P900220184</t>
  </si>
  <si>
    <t>900220184 PICTOGRAMA CREATIVOS SAS</t>
  </si>
  <si>
    <t>FC013374_CLO1430-1_SERV_IMPRESIÓN DE PENDONES MQR NRC</t>
  </si>
  <si>
    <t>WA012691_CLO1208-1 COFY2102_CLAUIDA MARCELA GARCIA DIAZ_ ALQUILER DE ESPACIO ESCUELA DE JÓVENES DEBIDO A CAMBIO DE UBICACION</t>
  </si>
  <si>
    <t>WA012692_CLO1265_COFY2102_PAULA_ANDREA_VERGARA_CARABALI_ALQUILER_DE_ESPACIO_PARA_EL_DESARROLLO_DE_ESCUELA_DE_JOVENES_PROYECTO_PBF</t>
  </si>
  <si>
    <t>WA012978_CLO1219_COFY2102_PAULA_ANDREA_VERGARA_CARABALI_SERVICIO_DE_ALQUILER_DE_ESPACIO_ESCUELA_DE_GUARDIAS_EL_1_Y_2_DE_OCTUBRE_EN_SANTANDER_DE_QUILICHAO_CAUCA</t>
  </si>
  <si>
    <t>WA014139_CLO1369_SERVICIO_ALQUILER_ ESCUELA JÓVENES EL 5 Y 6 DE NOVIEMBRE EN VILLA RICA CAUCA</t>
  </si>
  <si>
    <t>WA014138_CLO1284_SERVICIO_ALQUILER_ ESCUELA DE GUARDIAS EL 15 Y 16 DE OCTUBRE EN SANTANDER DE QUILICHAO CAUCA</t>
  </si>
  <si>
    <t>WA014134_CLO1285_SERVICIO_ALQUILER_ESPACIO ESCUELA JÓVENES EL 22 Y 23 DE OCTUBRE EN CALOTO CAUCA</t>
  </si>
  <si>
    <t>WA014132_CLO1208_SERVICIO_ALQUILER_ESPACIO_ESCUELA DE JÓVENES_PROTECCION</t>
  </si>
  <si>
    <t>WA013783_CLO1535 _SERVICIO_ALQUILER_SALON_PROYECTO PBF / ACONC</t>
  </si>
  <si>
    <t>P1107078735</t>
  </si>
  <si>
    <t>1107078735 SOFI LORAINE LUCUMI</t>
  </si>
  <si>
    <t>WA003174_CLO1473_SERVICIO DE ALQUILER_ESCUELA DE GUARDIAS EL 3 Y 4 DE DICIEMBRE EN SANTANDER DE QUILICHAO CAUCA</t>
  </si>
  <si>
    <t>WA003173_CLO1487_SERVICIO DE ALQUILER_ESCUELA JÓVENES EL 3 Y 4 DE DICIEMBRE EN CALOTO CAUCA</t>
  </si>
  <si>
    <t>WA003162_CLO1429 _SERVICIO_ALQUILER_ ESPACIO ESCUELA DE GUARDIAS EL 26 Y 27 DE NOVIEMBRE EN SANTANDER DE QUILICHAO CAUCA</t>
  </si>
  <si>
    <t>WA003161_CLO1428 _SERVICIO_ALQUILER DE ESPACIO _ESCUELA JÓVENES EL 26 Y 27 DE NOVIEMBRE EN CALOTO CAUCA</t>
  </si>
  <si>
    <t>51202001</t>
  </si>
  <si>
    <t>CLO0298_DP_FC000163_ALQUILER_MESA_SANTANDER DE QUILICHAO VISITA ASESORA GLOBAL PBF</t>
  </si>
  <si>
    <t>FC000275_CLO0309_DP_COFY2102_SERVICIO_DE_TRANSPORTE_1_STAFF_GUACHENE_CAUCA</t>
  </si>
  <si>
    <t>T_PTUCO339_TRANSPORTE_ANGIE_BURBANO_VISITA_ASESORA_REGIONAL_PROTECCION</t>
  </si>
  <si>
    <t>T_PTUCO339_TRANSPORTE_ANGIE_BURBANO_REUNION_COODINACION_PACIFISTA_ACONI</t>
  </si>
  <si>
    <t>A_WA008506_ALIMENTACION_ANGIE_BURBANO_VISITA_ASESORA_REGIONAL_DE_PROTECCION_SANTANDER</t>
  </si>
  <si>
    <t>FC000277_CLO0314_DP_COFY2102_SERVICIO_DE _TRANSPORTE _SANTANDER _DE _QUILICHAO _1 _STAFF_PROTECCION</t>
  </si>
  <si>
    <t>CLO0299_DP_FC000263_SERVICIO TRANSPORTE STAFF ASESORA GLOBAL PROTECCION</t>
  </si>
  <si>
    <t>CLO1264_ FC000269_COFY2102_SON COSAS DEL CORAZON_TRANSPORTE TERRESTRE PARA STAFF CALI - SANTANDER  DE QUILICHAO (VEREDA LOMITAS- CALI</t>
  </si>
  <si>
    <t>FC000487_ALOJAM_H_M.ACUÑA_SANTANDER_DE_QUILICHAO_18_A_20_11_2021</t>
  </si>
  <si>
    <t>FC060975_A_ALIMENTAC_JULIAN_JARAMILLO_MONITORE_SANTANDER_QUILICHAO_PBF</t>
  </si>
  <si>
    <t>WA012517_A_ALIMENTAC_JULIAN_JARAMILLO_MONITORE_SANTANDER_QUILICHAO_PBF</t>
  </si>
  <si>
    <t>FC060799_A_ALIMENTAC_JULIAN_JARAMILLO_MONITORE_SANTANDER_QUILICHAO_PBF</t>
  </si>
  <si>
    <t>WA012518_A_ALIMENTAC_JULIAN_JARAMILLO_MONITORE_SANTANDER_QUILICHAO_PBF</t>
  </si>
  <si>
    <t>WA012516_A_ALIMENTAC_JULIAN_JARAMILLO_MONITORE_SANTANDER_QUILICHAO_PBF</t>
  </si>
  <si>
    <t>P900343288</t>
  </si>
  <si>
    <t>900343288 INGENIERIA APROPIADA SAS</t>
  </si>
  <si>
    <t>FC142209_COMBUST_4,467GL_$8950_URW110_HENRY_SAMBONI_TALLER_REGLAMENTO_PBF</t>
  </si>
  <si>
    <t>FC000670_O_LAVADO_VEHICULO_URW110_HENRY_SAMBONI_TALLER_REGLAMENTO_PBF</t>
  </si>
  <si>
    <t>WA013275_CLO1306_CONTRATACION_ SABEDORA ANCESTRAL ACTIVIDAD DE TONGA COMUNITARIA EL 17 DE OCTUBRE EN GUACHENÉ CAUCA</t>
  </si>
  <si>
    <t>WA014137_CLO1332-2_SERVICIO_PERSONA DE APOYO POR 16 HORAS, PARA LA QUINTA SESIÓN DE ESCUELA DE JÓVENES DEL PROYECTO PBF</t>
  </si>
  <si>
    <t>FC000286_CLO1340_SERVICIO_TRANSPORTE_STAFF 22 Y 23 DE OCTUBRE EN SANTANDER DE QUILICHAO Y CALOTO CAUCA.</t>
  </si>
  <si>
    <t>FC000481_ALOJAM_H_H.SAMBONY_SANTANDER_DE_QUILICHAO_17_A_18_11_2021</t>
  </si>
  <si>
    <t>AJUST_6102965_ERROR_CUENTA_WA012517_A_ALIMENTAC_JULIAN_JARAMILLO_MONITORE_SANTANDER_QUILICHAO_PBF</t>
  </si>
  <si>
    <t>AJUST_6102965_ERROR_CUENTA_FC060799_A_ALIMENTAC_JULIAN_JARAMILLO_MONITORE_SANTANDER_QUILICHAO_PBF</t>
  </si>
  <si>
    <t>P31523755</t>
  </si>
  <si>
    <t>31523755 MELIDA VALENCIA CARABALI</t>
  </si>
  <si>
    <t>WA014098_A_DESAYU_HENRY_SAMBONI_TALLER_REGLAMENTO_PBF</t>
  </si>
  <si>
    <t>PTU125338_T_TRANSP_URB_HENRY_SAMBONI_TALLER_REGLAMENTO_PBF</t>
  </si>
  <si>
    <t>FC142209_AJUSTE_COMBUST_4,467GL_$8950_URW110_HENRY_SAMBONI_TALLER_REGLAMENTO_PBF</t>
  </si>
  <si>
    <t>FC000321_CLO1458_SERVICIO_TRANSPORTE PARA STAFF 19 Y 20 DE NOVIEMBRE EN SANTANDER DE QUILICHAO Y CALOTO CAUCA.</t>
  </si>
  <si>
    <t>FC000458_ALOJAM H_M.ACUÑA_SANTANDER_DE_QUILICHAO_05_A_06_11_2021</t>
  </si>
  <si>
    <t>FC000460_ALOJAM H_J.PERDOMO_SANTANDER_DE_QUILICHAO_28_A_29_10_2021</t>
  </si>
  <si>
    <t>AJUST_6102965_ERROR_CUENTA_WA012518_A_ALIMENTAC_JULIAN_JARAMILLO_MONITORE_SANTANDER_QUILICHAO_PBF</t>
  </si>
  <si>
    <t>AJUST_6102965_ERROR_CUENTA_WA012516_A_ALIMENTAC_JULIAN_JARAMILLO_MONITORE_SANTANDER_QUILICHAO_PBF</t>
  </si>
  <si>
    <t>AJUST_6102965_ERROR_CUENTA_FC060975_A_ALIMENTAC_JULIAN_JARAMILLO_MONITORE_SANTANDER_QUILICHAO_PBF</t>
  </si>
  <si>
    <t>FC000312_CLO1412_SERVICIO_TRANSPORTE PARA STAFF 11 AL 13 DE NOVIEMBRE EN EL NORTE DEL CAUCA</t>
  </si>
  <si>
    <t>AJUST_6103353_ERROR_CUENTA_AJ_6103305_ERRO_CTA_FC605496_A_ALIMNETAC_SOFIA_LONDOÑO_JORNADA_CILA_CAUCA_ACNUR</t>
  </si>
  <si>
    <t>PTUC0339_T_TRANSPORTE_A.BURBANO_MISION_REUNIONES_COORDINACION Y PLANEACION PBF</t>
  </si>
  <si>
    <t>FC000161</t>
  </si>
  <si>
    <t>FC000161_A - ALIMENTACIÓN_HENRY_SAMBONI_Talleres de reglamentos PBF</t>
  </si>
  <si>
    <t>FC000614_ALOJAM_H_M.ACUÑA_SDER_QUILICHAO_22_AL_23_10_2021</t>
  </si>
  <si>
    <t>FC000531_ALOJAM_H_G.FLETCHER_STDER_QUILICHAO_26_A_27_11_2021</t>
  </si>
  <si>
    <t>FC000533_ALOJAM_H_J.JARAMILLO_STDER_QUILICHAO_26_A_27_11_2021</t>
  </si>
  <si>
    <t>AJ_6103305_ERRO_CTA_FC605496_A_ALIMNETAC_SOFIA_LONDOÑO_JORNADA_CILA_CAUCA_ACNUR</t>
  </si>
  <si>
    <t>WA008574</t>
  </si>
  <si>
    <t>WA008574_A_ALIMENTAC_GERARDO_FLETCHER_EVALUACION_ACTIVIDAD_M&amp;E</t>
  </si>
  <si>
    <t>P31877707</t>
  </si>
  <si>
    <t>31877707 JUANA MARIA CASTILLO</t>
  </si>
  <si>
    <t>WA008575</t>
  </si>
  <si>
    <t>WA008575_A_ALIMENTAC_GERARDO_FLETCHER_EVALUACION_ACTIVIDAD_M&amp;E</t>
  </si>
  <si>
    <t>FC199376</t>
  </si>
  <si>
    <t>FC199376_O_PEAJE_VILLA_RICA_HTY157_GERARDO_FLETCHER_EVALUACION_ACTIVIDAD_M&amp;E</t>
  </si>
  <si>
    <t>FC205285</t>
  </si>
  <si>
    <t>FC205285_O_PEAJE_VILLA_RICA_HTY157_GERARDO_FLETCHER_EVALUACION_ACTIVIDAD_M&amp;E</t>
  </si>
  <si>
    <t>PTUCO276_T_TRANSP:URB_GERARDO_FLETCHER_EVALUACION_ACTIVIDAD_M&amp;E</t>
  </si>
  <si>
    <t>WA008573</t>
  </si>
  <si>
    <t>WA008573_A_ALIMENTAC_GERARDO_FLETCHER_EVALUACION_ACTIVIDAD_M&amp;E</t>
  </si>
  <si>
    <t>WA013857_CLO1494_SERVICIO DE CONTRATACIÓN SABEDORA ANCESTRAL ACTIVIDAD DE TONGA COMUNITARIA EL 5 DE DICIEMBRE EN PADILLA CAUCA</t>
  </si>
  <si>
    <t>FC060798</t>
  </si>
  <si>
    <t>FC060798_A - ALIMENTACIÓN_HENRY_SAMBONI_Talleres de reglamentos PBF</t>
  </si>
  <si>
    <t>AJUS_6103335_PTU125338_T - TRANSPORTE_HENRY_SAMBONI_Talleres de reglamentos PBF</t>
  </si>
  <si>
    <t>P1061700308</t>
  </si>
  <si>
    <t>1061700308 HENRY SAMBONI BOLAÑOS</t>
  </si>
  <si>
    <t>P70904940</t>
  </si>
  <si>
    <t>70904940 GOMEZ VILLEGAS MARTIN EMILIO</t>
  </si>
  <si>
    <t>WA013228_A_DESAYUNO_M.ACUÑA_MISION_TALLERES_REGLAMENTOS_INTERNOS_PBF</t>
  </si>
  <si>
    <t>P9004252529</t>
  </si>
  <si>
    <t>9004252529 KV GROUP SAS</t>
  </si>
  <si>
    <t>FC011664_A_CENA_M.ACUÑA_MISION_TALLERES_REGLAMENTOS_INTERNOS_PBF</t>
  </si>
  <si>
    <t>PTU123738_T_TRANSPORTE_M.ACUÑA_MISION_TALLERES_REGLAMENTOS_INTERNOS_PBF</t>
  </si>
  <si>
    <t>WA013218_A_DESAYUNO_M.ACUÑA_MISION_ESCULA_JOVENES</t>
  </si>
  <si>
    <t>WA013219_A_DESAYUNO_M.ACUÑA_MISION_ESCUELA_JOVENES</t>
  </si>
  <si>
    <t>P98602454</t>
  </si>
  <si>
    <t>98602454 RIVERA ARANGO BAYRON</t>
  </si>
  <si>
    <t>FC006486_A_ALMUERZO_M.ACUÑA_MISION_TALLERES_REGLAMENTOS_INTERNOS_PBF</t>
  </si>
  <si>
    <t>P70902157</t>
  </si>
  <si>
    <t>70902157 GIRALDO RAMIREZ JORGE ANIBAL</t>
  </si>
  <si>
    <t>FC007102_A_DESAYUNO_M.ACUÑA_MISION_TALLERES_REGLAMENTOS_INTERNOS_PBF</t>
  </si>
  <si>
    <t>WA013232_A_ALMUERZO_M.ACUÑA_MISION_TALLERES_REGLAMENTOS_INTERNOS_PBF</t>
  </si>
  <si>
    <t>WA013225_A_CENA_M.ACUÑA_MISION_TALLERES_REGLAMENTOS_INTERNOS_PBF</t>
  </si>
  <si>
    <t>P21481609</t>
  </si>
  <si>
    <t>21481609 MARYAM FRANCI RAMINREZ</t>
  </si>
  <si>
    <t>WA013217_A_DESAYUNO_M.ACUÑA_MISION_ESCUELA_JOVENES_PROYECTO_PBF</t>
  </si>
  <si>
    <t>P34350175</t>
  </si>
  <si>
    <t>34350175 IRMA ZEMANATE</t>
  </si>
  <si>
    <t>WA013221_A_CENA_M.ACUÑA_MISION_ESCUELA_JOVENES_PROYECTO_PBF</t>
  </si>
  <si>
    <t>FC575633_O_COMPRA_MATERIALES_FALTANTES_ESCUELA_DE_JOVENES</t>
  </si>
  <si>
    <t>P25786554</t>
  </si>
  <si>
    <t>25786554 KAREN ACEVEDO</t>
  </si>
  <si>
    <t>WA013226_A_CENA_M.ACUÑA_MISION_TALLERES_REGLAMENTOS_INTERNOS_PBF</t>
  </si>
  <si>
    <t>WA013216_A_DESAYUNO_M.ACUÑA_MISION_TALLERES_REGLAMENTOS_INTERNOS_PBF</t>
  </si>
  <si>
    <t>WA008344_A_ALMUERZO_A.BURBANO_MISION_PBF_SANTANDER</t>
  </si>
  <si>
    <t>FC173866</t>
  </si>
  <si>
    <t>FC100173866_T - TRANSPORTE_HENRY_SAMBONI_Talleres de reglamentos PBF</t>
  </si>
  <si>
    <t>FC184428</t>
  </si>
  <si>
    <t>FC100184428_T - TRANSPORTE_HENRY_SAMBONI_Talleres de reglamentos PBF</t>
  </si>
  <si>
    <t>FC146799</t>
  </si>
  <si>
    <t>FC146799_C - COMBUSTIBLE_HENRY_SAMBONI_Talleres de reglamentos PBF</t>
  </si>
  <si>
    <t>FC000690</t>
  </si>
  <si>
    <t>FC000690_T - TRANSPORTE_HENRY_SAMBONI_Talleres de reglamentos PBF</t>
  </si>
  <si>
    <t>PTU125338_T - TRANSPORTE_HENRY_SAMBONI_Talleres de reglamentos PBF</t>
  </si>
  <si>
    <t>WA013684</t>
  </si>
  <si>
    <t>WA013684_A - ALIMENTACIÓN_HENRY_SAMBONI_Talleres de reglamentos PBF</t>
  </si>
  <si>
    <t>FC191676</t>
  </si>
  <si>
    <t>FC100191676_T - TRANSPORTE_HENRY_SAMBONI_Talleres de reglamentos PBF</t>
  </si>
  <si>
    <t>FC199485</t>
  </si>
  <si>
    <t>FC100199485_T - TRANSPORTE_HENRY_SAMBONI_Talleres de reglamentos PBF</t>
  </si>
  <si>
    <t>WA013233_A_DESAYUNO_M.ACUÑA_MISION_ACTIVIDAD_PROYECTO_PBF</t>
  </si>
  <si>
    <t>FC126994_A_DESAYUNO_M.ACUÑA_MISION_ACTIVIDAD_PROYECTO_PBF</t>
  </si>
  <si>
    <t>P1061180527</t>
  </si>
  <si>
    <t>1061180527 CARLOS VALENCIA</t>
  </si>
  <si>
    <t>WA013234_CENA_ALMUERZO_M.ACUÑA_MISION_ACTIVIDAD_PROYECTO_PBF</t>
  </si>
  <si>
    <t>FC000353_CLO0374_DP_SERVICIO_TRANSPORTE DE 1 STAFF CALI - STDER/QUILICHAO</t>
  </si>
  <si>
    <t>FC575817_O_COMPRA_MATERIALES_FALTANTES_ESCUELA_DE_JOVENES</t>
  </si>
  <si>
    <t>FC113183_A_DESAYUNO_M.ACUÑA_MISION_ESCUELA_JOVENES</t>
  </si>
  <si>
    <t>WA013223_A_DESAYUNO_M.ACUÑA_MISION_TALLERES_REGLAMENTOS_INTERNOS_PBF</t>
  </si>
  <si>
    <t>P900276962</t>
  </si>
  <si>
    <t>900276962 KOBA COLOMBIA SAS</t>
  </si>
  <si>
    <t>FC008322_A_CENA_M.ACUÑA_MISION_TALLERES_REGLAMENTOS_INTERNOS_PBF</t>
  </si>
  <si>
    <t>WA0132220_O_FOTOCOPIAS_M.ACUÑA_MISION_ESCUELA_JOVENES</t>
  </si>
  <si>
    <t>WA013229_A_CENA_DESAYUNO_ALMUERZO_M.ACUÑA_MISION_TALLERES_REGLAMENTOS_INTERNOS_PBF</t>
  </si>
  <si>
    <t>WA013227_A_CENA_M.ACUÑA_MISION_TALLERES_REGLAMENTOS_INTERNOS_PBF</t>
  </si>
  <si>
    <t>WA013224_A_CENA_M.ACUÑA_MISION_TALLERES_REGLAMENTOS_INTERNOS_PBF</t>
  </si>
  <si>
    <t>WA013231_A_DESAYUNO_M.ACUÑA_MISION_TALLERES_REGLAMENTOS_INTERNOS_PBF</t>
  </si>
  <si>
    <t>WA013222_O_FOTOCOPIAS_M.ACUÑA_MISION_TALLERES_REGLAMENTOS_INTERNOS_PBF</t>
  </si>
  <si>
    <t>FC000335_CLO1493_SERVICIO_TRANSPORTE PARA STAFF 26 Y 27 DE NOVIEMBRE EN CALOTO CAUCA.</t>
  </si>
  <si>
    <t>P29760097</t>
  </si>
  <si>
    <t>29760097 GLORIA PATRICIA RAIGOZA</t>
  </si>
  <si>
    <t>WA014116</t>
  </si>
  <si>
    <t>WA014116_A - ALIMENTACIÓN_HENRY_SAMBONI_Talleres de reglamentos PBF</t>
  </si>
  <si>
    <t>FC174111</t>
  </si>
  <si>
    <t>FC100174111_T - TRANSPORTE_HENRY_SAMBONI_Talleres de reglamentos PBF</t>
  </si>
  <si>
    <t>FC185231</t>
  </si>
  <si>
    <t>FC100185231_T - TRANSPORTE_HENRY_SAMBONI_Talleres de reglamentos PBF</t>
  </si>
  <si>
    <t>P34592138</t>
  </si>
  <si>
    <t>34592138 ENRIQUEZ NARVAEZ IRMA MAGOLA</t>
  </si>
  <si>
    <t>FC000622_ALOJAM_H_M.ACUÑA_SDER_QUILICHAO_05_AL_08_10_2021</t>
  </si>
  <si>
    <t>FC000358_CLO0375_DP _SERVICIO_TRANSPORTE_SANTANDER_CALI</t>
  </si>
  <si>
    <t>WA013783_CLO1535 _SERVICIO_DECORACION_ESPACIO__PROYECTO PBF / ACONC</t>
  </si>
  <si>
    <t>P890308111</t>
  </si>
  <si>
    <t>890308111 EL MOLINO EDUARDO MOLINARI PALACIN &amp; CIA S EN C</t>
  </si>
  <si>
    <t>FC134839_A_DESAYUNO_A.BURBANO_MISION_PBF_SANTANDER</t>
  </si>
  <si>
    <t>CLO0298_DP_FC000163_TRANSPORTE_SANTANDER DE QUILICHAO VISITA ASESORA GLOBAL PBF</t>
  </si>
  <si>
    <t>CLO1368 COFY2102_EFECTY_AUXILIO DE TRANSPORTE ACTIVIDADES DE SESIONES DE ESCUELA</t>
  </si>
  <si>
    <t>CLO1368 COFY2102_EFECTY_AUXILIO DE TRANSPORTE ACTIVIDADES DE SESIONES DE ESCUELA_COMISION</t>
  </si>
  <si>
    <t>CLO1368 COFY2102_EFECTY_AUXILIO DE TRANSPORTE ACTIVIDADES DE SESIONES DE ESCUELA_COMISIO</t>
  </si>
  <si>
    <t>CLO0725 COFY2102_AUXILIO_DE_TRANSPORTE_SOCIALIZACIO_ PROYECTO_PBF_ACONC_Y_PACIFISTA</t>
  </si>
  <si>
    <t>CLO1531_EFECTY_AUXILIO DE TRANSPORTE ACTIVIDADES ESCUELA DE JÓVENES DICIEMBRE EN PADILLA CAUCA_COMISION</t>
  </si>
  <si>
    <t>CLO1531_EFECTY_AUXILIO DE TRANSPORTE ACTIVIDADES ESCUELA DE JÓVENES DICIEMBRE EN PADILLA CAUCA</t>
  </si>
  <si>
    <t>REINTEGRO_GIRO_NO_COBRADO_CLO1368 COFY2102_EFECTY_AUXILIO DE TRANSPORTE ACTIVIDADES DE SESIONES DE ESCUELA</t>
  </si>
  <si>
    <t>DEVOLUCION_GIRO_NO_COBRADO_CLO1531_EFECTY_AUXILIO DE TRANSPORTE ACTIVIDADES ESCUELA DE JÓVENES DICIEMBRE EN PADILLA CAUCA</t>
  </si>
  <si>
    <t>A_FC0002470_ALIMNENT_M.ACUÑA_ATENCION_IE_TELEMBI_PROTECCION_EDUCACION</t>
  </si>
  <si>
    <t>A_FC0007641_ALIMNENT_M.ACUÑA_ATENCION_IE_TELEMBI_PROTECCION_EDUCACION</t>
  </si>
  <si>
    <t>A_FC0001877_ALIMNENT_M.ACUÑA_ATENCION_IE_TELEMBI_PROTECCION_EDUCACION</t>
  </si>
  <si>
    <t>A_FC0001876_ALIMNENT_M.ACUÑA_ATENCION_IE_TELEMBI_PROTECCION_EDUCACION</t>
  </si>
  <si>
    <t>WA012978_CLO1219_COFY2102_PAULA_ANDREA_VERGARA_CARABALI_SERVICIO_DE_ALMIMENTACION_ESCUELA_DE_GUARDIAS_EL_1_Y_2_DE_OCTUBRE_EN_SANTANDER_DE_QUILICHAO_CAUCA</t>
  </si>
  <si>
    <t>WA012692_CLO1265_COFY2102_PAULA_ANDREA_VERGARA_CARABALI_ALIMENTACION_PARA_EL_DESARROLLO_DE_ESCUELA_DE_JOVENES_PROYECTO_PBF</t>
  </si>
  <si>
    <t>CLO0298_DP_FC000163_SUMINISTRO REFRIGERIOS_SANTANDER DE QUILICHAO VISITA ASESORA GLOBAL PBF</t>
  </si>
  <si>
    <t>A_FC008057_ALIMNENT_M.ACUÑA_ATENCION_IE_TELEMBI_PROTECCION_EDUCACION</t>
  </si>
  <si>
    <t>A_FC003902_ALIMNENT_M.ACUÑA_ATENCION_IE_TELEMBI_PROTECCION_EDUCACION</t>
  </si>
  <si>
    <t>A_FC008259_ALIMNENT_M.ACUÑA_ATENCION_IE_TELEMBI_PROTECCION_EDUCACION</t>
  </si>
  <si>
    <t>A_FC007419_ALIMNENT_M.ACUÑA_ATENCION_IE_TELEMBI_PROTECCION_EDUCACION</t>
  </si>
  <si>
    <t>P66812766</t>
  </si>
  <si>
    <t>66812766 LILIANA MEJIA</t>
  </si>
  <si>
    <t>A_WA013024_ALIMNENT_M.ACUÑA_ATENCION_IE_TELEMBI_PROTECCION_EDUCACION</t>
  </si>
  <si>
    <t>P1144073066</t>
  </si>
  <si>
    <t>1144073066 RAMIREZ TORRES JUAN CAMILO</t>
  </si>
  <si>
    <t>A_FC0002230_ALIMNENT_M.ACUÑA_ATENCION_IE_TELEMBI_PROTECCION_EDUCACION</t>
  </si>
  <si>
    <t>A_WA013027_ALIMNENT_M.ACUÑA_ATENCION_IE_TELEMBI_PROTECCION_EDUCACION</t>
  </si>
  <si>
    <t>A_WA013033_ALIMNENT_M.ACUÑA_ATENCION_IE_TELEMBI_PROTECCION_EDUCACION</t>
  </si>
  <si>
    <t>P36751909</t>
  </si>
  <si>
    <t>36751909 PAULA MONTENEGRO</t>
  </si>
  <si>
    <t>A_WA013032_ALIMNENT_M.ACUÑA_ATENCION_IE_TELEMBI_PROTECCION_EDUCACION</t>
  </si>
  <si>
    <t>T_PTU123780_TRANSPORTE_M.ACUÑA_ATENCION_IE_TELEMBI_PROTECCION_EDUCACION</t>
  </si>
  <si>
    <t>P18466046</t>
  </si>
  <si>
    <t>18466046 JHON FABIO HERRERA RIOS</t>
  </si>
  <si>
    <t>A_WA013026_ALIMNENT_M.ACUÑA_ATENCION_IE_TELEMBI_PROTECCION_EDUCACION</t>
  </si>
  <si>
    <t>RECLAS_TRANS_6102646_COFY2102_AL_COFM2116_A_FC0001876_ALIMNENT_M.ACUÑA_ATENCION_IE_TELEMBI_PROTECCION_EDUCACION</t>
  </si>
  <si>
    <t>RECLAS_TRANS_6102646_COFY2102_AL_COFM2116_A_FC0001877_ALIMNENT_M.ACUÑA_ATENCION_IE_TELEMBI_PROTECCION_EDUCACION</t>
  </si>
  <si>
    <t>RECLAS_TRANS_6102646_COFY2102_AL_COFM2116_A_FC0007641_ALIMNENT_M.ACUÑA_ATENCION_IE_TELEMBI_PROTECCION_EDUCACION</t>
  </si>
  <si>
    <t>RECLAS_TRANS_6102646_COFY2102_AL_COFM2116_A_FC0002470_ALIMNENT_M.ACUÑA_ATENCION_IE_TELEMBI_PROTECCION_EDUCACION</t>
  </si>
  <si>
    <t>RECLAS_TRANS_6102646_COFY2102_AL_COFM2116_A_WA013026_ALIMNENT_M.ACUÑA_ATENCION_IE_TELEMBI_PROTECCION_EDUCACION</t>
  </si>
  <si>
    <t>RECLAS_TRANS_6102646_COFY2102_AL_COFM2116_A_FC008057_ALIMNENT_M.ACUÑA_ATENCION_IE_TELEMBI_PROTECCION_EDUCACION</t>
  </si>
  <si>
    <t>RECLAS_TRANS_6102646_COFY2102_AL_COFM2116_A_FC003902_ALIMNENT_M.ACUÑA_ATENCION_IE_TELEMBI_PROTECCION_EDUCACION</t>
  </si>
  <si>
    <t>RECLAS_TRANS_6102646_COFY2102_AL_COFM2116_A_FC008259_ALIMNENT_M.ACUÑA_ATENCION_IE_TELEMBI_PROTECCION_EDUCACION</t>
  </si>
  <si>
    <t>RECLAS_TRANS_6102646_COFY2102_AL_COFM2116_A_FC007419_ALIMNENT_M.ACUÑA_ATENCION_IE_TELEMBI_PROTECCION_EDUCACION</t>
  </si>
  <si>
    <t>RECLAS_TRANS_6102646_COFY2102_AL_COFM2116_A_WA013024_ALIMNENT_M.ACUÑA_ATENCION_IE_TELEMBI_PROTECCION_EDUCACION</t>
  </si>
  <si>
    <t>RECLAS_TRANS_6102646_COFY2102_AL_COFM2116_A_FC0002230_ALIMNENT_M.ACUÑA_ATENCION_IE_TELEMBI_PROTECCION_EDUCACION</t>
  </si>
  <si>
    <t>RECLAS_TRANS_6102646_COFY2102_AL_COFM2116_A_WA013027_ALIMNENT_M.ACUÑA_ATENCION_IE_TELEMBI_PROTECCION_EDUCACION</t>
  </si>
  <si>
    <t>RECLAS_TRANS_6102646_COFY2102_AL_COFM2116_A_WA013033_ALIMNENT_M.ACUÑA_ATENCION_IE_TELEMBI_PROTECCION_EDUCACION</t>
  </si>
  <si>
    <t>RECLAS_TRANS_6102646_COFY2102_AL_COFM2116_A_WA013032_ALIMNENT_M.ACUÑA_ATENCION_IE_TELEMBI_PROTECCION_EDUCACION</t>
  </si>
  <si>
    <t>RECLAS_TRANS_6102646_COFY2102_AL_COFM2116_T_PTU123780_TRANSPORTE_M.ACUÑA_ATENCION_IE_TELEMBI_PROTECCION_EDUCACION</t>
  </si>
  <si>
    <t>WA014133_CLO1266 _SERVICIO_ALIMENTACION_REFRIGERIOS_ DESARROLLO DE ESCUELA DE GUARDIAS PROYECTO PBF CON ACON PACIFISTA</t>
  </si>
  <si>
    <t>WA014134_CLO1285_SERVICIO_ALIMENTACION_ESPACIO ESCUELA JÓVENES EL 22 Y 23 DE OCTUBRE EN CALOTO CAUCA</t>
  </si>
  <si>
    <t>WA014132_CLO1208_SERVICIO_ALIMENTACION_ESCUELA DE JÓVENES_PROTECCION</t>
  </si>
  <si>
    <t>AJUSTE_TRANS_6102901_A_FC961145_LEGALIZ_F.TEJADA_ALMUERZO_REUNION_OFICINA_CLO_ERROR_CUENTA</t>
  </si>
  <si>
    <t>P900160512</t>
  </si>
  <si>
    <t>900160512 SUPERMERCADOS RAPIMERQUE SAS</t>
  </si>
  <si>
    <t>AJUSTE_TRANS_6102901_A_FC016933_LEGALIZ_F.TEJADA_ALMUERZO_REUNION_OFICINA_CLO_ERROR_EN_CUENTA</t>
  </si>
  <si>
    <t>WA014139_CLO1369_SERVICIO_ALIMENTACION_ ESCUELA JÓVENES EL 5 Y 6 DE NOVIEMBRE EN VILLA RICA CAUCA</t>
  </si>
  <si>
    <t>WA008728_CLO1443_SERVICIO DE ALIMENTACIÓN TALLERES DE REGLAMENTOS INTERNOS DEL 19 Y 20 DE NOVIEMBRE EN EL CAUCA</t>
  </si>
  <si>
    <t>WA008730_CLO1424_SERVICIO DE ALIMENTACIÓN TALLERES DE REGLAMENTOS INTERNOS DEL 17 Y 18 DE NOVIEMBRE EN EL CAUCA</t>
  </si>
  <si>
    <t>FC000421_CLO0320_DP_SERVICIO_ALIMENTACION_VISITA ASESORA GLOBAL PROTECCION STDR QUILICHAO</t>
  </si>
  <si>
    <t>WA014141_CLO1393-1_SERVICIO_ALIMENTACIÓN TALLERES DE REGLAMENTOS INTERNOS EN CORINTO Y MIRANDA LOS DÍAS 9 Y 10 DE NOVIEMBRE EN EL CAUCA</t>
  </si>
  <si>
    <t>FC000182_CLO1393-3_SERVICIO_ALIMENTACIÓN TALLERES DE REGLAMENTOS INTERNOS SANTANDER DE QUILICHAO</t>
  </si>
  <si>
    <t>FC000182_CLO1393-3_SERVICIO_TRANSPORTE_ALIMENTACION_TALLERES DE REGLAMENTOS INTERNOS SANTANDER DE QUILICHAO</t>
  </si>
  <si>
    <t>A_FC961145_LEGALIZ_F.TEJADA_ALMUERZO_REUNION_OFICINA_CLO</t>
  </si>
  <si>
    <t>A_FC016933_LEGALIZ_F.TEJADA_ALMUERZO_REUNION_OFICINA_CLO</t>
  </si>
  <si>
    <t>WA014138_CLO1284_SERVICIO_ALIMENTACIÓN_ ESCUELA DE GUARDIAS EL 15 Y 16 DE OCTUBRE EN SANTANDER DE QUILICHAO CAUCA</t>
  </si>
  <si>
    <t>WA003163_CLO1466_SERVICIO DE ALIMENTACIÓN TALLERES DE REGLAMENTOS INTERNOS EL 24 Y 25 DE NOVIEMBRE EN EL CAUCA</t>
  </si>
  <si>
    <t>WA003161_CLO1428 _SERVICIO DE ALIMENTACIÓN_ESCUELA JÓVENES EL 26 Y 27 DE NOVIEMBRE EN CALOTO CAUCA</t>
  </si>
  <si>
    <t>WA003162_CLO1429 _SERVICIO_ALIMENTACIÓN_ ESPACIO ESCUELA DE GUARDIAS EL 26 Y 27 DE NOVIEMBRE EN SANTANDER DE QUILICHAO CAUCA</t>
  </si>
  <si>
    <t>WA013855_CLO1444_SERVICIO DE ALIMENTACIÓN PARA ACTIVIDAD DE TONGA COMUNITARIA EL 5 DE DICIEMBRE EN  PADILLA CAUCA</t>
  </si>
  <si>
    <t>FC001931_CLO1549_SERVICIO_ ALIMENTACION  COORDINACION PBF</t>
  </si>
  <si>
    <t>WA013921_CLO1393-2 _SERVICIO DE ALIMENTACIÓN TALLERES DE REGLAMENTOS INTERNOS EN BRISAS Y PILAMO LOS DÍAS 10 Y 11 DE NOVIEMBRE EN EL CAUCA</t>
  </si>
  <si>
    <t>WA013856_CLO1393-4_SERVICIO DE ALIMENTACIÓN TALLERES DE REGLAMENTOS INTERNOS EN LA QUEBRADA Y YARUMITO LOS DÍAS 13 Y 14 DE NOVIEMBRE EN EL CAUCA</t>
  </si>
  <si>
    <t>WA013783_CLO1535 _SERVICIO_ALIMENTACION PROYECTO PBF / ACONC</t>
  </si>
  <si>
    <t>WA003174_CLO1473_SERVICIO DE ALIMENTACIÓN_ESCUELA DE GUARDIAS EL 3 Y 4 DE DICIEMBRE EN SANTANDER DE QUILICHAO CAUCA</t>
  </si>
  <si>
    <t>WA003173_CLO1487_SERVICIO DE ALIMENTACIÓN_ESCUELA JÓVENES EL 3 Y 4 DE DICIEMBRE EN CALOTO CAUCA</t>
  </si>
  <si>
    <t>WA012699_CLO1325 COFY2102_ARELIS GUAZA CASTILLO_SERVICIO DE CONTRATACIÓN TALLERISTA ESCUELA DE GUARDIAS EL 22 Y 23 DE OCTUBRE EN SANTANDER DE QUILICHAO CAUCA</t>
  </si>
  <si>
    <t>WA013186_CLO1239 COFY2102_PABLO CESAR MINA GARCIA_CONTRATACION TALLERISTA  POR 16 HORAS PARA PRIMERA SESION DE ESCUELA DE GUARDIAS PROYECTO PBF 8 Y 9 DE OCTUBRE DE 2021 EN SANTANDER DE QUILOICHAO - CAUCA</t>
  </si>
  <si>
    <t>A_WA003151_ALIMENT_J.CAICEDO_ACOMPAÑAMIENTO_VISITA_ASESORA_REGIONAL_PROTECCION,</t>
  </si>
  <si>
    <t>CLO1283-2_ WA012970_COFY2102_ANGIE MELISSA CARABALI GOMEZ_CONTRATACIÓN TALLERISTAS ESCUELA JÓVENES EL 8 Y 9 DE OCTUBRE EN SANTANDER DE QUILICHAO CAUCA</t>
  </si>
  <si>
    <t>CLO1209-2_WA012971_COFY2102_ANGIE MELISSA CARABALI GOMEZ_CONTRATACIÓN TALLERISTAS ESCUELA JÓVENES EL 24 Y 25 DE SEPTIEMBRE EN MIRANDA CAUCA</t>
  </si>
  <si>
    <t>WA013184_CLO1209-1 COFY2102_VICTOR HUGO MORENO MINA_CONTRATACIÓN TALLERISTAS ESCUELA JÓVENES EL 24 Y 25 DE SEPTIEMBRE EN MIRANDA CAUCA</t>
  </si>
  <si>
    <t>5280</t>
  </si>
  <si>
    <t>51056304</t>
  </si>
  <si>
    <t>P830050228</t>
  </si>
  <si>
    <t>830050228 ADECCO SERVICIOS COLOMBIA SA</t>
  </si>
  <si>
    <t>RECL_TRANS#6100907_COFM2101_A_COFY2102_CLO0733_FC027456_HONORARIO_ADECCO_TALLER_VIERTUAL_LIBERACION_ESTRES_SHELTER</t>
  </si>
  <si>
    <t>RECL_TRANS#6100725_COFM2101_A_COFY2102_CLO0696_FC025833_Adecco_Servicio de taller virtual de liberación de estrés y fortalecimiento de habilidades bandas de comunicación asertiva</t>
  </si>
  <si>
    <t>51551505</t>
  </si>
  <si>
    <t>P901165198</t>
  </si>
  <si>
    <t>901165198 OPERADORA MOCAWA RESORT SAS</t>
  </si>
  <si>
    <t>FC027463</t>
  </si>
  <si>
    <t>FC027463_CLO1497_SERVIC_ALQUILER_SALON_ TALLER DE PLANEACIÓN M&amp;E RDC 2021-2022</t>
  </si>
  <si>
    <t>FC067005_EMO PAGO EXAMENES MÉDICOS OCUPACIONALES WMARTIN_GOMEZ_MAURICIO_aCOSTA</t>
  </si>
  <si>
    <t>SALARY 202110</t>
  </si>
  <si>
    <t>Gina Alejandra Guevara Gomez</t>
  </si>
  <si>
    <t>P1144077860</t>
  </si>
  <si>
    <t>1144077860 GUEVARA GOMEZ GINA ALEJANDRA</t>
  </si>
  <si>
    <t>P10541830</t>
  </si>
  <si>
    <t>10541830 FLETCHER SERRANO GERARDO ALFONSO</t>
  </si>
  <si>
    <t>SALARY 202111</t>
  </si>
  <si>
    <t>SALARY 202112</t>
  </si>
  <si>
    <t>Nayileny Guiza Aguilar</t>
  </si>
  <si>
    <t>P1098717962</t>
  </si>
  <si>
    <t>1098717962 GUIZA AGUILAR NAYILENY</t>
  </si>
  <si>
    <t>6300</t>
  </si>
  <si>
    <t>51201001</t>
  </si>
  <si>
    <t>P94454839</t>
  </si>
  <si>
    <t>94454839 TAFUR SAAVEDRA ALEJANDRO</t>
  </si>
  <si>
    <t>ARRIENDO_WA012893_OFICINA_BODEGA_CALI_201_301_401_OCTUBRE</t>
  </si>
  <si>
    <t>P6106221</t>
  </si>
  <si>
    <t>6106221 TAFUR SAAVEDRA ALBERTO JOSE</t>
  </si>
  <si>
    <t>WA013265_ARRIENDO_OFICINA_PISO301_CALI_202111</t>
  </si>
  <si>
    <t>WA013264_ARRIENDO_OFICINA_PISO301_CALI_202111</t>
  </si>
  <si>
    <t>WA013675_ARRIENDO_OFICINA_PISO301_CALI_202112</t>
  </si>
  <si>
    <t>WA013676_ARRIENDO_OFICINA_PISO301_CALI_202112</t>
  </si>
  <si>
    <t>6320</t>
  </si>
  <si>
    <t>51352501</t>
  </si>
  <si>
    <t>P890399003</t>
  </si>
  <si>
    <t>890399003 EMCALI E.I.C.E E.S.P.</t>
  </si>
  <si>
    <t>SSPP_FC257327_ SSPP_SERVICIO DE ENERGIA Y AGUA_EMCALI_PISO301_CLO_MES_OCTUBRE</t>
  </si>
  <si>
    <t>FC257327_SP_ACUEDUCTO PISO 301_OFICINA_CALI_202111</t>
  </si>
  <si>
    <t>FC257327_SP_ACUEDUCTO_ PISO 301_OFICINA_CALI_202112</t>
  </si>
  <si>
    <t>6340</t>
  </si>
  <si>
    <t>51353001</t>
  </si>
  <si>
    <t>FC257327_SP_ENERGIA PISO 301_OFICINA_CALI_202111</t>
  </si>
  <si>
    <t>FC257327_SP_ENERGIA PISO 301_OFICINA_CALI_202112</t>
  </si>
  <si>
    <t>6370</t>
  </si>
  <si>
    <t>51157033</t>
  </si>
  <si>
    <t>P890919267</t>
  </si>
  <si>
    <t>890919267 ALAMAR LTDA</t>
  </si>
  <si>
    <t>SSPP_FC023955_SERVICIO_ALARMAR_CALI_OCTUBRE</t>
  </si>
  <si>
    <t>AJ_TRANS#6102850_FC840513_IVA CARGADO PROYECTO EXENTO_SP_SEGURIDAD PISO 201 401 301_OFICINA_CALI_202111</t>
  </si>
  <si>
    <t>P900879701</t>
  </si>
  <si>
    <t>900879701 QUALITY AND PRICE SAS</t>
  </si>
  <si>
    <t>RECL_TRANS#22100439_COFM2101_A_COFY2102_FC002086_QBO1265_PAGO_ACTIVACION SPOT GEN4 BASICO_ PLAN ANUAL PARA OPERACION DEL DISPOSITIVO</t>
  </si>
  <si>
    <t>RECL_TRANS#22100439_COFM2101_A_COFY2102_FC002086_QBO1265_COMPRA_GPS SPOT GEN 4_DISPOSITIVO RASTREO SATELITAL_ TRAKER SATELITAL APORT GEN4 CON ACESORIOS</t>
  </si>
  <si>
    <t>FC028182_SP_SEGURIDAD PISO 201 401 301_OFICINA_CALI_202112</t>
  </si>
  <si>
    <t>AJ_6103428_ERROR_DE_PAGO_FC028182_SP_SEGURIDAD PISO 201 401 301_OFICINA_CALI_202112</t>
  </si>
  <si>
    <t>51307502</t>
  </si>
  <si>
    <t>P890917141</t>
  </si>
  <si>
    <t>890917141 SEGURIDAD ATEMPI LTDA</t>
  </si>
  <si>
    <t>AJUSTE_TRANS_6102635_ERROR_BID_MAL_ALOCADO_FC000765_CLO0319_DP_COFY2102_SERVICIO_DE _VIGILANCIA _OFICINA _CALI</t>
  </si>
  <si>
    <t>51359505</t>
  </si>
  <si>
    <t>PA</t>
  </si>
  <si>
    <t>B1</t>
  </si>
  <si>
    <t>AP Posting Panama</t>
  </si>
  <si>
    <t>MIES</t>
  </si>
  <si>
    <t>FC001357</t>
  </si>
  <si>
    <t>RASTREO DE VEHICULOS_CO10_CALI_2014_HTY157
_202108-202112</t>
  </si>
  <si>
    <t>FC002829_CLO1183-1_COMPRA_EQUIPOS_COMPUTOCOMBO_TECLADO_WIRELESS_850</t>
  </si>
  <si>
    <t>P4344762</t>
  </si>
  <si>
    <t>4344762 HECTOR MACIAS OTALVARO LOAIZA</t>
  </si>
  <si>
    <t>FC011041_O_COMPRA_ELEMENTOS_COMPUTO_FRANCISCO_ALTAMAR_REUNION_EMBAJADA_NORUEGA_REVISION_PROCESOS</t>
  </si>
  <si>
    <t>202111</t>
  </si>
  <si>
    <t>Share of global ICT costs, lisence fees and salary support costs Dec 2021, distributed to projects</t>
  </si>
  <si>
    <t>FC000023_CLO1207 PAGO 2 DE 2 50%_SUMINISTRO_E_INSTALACION _BARRERAS DE RETARDO MOISS</t>
  </si>
  <si>
    <t>FC000023_CLO1207 PAGO 2 DE 2 50%_AIU__SUMINISTRO_E_INSTALACION _BARRERAS DE RETARDO MOISS</t>
  </si>
  <si>
    <t>FC000022_CLO1207-1_AIU_CONTRUC_MANTO_BARRERAS DE RETARDO MOISS</t>
  </si>
  <si>
    <t>FC000022_CLO1207-1_CONTRUC_MANTO_BARRERAS DE RETARDO MOISS</t>
  </si>
  <si>
    <t>6700</t>
  </si>
  <si>
    <t>51101501</t>
  </si>
  <si>
    <t>P860600063</t>
  </si>
  <si>
    <t>860600063 BDO AUDIT SA</t>
  </si>
  <si>
    <t>PAGO_FC005781_AUDITORIA INSTITUCIONAL_COFY2102</t>
  </si>
  <si>
    <t>FC005848_AUDITORIA INSTITUCIONAL_COFY2102</t>
  </si>
  <si>
    <t>REV TRANS1101991_FC005848_AUDITORIA INSTITUCIONAL_COFY2102</t>
  </si>
  <si>
    <t>51157044</t>
  </si>
  <si>
    <t>6790</t>
  </si>
  <si>
    <t>51103502</t>
  </si>
  <si>
    <t>P800134536</t>
  </si>
  <si>
    <t>800134536 BRIGARD &amp; URRUTIA ABOGADOS S.A.S.</t>
  </si>
  <si>
    <t>RECL_TRANS#5100293_COFM2101_A_COFY2102_FC245245_IPI0340_PAGO_BRIGARD URRUTIA ABOGADOS_Servicios de Asesoría Legal:  Acompañamiento y representación judicial de NRC</t>
  </si>
  <si>
    <t>RECL_TRANS#6102296_COFM2101_A_COFY2102_AJ_6101992_ERROR_RETEFUENTE_CLO0908_ FC242911_COFM2101_BRIGARD &amp; URRUTIA ABOGADOS S.A.S. _SERVICIOS DE ASESORÍA LEGAL: DIAGNOSTICO Y ANÁLISIS DEL CASO; ACOMPAÑAMIENTO DURANTE LA ETAPA DE ARREGLO DIRECTO.</t>
  </si>
  <si>
    <t>P700207738</t>
  </si>
  <si>
    <t>700207738 DANIEL CASALPRIM VILAGELIU</t>
  </si>
  <si>
    <t>FC000020</t>
  </si>
  <si>
    <t>RECL_TRANS#6103433_COFM2101_A_COFY2102_FC000020_CLO1160_CREACION_SISTEMA_DE_INFORMACION_PARA_EL_REGISTRO_CONTROL_MONITOREO_Y_GESTION_EMERGENCIAS</t>
  </si>
  <si>
    <t>51157046</t>
  </si>
  <si>
    <t>RECL_TRANS#6103417_COFM2101_A_COFY2102_FC246072_CLO1382_SERVIC_HONOR_ POR RESPUESTA A TUTELA PROCESO ADMISORIO ARBITRAL  EN RELACION CON LIQUIDACION  CONTRATO OBRA CIVIL CELEBRADO CON EL CONTRATISTA AUREN ALDEMAR VALENCIA CASA</t>
  </si>
  <si>
    <t>FC001449_CLO1416-1_COMPRA_ELEMENTOS_ASEO Y CAFETERIA TRIMESTRAL OFICINA CALI</t>
  </si>
  <si>
    <t>P830112250</t>
  </si>
  <si>
    <t>830112250 RIO TECHNOLOGY S.A.S</t>
  </si>
  <si>
    <t>RECL_TRANS#6101944_COFM2101_A_COFY2102_CLO1043-1_FC005148_CAJA_HERMETICA_COFM2101_RIOTECHNOLOGY_Compra de telefono satelital de largo alcance</t>
  </si>
  <si>
    <t>RECL_TRANS#6103278_COFM2101_A_COFY2102_FC001542_CLO1417-1_COMPRA_INSUMOS_PAPELERIA TRIMESTRAL OFICINA CALI</t>
  </si>
  <si>
    <t>P80236867</t>
  </si>
  <si>
    <t>80236867 MORENO RODRIGUEZ IVAN DARIO</t>
  </si>
  <si>
    <t>FC000073</t>
  </si>
  <si>
    <t>FC000073_CLO1439-1_COMPRA_KITS DE VIAJES STAFF SOPORTE</t>
  </si>
  <si>
    <t>P900805908</t>
  </si>
  <si>
    <t>900805908 INVERSIONES Y DISTRIBUCIONES DIAMOND SAS</t>
  </si>
  <si>
    <t>FC006156</t>
  </si>
  <si>
    <t>FC006156_CLO1505_COMPRA_IMPLEMENTOS DE TRABAJO PARA EL EQUIPO DE SHELTER / WASH</t>
  </si>
  <si>
    <t>FC001542_CLO1417-1_COMPRA_INSUMOS_PAPELERIA TRIMESTRAL OFICINA CALI</t>
  </si>
  <si>
    <t>51952505</t>
  </si>
  <si>
    <t>P16685410</t>
  </si>
  <si>
    <t>16685410 OMAR VELEZ PLAZA</t>
  </si>
  <si>
    <t>WA013189_COMPRA_6_BOTELLONES_AGUA_USO_OFICINA_NRC_CALI</t>
  </si>
  <si>
    <t>P900335279</t>
  </si>
  <si>
    <t>900335279 INVERSIONES GLP SAS ESP</t>
  </si>
  <si>
    <t>FC651642_Suministro de pipeta de Gas Propano para cocina Oficina Cali</t>
  </si>
  <si>
    <t>P67011042</t>
  </si>
  <si>
    <t>67011042 SANDRA PATRICIA ARAUJO OJEDA</t>
  </si>
  <si>
    <t>WA013835_CLO0369_DP_SERVICIO_APOYO_REVISION_DE_KITS_ESCOLARES_BODEGA_cALI</t>
  </si>
  <si>
    <t>P1005935220</t>
  </si>
  <si>
    <t>1005935220 JHON STIVEN VARELA MORENO</t>
  </si>
  <si>
    <t>WA013919_CLO0373_DP_SERVICIO_APOYO_PARA_ORGANIZAR_Y_ENVIAR_ARCHIVO FISICO CALI</t>
  </si>
  <si>
    <t>FC136751</t>
  </si>
  <si>
    <t>FC136751_CLO149_SERIV_PASADÍAS Y TRANSPORTE (REFRIGERIO, ALMUERZO, RECREACIÓN)</t>
  </si>
  <si>
    <t>CLO1211_ FC004134_SERVICO_RESTAURAMTE_COFY2102_HOTEL OBELISCO Y/O BASILIO KLONIS Y CIA S.A_PLANEACIÓN ESTRATÉGICA ÁREA OCCIDENTE</t>
  </si>
  <si>
    <t>P901226367</t>
  </si>
  <si>
    <t>901226367 TDT SAS</t>
  </si>
  <si>
    <t>FC196673_A_ALIMNETAC_JESICA_PERDOMO_CENA_JORNADA_EXTENDIA_TRABAJO_OFICINA_CALI</t>
  </si>
  <si>
    <t>FC032793_A_ALIMNETAC_JESICA_PERDOMO_CENA_JORNADA_EXTENDIA_TRABAJO_OFICINA_CALI</t>
  </si>
  <si>
    <t>FC027463_CLO1497_SERVIC_ALIMENTAC_SALON_ TALLER DE PLANEACIÓN M&amp;E RDC 2021-2022</t>
  </si>
  <si>
    <t>51959521</t>
  </si>
  <si>
    <t>AJUSTE_6102991_PTUCO679_T_TRANSP_URB_LAURA_MENA_PAGO CTA AFC-MES_NOVIEMBRE</t>
  </si>
  <si>
    <t>FC013091_CLARO_SERVICIO_TELEFONIA_MOVIL_OCTUBRE_WA</t>
  </si>
  <si>
    <t>FC013091_SERVICIO_TELEFONIA MOVIL CELULAR_WA_202111</t>
  </si>
  <si>
    <t>FC671669_SERVICIO_TELEFONIA MOVIL CELULAR_WA_202112</t>
  </si>
  <si>
    <t>N043012</t>
  </si>
  <si>
    <t>IEC Iridium monthly fee Colombia September 2021 - POPAYAN _8988169234002336915</t>
  </si>
  <si>
    <t>IEC Iridium monthly fee Colombia September 2021 - POPAYÁN_8988169234002335966</t>
  </si>
  <si>
    <t>N043190</t>
  </si>
  <si>
    <t>IEC Iridium monthly fee Colombia October 2021 - POPAYÁN_8988169234002335966</t>
  </si>
  <si>
    <t>IEC Iridium monthly fee Colombia October 2021 - POPAYAN _8988169234002336915</t>
  </si>
  <si>
    <t>N043371</t>
  </si>
  <si>
    <t>IEC Iridium monthly fee Colombia November 2021 - POPAYÁN_8988169234002335966</t>
  </si>
  <si>
    <t>IEC Iridium monthly fee Colombia November 2021 - POPAYAN _8988169234002336915</t>
  </si>
  <si>
    <t>6950</t>
  </si>
  <si>
    <t>51354001</t>
  </si>
  <si>
    <t>P860512330</t>
  </si>
  <si>
    <t>860512330 SERVIENTREGA S.A.</t>
  </si>
  <si>
    <t>FC955479_ENVIO_CORRESPONDENCIA_CALI_QUIBDO</t>
  </si>
  <si>
    <t>P901468337</t>
  </si>
  <si>
    <t>901468337 CORREOS Y LOGISTICA DEL PACIFICO SAS</t>
  </si>
  <si>
    <t>FC000547_COFY2102_TRANSPORTE_GESTION_DOCUMENTAL_WA</t>
  </si>
  <si>
    <t>FC000547_COFY2102_TRANSPORTE_GESTION_DOCUMENTAL_WA_AJUSTE_AL_PESO</t>
  </si>
  <si>
    <t>FC955478_ENVIO_CORRESPONDENCIA_CALI_IPIALES</t>
  </si>
  <si>
    <t>O_FC000534_MENSAJERIA_EXPRESA_TCC</t>
  </si>
  <si>
    <t>O_FC000535_MENSAJERIA_EXPRESA_TCC</t>
  </si>
  <si>
    <t>O_FC5049333_PEAJE_HENRY_SAMBONI_RECOGER_CORRESPONDENCIA_EN_AEROPUERTO</t>
  </si>
  <si>
    <t>AFC</t>
  </si>
  <si>
    <t>T_PTUCO679_LAURA_MENA_PAGO_AFC</t>
  </si>
  <si>
    <t>P900062917</t>
  </si>
  <si>
    <t>900062917 SERVICIOS POSTALES NACIONALES SA</t>
  </si>
  <si>
    <t>FC042762</t>
  </si>
  <si>
    <t>FC042762_SERVIC_CORRESPOND_472_MENSAJERÍAFEBRERO Y MARZO 2021</t>
  </si>
  <si>
    <t>P16710747</t>
  </si>
  <si>
    <t>16710747 GUILLERMO BEDOYA MURIEL</t>
  </si>
  <si>
    <t>WA013758_CORREPONDENCIA_OFICNA_IPIALES_A_CALI</t>
  </si>
  <si>
    <t>WA014405_CORREPONDENCIA_OFICNA_IPIALES_A_CALI</t>
  </si>
  <si>
    <t>51355002</t>
  </si>
  <si>
    <t>FC006156_CLO1505_SERV_TRANSP_IMPLEMENTOS DE TRABAJO PARA EL EQUIPO DE SHELTER / WASH</t>
  </si>
  <si>
    <t>P1078917698</t>
  </si>
  <si>
    <t>1078917698 MORENO CUESTA ESTIVEN ENRIQUE</t>
  </si>
  <si>
    <t>RECL_TRANS#22100496_COFM2101_A_COFY2102_WA012467_QBO1295_DESARME DE MUEBLE Y EMPAQUETADO PARA EL TRASTEO MOBILIARIO OFICINA A NUEVA OFICINA QUIBDO UBICADA EN LA CALLE 30 BARRIO CESAR CONTO.</t>
  </si>
  <si>
    <t>T_PTUCO632_TRANSPORTE_F.TEJADA_REUNION_OFICINA_CLO</t>
  </si>
  <si>
    <t>PTUCO476</t>
  </si>
  <si>
    <t>PTUCO679_T_TRANSP_URB_LAURA_MENA_PAGO CTA AFC-MES_NOVIEMBRE</t>
  </si>
  <si>
    <t>PTUCO404_T_TRANSP_URB_M.GONZALEZ_PAGO CTA AFC-MES_DICIEMBRE</t>
  </si>
  <si>
    <t>RECL_TRANS#6101944_COFM2101_A_COFY2102_CLO1043-1_FC005148__TRANSPORTE_COFM2101_RIOTECHNOLOGY_Compra de telefono satelital de largo alcance</t>
  </si>
  <si>
    <t>7020</t>
  </si>
  <si>
    <t>51454001</t>
  </si>
  <si>
    <t>CO10</t>
  </si>
  <si>
    <t>TOYOTA PRADO TX DISEL 5 PUERTAS</t>
  </si>
  <si>
    <t>FC000749_LAVADO_GENERAL_VEHICULO_URW110_HENRY_SAMBONI_RECIBO_INSUMOS_AGRICOLAS_ASNAZU</t>
  </si>
  <si>
    <t>FC000748_O_LAVADO_GRAL_VEHICULO_HTY157_GERARDO_FLETCHER_ACTIVIAD_ENROLAMIENTO_BENEFICIARIOS</t>
  </si>
  <si>
    <t>TKT_FC784809_J.PERDOMO_CLO_BOG_CLO_26_A_27_10_2021</t>
  </si>
  <si>
    <t>FC788599_TKT_J.PERDOMO_CLO_BOG_CLO_18_A_19_11_2021</t>
  </si>
  <si>
    <t>TKT_FC787635_H.ENRIQUEZ_PPN_BOG_08_11_2021</t>
  </si>
  <si>
    <t>TKT_FC787726_H.ENRIQUEZ_BOG_PPN_12_11_2021</t>
  </si>
  <si>
    <t>FC791718_TKT_J.PERDOMO_CLO_BOG_CLO_15_A_16_12_2021</t>
  </si>
  <si>
    <t>CO322</t>
  </si>
  <si>
    <t>Judith Palacios Palacios</t>
  </si>
  <si>
    <t>FC793607_TKT_J.PALACIOS_UIB_CLO_EOH_UIB_04_01_2022_A_07_01_2021</t>
  </si>
  <si>
    <t>FC791278_TKT_D.ESTRADA_PSO_CLO_PSO_05_A_11_12_2021</t>
  </si>
  <si>
    <t>FC138454</t>
  </si>
  <si>
    <t>FC138454_O_PEAJE_VEHICULO_INST_HTY157_GERARDO_FLETCHER_REVISION_DOCUEMNTAC_CONTABLE_ACONC</t>
  </si>
  <si>
    <t>FC394924_COMBUST_7,503GL_$8950_VEHICULO_INST_HTY157_GERARDO_FLETCHER_REVISION_DOCUEMNTAC_CONTABLE_ACONC</t>
  </si>
  <si>
    <t>FC147245</t>
  </si>
  <si>
    <t>FC147245_O_PEAJE_VEHICULO_INST_HTY157_GERARDO_FLETCHER_REVISION_DOCUEMNTAC_CONTABLE_ACONC</t>
  </si>
  <si>
    <t>David Felipe Garcia Herrera</t>
  </si>
  <si>
    <t>P25289834</t>
  </si>
  <si>
    <t>25289834 ANA DEISY COAJI SALAZAR</t>
  </si>
  <si>
    <t>H_WA012613_F.GARCIA_POPAYAN_20_A_21_09_2021</t>
  </si>
  <si>
    <t>H_WA012611_J.CAICEDO_POPAYAN_30_09_A_01_10_2021</t>
  </si>
  <si>
    <t>H_WA012998_J.CAICEDO_POPAYAN_20_A_21_09_2021</t>
  </si>
  <si>
    <t>CO689</t>
  </si>
  <si>
    <t>Beatriz Balanta Camilo</t>
  </si>
  <si>
    <t>H_WA012612_B.BALANTA_POPAYAN_30_09_A_01_10_2021</t>
  </si>
  <si>
    <t>FC004871_ALOJAM_H_FC004871_J.PERDOMO_BOGOTA_26_A_27_10_2021</t>
  </si>
  <si>
    <t>FC000505_ALOJAM_H_J.PERDOMO_SANTANDER_DE_QUILICHAO_22_A_23_11_2021</t>
  </si>
  <si>
    <t>FC005473_ALOJAM_H_J.PERDOMO_BOGOTA_18_A_19_11_2021</t>
  </si>
  <si>
    <t>FC000486_ALOJAM_H_J.JARAMILLO_SANTANDER_DE_QUILICHAO_17_A_20_11_2021</t>
  </si>
  <si>
    <t>FC000459_ALOJAM H_G.FLETCHER_SANTANDER_DE_QUILICHAO_28_A_29_10_2021</t>
  </si>
  <si>
    <t>FC000567_ALOJAM_H_J.PERDOMO_13_12_AL_14_12_2021</t>
  </si>
  <si>
    <t>Henry Samboni Bolaños</t>
  </si>
  <si>
    <t>FC000568_ALOJAM_H_H.SAMBONI_13_12_AL_14_12_2021</t>
  </si>
  <si>
    <t>FC027463_CLO1497_SERVIC_ALOJAM_ TALLER DE PLANEACIÓN M&amp;E RDC 2021-2022</t>
  </si>
  <si>
    <t>FC001519_ALOJAM_H_D.ESTRADA_11_12_AL_12_12_2021</t>
  </si>
  <si>
    <t>FC005169_ALOJAM_H_D.ESTRADA_5_12_AL_6_12_2021</t>
  </si>
  <si>
    <t>CLO0293_DP_FC000313_ ALIMETAC_REUNION COORDINACION PROTECCION SANTANDER DE QUILICHAO</t>
  </si>
  <si>
    <t>P830057324</t>
  </si>
  <si>
    <t>830057324 TYPYKOS LIMITADA</t>
  </si>
  <si>
    <t>A_FC382315_ALIMENTACION_EQUIPO__ALEJANDRA_GONZALEZ_MISION_PLANEACION_2021</t>
  </si>
  <si>
    <t>P830088374</t>
  </si>
  <si>
    <t>830088374 THE PUB LTDA</t>
  </si>
  <si>
    <t>A_FC029875_ALIMENTACION_EQUIPO_ALEJANDRA_GONZALEZ_MISION_PLANEACION_2021</t>
  </si>
  <si>
    <t>A_FC962242_ALIMENTACION_EQUIPO_ALEJANDRA_GONZALEZ_MISION_PLANEACION_2021</t>
  </si>
  <si>
    <t>P32322496</t>
  </si>
  <si>
    <t>32322496 PEREZ RAMIREZ LILIA</t>
  </si>
  <si>
    <t>A_WA003154_ALIMENTACION_JESUS_CAICEDO_MISION_VISITA_INMUEBLES_ACNUR_POPAYAN</t>
  </si>
  <si>
    <t>P25278270</t>
  </si>
  <si>
    <t>25278270 CERON URIBE MARIA NELLY</t>
  </si>
  <si>
    <t>A_WA003153_ALIMENTACION_JESUS_CAICEDO_MISION_VISITA_INMUEBLES_ACNUR_POPAYAN</t>
  </si>
  <si>
    <t>A_WA003152_ALIMENTACION_JESUS_CAICEDO_MISION_VISITA_INMUEBLES_ACNUR_POPAYAN</t>
  </si>
  <si>
    <t>P66899901</t>
  </si>
  <si>
    <t>66899901 BALANTA CAMILO BEATRIZ</t>
  </si>
  <si>
    <t>A_FC077733_ALIMENTACION_BEATRIZ_BALANTA_REVISION_OFICINAS_POPAYAN</t>
  </si>
  <si>
    <t>A_WA012814_ALIMENTACION_BEATRIZ_BALANTA_REVISION_OFICINAS_POPAYAN</t>
  </si>
  <si>
    <t>A_FC077803_ALIMENTACION_BEATRIZ_BALANTA_REVISION_OFICINAS_POPAYAN</t>
  </si>
  <si>
    <t>P901442562</t>
  </si>
  <si>
    <t>901442562 LUPE ARANGO SAS</t>
  </si>
  <si>
    <t>FC001383_A_ALIMENTAC_JESICA_PERDOMO_VISITA_SOCIOS_OMPLEMENTADOR_REVISION_INFORMAC_AUDITORIA</t>
  </si>
  <si>
    <t>P10487100</t>
  </si>
  <si>
    <t>10487100 SALAZAR VIDAL HECTOR FABIO</t>
  </si>
  <si>
    <t>WA013633_A_ALIMENTAC_JESICA_PERDOMO_VISITA_SOCIOS_OMPLEMENTADOR_REVISION_INFORMAC_AUDITORIA</t>
  </si>
  <si>
    <t>WA013635_A_ALIMENTAC_JESICA_PERDOMO_VISITA_SOCIOS_OMPLEMENTADOR_REVISION_INFORMAC_AUDITORIA</t>
  </si>
  <si>
    <t>FC000415_A_ALIMENTAC_JESICA_PERDOMO_VISITA_SOCIOS_OMPLEMENTADOR_REVISION_INFORMAC_AUDITORIA</t>
  </si>
  <si>
    <t>WA013634_A_ALIMENTAC_JESICA_PERDOMO_VISITA_SOCIOS_OMPLEMENTADOR_REVISION_INFORMAC_AUDITORIA</t>
  </si>
  <si>
    <t>WA013632_A_ALIMENTAC_JESICA_PERDOMO_VISITA_SOCIOS_OMPLEMENTADOR_REVISION_INFORMAC_AUDITORIA</t>
  </si>
  <si>
    <t>FC061268_A_ALIMENTAC_JESICA_PERDOMO_VISITA_SOCIOS_OMPLEMENTADOR_REVISION_INFORMAC_AUDITORIA</t>
  </si>
  <si>
    <t>FC371540_A_ALIMENTAC_JESICA_PERDOMO_VISITA_SOCIOS_OMPLEMENTADOR_REVISION_INFORMAC_AUDITORIA</t>
  </si>
  <si>
    <t>P900591797</t>
  </si>
  <si>
    <t>900591797 PALEB S A S</t>
  </si>
  <si>
    <t>FC183201_A_ALIMENTAC_JESICA_PERDOMO_VISITA_SOCIOS_OMPLEMENTADOR_REVISION_INFORMAC_AUDITORIA</t>
  </si>
  <si>
    <t>P41588266</t>
  </si>
  <si>
    <t>41588266 VALENCIA VIRGINIA</t>
  </si>
  <si>
    <t>FC001449_A_ALIMENTAC_JESICA_PERDOMO_VISITA_SOCIOS_OMPLEMENTADOR_REVISION_INFORMAC_AUDITORIA</t>
  </si>
  <si>
    <t>P900013167</t>
  </si>
  <si>
    <t>900013167 DIRE LTDA</t>
  </si>
  <si>
    <t>FC325667_A_ALIMNETAC_JESICA_PERDOMO_REVISION_Y_SEGUIMIENT_FINANCIERO_SOCIOS_IMPLEMNETAD_PACIFISTA</t>
  </si>
  <si>
    <t>WA013279_A_ALIMNETAC_JESICA_PERDOMO_REVISION_Y_SEGUIMIENT_FINANCIERO_SOCIOS_IMPLEMNETAD_PACIFISTA</t>
  </si>
  <si>
    <t>P830132256</t>
  </si>
  <si>
    <t>830132256 CONSEJO NORUEGO PARA REFUGIADOS - NRC</t>
  </si>
  <si>
    <t>WA013280_A_ALIMNETAC_JESICA_PERDOMO_REVISION_Y_SEGUIMIENT_FINANCIERO_SOCIOS_IMPLEMNETAD_PACIFISTA</t>
  </si>
  <si>
    <t>FC063739_A_ALIMNETAC_JESICA_PERDOMO_REVISION_Y_SEGUIMIENT_FINANCIERO_SOCIOS_IMPLEMNETAD_PACIFISTA</t>
  </si>
  <si>
    <t>FC063743_A_ALIMNETAC_JESICA_PERDOMO_REVISION_Y_SEGUIMIENT_FINANCIERO_SOCIOS_IMPLEMNETAD_PACIFISTA</t>
  </si>
  <si>
    <t>FC003879_A_ALIMNETAC_JESICA_PERDOMO_REVISION_Y_SEGUIMIENT_FINANCIERO_SOCIOS_IMPLEMNETAD_PACIFISTA</t>
  </si>
  <si>
    <t>FC059048_A_ALIMNETAC_JESICA_PERDOMO_REVISION_Y_SEGUIMIENT_FINANCIERO_SOCIOS_IMPLEMNETAD_PACIFISTA</t>
  </si>
  <si>
    <t>FC118294_A_ALIMENTAC_JESICA_PERDOMO_VISITA_SOCIOS_OMPLEMENTADOR_REVISION_INFORMAC_AUDITORIA</t>
  </si>
  <si>
    <t>WA008555</t>
  </si>
  <si>
    <t>WA008555_A_ALIMNETAC_GERARDO_FLETCHER_REVISION_DOCUEMNTAC_CONTABLE_ACONC</t>
  </si>
  <si>
    <t xml:space="preserve">FC000231_A_ALIMNETAC_HERNANDO_ENRIQYEZ_COMMUNITY LED NEGOCIATION	</t>
  </si>
  <si>
    <t>P900849226</t>
  </si>
  <si>
    <t>900849226 CALLAO SANGUCHERÍA S.A.S.</t>
  </si>
  <si>
    <t>FC108837_A_ALIMENTAC_HERNANDO_ENRIQUEZ_PLANEACION_ESTRATEGICA_REUNION_PACIFICA</t>
  </si>
  <si>
    <t>FC009965_A_ALIMENTAC_HERNANDO_ENRIQUEZ_PLANEACION_ESTRATEGICA_REUNION_PACIFICA</t>
  </si>
  <si>
    <t>WA013280</t>
  </si>
  <si>
    <t>AJUST_6102856_ERRO_ID_WA013280_A_ALIMNETAC_JESICA_PERDOMO_REVISION_Y_SEGUIMIENT_FINANCIERO_SOCIOS_IMPLEMNETAD_PACIFISTA</t>
  </si>
  <si>
    <t>AJUS_6103352_PTO119010_T_TRANSP_URB_DANIELA_PERDOMO_VISITA_SEGUIMIENTO_FINANCIERO_A _SOCIOS_IMPLEMENTAD</t>
  </si>
  <si>
    <t>PTO119010_T_TRANSP_URB_DANIELA_PERDOMO_VISITA_SEGUIMIENTO_FINANCIERO_A _SOCIOS_IMPLEMENTAD</t>
  </si>
  <si>
    <t>WA013860_A_ALIMNETAC_DANIELA_PERDOMO_VISITA_SEGUIMIENTO_FINANCIERO_A _SOCIOS_IMPLEMENTAD</t>
  </si>
  <si>
    <t>FC126121_A_ALIMNETAC_DANIELA_PERDOMO_VISITA_SEGUIMIENTO_FINANCIERO_A _SOCIOS_IMPLEMENTAD</t>
  </si>
  <si>
    <t>WA013861_A_ALIMNETAC_DANIELA_PERDOMO_VISITA_SEGUIMIENTO_FINANCIERO_A _SOCIOS_IMPLEMENTAD</t>
  </si>
  <si>
    <t>WA013859_A_ALIMNETAC_DANIELA_PERDOMO_VISITA_SEGUIMIENTO_FINANCIERO_A _SOCIOS_IMPLEMENTAD</t>
  </si>
  <si>
    <t>FC063061_A_ALIMNETAC_DANIELA_PERDOMO_VISITA_SEGUIMIENTO_FINANCIERO_A _SOCIOS_IMPLEMENTAD</t>
  </si>
  <si>
    <t>WA013693_A_ALIMNETAC_URW110_HENRY_SAMBONI_VISITA_A_SOCIO_IMPLEMENTADOR_ACONC</t>
  </si>
  <si>
    <t>WA013695_A_ALIMNETAC_URW110_HENRY_SAMBONI_VISITA_A_SOCIO_IMPLEMENTADOR_ACONC</t>
  </si>
  <si>
    <t>WA013694_A_ALIMNETAC_URW110_HENRY_SAMBONI_VISITA_A_SOCIO_IMPLEMENTADOR_ACONC</t>
  </si>
  <si>
    <t>P900961418</t>
  </si>
  <si>
    <t>900961418 INVERSIONES GIRALDO DUQUE S.A.S</t>
  </si>
  <si>
    <t>FC000000_CLO0370_DP_SERVICIO_ ALOJAMIENTO PARA 2 PERSONAS SOPORTE - EVENTO ICLA - ANTICIPADO PARA GENERACION DE FACTURA</t>
  </si>
  <si>
    <t>P900292786</t>
  </si>
  <si>
    <t>900292786 DONUS DE OCCIDENTE SAS</t>
  </si>
  <si>
    <t>FC305183_A_ALMU_D.ESTRADA_MISION GESTION MONITOREO</t>
  </si>
  <si>
    <t>P900905887</t>
  </si>
  <si>
    <t>900905887 EL GRINGO SAS</t>
  </si>
  <si>
    <t>FC173934_A_CENA_D.ESTRADA_MISION GESTION MONITOREO</t>
  </si>
  <si>
    <t>FC001518_A_ALMU_D.ESTRADA_MISION GESTION MONITOREO</t>
  </si>
  <si>
    <t>P900793330</t>
  </si>
  <si>
    <t>900793330 ORGANIZACION LAS MERCEDES SAS</t>
  </si>
  <si>
    <t>FC361103_A_ALMU_D.ESTRADA_MISION GESTION MONITOREO</t>
  </si>
  <si>
    <t>T_PTUCO339_TRANSPORTE_A.BURBANO_REUNION_COORDINACION_FSA</t>
  </si>
  <si>
    <t>T_PTUCO532_ALEJANDRA_GONZALEZ_MISION_PLANEACION_2021</t>
  </si>
  <si>
    <t>CLO1272_FC000260_COFY2102_SON COSAS DEL CORAZON_TRANSPORTE TERRESTRE CALI - POPAYA - CALI PARA REALIZAR VISITA A OFICINAS DE ACNUR. SALIDA 30/09/2021 A LAS 9:00 A.M. REGRESO 01/10/2021 12:30 P.M.  STAFF: BEATRIZ BALANTA - JESUS DAVID CAICEDO</t>
  </si>
  <si>
    <t>T_PTUCO689_BEATRIZ_BALANTA_REVISION_OFICINAS_POPAYAN</t>
  </si>
  <si>
    <t>PTU119010_T_TRANSP_URB_JESICA_PERDOMO_REVISION_Y_SEGUIMIENT_FINANCIERO_SOCIOS_IMPLEMNETAD_PACIFISTA</t>
  </si>
  <si>
    <t>PTU119010_T_TRANSP_JESICA_PERDOMO_VISITA_SOCIOS_OMPLEMENTADOR_REVISION_INFORMAC_AUDITORIA</t>
  </si>
  <si>
    <t>PTUCO276_T_TRANSP_URB_GERARDO_FLETCHER_REVISION_DOCUEMNTAC_CONTABLE_ACONC</t>
  </si>
  <si>
    <t>PTUCO476_T_TRANSP_URB_HERNANDO_ENRIQUEZ_PLANEACION_ESTRATEGICA_REUNION_PACIFICA</t>
  </si>
  <si>
    <t>FC000330_CLO1496_SERVICIO_TRANSPORTE SATANDER DE QUILICHAO VISITA SOCIO IMPLEMENTADOR ACONC</t>
  </si>
  <si>
    <t>FC000346_CLO0368_DP _SERVICIO DE TRANSPORTE STAFF TRAYECTO BUGA -CALI</t>
  </si>
  <si>
    <t>PTU125338_T_TRANSP_URB_URW110_HENRY_SAMBONI_VISITA_A_SOCIO_IMPLEMENTADOR_ACONC</t>
  </si>
  <si>
    <t>PTUCO532_T_TRANSP_URB_ALEJANDRA_GONZALEZ_EVALUACION_INICIAL_PUESTO_INDIO</t>
  </si>
  <si>
    <t>PTUCO706_T_TRANSP URBANO_D.ESTRADA_MISION GESTION MONITOREO</t>
  </si>
  <si>
    <t>51552002</t>
  </si>
  <si>
    <t>FC000357</t>
  </si>
  <si>
    <t>FC000357_CLO1553_SERVIC_TRANSPORTE 7 STAFF SOPORTE</t>
  </si>
  <si>
    <t>P805013141</t>
  </si>
  <si>
    <t>805013141 SERVICIO DE TRANSPORTE DE PASAJEROS FREDDY DELGADO SAS</t>
  </si>
  <si>
    <t>FC000662_CLO1497-1_SERV_ TRANSP_T_STAFF_ TALLER DE PLANEACIÓN M&amp;E RDC 2021-2022</t>
  </si>
  <si>
    <t>P817003224</t>
  </si>
  <si>
    <t>817003224 TRAVESYA LTDA. TRANSPORTE VEHICULAR ESPECIAL Y AEREO</t>
  </si>
  <si>
    <t>FC001621_CLO1497-2 _SERVC_ TRANSP_STAFF_TALLER DE PLANEACIÓN M&amp;E RDC 2021-2022</t>
  </si>
  <si>
    <t>FC000354_CLO1563_SERVIC_TRANSP_STAFF_MONTENGERO_CLO</t>
  </si>
  <si>
    <t>FC016524_O_COMISION_BANCARIA_RETIRO_JESICA_PERDOMO_VISITA_SOCIOS_OMPLEMENTADOR_REVISION_INFORMAC_AUDITORIA</t>
  </si>
  <si>
    <t>AJUST_6102966_ERROR_CUENTA_FC016524_O_COMISION_BANCARIA_RETIRO_JESICA_PERDOMO_VISITA_SOCIOS_OMPLEMENTADOR_REVISION_INFORMAC_AUDITORIA</t>
  </si>
  <si>
    <t>P1144031175</t>
  </si>
  <si>
    <t>1144031175 CARLOS EDUARDO BETANCOURT SANCHEZ</t>
  </si>
  <si>
    <t>WA008554</t>
  </si>
  <si>
    <t>WA008554_O_PARQUE_VEHICULO_INSTITC_HTY157_GERARDO_FLETCHER_REVISION_DOCUEMNTAC_CONTABLE_ACONC</t>
  </si>
  <si>
    <t>FC066163_C_COMBUST_6,533GL_$9150_URW110_HENRY_SAMBONI_VISITA_A_SOCIO_IMPLEMENTADOR_ACONC</t>
  </si>
  <si>
    <t>FC226719_O_PEAJE_URW110_HENRY_SAMBONI_VISITA_A_SOCIO_IMPLEMENTADOR_ACONC</t>
  </si>
  <si>
    <t>FC235569_O_PEAJE_URW110_HENRY_SAMBONI_VISITA_A_SOCIO_IMPLEMENTADOR_ACONC</t>
  </si>
  <si>
    <t>7330</t>
  </si>
  <si>
    <t>51157069</t>
  </si>
  <si>
    <t>C4</t>
  </si>
  <si>
    <t>GL Posting Chocó (CO)</t>
  </si>
  <si>
    <t>LORO</t>
  </si>
  <si>
    <t>P900461230</t>
  </si>
  <si>
    <t>900461230 LA TEXTILERA DOTACIONES SAS</t>
  </si>
  <si>
    <t>FC002827</t>
  </si>
  <si>
    <t>FC002827_QBO1218-2_COMPRA DE ELEMENTOS DE VISISBILIDAD STAFF WA</t>
  </si>
  <si>
    <t>51959526</t>
  </si>
  <si>
    <t>8040</t>
  </si>
  <si>
    <t>42100501</t>
  </si>
  <si>
    <t>INTERESES BANCARIOS_CUENTA DE AHORRO_VIGENCIA_2021_COFY2102_PACIFISTA_IP1010</t>
  </si>
  <si>
    <t>INTERESES BANCARIOS SOCIO</t>
  </si>
  <si>
    <t>IVA_CUENTA_4020_202112_WA</t>
  </si>
  <si>
    <t>IVA_CUENTA_1861_202112_CARGUES_WA</t>
  </si>
  <si>
    <t>GMF_CUENTA_4020_202112_WA</t>
  </si>
  <si>
    <t>RECL_TRANS#6100951_COFM2101_A_COFY2102_GMF_CUENTA_1858_202105_GASTOS_BANCARIOS</t>
  </si>
  <si>
    <t>RECL_TRANS#6100771_COFM2101_A_COFY2102_GASTOS_BANCARIOS_MES_ABRIL_CTA_4020_GMF</t>
  </si>
  <si>
    <t>FC022540</t>
  </si>
  <si>
    <t>FC022540_O_GASTOS_COMISION_RETIRO_ANTICIPO_LAURA_MENA_PAGO CTA AFC-MES_NOVIEMBRE</t>
  </si>
  <si>
    <t>FC040288</t>
  </si>
  <si>
    <t>FC040288_O_GASTOS_COMISION_RETIRO_ANTICIPO_LAURA_MENA_PAGO CTA AFC-MES_NOVIEMBRE</t>
  </si>
  <si>
    <t>FC040544</t>
  </si>
  <si>
    <t>FC040544_O_GASTOS_COMISION_RETIRO_ANTICIPO_LAURA_MENA_PAGO CTA AFC-MES_NOVIEMBRE</t>
  </si>
  <si>
    <t>COMISION_CUENTA_1861_202112_CARGUES_WA</t>
  </si>
  <si>
    <t>COMISION_CUENTA_4020_202112_WA</t>
  </si>
  <si>
    <t>119010</t>
  </si>
  <si>
    <t>FC000639_O_COMISION_RETIRO_BANCARIO_DANIELA_PERDOMO_VISITA_SEGUIMIENTO_FINANCIERO_A _SOCIOS_IMPLEMENTAD</t>
  </si>
  <si>
    <t>PAGO_SEGURO_VIDA_TC_WA_2589_DICIEMBRE</t>
  </si>
  <si>
    <t>PAGO_CUAOTA_MANEJO_TC_WA_2589_DICIEMBRE</t>
  </si>
  <si>
    <t>P800136835</t>
  </si>
  <si>
    <t>800136835 CENTURYLINK COLOMBIA SA</t>
  </si>
  <si>
    <t>FC940824</t>
  </si>
  <si>
    <t>AJUSTE_AL_PESO</t>
  </si>
  <si>
    <t>N042838</t>
  </si>
  <si>
    <t>IEC Iridium monthly fee Colombia August 2021 - POPAYÁN_8988169234002335966</t>
  </si>
  <si>
    <t>IEC Iridium monthly fee Colombia August 2021 - POPAYAN _8988169234002336915</t>
  </si>
  <si>
    <t>2DO DESEMBOLSO_FUNDACION PACIFISTA_COFY2102_IP1010</t>
  </si>
  <si>
    <t>2DO DESEMBOLSO ASOCIACIÓN DE CONSEJOS COMUNITARIOS DEL NORTE</t>
  </si>
  <si>
    <t>REVERSAL:6200266_WA14902_CLO16159</t>
  </si>
  <si>
    <t>WA014678_CLO1600-2_SERVICIO DE CONTRATACIÓN TALLERISTAS ESCUELA DE GUARDIAS EL 21 Y 22 DE ENERO EN VILLA RICA CAUCA</t>
  </si>
  <si>
    <t>FC014677_CLO1600-3_SERVICIO DE CONTRATACIÓN TALLERISTAS ESCUELA DE GUARDIAS EL 21 Y 22 DE ENERO EN VILLA RICA CAUCA</t>
  </si>
  <si>
    <t>WA14902_CLO1615_PAGO_HONORARIOS_SABEDOR_ANCESTRAL</t>
  </si>
  <si>
    <t>WA14902__CLO16159_PAGO1/1_CONTRATACION DE SABEDOR ANCESTRAL</t>
  </si>
  <si>
    <t>P35601300</t>
  </si>
  <si>
    <t>35601300 ROSA MARIA PALACIOS RODRIGUEZ</t>
  </si>
  <si>
    <t>WA013930_QBO1342_HONORARIOS TALLERISTA_DISAEÑO E IMPLEMENTACION PLA SOSTENIBLE INICIA COMUNITARIA CATRU</t>
  </si>
  <si>
    <t>WA016982_CLO1713-1_CONTRATACIÓN TALLERISTA POR 16 HORAS, PARA LA ASAMBLEA DE REGLAMENTOS INTERNOS DEL PROYECTO PBF</t>
  </si>
  <si>
    <t>P1214213503</t>
  </si>
  <si>
    <t>1214213503 DARLIN MELIZA ALVAREZ</t>
  </si>
  <si>
    <t>WA016981_CLO1713-2 _CONTRATACIÓN TALLERISTA POR 16 HORAS, PARA LA ASAMBLEA DE REGLAMENTOS INTERNOS DEL PROYECTO PBF</t>
  </si>
  <si>
    <t>P805029708</t>
  </si>
  <si>
    <t>805029708 CORPORACION PARA EL DESARROLLO REGIONAL</t>
  </si>
  <si>
    <t>FC000016_CLO1527_PAGO_1/3_ 30%_CONSULTORÍA_ M&amp;E_PROYECTOS CONSTRUCCIÓN Y EVALUACIÓN DE PAZ</t>
  </si>
  <si>
    <t>WA016976_CLO1622_SERVICIO_CONTRATACIÓN TALLERISTA DE UN PROFESIONAL PARA LA REALIZACIÓN DE SESIÓN DE ESCUELA DE GUARDIAS 4 Y 5 DE FEBRERO</t>
  </si>
  <si>
    <t>AJUST_6200581_ERROR_BID_FC000016_CLO1527_PAGO_1/3_ 30%_CONSULTORÍA_ M&amp;E_PROYECTOS CONSTRUCCIÓN Y EVALUACIÓN DE PAZ</t>
  </si>
  <si>
    <t>WA010017_CLO1600-1 _CONTRATACIÓN TALLERISTAS ESCUELA DE GUARDIAS EL 21 Y 22 DE ENERO EN VILLA RICA CAUCA</t>
  </si>
  <si>
    <t>P10492360</t>
  </si>
  <si>
    <t>10492360 LISCANO DAZA WLADIMIR</t>
  </si>
  <si>
    <t>FC000029_CLO1578-1 COMPRA_DOTACIÓN DE VISIBILIDAD PBF - GUARDIA CIMARRONA 11 DE ENERO 2022 NORTE DEL CAUCA_ PAGO 1 DE 2 DEL 50</t>
  </si>
  <si>
    <t>FC000032_CLO1578-1 PAGO 2 DE 2 DEL 50%_COMPRA_DOTACIÓN DE VISIBILIDAD PBF - GUARDIA CIMARRONA 11 DE ENERO 2022 NORTE DEL CAUCA</t>
  </si>
  <si>
    <t>P800194997</t>
  </si>
  <si>
    <t>800194997 DOCUPRINT S.A.S.</t>
  </si>
  <si>
    <t>FC065569_CLO0457_DP_SERVICIO_IMPRESION_FOTOGRACIAS_RENDICION_CUENTAS_PBF</t>
  </si>
  <si>
    <t>FC801058_TKT_A.OSSA_BOG_CLO_BOG_24_03_2022</t>
  </si>
  <si>
    <t>51159503</t>
  </si>
  <si>
    <t>FC068443_A_2 ALMU_M.ACUÑA_J.PALACIOS MISION TALLERES REGLAMENTO INTERNO PBF</t>
  </si>
  <si>
    <t>FC084994_A_ALMU_M.ACUÑA_MISION TALLERES REGLAMENTO INTERNO PBF</t>
  </si>
  <si>
    <t>FC068893_A_ALMU_M.ACUÑA_MISION TALLERES REGLAMENTO INTERNO PBF</t>
  </si>
  <si>
    <t>WA14997_CLO1643_PAGO1/1_ALQUILER DE ESPACIO  TALLER VILLA RICA</t>
  </si>
  <si>
    <t>WA14987_CLO1612_PAGO1/1_ ALQUILER ESPACIO ESCUELA DE GUARDIAS</t>
  </si>
  <si>
    <t>WA015000_CLO1683_SERVICIO_ALQUILER_SALON_PRESENTACION_CONSULTORIA_PROYECTO_PBF CON ACONC</t>
  </si>
  <si>
    <t>FC000370_CLO1608_SERVICIO DE CONTRATACIÓN TRANSPORTE STAFF ACTIVIDADES DE PBF 21</t>
  </si>
  <si>
    <t>WA014337</t>
  </si>
  <si>
    <t>WA014337_A - ALIMENTACIÓN_HENRY_SAMBONI_TALLERES DE REGLAMENTOS INTERNOS PROTECCIÓN</t>
  </si>
  <si>
    <t>P1144084770</t>
  </si>
  <si>
    <t>1144084770 ISABEL CRISTINA VIAFARA RESTREPO</t>
  </si>
  <si>
    <t>WA014338</t>
  </si>
  <si>
    <t>WA014338_A - ALIMENTACIÓN_HENRY_SAMBONI_TALLERES DE REGLAMENTOS INTERNOS PROTECCIÓN</t>
  </si>
  <si>
    <t>WA014339</t>
  </si>
  <si>
    <t>WA014339_A - ALIMENTACIÓN_HENRY_SAMBONI_TALLERES DE REGLAMENTOS INTERNOS PROTECCIÓN</t>
  </si>
  <si>
    <t>FC313559</t>
  </si>
  <si>
    <t>FC313559_O_OTROS_PEAJE_HENRY_SAMBONI_TALLERES DE REGLAMENTOS INTERNOS PROTECCIÓN</t>
  </si>
  <si>
    <t>FC308377</t>
  </si>
  <si>
    <t>FC308377_O_OTROS_PEAJE_HENRY_SAMBONI_TALLERES DE REGLAMENTOS INTERNOS PROTECCIÓN</t>
  </si>
  <si>
    <t>WA014340</t>
  </si>
  <si>
    <t>WA014340_A - ALIMENTACIÓN_HENRY_SAMBONI_TALLERES DE REGLAMENTOS INTERNOS PROTECCIÓN</t>
  </si>
  <si>
    <t>PTU125338_T - TRANSPORTE_HENRY_SAMBONI_TALLERES DE REGLAMENTOS INTERNOS PROTECCIÓN</t>
  </si>
  <si>
    <t>FC084905</t>
  </si>
  <si>
    <t>FC084905_C - COMBUSTIBLE_HENRY_SAMBONI_TALLERES DE REGLAMENTOS INTERNOS PROTECCIÓN</t>
  </si>
  <si>
    <t>FC000815</t>
  </si>
  <si>
    <t>FC000815_O_OTROS_PEAJE_HENRY_SAMBONI_TALLERES DE REGLAMENTOS INTERNOS PROTECCIÓN</t>
  </si>
  <si>
    <t>WA014368</t>
  </si>
  <si>
    <t>WA014368_T - TRANSPORTE_HENRY_SAMBONI_ESCUELA DE GUARDIAS PBF</t>
  </si>
  <si>
    <t>WA014369</t>
  </si>
  <si>
    <t>WA014369_A - ALIMENTACIÓN_HENRY_SAMBONI_ESCUELA DE GUARDIAS PBF</t>
  </si>
  <si>
    <t>WA014370</t>
  </si>
  <si>
    <t>WA014370_A - ALIMENTACIÓN_HENRY_SAMBONI_ESCUELA DE GUARDIAS PBF</t>
  </si>
  <si>
    <t>P41115484</t>
  </si>
  <si>
    <t>41115484 MARIA GLADYS GONZALEZ ZAMBRANO</t>
  </si>
  <si>
    <t>WA014365</t>
  </si>
  <si>
    <t>WA014365_A - ALIMENTACIÓN_HENRY_SAMBONI_ESCUELA DE GUARDIAS PBF</t>
  </si>
  <si>
    <t>WA014371</t>
  </si>
  <si>
    <t>WA014371_A - ALIMENTACIÓN_HENRY_SAMBONI_ESCUELA DE GUARDIAS PBF</t>
  </si>
  <si>
    <t>WA014372</t>
  </si>
  <si>
    <t>WA014372_A - ALIMENTACIÓN_HENRY_SAMBONI_ESCUELA DE GUARDIAS PBF</t>
  </si>
  <si>
    <t>FC344668</t>
  </si>
  <si>
    <t>FC344668_O_OTROS_PEAJE_HENRY_SAMBONI_ESCUELA DE GUARDIAS PBF</t>
  </si>
  <si>
    <t>FC347368</t>
  </si>
  <si>
    <t>FC347368_O_OTROS_PEAJE_HENRY_SAMBONI_ESCUELA DE GUARDIAS PBF</t>
  </si>
  <si>
    <t>WA014373</t>
  </si>
  <si>
    <t>WA014373_A - ALIMENTACIÓN_HENRY_SAMBONI_ESCUELA DE GUARDIAS PBF</t>
  </si>
  <si>
    <t>FC159366</t>
  </si>
  <si>
    <t>FC159366_C - COMBUSTIBLE_HENRY_SAMBONI_ESCUELA DE GUARDIAS PBF</t>
  </si>
  <si>
    <t>PTU125338_T - TRANSPORTE_HENRY_SAMBONI_ESCUELA DE GUARDIAS PBF</t>
  </si>
  <si>
    <t>PTUCO276_T - TRANSPORTE_GERARDO_FLETCHER_TALLERES DE REGLAMENTOS INTERNOS PBF</t>
  </si>
  <si>
    <t>WA013583</t>
  </si>
  <si>
    <t>WA013583_A - ALIMENTACIÓN_GERARDO_FLETCHER_TALLERES DE REGLAMENTOS INTERNOS PBF</t>
  </si>
  <si>
    <t>FC067678</t>
  </si>
  <si>
    <t>FC067678_A - ALIMENTACIÓN_GERARDO_FLETCHER_TALLERES DE REGLAMENTOS INTERNOS PBF</t>
  </si>
  <si>
    <t>FC067777</t>
  </si>
  <si>
    <t>FC067777_A - ALIMENTACIÓN_GERARDO_FLETCHER_TALLERES DE REGLAMENTOS INTERNOS PBF</t>
  </si>
  <si>
    <t>FC067913</t>
  </si>
  <si>
    <t>FC067913_A - ALIMENTACIÓN_GERARDO_FLETCHER_TALLERES DE REGLAMENTOS INTERNOS PBF</t>
  </si>
  <si>
    <t>FC068442</t>
  </si>
  <si>
    <t>FC068442_A - ALIMENTACIÓN_GERARDO_FLETCHER_TALLERES DE REGLAMENTOS INTERNOS PBF</t>
  </si>
  <si>
    <t>FC068441</t>
  </si>
  <si>
    <t>FC068441_A - ALIMENTACIÓN_GERARDO_FLETCHER_TALLERES DE REGLAMENTOS INTERNOS PBF</t>
  </si>
  <si>
    <t>FC079306</t>
  </si>
  <si>
    <t>FC079306_A - ALIMENTACIÓN_GERARDO_FLETCHER_TALLERES DE REGLAMENTOS INTERNOS PBF</t>
  </si>
  <si>
    <t>FC004198</t>
  </si>
  <si>
    <t>FC004198_A - ALIMENTACIÓN_GERARDO_FLETCHER_TALLERES DE REGLAMENTOS INTERNOS PBF</t>
  </si>
  <si>
    <t>FC002265</t>
  </si>
  <si>
    <t>FC002265_A - ALIMENTACIÓN_GERARDO_FLETCHER_TALLERES DE REGLAMENTOS INTERNOS PBF</t>
  </si>
  <si>
    <t>WA013584</t>
  </si>
  <si>
    <t>WA013584_A - ALIMENTACIÓN_GERARDO_FLETCHER_TALLERES DE REGLAMENTOS INTERNOS PBF</t>
  </si>
  <si>
    <t>WA013585</t>
  </si>
  <si>
    <t>WA013585_A - ALIMENTACIÓN_GERARDO_FLETCHER_TALLERES DE REGLAMENTOS INTERNOS PBF</t>
  </si>
  <si>
    <t>WA013586</t>
  </si>
  <si>
    <t>WA013586_A - ALIMENTACIÓN_GERARDO_FLETCHER_TALLERES DE REGLAMENTOS INTERNOS PBF</t>
  </si>
  <si>
    <t>WA013587</t>
  </si>
  <si>
    <t>WA013587_O - OTROS GASTOS_GERARDO_FLETCHER_TALLERES DE REGLAMENTOS INTERNOS PBF</t>
  </si>
  <si>
    <t>FC087020</t>
  </si>
  <si>
    <t>FC087020_C - COMBUSTIBLE_HTY157_9,451GL_$9310_GERARDO_FLETCHER_TALLERES DE REGLAMENTOS INTERNOS PBF</t>
  </si>
  <si>
    <t>FC154042</t>
  </si>
  <si>
    <t>FC154042_C - COMBUSTIBLE_HY157_5,944GL_$9290_GERARDO_FLETCHER_TALLERES DE REGLAMENTOS INTERNOS PBF</t>
  </si>
  <si>
    <t>FC322168</t>
  </si>
  <si>
    <t>FC322168_O - OTROS GASTOS_GERARDO_FLETCHER_TALLERES DE REGLAMENTOS INTERNOS PBF</t>
  </si>
  <si>
    <t>FC318974</t>
  </si>
  <si>
    <t>FC318974_O - OTROS GASTOS_GERARDO_FLETCHER_TALLERES DE REGLAMENTOS INTERNOS PBF</t>
  </si>
  <si>
    <t>FC336731</t>
  </si>
  <si>
    <t>FC336731_O - OTROS GASTOS_GERARDO_FLETCHER_TALLERES DE REGLAMENTOS INTERNOS PBF</t>
  </si>
  <si>
    <t>FC337332</t>
  </si>
  <si>
    <t>FC337332_O - OTROS GASTOS_GERARDO_FLETCHER_TALLERES DE REGLAMENTOS INTERNOS PBF</t>
  </si>
  <si>
    <t>FC345622</t>
  </si>
  <si>
    <t>FC345622_O - OTROS GASTOS_GERARDO_FLETCHER_TALLERES DE REGLAMENTOS INTERNOS PBF</t>
  </si>
  <si>
    <t>FC334393</t>
  </si>
  <si>
    <t>FC334393_O - OTROS GASTOS_GERARDO_FLETCHER_TALLERES DE REGLAMENTOS INTERNOS PBF</t>
  </si>
  <si>
    <t>FC213538</t>
  </si>
  <si>
    <t>FC213538_O - OTROS GASTOS_GERARDO_FLETCHER_TALLERES DE REGLAMENTOS INTERNOS PBF</t>
  </si>
  <si>
    <t>FC347243</t>
  </si>
  <si>
    <t>FC347243_O - OTROS GASTOS_GERARDO_FLETCHER_TALLERES DE REGLAMENTOS INTERNOS PBF</t>
  </si>
  <si>
    <t>FC002792</t>
  </si>
  <si>
    <t>FC002792_A - ALIMENTACIÓN_GERARDO_FLETCHER_TALLERES DE REGLAMENTOS INTERNOS PBF</t>
  </si>
  <si>
    <t>WA013588</t>
  </si>
  <si>
    <t>WA013588_A - ALIMENTACIÓN_GERARDO_FLETCHER_TALLERES DE REGLAMENTOS INTERNOS PBF</t>
  </si>
  <si>
    <t>WA013589</t>
  </si>
  <si>
    <t>WA013589_A - ALIMENTACIÓN_GERARDO_FLETCHER_TALLERES DE REGLAMENTOS INTERNOS PBF</t>
  </si>
  <si>
    <t>WA013590</t>
  </si>
  <si>
    <t>WA013590_A - ALIMENTACIÓN_GERARDO_FLETCHER_TALLERES DE REGLAMENTOS INTERNOS PBF</t>
  </si>
  <si>
    <t>WA013591</t>
  </si>
  <si>
    <t>WA013591_A - ALIMENTACIÓN_GERARDO_FLETCHER_TALLERES DE REGLAMENTOS INTERNOS PBF</t>
  </si>
  <si>
    <t>P34600752</t>
  </si>
  <si>
    <t>34600752 GLORIA AMPARO BALANTA GOMEZ</t>
  </si>
  <si>
    <t>WA013595</t>
  </si>
  <si>
    <t>WA013595_A - ALIMENTACIÓN_GERARDO_FLETCHER_TALLERES DE REGLAMENTOS INTERNOS PBF</t>
  </si>
  <si>
    <t>FC005134</t>
  </si>
  <si>
    <t>FC005134_A - ALIMENTACIÓN_GERARDO_FLETCHER_TALLERES DE REGLAMENTOS INTERNOS PBF</t>
  </si>
  <si>
    <t>FC084995</t>
  </si>
  <si>
    <t>FC084995_A - ALIMENTACIÓN_GERARDO_FLETCHER_TALLERES DE REGLAMENTOS INTERNOS PBF</t>
  </si>
  <si>
    <t>FC005742</t>
  </si>
  <si>
    <t>FC005742_A - ALIMENTACIÓN_GERARDO_FLETCHER_TALLERES DE REGLAMENTOS INTERNOS PBF</t>
  </si>
  <si>
    <t>FC068892</t>
  </si>
  <si>
    <t>FC068892_A - ALIMENTACIÓN_GERARDO_FLETCHER_TALLERES DE REGLAMENTOS INTERNOS PBF</t>
  </si>
  <si>
    <t>FC225798</t>
  </si>
  <si>
    <t>FC225798_O - OTROS GASTOS_GERARDO_FLETCHER_TALLERES DE REGLAMENTOS INTERNOS PBF</t>
  </si>
  <si>
    <t>FC220348</t>
  </si>
  <si>
    <t>FC220348_O - OTROS GASTOS_GERARDO_FLETCHER_TALLERES DE REGLAMENTOS INTERNOS PBF</t>
  </si>
  <si>
    <t>WA013599</t>
  </si>
  <si>
    <t>WA013599_O - OTROS GASTOS_GERARDO_FLETCHER_TALLERES DE REGLAMENTOS INTERNOS PBF</t>
  </si>
  <si>
    <t>WA013600</t>
  </si>
  <si>
    <t>WA013600_O - OTROS GASTOS_GERARDO_FLETCHER_TALLERES DE REGLAMENTOS INTERNOS PBF</t>
  </si>
  <si>
    <t>WA014386_A_HIDRAT 2 DIAS _M.ACUÑA_MISION TALLERES REGLAMENTO INTERNO PBF</t>
  </si>
  <si>
    <t>FC007042_A_DESYN _M.ACUÑA_MISION TALLERES REGLAMENTO INTERNO PBF</t>
  </si>
  <si>
    <t>PTUCO123781_T_TRANSP URBANO _M.ACUÑA_MISION TALLERES REGLAMENTO INTERNO PBF</t>
  </si>
  <si>
    <t>AJUSTE AL PESO</t>
  </si>
  <si>
    <t>WA014385_A_CENA_M.ACUÑA_MISION TALLERES REGLAMENTO INTERNO PBF</t>
  </si>
  <si>
    <t>FC005740_A_DESYN_M.ACUÑA_MISION TALLERES REGLAMENTO INTERNO PBF</t>
  </si>
  <si>
    <t>FC222028_A_CENA_M.ACUÑA_MISION TALLERES REGLAMENTO INTERNO PBF</t>
  </si>
  <si>
    <t>WA014387_A_DESYN_M.ACUÑA_MISION TALLERES REGLAMENTO INTERNO PBF</t>
  </si>
  <si>
    <t>WA014390_A_ALMU_M.ACUÑA_MISION TALLERES REGLAMENTO INTERNO PBF</t>
  </si>
  <si>
    <t>WA014366_A_CENA_M.ACUÑA_MISION TALLERES REGLAMENTO INTERNO PBF</t>
  </si>
  <si>
    <t>FC007390_A_REFRIG_M.ACUÑA_MISION TALLERES REGLAMENTO INTERNO PBF</t>
  </si>
  <si>
    <t>WA014388_A_ALMU_M.ACUÑA_MISION TALLERES REGLAMENTO INTERNO PBF</t>
  </si>
  <si>
    <t>WA014850_A_DESYN _M.ACUÑA_MISION TALLERES REGLAMENTO INTERNO PBF</t>
  </si>
  <si>
    <t>FC004200_A_2 CENAS _M.ACUÑA_J.PALACIOS MISION TALLERES REGLAMENTO INTERNO PBF</t>
  </si>
  <si>
    <t>WA014380_A_2 DESYN_M.ACUÑA_J.PALACIOS MISION TALLERES REGLAMENTO INTERNO PBF</t>
  </si>
  <si>
    <t>WA014383_A_2 CENAS _M.ACUÑA_J.PALACIOS MISION TALLERES REGLAMENTO INTERNO PBF</t>
  </si>
  <si>
    <t>WA014381_A_2 DESYN _M.ACUÑA_J.PALACIOS MISION TALLERES REGLAMENTO INTERNO PBF</t>
  </si>
  <si>
    <t>WA014384_A_ ALMU_M.ACUÑA_ MISION TALLERES REGLAMENTO INTERNO PBF</t>
  </si>
  <si>
    <t>P34602353</t>
  </si>
  <si>
    <t>34602353 RUBY MUÑOZ</t>
  </si>
  <si>
    <t>WA014848_A_ HIDRAT 2 DIAS _M.ACUÑA_J.PALACIOS  MISION TALLERES REGLAMENTO INTERNO PBF</t>
  </si>
  <si>
    <t>WA014382_A_DESYN _M.ACUÑA_MISION TALLERES REGLAMENTO INTERNO PBF</t>
  </si>
  <si>
    <t>P4760212</t>
  </si>
  <si>
    <t>4760212 WILSON DIAZ CARABALI</t>
  </si>
  <si>
    <t>WA014675_CLO1578-2_COMPRA_DOTACIÓN DE VISIBILIDAD PBF - GUARDIA CIMARRONA 11 DE ENERO 2022 NORTE DEL CAUCA</t>
  </si>
  <si>
    <t>FC000720</t>
  </si>
  <si>
    <t>COFY2102_FC000720_ALOJAM_GERARDO_FLETCHER_STDER_QUILICHAO_02/02/2022_06/02/2022</t>
  </si>
  <si>
    <t>FC000721</t>
  </si>
  <si>
    <t>COFMY2102_FC000721_ALOJAM_MAYRA_ACUÑA_STDER_QUILICHAO_02/02/2022_06/02/2022</t>
  </si>
  <si>
    <t>FC000767</t>
  </si>
  <si>
    <t>FC000767_ALOJAM_G.FLETCHER_SANTANDER_DE_QUILICHAO_15_A_16_02_2022</t>
  </si>
  <si>
    <t>FC000782</t>
  </si>
  <si>
    <t>FC000782_ALOJAM_M.ACUÑA_SDER_QUILICHAO_18_AL_19_02_2022</t>
  </si>
  <si>
    <t>FC000414_CLO0452_DP_SERVICIO_TRANSPORTE_PASAJEROS_STAFF_CALI_SANTANDR</t>
  </si>
  <si>
    <t>FC000753</t>
  </si>
  <si>
    <t>FC000753_ALOJAM_M.ACUNA_SDER_QUILICHAO_09_AL_11_02_2022</t>
  </si>
  <si>
    <t>FC000752</t>
  </si>
  <si>
    <t>FC000752_ALOJAM_G.FLETCHER_SDER_QUILICHAO_09_AL_11_02_2022</t>
  </si>
  <si>
    <t>FC000768</t>
  </si>
  <si>
    <t>FC000768_ALOJAM_M.ACUNA_SDER_QUILICHAO_15_AL_16_02_2022</t>
  </si>
  <si>
    <t>WA014392_A_CENA_M.ACUÑA_MISION_EMERGENCIA_MEDIO_ATRATO</t>
  </si>
  <si>
    <t>FC000690_ALOJAM_M.ACUNA_SDER_QUILICHAO_21_AL_22_02_2022</t>
  </si>
  <si>
    <t>FC000692</t>
  </si>
  <si>
    <t>FC000692_ALOJAM_M.ACUNA_SDER_QUILICHAO_28_AL_29_02_2022</t>
  </si>
  <si>
    <t>FC000691</t>
  </si>
  <si>
    <t>FC000691_ALOJAM_H_H.SAMBONI_SDER_QUILICHAO_28_AL_29_02_2022</t>
  </si>
  <si>
    <t>FC000783</t>
  </si>
  <si>
    <t>FC000783_ALOJAM_H.SAMBONI_SDER_QUILICHAO_18_AL_19_02_2022</t>
  </si>
  <si>
    <t>FC000403_CLO1690 _SERVICIO_TRANSPORTE_CALI-SANTANDER_DE_QUILICHAO_PARA_EL_23 Y 25</t>
  </si>
  <si>
    <t>WA14845_O_FOTOCOPIAS_M.ACUÑA_ESCUELA DE GUARDIAS PBF_22012022</t>
  </si>
  <si>
    <t>FC001957_LO0435_DP _COMPRAS_MATERIALES_PAPELERIA_ACTIVIDADES_ETNOHISTORIA_25_FEBRERO</t>
  </si>
  <si>
    <t>CLO1606_Efecty_Auxilio de transporte actividades de sesión de escuela de guardias 22 de enero en Villa Rica Cauca</t>
  </si>
  <si>
    <t>CLO1606_Efecty_Auxilio de transporte actividades de sesión de escuela de guardias 22 de enero en Villa Rica Cauca_COMISION</t>
  </si>
  <si>
    <t>REINTEGRO_GIRO_NO_COBRADO_CLO1606_Efecty_Auxilio de transporte actividades de sesión de escuela de guardias 22 de enero en Villa Rica Cauca</t>
  </si>
  <si>
    <t>CLO1620_Efecty_Auxilio de transporte actividades de proyecto de PBF entre el 29 de enero y el 28 de febrero en el Norte del Cauca</t>
  </si>
  <si>
    <t>CLO1620_Efecty_Auxilio de transporte actividades de proyecto de PBF entre el 29 de enero y el 28 de febrero en el Norte del Cauca_COMISION</t>
  </si>
  <si>
    <t>AJUSTE_TRANSA_6200064_CLO1620_Efecty_Auxilio de transporte actividades de proyecto de PBF entre el 29 de enero y el 28 de febrero en el Norte del Cauca_CORRECION_BID</t>
  </si>
  <si>
    <t>AJUSTE_TRANSA_6200064_CLO1620_Efecty_Auxilio de transporte actividades de proyecto de PBF entre el 29 de enero y el 28 de febrero en el Norte del Cauca_COMISION_AJUSTE_BID</t>
  </si>
  <si>
    <t>REINTEGRO_GIRO_NO_COBRADO_CLO1620_Efecty_Auxilio de transporte actividades de proyecto de PBF entre el 29 de enero y el 28 de febrero en el Norte del Cauca</t>
  </si>
  <si>
    <t>CLO1788_Efecty_auxilio de transprte para actividades de abril proyecto PBF con ACONC - Pacisfista</t>
  </si>
  <si>
    <t>CLO1788_Efecty_auxilio de transprte para actividades de abril proyecto PBF con ACONC - Pacisfista_COMISION</t>
  </si>
  <si>
    <t>CLO1756 _Efecty_Auxilios de transporte para encuentro de escuelas (actividad de RdC) y para capacitación de semilleros del Observatorio del Pueblo Negro del Norte del Cauca del COFY2102 PBF</t>
  </si>
  <si>
    <t>CLO1756 _Efecty_Auxilios de transporte para encuentro de escuelas (actividad de RdC) y para capacitación de semilleros del Observatorio del Pueblo Negro del Norte del Cauca del COFY2102 PBF_COMISION</t>
  </si>
  <si>
    <t>CLO1760 _Efecty_Auxilios de transporte para 3 personas para actividades de capacitación del COFY2102 PBF el 24 y 25 de marzo en Santander de Quilichao</t>
  </si>
  <si>
    <t>CLO1760 _Efecty_Auxilios de transporte para 3 personas para actividades de capacitación del COFY2102 PBF el 24 y 25 de marzo en Santander de Quilichao_COMISION</t>
  </si>
  <si>
    <t>WA14842_A_ALMUERZO_M.ACUÑA_TALLER REGLAMENTOS INTERNOS PBF_04_02_2022</t>
  </si>
  <si>
    <t>WA14841_A_CENA_M.ACUÑA_TALLER REGLAMENTOS INTERNOS PBF_04_02_2022</t>
  </si>
  <si>
    <t>WA14843_A_DESAYUNO_M.ACUÑA_TALLER REGLAMENTOS INTERNOS PBF_05_02_2022</t>
  </si>
  <si>
    <t>WA14835_A_ALMUERZO_M.ACUÑA_TALLER REGLAMENTOS INTERNOS PBF_05_02_2022</t>
  </si>
  <si>
    <t>FC004406_A_COMIDA_M.ACUÑA_TALLERES REGLAMENTOS INTERNOS PBF</t>
  </si>
  <si>
    <t>P1062322393</t>
  </si>
  <si>
    <t>1062322393 YUSED ALVAREZ</t>
  </si>
  <si>
    <t>WA13338_A_ALMUERZOS_M.ACUÑA_C.BURBANO_J.PALACIOS_A.GONZALEZ_REUNION COORD PBF</t>
  </si>
  <si>
    <t>WA13028_A_REFRIGERIOS_M.ACUÑA_C.BURBANO_J.PALACIOS_A.GONZALEZ_REUNION COORD PBF</t>
  </si>
  <si>
    <t>WA14840_A_ALMUERZOS_M.ACUÑA_J.PALACIOS_A.GONZALEZ_REUNION COORD PBF_06012022</t>
  </si>
  <si>
    <t>WA14831_A_ALMUERZOS_M.ACUÑA_REUNION COORD PBF_226012022</t>
  </si>
  <si>
    <t>WA14832_A_DESAYUNO_M.ACUÑA_TALLER REGLAMENTOS INTERNOS PBF_28012022</t>
  </si>
  <si>
    <t>WA14844_A_ALMUERZO Y COMIDA_M.ACUÑA_TALLER REGLAMENTOS INTERNOS PBF_28012022</t>
  </si>
  <si>
    <t>WA14837_A_DESAYUNO_M.ACUÑA_TALLER REGLAMENTOS INTERNOS PBF_02022022</t>
  </si>
  <si>
    <t>WA14836_A_ALMUERZO_M.ACUÑA_TALLER REGLAMENTOS INTERNOS PBF_02022022</t>
  </si>
  <si>
    <t>WA14839_A_CENA_M.ACUÑA_TALLER REGLAMENTOS INTERNOS PBF_02_AL_03_02_2022</t>
  </si>
  <si>
    <t>WA14838_A_DESAYUNO_M.ACUÑA_TALLER REGLAMENTOS INTERNOS PBF_04_02_2022</t>
  </si>
  <si>
    <t>WA14834_A_ALMUERZOS_M.ACUÑA_J.PALACIOS_A.GONZALEZ_REUNION COORD PBF_21012022</t>
  </si>
  <si>
    <t>WA14846_A_DESAYUNO_M.ACUÑA_ESCUELA DE GUARDIAS PBF_22012022</t>
  </si>
  <si>
    <t>WA14987_CLO1612_PAGO1/1_ALIMENTACION TALLER  ESCUELA DE GUARDIAS</t>
  </si>
  <si>
    <t>WA14996_CLO1657_PAGO1/1_ALIMENTACION Y ALQUILER ESPACIO ETNOHISTORIA PROY PBF</t>
  </si>
  <si>
    <t>WA10014_CLO1599_PAGO1/1_ALIMENTACION Y ALQUILER ESPACIO ESCUELA DE GUARDIAS</t>
  </si>
  <si>
    <t>WA14985_CLO1613-1_PAGO1/1_ALIMENTACION TALLER  GUCHENE Y CALOTE</t>
  </si>
  <si>
    <t>WA14997</t>
  </si>
  <si>
    <t>WA13923_CLO1613-3_PAGO1/1_ALIMENTACION TALLER RIO CAUCA</t>
  </si>
  <si>
    <t>WA13924_CLO1613-2_PAGO1/1_ALIMENTACION TALLER  PADILLA MIRAMDA Y CORINTO</t>
  </si>
  <si>
    <t>FC000232_CLO1623_PAGO1/1_ALIMENTACION TALLER  SDER DE QUILICHAO</t>
  </si>
  <si>
    <t>WA14997_CLO1643_PAGO1/1_ALIMENTACION TALLER VILLA RICA</t>
  </si>
  <si>
    <t>WA014999_CLO1685_SERVICIO_ALIMENTACION_TALLERES_INTERNOS_PBF_ACONC_PACIFISTA</t>
  </si>
  <si>
    <t>WA017029_CLO1684_SERVICIO_ALIMENTACION_TALLERES_REGLAMENTOS_INTERNOS_PBF CON ACONC</t>
  </si>
  <si>
    <t>WA015000_CLO1683_SERVICIO_ALIMENTACION_PRESENTACION_CONSULTORIA_PROYECTO_PBF CON ACONC</t>
  </si>
  <si>
    <t>WA016975_CLO1614 _SERVICIO DE ALIMENTACIÓN PARA ACTIVIDAD DE TONGA COMUNITARIA EL 6 DE FEBRERO EN SANTANDER DE QUILICHAO CAUCA</t>
  </si>
  <si>
    <t>FC014893_CLO0431_DP_SERVICIO_ALIMENTACION_SISTEMATIZACION_TALLERES_REGLAMENTOS_INTERNOS_PBF</t>
  </si>
  <si>
    <t>FC079466_EMO_PAGO_EXAMNES_STAFF_SW_ANDRES_MURILLO</t>
  </si>
  <si>
    <t>SALARY 202201</t>
  </si>
  <si>
    <t>Indiana del Mar Del Mar Caceres Leal</t>
  </si>
  <si>
    <t>P1090228868</t>
  </si>
  <si>
    <t>1090228868 CACERES LEAL INDIANA DEL MAR</t>
  </si>
  <si>
    <t>Mauricio Sánchez Segura</t>
  </si>
  <si>
    <t>P1107058260</t>
  </si>
  <si>
    <t>1107058260 SANCHEZ SEGURA MAURICIO</t>
  </si>
  <si>
    <t>Alejandro Camelo López</t>
  </si>
  <si>
    <t>P1104702958</t>
  </si>
  <si>
    <t>1104702958 CAMELO LOPEZ ALEJANDRO</t>
  </si>
  <si>
    <t>Mauricio Acosta Muñoz</t>
  </si>
  <si>
    <t>P1144040102</t>
  </si>
  <si>
    <t>1144040102 ACOSTA MUÑOZ MAURICIO</t>
  </si>
  <si>
    <t>SALARY 202202</t>
  </si>
  <si>
    <t>Tania Verónica Ospina Jaramillo</t>
  </si>
  <si>
    <t>P1113673184</t>
  </si>
  <si>
    <t>1113673184 OSPINA JARAMILLO TANIA VERONICA</t>
  </si>
  <si>
    <t>Joaquín Arturo Estrada Sierra</t>
  </si>
  <si>
    <t>P94453598</t>
  </si>
  <si>
    <t>94453598 ESTRADA SIERRA JOAQUIN ARTURO</t>
  </si>
  <si>
    <t>SALARY 202203</t>
  </si>
  <si>
    <t>P35895616</t>
  </si>
  <si>
    <t>35895616 PALACIOS PALACIOS JUDITH .</t>
  </si>
  <si>
    <t>202202</t>
  </si>
  <si>
    <t>Share of global ICT costs, lisence fees and salary support costs Feb 2022, distributed to projects</t>
  </si>
  <si>
    <t>51451004</t>
  </si>
  <si>
    <t>P1130637601</t>
  </si>
  <si>
    <t>1130637601 ANDREY LEONARDO SANABRIA MOSCOSO</t>
  </si>
  <si>
    <t>WA016980_COMPRA_JUEGO_SIFON_LAVAPLATOS_E INSUMOS_PARA_ARREGLO_COCINA_OFICINA_CALI</t>
  </si>
  <si>
    <t>FC001890_CLO1666-2_COMPRA_ELEMENTOS_ASEO_CAFETERÍA TRIMESTRAL OFICINA CALI</t>
  </si>
  <si>
    <t>P901149951</t>
  </si>
  <si>
    <t>901149951 TECNOLOGIA INFORMATICA Y COMUNICACIONES S.A.S.</t>
  </si>
  <si>
    <t>FC030833_COPTA_TINTA_IMPRESOA_EPSON_FINANZAS</t>
  </si>
  <si>
    <t>FC030939_COMPRA_CABLE_HDMI_LULOVA_REDONDO_5MTS</t>
  </si>
  <si>
    <t>WA014541_COMPRA_BOTELLONES_USO_OFICINA_NRC_CALI</t>
  </si>
  <si>
    <t>WA014542_COMPRA_BOTELLONES_USO_OFICINA_NRC_CALI</t>
  </si>
  <si>
    <t>P1130608256</t>
  </si>
  <si>
    <t>1130608256 JUAN DAVID BARONA ESCOBAR</t>
  </si>
  <si>
    <t>WA014336</t>
  </si>
  <si>
    <t>WA014336_COMPRA_MATERIALES_ACTIVIDADES_ENCIENTRO_FINANZAS</t>
  </si>
  <si>
    <t>P1144093853</t>
  </si>
  <si>
    <t>1144093853 LUIS MIGUEL CALVACHE JARAMILLO</t>
  </si>
  <si>
    <t>WA014497_DUPLICADOS_LLAVES_OFICINA_NRC_CALI</t>
  </si>
  <si>
    <t>P1234196668</t>
  </si>
  <si>
    <t>1234196668 DIEGO FERNANDO ARAUJO OJEDA</t>
  </si>
  <si>
    <t>WA010018_CLO0453_DP_SERVICIO_APOYO_REVISION_KITS_PROCESO_TCO2242</t>
  </si>
  <si>
    <t>51159506</t>
  </si>
  <si>
    <t>FC011064_A_ALIMENTAC_JESICA_PERDOMO_REUNION_SOCIALIZACION_PLAN_CUENTAS_ACNUR_</t>
  </si>
  <si>
    <t>FC013091_PAGO_BB&amp;TT_SERVICIO_CELULALAR_WA_MES_FEBRERO</t>
  </si>
  <si>
    <t>FC993679_SERVICIO_TELEFONIA MOVIL CELULAR_WA_202201</t>
  </si>
  <si>
    <t>N043731</t>
  </si>
  <si>
    <t>IEC Iridium monthly fee Colombia January 2022 - POPAYAN _8988169234002336915</t>
  </si>
  <si>
    <t>N043549</t>
  </si>
  <si>
    <t>IEC Iridium monthly fee Colombia December 2021 - POPAYAN _8988169234002336915</t>
  </si>
  <si>
    <t>IEC Iridium monthly fee Colombia December 2021 - POPAYÁN_8988169234002335966</t>
  </si>
  <si>
    <t>CO2BG</t>
  </si>
  <si>
    <t>FC000034</t>
  </si>
  <si>
    <t>FC646200_O_SERV COURIER NACIONAL DEPRISA ENERO 2022_OCCIDENTE</t>
  </si>
  <si>
    <t>FC749285_ENVIO_CORRESPONDENCIA_CALI_TUMACO</t>
  </si>
  <si>
    <t>FC749286_ENVIO_CORRESPONDENCIA_CALI_TUMACO</t>
  </si>
  <si>
    <t>P899999143</t>
  </si>
  <si>
    <t>899999143 SATENA</t>
  </si>
  <si>
    <t>FC266725_ENVIO_CORREPONDENCIA_CALI_QUIBDO_KITS_EMERGENCIA</t>
  </si>
  <si>
    <t>FC749044_ENVIO_CORREPONDENCIA_CALI_GUAPI_VISIBILIDAD_STAFF</t>
  </si>
  <si>
    <t>FC749049_ENVIO_CORREPONDENCIA_CALI_IPIALES</t>
  </si>
  <si>
    <t>FC266725_ENVIO_CORREPONDENCIA_CALI_TUMNACO_KITS_EMERGENCIA</t>
  </si>
  <si>
    <t>FC266719_ENVIO_CORREPONDENCIA_CALI_IPIALES_KITS_EMERGENCIA</t>
  </si>
  <si>
    <t>P900087921</t>
  </si>
  <si>
    <t>900087921 COMPAÑIA DISTRIBUIDORA DE CARGA</t>
  </si>
  <si>
    <t>FC001420_IPI0421_PAGO_CONTRATACION DE TRANSPORTE  CARGA PARA ACARREO</t>
  </si>
  <si>
    <t>P83058050</t>
  </si>
  <si>
    <t>83058050 MENDEZ CLAROS RUTBER</t>
  </si>
  <si>
    <t>FC002496</t>
  </si>
  <si>
    <t>FC002496_CLO1589_SERV_TRANSP_ TRASTEO STAFF DE FLORENCIA A CALI</t>
  </si>
  <si>
    <t>P8695344</t>
  </si>
  <si>
    <t>8695344 JAVIER ALTAMAR MARTINEZ</t>
  </si>
  <si>
    <t>WA013761_TRANSPORTE_KITS_STAFF_OFICNA_NRC_cALI</t>
  </si>
  <si>
    <t>PTUCO679</t>
  </si>
  <si>
    <t>PTUCO679_T_TRANSP_URB_LAURA_MENA_PAGO_CTA_AFC_</t>
  </si>
  <si>
    <t>PTUCO679_T_TRANSP_URB_LAURA_MENA_PAGO-CUENTA_AFC_MARIA_JRAMILLO_MES_FEBRERO_2022</t>
  </si>
  <si>
    <t>CO679</t>
  </si>
  <si>
    <t>PTUCO679_T_TRANSP_LAURA_MENA_PAGO_CUENTAS_AFC_MARZO</t>
  </si>
  <si>
    <t>51052101</t>
  </si>
  <si>
    <t>PLANILLA DE VIATICOS_JUDITH PALACIOS_SEGUMIENTO IMPLEMENTACION PROYECTO</t>
  </si>
  <si>
    <t>Naherd Andrea Garcia Romero</t>
  </si>
  <si>
    <t>FC795360_TKT_N.GARCIA_CLO_TCO_02_02_2022</t>
  </si>
  <si>
    <t>CO127</t>
  </si>
  <si>
    <t>Javier Alonso Cardenas</t>
  </si>
  <si>
    <t>FC_794740_TKT_J.CARDENAS_BOG_CLO_BOG_17_AL_30_01_2022</t>
  </si>
  <si>
    <t>FC794740</t>
  </si>
  <si>
    <t>P9012307691</t>
  </si>
  <si>
    <t>9012307691 MERA MEDELLIN S A S</t>
  </si>
  <si>
    <t>AJ_ERROR PERIODO_22200005_FC072704_A_ALIMENTA_JUDITH PALACIOS_EMPALME ACION DE PROTECCION</t>
  </si>
  <si>
    <t>P700103819</t>
  </si>
  <si>
    <t>700103819 KAROL VIVIANA BACCA PAEZ</t>
  </si>
  <si>
    <t>FC110108_A_REFRIGERIO_JUDITH PALACIOS_EMPALME ACION DE PROTECCION</t>
  </si>
  <si>
    <t>FC794871_TKT_J.PALACIOS_UIB_CLO_UIB_20_AL_22_01_2022</t>
  </si>
  <si>
    <t>AJ_ERROR PERIODO_22200005_FC110108_A_REFRIGERIO_JUDITH PALACIOS_EMPALME ACION DE PROTECCION</t>
  </si>
  <si>
    <t>FC072704_A_ALIMENTA_JUDITH PALACIOS_EMPALME ACION DE PROTECCION</t>
  </si>
  <si>
    <t>FC796239_TKT_J.PERDOMO_CLO_BOG_CLO_04_AL_09_02_2022</t>
  </si>
  <si>
    <t>FC796478_F.ALTAMAR_TCO_BGO_TCO_02_AL_09_02_2022</t>
  </si>
  <si>
    <t>FC797043</t>
  </si>
  <si>
    <t>FC797043_TKT_J.PALACIOS_UIB/EOH/CLO/UIB_13_AL_15_02_2022</t>
  </si>
  <si>
    <t>FC 798897_TKT_J.PALACIOS_UIB_EOH_CLO_UIB_27-02_01-03_2022</t>
  </si>
  <si>
    <t>FC798897</t>
  </si>
  <si>
    <t>FC796221_TKT_H.ENRIQUEZ_CLO_BOG_07_02_2022</t>
  </si>
  <si>
    <t>FC796263_TKT_H.ENRIQUEZ_BOG_PPN_09_02_2022</t>
  </si>
  <si>
    <t>FC249702_O_OTROS_COMPRA_EPP_FRANCISCO_ALTAMAR_GESTION_PROYECTOS_ANALISIS_IMPLEMENTACION</t>
  </si>
  <si>
    <t>FC800590_TKT_J.PALACIOS_UIB_CLO_UIB_17_A_19_03_2022</t>
  </si>
  <si>
    <t>FC794871</t>
  </si>
  <si>
    <t>AJUS_6200129_ERROR_BID_FC794871_TKT_J.PALACIOS_UIB_CLO_UIB_20_AL_22_01_2022</t>
  </si>
  <si>
    <t>FC971145_O_OTROS_PEAJE_URW_110_HENRY_SAMBONI_ENVIO_CARGA_AEROPUERTO</t>
  </si>
  <si>
    <t>FC345940</t>
  </si>
  <si>
    <t>FC345940_O - OTROS GASTOS_PEAJE_GERARDO_FLETCHER_FORTALECIMIENTO PROVEEDORES ACONC</t>
  </si>
  <si>
    <t>FC221359</t>
  </si>
  <si>
    <t>51159508</t>
  </si>
  <si>
    <t>P900162081</t>
  </si>
  <si>
    <t>900162081 LA CARMELA SAS</t>
  </si>
  <si>
    <t>AJ_ERROR PERIODO_22200005_FC306050_A_ALIMENTA_JUDITH PALACIOS_EMPALME ACION DE PROTECCION</t>
  </si>
  <si>
    <t>FC005747_A_ALIMEN_JUDITH PALACIOS_EMPALME ACION DE PROTECCION</t>
  </si>
  <si>
    <t>FC134529_REFRIGERIOS_JUDITH PALACIOS_EMPALME ACION DE PROTECCION</t>
  </si>
  <si>
    <t>FC005759_A_ALIMENTAC_C.BURBANO_AGONZALEZ_M.ACUÑA_A.GRISALES_JUDITH PALACIOS_EMPALME ACION DE PROTECCION</t>
  </si>
  <si>
    <t>AJ_ERROR PERIODO_22200005_FC005759_A_ALIMENTAC_C.BURBANO_AGONZALEZ_M.ACUÑA_A.GRISALES_JUDITH PALACIOS_EMPALME ACION DE PROTECCION</t>
  </si>
  <si>
    <t>AJ_ERROR PERIODO_22200005_FC134529_REFRIGERIOS_JUDITH PALACIOS_EMPALME ACION DE PROTECCION</t>
  </si>
  <si>
    <t>AJ_ERROR PERIODO_22200005_FC005747_A_ALIMEN_JUDITH PALACIOS_EMPALME ACION DE PROTECCION</t>
  </si>
  <si>
    <t>FC306050_A_ALIMENTA_JUDITH PALACIOS_EMPALME ACION DE PROTECCION</t>
  </si>
  <si>
    <t>FC176085_A_ALMUERZO_F.ALTAMAR_J.MORAN_J.CAMPOS_J.CASTILLO_REUNION EMPALME GERENCIA SOPORTE</t>
  </si>
  <si>
    <t>FC084996_A_ALIMNETAC_TANIA_OSPINA_ACOMPAÑ_M&amp;E_TALLERES_DE REGLAMENTOS_PBY</t>
  </si>
  <si>
    <t>FC068891_A_ALIMNETAC_TANIA_OSPINA_ACOMPAÑ_M&amp;E_TALLERES_DE REGLAMENTOS_PBY</t>
  </si>
  <si>
    <t>FC000361_A_ALIMENTAC_HERNANDO_ENRIQUEZ_SEGUIMIENTO_PBF</t>
  </si>
  <si>
    <t>FC004201_A_ALIMENTAC_JENIFER_TORRES_ACOMPAÑAM_VISITAS_ACONCT_Y_ENCUENTRO_SOPORTE</t>
  </si>
  <si>
    <t>FC068459_A_ALIMENTAC_JENIFER_TORRES_ACOMPAÑAM_VISITAS_ACONCT_Y_ENCUENTRO_SOPORTE</t>
  </si>
  <si>
    <t>FC069050_A_ALIMENTAC_JENIFER_TORRES_ACOMPAÑAM_VISITAS_ACONCT_Y_ENCUENTRO_SOPORTE</t>
  </si>
  <si>
    <t>FC000631</t>
  </si>
  <si>
    <t>FC000631_ALOJAM_M.ACUÑA_SDER_DE_QUILICHAO_5_AL_6_01_22</t>
  </si>
  <si>
    <t>FC005746</t>
  </si>
  <si>
    <t>FC005746_ALOJAM_J.PLACIOS_CALI_4_AL_5_01_22</t>
  </si>
  <si>
    <t>FC005948_ALOJAM_J.PLACIOS_CALI_20_AL_22_01_22</t>
  </si>
  <si>
    <t>FC000630</t>
  </si>
  <si>
    <t>FC000630_ALOJAM_J.PALACIOS_SDER_DE_QUILICHAO_5_AL_6_01_22</t>
  </si>
  <si>
    <t>FC000629</t>
  </si>
  <si>
    <t>FC000629_ALOJAM_C.BURBANO_5_AL_6_01_22</t>
  </si>
  <si>
    <t>FC000628</t>
  </si>
  <si>
    <t>FC000628_ALOJAM_A.GONZALEZ_SDER_DE_QUILICHAO_5_AL_6_01_22</t>
  </si>
  <si>
    <t>FC006389_ALOJAM_J.PALACIOS_CALI_13_A_15_02_2022</t>
  </si>
  <si>
    <t>FC006415_ALOJAM_H_J.PALACIOS_CALI_28_A_29_02_2022</t>
  </si>
  <si>
    <t>FC008263</t>
  </si>
  <si>
    <t>COFY2102_FC008263_ALOJAM_HERNANDO_ENRIQUEZ_BOGOTA_07/02/2022_09/02/2022</t>
  </si>
  <si>
    <t>WA013339_A_ALIMENTAC_ALEJANDRA_GONZALEZ_ACTIVIDAD_M&amp;E_REUNION_PBF</t>
  </si>
  <si>
    <t>WA013340_A_ALIMENTAC_ALEJANDRA_GONZALEZ_ACTIVIDAD_M&amp;E_REUNION_PBF</t>
  </si>
  <si>
    <t>FC000754</t>
  </si>
  <si>
    <t>FC000754_ALOJAM_J.PERDOMO_SDER_QUILICHAO_10_AL_11_02_2022</t>
  </si>
  <si>
    <t>FC000750</t>
  </si>
  <si>
    <t>FC000750_ALOJAM_J.TORRES_SDER_QUILICHAO_09_AL_10_02_2022</t>
  </si>
  <si>
    <t>FC000769</t>
  </si>
  <si>
    <t>FC000769_ALOJAM_T.OSPINA_SDER_QUILICHAO_15_AL_16_02_2022</t>
  </si>
  <si>
    <t>FC006696</t>
  </si>
  <si>
    <t>FC006696_ALOJAM_J.PALACIOS_CALI_27_02_AL_01_03_2022</t>
  </si>
  <si>
    <t>FC007047</t>
  </si>
  <si>
    <t>FC007047_ALOJAM_J.PALACIOS_CALI_17_AL_19_03_2022</t>
  </si>
  <si>
    <t>FC000748</t>
  </si>
  <si>
    <t>FC000748_ALOJAM_J.PALACIOS_SDER_QUILICHAO_09_AL_10_02_2022</t>
  </si>
  <si>
    <t>FC000749</t>
  </si>
  <si>
    <t>FC000749_ALOJAM_J.PALACIOS_SDER_QUILICHAO_10_AL_11_02_2022</t>
  </si>
  <si>
    <t>FC000751</t>
  </si>
  <si>
    <t>FC000751_ALOJAM_R.CAICEDO_SDER_QUILICHAO_09_AL_10_02_2022</t>
  </si>
  <si>
    <t>FC008263_ALOJAM_H.ENRIQUEZ_BOGOTA_07_AL_09_02_2022</t>
  </si>
  <si>
    <t>AJ_ERROR PERIODO_22200005_WA012499_A_ALIMENTAC_C.BURBANO_AGONZALEZ_M.ACUÑA_A.GRISALES_JUDITH PALACIOS_EMPALME ACION DE PROTECCION</t>
  </si>
  <si>
    <t>AJ_ERROR LCO APR ID_22200006_WA012499_A_ALIMENTAC_C.BURBANO_AGONZALEZ_M.ACUÑA_A.GRISALES_JUDITH PALACIOS_EMPALME ACION DE PROTECCION</t>
  </si>
  <si>
    <t>P82361768</t>
  </si>
  <si>
    <t>82361768 LEDEZMA COPETE RICARDO</t>
  </si>
  <si>
    <t>WA012496_A_ALIMEN_JUDITH PALACIOS_EMPALME ACION DE PROTECCION</t>
  </si>
  <si>
    <t>P52516546</t>
  </si>
  <si>
    <t>52516546 NATALIA GARCIA ANGARITA</t>
  </si>
  <si>
    <t>WA012498_A_ALIMENTAC_JUDITH PALACIOS_EMPALME ACION DE PROTECCION</t>
  </si>
  <si>
    <t>P1002949165</t>
  </si>
  <si>
    <t>1002949165 YANEIDY TROCHEZ DAGUA</t>
  </si>
  <si>
    <t>WA012495_A_ALIMENTAC_M.ACUÑA_A.GRISALES_JUDITH PALACIOS_EMPALME ACION DE PROTECCION</t>
  </si>
  <si>
    <t>P24622286</t>
  </si>
  <si>
    <t>24622286 MARIA LUISA TABARES DE ARANZUZU</t>
  </si>
  <si>
    <t>WA012497_A_ALIMENTAC_C.BURBANO_AGONZALEZ_M.ACUÑA_A.GRISALES_JUDITH PALACIOS_EMPALME ACION DE PROTECCION</t>
  </si>
  <si>
    <t>WA012499_A_ALIMENTAC_C.BURBANO_AGONZALEZ_M.ACUÑA_A.GRISALES_JUDITH PALACIOS_EMPALME ACION DE PROTECCION</t>
  </si>
  <si>
    <t>AJ_ERROR PERIODO_22200005_WA012497_A_ALIMENTAC_C.BURBANO_AGONZALEZ_M.ACUÑA_A.GRISALES_JUDITH PALACIOS_EMPALME ACION DE PROTECCION</t>
  </si>
  <si>
    <t>AJ_ERROR PERIODO_22200005_WA012495_A_ALIMENTAC_M.ACUÑA_A.GRISALES_JUDITH PALACIOS_EMPALME ACION DE PROTECCION</t>
  </si>
  <si>
    <t>AJ_ERROR PERIODO_22200005_WA012498_A_ALIMENTAC_JUDITH PALACIOS_EMPALME ACION DE PROTECCION</t>
  </si>
  <si>
    <t>AJ_ERROR PERIODO_22200005_WA012496_A_ALIMEN_JUDITH PALACIOS_EMPALME ACION DE PROTECCION</t>
  </si>
  <si>
    <t>P33702441</t>
  </si>
  <si>
    <t>33702441 YASMITH ELGA GOMEZ MORENO</t>
  </si>
  <si>
    <t>WA013867_A_ALIMENTAC_JESICA_PERDOMO_VISITA_SEGUIMIENTO_SOCIOS_IMPLEMENTADORES_ACONT_PACIFISTA</t>
  </si>
  <si>
    <t>FC109920_A_ALIMENTAC_JESICA_PERDOMO_VISITA_SEGUIMIENTO_SOCIOS_IMPLEMENTADORES_ACONT_PACIFISTA</t>
  </si>
  <si>
    <t>FC000401_A_ALIMENTAC_JESICA_PERDOMO_VISITA_SEGUIMIENTO_SOCIOS_IMPLEMENTADORES_ACONT_PACIFISTA</t>
  </si>
  <si>
    <t>WA013868_A_ALIMENTAC_JESICA_PERDOMO_VISITA_SEGUIMIENTO_SOCIOS_IMPLEMENTADORES_ACONT_PACIFISTA</t>
  </si>
  <si>
    <t>FC038677_A_ALIMENTAC_JESICA_PERDOMO_VISITA_SEGUIMIENTO_SOCIOS_IMPLEMENTADORES_ACONT_PACIFISTA</t>
  </si>
  <si>
    <t>WA013865_A_ALIMENTAC_JESICA_PERDOMO_VISITA_SEGUIMIENTO_SOCIOS_IMPLEMENTADORES_ACONT_PACIFISTA</t>
  </si>
  <si>
    <t>WA014913_A_ALIMENTAC_JESICA_PERDOMO_VISITA_SEGUIMIENTO_SOCIOS_IMPLEMENTADORES_ACONT_PACIFISTA</t>
  </si>
  <si>
    <t>WA013863_A_ALIMENTAC_JESICA_PERDOMO_VISITA_SEGUIMIENTO_SOCIOS_IMPLEMENTADORES_ACONT_PACIFISTA</t>
  </si>
  <si>
    <t>WA013864_A_ALIMENTAC_JESICA_PERDOMO_VISITA_SEGUIMIENTO_SOCIOS_IMPLEMENTADORES_ACONT_PACIFISTA</t>
  </si>
  <si>
    <t>WA013866_A_ALIMENTAC_JESICA_PERDOMO_VISITA_SEGUIMIENTO_SOCIOS_IMPLEMENTADORES_ACONT_PACIFISTA</t>
  </si>
  <si>
    <t>P901420874</t>
  </si>
  <si>
    <t>901420874 INVERSIONES SALCHIMOSNTER SAS</t>
  </si>
  <si>
    <t>FC040113_A_ALIMENTAC_JESICA_PERDOMO_VISITA_SEGUIMIENTO_SOCIOS_IMPLEMENTADORES_ACONT_PACIFISTA</t>
  </si>
  <si>
    <t>WA014964_A_ALIMNETAC_TANIA_OSPINA_ACOMPAÑ_M&amp;E_TALLERES_DE REGLAMENTOS_PBY</t>
  </si>
  <si>
    <t>FC005418_A_ALIMNETAC_TANIA_OSPINA_ACOMPAÑ_M&amp;E_TALLERES_DE REGLAMENTOS_PBY</t>
  </si>
  <si>
    <t>FC005739_A_ALIMNETAC_TANIA_OSPINA_ACOMPAÑ_M&amp;E_TALLERES_DE REGLAMENTOS_PBY</t>
  </si>
  <si>
    <t>WA014965_A_ALIMNETAC_TANIA_OSPINA_ACOMPAÑ_M&amp;E_TALLERES_DE REGLAMENTOS_PBY</t>
  </si>
  <si>
    <t>P16270538</t>
  </si>
  <si>
    <t>16270538 ALVAREZ COBO SAULO MARIO</t>
  </si>
  <si>
    <t>FC126866_A_ALIMENTAC_JAVIER_CARDENAS_INDUCCION_LOGISTICA_EQUIPO_OCCIDENTE</t>
  </si>
  <si>
    <t>FC620851_A_ALIMENTAC_JAVIER_CARDENAS_INDUCCION_LOGISTICA_EQUIPO_OCCIDENTE</t>
  </si>
  <si>
    <t>FC621061_A_ALIMENTAC_JAVIER_CARDENAS_INDUCCION_LOGISTICA_EQUIPO_OCCIDENTE</t>
  </si>
  <si>
    <t>WA003563_A_ALIMENTAC_JAVIER_CARDENAS_INDUCCION_LOGISTICA_EQUIPO_OCCIDENTE</t>
  </si>
  <si>
    <t>FC621503_A_ALIMENTAC_JAVIER_CARDENAS_INDUCCION_LOGISTICA_EQUIPO_OCCIDENTE</t>
  </si>
  <si>
    <t>FC621739_A_ALIMENTAC_JAVIER_CARDENAS_INDUCCION_LOGISTICA_EQUIPO_OCCIDENTE</t>
  </si>
  <si>
    <t>P901414945</t>
  </si>
  <si>
    <t>901414945 TOMGLEM CALI SAS</t>
  </si>
  <si>
    <t>FC022002_A_ALIMENTAC_JAVIER_CARDENAS_INDUCCION_LOGISTICA_EQUIPO_OCCIDENTE</t>
  </si>
  <si>
    <t>P1007795743</t>
  </si>
  <si>
    <t>1007795743 DELGADO CAICEDO YULIETH</t>
  </si>
  <si>
    <t>WA003564_A_ALIMENTAC_JAVIER_CARDENAS_INDUCCION_LOGISTICA_EQUIPO_OCCIDENTE</t>
  </si>
  <si>
    <t>P94073609</t>
  </si>
  <si>
    <t>94073609 LEONARDO GIRALDO SARRIA</t>
  </si>
  <si>
    <t>FC257530_A_ALIMENTAC_JAVIER_CARDENAS_INDUCCION_LOGISTICA_EQUIPO_OCCIDENTE</t>
  </si>
  <si>
    <t>P900702496</t>
  </si>
  <si>
    <t>900702496 GRUPO FMC SAS</t>
  </si>
  <si>
    <t>FC114425_A_ALIMENTAC_JAVIER_CARDENAS_INDUCCION_LOGISTICA_EQUIPO_OCCIDENTE</t>
  </si>
  <si>
    <t>FC644510_A_ALIMENTAC_JAVIER_CARDENAS_INDUCCION_LOGISTICA_EQUIPO_OCCIDENTE</t>
  </si>
  <si>
    <t>P805022867</t>
  </si>
  <si>
    <t>805022867 COMIDAS RAPIDAS NORMANDIA LTDA</t>
  </si>
  <si>
    <t>FC560164_A_ALIMENTAC_JAVIER_CARDENAS_INDUCCION_LOGISTICA_EQUIPO_OCCIDENTE</t>
  </si>
  <si>
    <t>FC015102_A_ALIMENTAC_JAVIER_CARDENAS_INDUCCION_LOGISTICA_EQUIPO_OCCIDENTE</t>
  </si>
  <si>
    <t>P901228193</t>
  </si>
  <si>
    <t>901228193 SUCHIGOOD DELIVERY</t>
  </si>
  <si>
    <t>FC073347_A_ALIMENTAC_JAVIER_CARDENAS_INDUCCION_LOGISTICA_EQUIPO_OCCIDENTE</t>
  </si>
  <si>
    <t>FC169934_A_ALIMENTAC_JAVIER_CARDENAS_INDUCCION_LOGISTICA_EQUIPO_OCCIDENTE</t>
  </si>
  <si>
    <t>FC006067_A_ALIMENTAC_JAVIER_CARDENAS_INDUCCION_LOGISTICA_EQUIPO_OCCIDENTE</t>
  </si>
  <si>
    <t>FC006353</t>
  </si>
  <si>
    <t>FC006353_A - ALIMENTACIÓN_GERARDO_FLETCHER_FORTALECIMIENTO PROVEEDORES ACONC</t>
  </si>
  <si>
    <t>FC069051</t>
  </si>
  <si>
    <t>FC069051_A - ALIMENTACIÓN_GERARDO_FLETCHER_FORTALECIMIENTO PROVEEDORES ACONC</t>
  </si>
  <si>
    <t>P860006866</t>
  </si>
  <si>
    <t>860006866 CLUB COMERCIO DE BOGOTA</t>
  </si>
  <si>
    <t>FC008289_A_ALIMENTAC_HERNANDO_ENRIQUEZ_SEGUIMIENTO_PBF</t>
  </si>
  <si>
    <t>WA015009_A_ALIMENTAC_JENIFER_TORRES_ACOMPAÑAM_VISITAS_ACONCT_Y_ENCUENTRO_SOPORTE</t>
  </si>
  <si>
    <t>WA015008_A_ALIMENTAC_JENIFER_TORRES_ACOMPAÑAM_VISITAS_ACONCT_Y_ENCUENTRO_SOPORTE</t>
  </si>
  <si>
    <t>WA015005_A_ALIMENTAC_JENIFER_TORRES_ACOMPAÑAM_VISITAS_ACONCT_Y_ENCUENTRO_SOPORTE</t>
  </si>
  <si>
    <t>P860508791</t>
  </si>
  <si>
    <t>860508791 DONUCOL S.A.</t>
  </si>
  <si>
    <t>FC073927_A_ALIMENTAC_FRANCISCO_ALTAMAR_GESTION_PROYECTOS_ANALISIS_IMPLEMENTACION</t>
  </si>
  <si>
    <t>P4194114</t>
  </si>
  <si>
    <t>4194114 ORTIZ HERRERA GILBERTO</t>
  </si>
  <si>
    <t>FC080791_A_ALIMENTAC_FRANCISCO_ALTAMAR_GESTION_PROYECTOS_ANALISIS_IMPLEMENTACION</t>
  </si>
  <si>
    <t>P6452427</t>
  </si>
  <si>
    <t>6452427 ARIAS ORLEY</t>
  </si>
  <si>
    <t>FC083093_A_ALIMENTACION_JUDITH PALACIONS_SEGUMIENTO IMPLEMENTACION PROYECTOS</t>
  </si>
  <si>
    <t>P32226898</t>
  </si>
  <si>
    <t>32226898 CLAUDIA YANETH PEREZ RAMIREZ</t>
  </si>
  <si>
    <t>FC015161_A_ALIMENTACION_JUDITH PALACIONS_SEGUMIENTO IMPLEMENTACION PROYECTOS</t>
  </si>
  <si>
    <t>FC002542_A_ALIMENTACION_JUDITH PALACIONS_SEGUMIENTO IMPLEMENTACION PROYECTOS</t>
  </si>
  <si>
    <t>P1111777390</t>
  </si>
  <si>
    <t>1111777390 KATHERINE MOSQUERA</t>
  </si>
  <si>
    <t>WA016109_A_ALIMENTACION_JUDITH PALACIONS_SEGUMIENTO IMPLEMENTACION PROYECTOS</t>
  </si>
  <si>
    <t>FC111909_A_ALIMENTACION_JUDITH PALACIONS_SEGUMIENTO IMPLEMENTACION PROYECTOS</t>
  </si>
  <si>
    <t>FC006390_A_ALIMENTACION_JUDITH PALACIONS_SEGUMIENTO IMPLEMENTACION PROYECTOS</t>
  </si>
  <si>
    <t>FC005949_A_ALIMENTACION_JUDITH PALACIONS_SEGUMIENTO IMPLEMENTACION PROYECTOS</t>
  </si>
  <si>
    <t>WA0161110_A_ALIMENTACION_JUDITH PALACIONS_SEGUMIENTO IMPLEMENTACION PROYECTOS</t>
  </si>
  <si>
    <t>FC006799_A_ALIMENTACION_JUDITH PALACIONS_SEGUMIENTO IMPLEMENTACION PROYECTOS</t>
  </si>
  <si>
    <t>FC006274_A_ALIMENTACION_JUDITH PALACIONS_SEGUMIENTO IMPLEMENTACION PROYECTOS</t>
  </si>
  <si>
    <t>P901461578</t>
  </si>
  <si>
    <t>901461578 ST FOOD SAS</t>
  </si>
  <si>
    <t>FC34660_JUDITH PALACIONS_SEGUMIENTO IMPLEMENTACION PROYECTOS</t>
  </si>
  <si>
    <t>FC080697_A_ALIMENTACION_JUDITH PALACIONS_SEGUMIENTO IMPLEMENTACION PROYECTOS</t>
  </si>
  <si>
    <t>WA016111_A_ALIMENTACION_JUDITH PALACIONS_SEGUMIENTO IMPLEMENTACION PROYECTOS</t>
  </si>
  <si>
    <t>FC796385_J.PALACIOS_BOG_CLO_08_02_2022</t>
  </si>
  <si>
    <t>FC796386_TKT_J.PALACIOS_UIB_BOG_07_02_2022</t>
  </si>
  <si>
    <t>FC796387_TKT_J.PALACIOS_CLO_EOH_UIB_11_02_2022</t>
  </si>
  <si>
    <t>AJ_ERROR PERIODO_22200005_PTU_LOCAL_JUDITH PALACIOS_EMPALME ACION DE PROTECCION</t>
  </si>
  <si>
    <t>PTU_LOCAL_JUDITH PALACIOS_EMPALME ACION DE PROTECCION</t>
  </si>
  <si>
    <t>FC000364_CLO1586 _TRANSPORTE TERRESTRE CALI - SANTADER DE QUILICHAO - AEROPUERTO - CALI</t>
  </si>
  <si>
    <t>PTU_JULY CASTILLO_REUNION EMPALME GERENCIA SOPORTE</t>
  </si>
  <si>
    <t>CO542</t>
  </si>
  <si>
    <t>David Giovanny Salas Vallejo</t>
  </si>
  <si>
    <t>FC000371_CLO0386_DP _SERVICIO_TRANSPORTE_CALI_SANTANDER_DE_QUILICHAO_SHELTER</t>
  </si>
  <si>
    <t>FC000387_CLO1651_SERVIC_TRANSP_SANTANDER DE QUILICHAO, VISITA A SOCIO IMPLEMENTADOR ACONC</t>
  </si>
  <si>
    <t>PTU119010_T_TRANSP_URB_JESICA_PERDOMO_VISITA_SEGUIMIENTO_SOCIOS_IMPLEMENTADORES_ACONT_PACIFISTA</t>
  </si>
  <si>
    <t>FC000389_CLO0404_DP_SERVICIO_TRANSPORTE_CALI-SANTANDR_DE_QUILICHAO_PROTECCION</t>
  </si>
  <si>
    <t>PTU125684_T_TRANSP_URB_TANIA_OSPINA_ACOMPAÑ_M&amp;E_TALLERES_DE REGLAMENTOS_PBY</t>
  </si>
  <si>
    <t>PTUCO127_T_TRANSP_URB_JAVIER_CARDENAS_INDUCCION_LOGISTICA_EQUIPO_OCCIDENTE</t>
  </si>
  <si>
    <t>PTUCO276_T - TRANSPORTE_GERARDO_FLETCHER_FORTALECIMIENTO PROVEEDORES ACONC</t>
  </si>
  <si>
    <t>PTUCO476_T_TRANSP_URB_HERNANDO_ENRIQUEZ_SEGUIMIENTO_PBF</t>
  </si>
  <si>
    <t>PTU122377_T_TRANSP_URB_JENIFER_TORRES_ENCUENTRO_SOPORTE</t>
  </si>
  <si>
    <t>PTUCO106_T_TRANSP_URB_FRANCISCO_ALTAMAR_GESTION_PROYECTOS_ANALISIS_IMPLEMENTACION</t>
  </si>
  <si>
    <t>PTU_JUDITH PALACIONS_SEGUMIENTO IMPLEMENTACION PROYECTOS</t>
  </si>
  <si>
    <t>PTU_JUDITH PALACIOS_SEGUMIENTO IMPLEMENTACION PROYECTO</t>
  </si>
  <si>
    <t>FC000396_CLO0427_DP_SERVICIO_TRANSPORTE_STANDER_CALI_VIERNES_18</t>
  </si>
  <si>
    <t>FC000388_CLO1654_PAGO1/1_TRANSPORTE SDER QUILICHAO_CALI_AEROPUERTO</t>
  </si>
  <si>
    <t>FC008262</t>
  </si>
  <si>
    <t>COFY2102_FC008262_ALOJAM_FRANCISCO_ALTAMAR_BOGOTA_07/02/2022_09/02/2022</t>
  </si>
  <si>
    <t>WA013602</t>
  </si>
  <si>
    <t>WA013602_O - OTROS GASTOS_PARQUEO_GERARDO_FLETCHER_FORTALECIMIENTO PROVEEDORES ACONC</t>
  </si>
  <si>
    <t>FC000852</t>
  </si>
  <si>
    <t>FC000852_O - OTROS GASTOS_LAVADO_VEHICULO_HTY157_GERARDO_FLETCHER_FORTALECIMIENTO PROVEEDORES ACONC</t>
  </si>
  <si>
    <t>FC008235</t>
  </si>
  <si>
    <t>COFY2102_FC008235_ALOJAM_JUDITH_PALACIOS_07/02/2022_08/02/2022</t>
  </si>
  <si>
    <t>GASTOS_BANCARIOS_CUENTA_4020_ENERO</t>
  </si>
  <si>
    <t>FC042718_O_OTROS_GASTOS_COMISION_RETIRO_JESICA_PERDOMO_VISITA_SEGUIMIENTO_SOCIOS_IMPLEMENTADORES_ACONT_PACIFISTA</t>
  </si>
  <si>
    <t>FC013174_O_OTROS_GASTOS_COMISION_RETIRO_JESICA_PERDOMO_VISITA_SEGUIMIENTO_SOCIOS_IMPLEMENTADORES_ACONT_PACIFISTA</t>
  </si>
  <si>
    <t>FC045524_O_OTROS_GASTOS_COMISION_RETIRO_COMPRA_EXCEPCIÓN DE PICO Y PLACA CAMIONETA NRC DE PLACAS URW-110</t>
  </si>
  <si>
    <t>FC013764_O_OTROS_GASTOS_COMISION_RETIRO_COMPRA_EXCEPCIÓN DE PICO Y PLACA CAMIONETA NRC DE PLACAS URW-110</t>
  </si>
  <si>
    <t>31012022</t>
  </si>
  <si>
    <t>REINTEGRO AUTORIZADO_SALDOS_FROSCH_2021</t>
  </si>
  <si>
    <t>Total presupuesto aprobado</t>
  </si>
  <si>
    <t>Total del gasto desde el ultimo reporte</t>
  </si>
  <si>
    <t>Gasto del periodo actual</t>
  </si>
  <si>
    <t>Total del gasto al cierre de este periodo</t>
  </si>
  <si>
    <t>SALDO DEL PRESUPUESTO</t>
  </si>
  <si>
    <t>Gasto planeado para el siguiente periodo</t>
  </si>
  <si>
    <t>Saldo del presupuesto despues del siguiente periodo</t>
  </si>
  <si>
    <t>SOCIO 
Cod de Cuenta</t>
  </si>
  <si>
    <t>CODIGO DONANTE</t>
  </si>
  <si>
    <t>NRC Cod Cuenta</t>
  </si>
  <si>
    <t>Sub-cuenta</t>
  </si>
  <si>
    <t>S/P</t>
  </si>
  <si>
    <t>Descripcio</t>
  </si>
  <si>
    <t>COP/USD</t>
  </si>
  <si>
    <t>%</t>
  </si>
  <si>
    <t>TASA DESEMBOLSO</t>
  </si>
  <si>
    <t>1.</t>
  </si>
  <si>
    <t>INVERSIONES</t>
  </si>
  <si>
    <t>Flota y equipo de transporte</t>
  </si>
  <si>
    <t>COFY2102- IP1011-1</t>
  </si>
  <si>
    <t xml:space="preserve">Muebles y enseres </t>
  </si>
  <si>
    <t>Computadores</t>
  </si>
  <si>
    <t>Impresoras</t>
  </si>
  <si>
    <t>Equipo de telecomunicaciones</t>
  </si>
  <si>
    <t xml:space="preserve"> </t>
  </si>
  <si>
    <t>Otras inversiones (si no estan en los grupos anteriores - especifique los items)</t>
  </si>
  <si>
    <t>Subtotal, Inversiones</t>
  </si>
  <si>
    <t>2.</t>
  </si>
  <si>
    <t>PERSONAL</t>
  </si>
  <si>
    <t>Coordinador(a) / contrato por prestación de servicios</t>
  </si>
  <si>
    <t>Psicologo(a) / contrato por prestación de servicios</t>
  </si>
  <si>
    <t>Trabajador(a) Social / contrato por prestación de servicios</t>
  </si>
  <si>
    <t>Secretaria / contrato por prestación de servicios</t>
  </si>
  <si>
    <t>Contador(a) / contrato por prestación de servicios</t>
  </si>
  <si>
    <t>Auxiliar Contable / contrato por prestación de servicios</t>
  </si>
  <si>
    <t>Consultor impulsor / contrato por prestación de servicios</t>
  </si>
  <si>
    <t>Coordinador Mujer / contrato por prestación de servicios</t>
  </si>
  <si>
    <t>Coordinador Comunicaciones / contrato por prestación de servicios</t>
  </si>
  <si>
    <t>Coordinador Jovenes / contrato por prestación de servicios</t>
  </si>
  <si>
    <t>Subtotal, Personal</t>
  </si>
  <si>
    <t xml:space="preserve">3. </t>
  </si>
  <si>
    <t>GASTOS OPERACIONALES LOCALES (N2)</t>
  </si>
  <si>
    <t>Arriendo de oficina y otros costos de oficina</t>
  </si>
  <si>
    <t>Servicio de Luz</t>
  </si>
  <si>
    <t>Servicio de Agua</t>
  </si>
  <si>
    <t>Teléfono, internet, maul y otros costos de comunicación</t>
  </si>
  <si>
    <t xml:space="preserve">Elementos deaseo y cafeteria </t>
  </si>
  <si>
    <t>Seguro de equipos asignados al proyecto</t>
  </si>
  <si>
    <t>Servicio Técnico</t>
  </si>
  <si>
    <t>Mantenimientos y reparaciones</t>
  </si>
  <si>
    <r>
      <t xml:space="preserve">Gastos Bancarios - Comisiones e Impuestos </t>
    </r>
    <r>
      <rPr>
        <b/>
        <sz val="11"/>
        <rFont val="Arial"/>
        <family val="2"/>
      </rPr>
      <t>(*)</t>
    </r>
  </si>
  <si>
    <t>Otros costos (especifque en sub-lineas)</t>
  </si>
  <si>
    <t>Subtotal, Gastos Operacionales Locales</t>
  </si>
  <si>
    <t>4.</t>
  </si>
  <si>
    <t>TRANSPORTE Y GASTOS DE VIAJE</t>
  </si>
  <si>
    <t>Alojamiento</t>
  </si>
  <si>
    <t>Alimentaciòn</t>
  </si>
  <si>
    <t>Transporte Aereo</t>
  </si>
  <si>
    <t xml:space="preserve">Transporte Terrestre </t>
  </si>
  <si>
    <t>Mantenimiento de vehiculos</t>
  </si>
  <si>
    <t>Otros costos de transporte</t>
  </si>
  <si>
    <t>Subtotal, Gastos de Viaje</t>
  </si>
  <si>
    <t>ACTIVIDADES DEL PROYECTO (F)</t>
  </si>
  <si>
    <t xml:space="preserve">5. </t>
  </si>
  <si>
    <t>ACTIVIDADES DELPROYECTO (N3)</t>
  </si>
  <si>
    <t>Actividad 1.1.caracterización e identidicación de  población Mujeres.
Dos talleres por microcuenca.  Total 10 talleres</t>
  </si>
  <si>
    <t>Transporte de los participantes</t>
  </si>
  <si>
    <t>Alquiler salones</t>
  </si>
  <si>
    <t>Fotocopias / Folletos</t>
  </si>
  <si>
    <t>Alimentacion</t>
  </si>
  <si>
    <t xml:space="preserve">Kit de bioseguridad (Gel antibaterial, 2 tapabocas,Toallas antibateriales, Jabon liquido personal) </t>
  </si>
  <si>
    <t>Sub-total, Actividad 1.1.</t>
  </si>
  <si>
    <t xml:space="preserve">Actividad 1.2. 5 talleres dirigidos líderesas/líderes jovenes y autoridades étnicas sobre: identificación de riesgos, prevención de VBG, derechos y equidad de género, rutas de protección individuales y colectivas, estrategias de mitigación, y medidas de autoprotección (Son talleres Vinculados al observación) </t>
  </si>
  <si>
    <t>Facilitadores para actividades concretas: Se cancelará $ 500.000  a un tallerista por cada taller  (secciones de 6 horas x 5 talleres)</t>
  </si>
  <si>
    <t>Insumos y/o Materiales (Agendas distintivas que se entregaran a las 100 mujeres que participaran)</t>
  </si>
  <si>
    <t>Dotacion para los Participantes (Camibusos para mujeres lideresas)</t>
  </si>
  <si>
    <t>Alimentacion por medio de olla comunitaria</t>
  </si>
  <si>
    <t>Carnets  distintivos para las 100 mujeres que participan de los talleres de  formacion</t>
  </si>
  <si>
    <t>Sub-total, Actividad 1.2</t>
  </si>
  <si>
    <t xml:space="preserve">Actividad 1.3. 10 reuniones para la construcion de (rutas de prevención/estrategias comunitarias de violencia basada en genero VBG, incluidas en estrategias/planes/instrumentos de gobierno propio)  170 personas cada uno (Instrumento de monitoreo, Ruta para la atencion de las Mujeres con enfoque de la mujer negra y ruta de trabajo con el tribunal) </t>
  </si>
  <si>
    <t>Sistematizador / Orden de compra</t>
  </si>
  <si>
    <t>Transporte del personal del proyecto</t>
  </si>
  <si>
    <t>Cartilla Ruta de mujeres</t>
  </si>
  <si>
    <t>Sub-total, Actividad 1.3</t>
  </si>
  <si>
    <t xml:space="preserve">Actividad 1.4 3 Reuniones de autoridades para  aprobación de documentos ruta 70 personas cada una (Instrumento de monitoreo, Ruta para la atencion de las Mujeres con enfoque de la mujer negra y ruta de trabajo con el tribunal) </t>
  </si>
  <si>
    <t>Sub-total, Actividad 1.4.</t>
  </si>
  <si>
    <t>Actividad 1.5. Puesta en marcha del observatorio de violencias basadas en genero de las mujeres negras del Norte del Cauca.</t>
  </si>
  <si>
    <t>Diseño, implementacion y manejo de software que permita el analisis de la situacion de las mujeres del pueblo negra del Norte del Cauca actividad 2.3.3</t>
  </si>
  <si>
    <t>Asesoria para puesta en marcha de la ruta del observatorio - Prestación de servicios</t>
  </si>
  <si>
    <t>Actividad 1.5.1.Consejos de protecion Violencia de Basada en genero 3 Consejos de proteción por Microcuenca, para la identificacion y solucion de casos de liderezas que han sufrido algun tipo de afectación por su labor 30 personas por cada consejo proteción</t>
  </si>
  <si>
    <t xml:space="preserve">Enlaces etnicos (Facilitadores para enlances de campo )- Prestación de servicios </t>
  </si>
  <si>
    <t>Actividad 1.5.2. 25 seciones de atencion a las mujeres con atencion psicosocial, actividades de esparcimiento  y encuentros con el ser. Se atenderan 10 mujeres por microcuenca para un total de 50 mujeres(Actividad de iniviativas Comunitarias 5 seciones por microcuenca)</t>
  </si>
  <si>
    <t>Insumos y/o Materiales</t>
  </si>
  <si>
    <t>Retiro e intercambio de experiencia con mujeres palenque de san  Basilio 100 mujeres</t>
  </si>
  <si>
    <t>Actividad 1.5.3 recorridos para la  identificacion de 5 sitios emblematicos de mujeres y reconocimiento por medio arte cultural carateristico del pueblo negro 20 personas por recorrido</t>
  </si>
  <si>
    <t>Investigador de campo / contrato por prestación de servicios</t>
  </si>
  <si>
    <t>Artista cultural / contrato por prestación de servicios</t>
  </si>
  <si>
    <t>Insumos artisticos</t>
  </si>
  <si>
    <t>Actividad 1.5.4 Reconocimiento de mujeres matronas ejemplares, una por cada microzona 1 taller por microcuenca de 30 personas  para identificar aportes significativos de mujeres y actividad  conjunta  de 70 personas para homeneajear a estas mujeres"20"(Actividades iniciativas comunitarias)</t>
  </si>
  <si>
    <t>Actividades de conmemoraciones a mujeres líderes</t>
  </si>
  <si>
    <t>Actividad 1.5.6 Implementacion del centro de pensamiento  y recuperacion de la memomria de mujeres negras del norte del Cauca(Inicitativas Propias)(2.3.1)</t>
  </si>
  <si>
    <t>Actividades centro de pensamiento afro</t>
  </si>
  <si>
    <t>Actividad 1.5.7 5 Encuentros interetnicos de mujeres para la construcion del eje de mujer del plan de vida inteetnico e intercultural, de las comunidades Negras, Indigenas Y campesinas en el Norte del Cauca 80 Mujeres cada uno 2 dias cada taller</t>
  </si>
  <si>
    <t>Cartilla plan de vida Actualizado</t>
  </si>
  <si>
    <t>Sub-total, Actividad 1.5.</t>
  </si>
  <si>
    <t>Actividad 1.6 3 Cuarto encuentro de consejos comunitarios  3 seciones 200 personas cada una,  3 espacios de preencuentro y preparacion por microcuenca 30 persona cada uno.</t>
  </si>
  <si>
    <t>Talleristas, artistas nacionales y gastos logistico</t>
  </si>
  <si>
    <t>Sub-total, Actividad 1.6.</t>
  </si>
  <si>
    <t>Actividad 1.7  Reuniones de Consejo mayor para evaluacion  de actividades y avance del proyecto 15 reuniones, una reunión Mensual con 11 delegados del consejo mayor.</t>
  </si>
  <si>
    <t>Sub-total, Actividad 1.7.</t>
  </si>
  <si>
    <t>Subtotal, Actividades del Proyecto</t>
  </si>
  <si>
    <t xml:space="preserve">TOTAL </t>
  </si>
  <si>
    <t>Se adjuntará una lista de gastos del sistema contable del socio (libro mayor), que mostrará los totales por código de cuenta.</t>
  </si>
  <si>
    <t xml:space="preserve">ROSANA MEJIA CAICEDO </t>
  </si>
  <si>
    <t>Aprobado por (Socio):</t>
  </si>
  <si>
    <t>Representante Legal y Consejera Mayor</t>
  </si>
  <si>
    <t xml:space="preserve">Nombre  y cargo </t>
  </si>
  <si>
    <t>Firma</t>
  </si>
  <si>
    <t>Lugar y Fecha</t>
  </si>
  <si>
    <t>Microfonos de radio 55sh</t>
  </si>
  <si>
    <t>Pantallas lcd</t>
  </si>
  <si>
    <t>Kit de luces</t>
  </si>
  <si>
    <t>Grabadoras de audio</t>
  </si>
  <si>
    <t>Microfonos de solapa</t>
  </si>
  <si>
    <t>Gimbal para camara</t>
  </si>
  <si>
    <t>Estabilizadores para celular</t>
  </si>
  <si>
    <t>Cámara microcuenca</t>
  </si>
  <si>
    <t xml:space="preserve">Director de cooperación - Contrato laboral </t>
  </si>
  <si>
    <t xml:space="preserve">Director de contenidos - Contrato laboral </t>
  </si>
  <si>
    <t>Productora general - Contrato por prestación de servicios</t>
  </si>
  <si>
    <t xml:space="preserve">Diseño metodológico- Contrato por prestación de servicios </t>
  </si>
  <si>
    <t xml:space="preserve">Director administrativo - Contrato laboral </t>
  </si>
  <si>
    <t xml:space="preserve">Coordinador del proyecto-Contrato por prestación de servicios </t>
  </si>
  <si>
    <t>3.</t>
  </si>
  <si>
    <t>Arriendo de Oficina Sede</t>
  </si>
  <si>
    <t>Electricidad</t>
  </si>
  <si>
    <t>Acueducto</t>
  </si>
  <si>
    <t>Teléfono y fax</t>
  </si>
  <si>
    <t>Cuota de internet</t>
  </si>
  <si>
    <t>Elementos de Aseo // Bioseguridad</t>
  </si>
  <si>
    <t>Papeleria</t>
  </si>
  <si>
    <t>Gastos Bancarios  (Comisiones e Impuestos Bancarios) (*)</t>
  </si>
  <si>
    <t>Alojamiento para el personal</t>
  </si>
  <si>
    <t>Alimentación para el personal</t>
  </si>
  <si>
    <t>Transporte aéreo para el personal</t>
  </si>
  <si>
    <t>Transporte terrestre local para el personal</t>
  </si>
  <si>
    <t>Imprevistos de viaje</t>
  </si>
  <si>
    <t>5.</t>
  </si>
  <si>
    <t>3.1.1 Mapeo en Microcuencas: Jóvenes lideresas, líderes y autoridades locales que participan en los talleres de diseño del ICTP</t>
  </si>
  <si>
    <t xml:space="preserve">Diseño gráfico de materiales para materiales de mapeo </t>
  </si>
  <si>
    <t xml:space="preserve"> 3.1.2 Diseño de metodologia para los talleres de desarrollo de herramientas de comunicación innovadoras de la escuela de comunicación </t>
  </si>
  <si>
    <t xml:space="preserve">Tallerista principal para planeación </t>
  </si>
  <si>
    <t>Diseñador gráfico de materiales pedagógicos para talleres</t>
  </si>
  <si>
    <t xml:space="preserve">3.1.3 Reuniones para el establecimiento de un plan de trabajo con el Consejo mayor de ACONC y el palenque de comunicaciones. </t>
  </si>
  <si>
    <t>Materiales</t>
  </si>
  <si>
    <t>Diseñador gráfico de materiales para materiales de reunión de plan de trabajo</t>
  </si>
  <si>
    <t>Auxilios Alimentación y transporte Palenque de Comunicaciones (20 personas)</t>
  </si>
  <si>
    <t>Transporte aéreo (Equipo Pacifista)</t>
  </si>
  <si>
    <t>Transporte local  (Equipo Pacifista)</t>
  </si>
  <si>
    <t>Alimentación (Equipo Pacifista)</t>
  </si>
  <si>
    <t>Hospedaje (Equipo Pacifista)</t>
  </si>
  <si>
    <t xml:space="preserve"> 3.1.4 Escuela de comunicación presencial, con seis módulos temáticos, para jóvenes líderes y lideresas en las 5 microcuencas.</t>
  </si>
  <si>
    <t>Alquiler de espacios para actividad</t>
  </si>
  <si>
    <t>Alquiler de equipos para talleres</t>
  </si>
  <si>
    <t>Tallerista principal y de radio</t>
  </si>
  <si>
    <t xml:space="preserve">Tallerista de video principal </t>
  </si>
  <si>
    <t xml:space="preserve">Tallerista de video secundario </t>
  </si>
  <si>
    <t xml:space="preserve">Tallerista de diseño </t>
  </si>
  <si>
    <t xml:space="preserve">Tallerista de editorial </t>
  </si>
  <si>
    <t xml:space="preserve">Tallerista de redes sociales </t>
  </si>
  <si>
    <t xml:space="preserve">Tallerista de apoyo </t>
  </si>
  <si>
    <t xml:space="preserve">Incentivo Talleristas ACONC </t>
  </si>
  <si>
    <t xml:space="preserve">Tallerista de formulación de proyectos </t>
  </si>
  <si>
    <t>Influenciadores sociales para máster class</t>
  </si>
  <si>
    <t>Editor de video para máster class</t>
  </si>
  <si>
    <t>Alimentación para los participantes de los talleres</t>
  </si>
  <si>
    <t>Subsidios de Transporte</t>
  </si>
  <si>
    <t>Sobrequipaje para equipos</t>
  </si>
  <si>
    <t xml:space="preserve"> 3.2.1 Talleres de fortalecimiento de comunicación interna para miembros del Consejo Mayor y el palenque de comunicaciones de ACONC. </t>
  </si>
  <si>
    <t>Enlaces de fortalecimiento Palenque de Comunicaciones</t>
  </si>
  <si>
    <t>Tallerista de comunicaciones internas</t>
  </si>
  <si>
    <t>Alimentación de los participantes</t>
  </si>
  <si>
    <t>Subsidio de transporte para los participantes</t>
  </si>
  <si>
    <t>3.2.2 Seguimiento a los talleres de la escuela de comunicación e implementación a través de la creación de seis tutoriales, uno por módulo de formación, para la réplica y consulta de los talleres en otros espacios.</t>
  </si>
  <si>
    <t>Licencias de edición y diseño para tutoriales</t>
  </si>
  <si>
    <t>Redactor para tutoriales (Jul-Oct)</t>
  </si>
  <si>
    <t>Ilustador para tutoriales (Jul-Oct)</t>
  </si>
  <si>
    <t>Diseñador gráfico para tutoriales (Jul-Oct)</t>
  </si>
  <si>
    <t>Videografo para tutoriales (Jul-Oct)</t>
  </si>
  <si>
    <t>3.2.3 Laboratorios creativos para definir temática, narrativa y formatos de las herramientas innovadoras a producir.</t>
  </si>
  <si>
    <t xml:space="preserve">Hospedaje de los participantes </t>
  </si>
  <si>
    <t xml:space="preserve">Alquiler de espacio para laboratorio creativo </t>
  </si>
  <si>
    <t>Imprevistos de actividades</t>
  </si>
  <si>
    <t>Redactor para laboratorio de creación de serie</t>
  </si>
  <si>
    <t>3.2.4 Acompañamiento virtual / no presencial para apoyo específico a las herramientas de comunicación de mayor complejidad (2 Comités Editoriales presenciales).</t>
  </si>
  <si>
    <t>Periodista para comités editoriales</t>
  </si>
  <si>
    <t>Subsidios de Transporte y/o Alimentación Participantes (2 comites presenciales)</t>
  </si>
  <si>
    <t>3.2.5 Fortalecimiento de herramientas de trabajo en comunicacions existentes y, de los y las jóvenes líderes del palenque de comunicaciones</t>
  </si>
  <si>
    <t xml:space="preserve">Consultor en Innovación </t>
  </si>
  <si>
    <t xml:space="preserve">Diseñador </t>
  </si>
  <si>
    <t xml:space="preserve">Tallerista de radio </t>
  </si>
  <si>
    <t>Tallerista de editorial</t>
  </si>
  <si>
    <t>3.2.6 Actividades de consulta y alistamiento con los jóvenes líderes y líderesas para la producción de las herramientas en las 5 microcuencas.</t>
  </si>
  <si>
    <t>Alquiler de espacio para aprobación con Consejo mayor</t>
  </si>
  <si>
    <t>Alimentación para los participantes de la revisión de Consejo Mayor</t>
  </si>
  <si>
    <t xml:space="preserve">Subsidio de transporte consejo mayor </t>
  </si>
  <si>
    <t>3.3.1 Producción de herramientas de comunicación innovadoras por parte de los líderes y lideresas jóvenes de las 5 microcuencas, con el acompañamiento del palenque de comunicaciones.</t>
  </si>
  <si>
    <t>Diseño de cartilla para adultos</t>
  </si>
  <si>
    <t>Diseño de cartilla para niños</t>
  </si>
  <si>
    <t>Audio cartilla para adultos</t>
  </si>
  <si>
    <t>Audiocartilla para niños</t>
  </si>
  <si>
    <t>Juego de la ruta VBG</t>
  </si>
  <si>
    <t>Paquete gráfico consejos de autoprotección (10 piezas)</t>
  </si>
  <si>
    <t>Paquete gráfico de escuela de liderazgo (5 piezas)</t>
  </si>
  <si>
    <t>Serie radial (5 capítulos * 10 minutos)</t>
  </si>
  <si>
    <t>Herramientas comunicativas (definidas en Laboratorios Creativos y Comités Editoriales)</t>
  </si>
  <si>
    <t>Insonorizacion espacio</t>
  </si>
  <si>
    <t xml:space="preserve">3.3.2 Acompañamiento virtual a la producción de herramientas de comunicación innovadoras en las 5 microcuencas. </t>
  </si>
  <si>
    <t>Tallerista de redes sociales</t>
  </si>
  <si>
    <t>3.3.3 Espacios de réplica de las herramientas de comunicación innovadora desarrolladas por los líderes y líderesas jóvenes en las 5 microcuencas</t>
  </si>
  <si>
    <t>Imprevistos</t>
  </si>
  <si>
    <t>Bogotá D.C 21/01/22</t>
  </si>
  <si>
    <t>Juan Manuel Peña Echeverry- Representante legal</t>
  </si>
  <si>
    <t>Table 2 - Output breakdown by UN budget categories</t>
  </si>
  <si>
    <t>Recipient Agency 2</t>
  </si>
  <si>
    <t>Recipient Agency 3</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</si>
  <si>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</si>
  <si>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</si>
  <si>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</si>
  <si>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</si>
  <si>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</si>
  <si>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</si>
  <si>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</si>
  <si>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</si>
  <si>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</si>
  <si>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</si>
  <si>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</si>
  <si>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</si>
  <si>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</si>
  <si>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</si>
  <si>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</si>
  <si>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</si>
  <si>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</si>
  <si>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</si>
  <si>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</si>
  <si>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</si>
  <si>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</si>
  <si>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Subtotal</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</si>
  <si>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</si>
  <si>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</si>
  <si>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</si>
  <si>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</si>
  <si>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</si>
  <si>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</si>
  <si>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</si>
  <si>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</si>
  <si>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</si>
  <si>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</si>
  <si>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</si>
  <si>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</si>
  <si>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</si>
  <si>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</si>
  <si>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</si>
  <si>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</si>
  <si>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</si>
  <si>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</si>
  <si>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</si>
  <si>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</si>
  <si>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</si>
  <si>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</si>
  <si>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Recip Agency 2</t>
  </si>
  <si>
    <t>Recip Agency 3</t>
  </si>
  <si>
    <t>Third Tranche:</t>
  </si>
  <si>
    <t>Description</t>
  </si>
  <si>
    <t>Location</t>
  </si>
  <si>
    <t>Period from</t>
  </si>
  <si>
    <t>Period to</t>
  </si>
  <si>
    <t>Unit_type</t>
  </si>
  <si>
    <t>No of Units</t>
  </si>
  <si>
    <t>Frequency / timefram</t>
  </si>
  <si>
    <t>Unit price</t>
  </si>
  <si>
    <t>Activity Code</t>
  </si>
  <si>
    <t>ResNO</t>
  </si>
  <si>
    <t>Donor account</t>
  </si>
  <si>
    <t>Site</t>
  </si>
  <si>
    <t>Currency amount</t>
  </si>
  <si>
    <t>This grant NOK</t>
  </si>
  <si>
    <t>Admin Compensation 007%</t>
  </si>
  <si>
    <t>Lumpsum</t>
  </si>
  <si>
    <t>IP personnel cost</t>
  </si>
  <si>
    <t>Number</t>
  </si>
  <si>
    <t>PRT</t>
  </si>
  <si>
    <t>IP operating costs</t>
  </si>
  <si>
    <t>IP transport &amp; travel cost</t>
  </si>
  <si>
    <t>IP Project activities (N3)</t>
  </si>
  <si>
    <t>Advance to Implementing Partners (IP)</t>
  </si>
  <si>
    <t>Furniture purchase</t>
  </si>
  <si>
    <t>LOG</t>
  </si>
  <si>
    <t>Office equipment purchase</t>
  </si>
  <si>
    <t>Computers and printers purchase</t>
  </si>
  <si>
    <t>talleres/sesiones de identificación y evaluación de riesgos . Tres en cada microzona: 15 talleres gastos de desarrollo de la actividad</t>
  </si>
  <si>
    <t>Talleres para desarrollo de planes de trabajo para la mitigación de riesgos identificados. Un taller por microzona: 6 talleres</t>
  </si>
  <si>
    <t>Asamblea general de socialización y aprobación de plan de trabajo. Alimentación, Transporte, bioseguridad, materiales</t>
  </si>
  <si>
    <t>Talleres de capacitación en leadership, peacebuilding, non-violent strategic action, etc. 8 Talleres Alimentación, transporte, alquiler de lugar, talleristas sabedores y autoridades</t>
  </si>
  <si>
    <t>Talleres de capacitación en leadership, peacebuilding, non-violent strategic action, etc. bioseguridad, materiales, dotación elementos para escuela de Justicia propia y empoderameinto político</t>
  </si>
  <si>
    <t>espacios/sesiones de gobierno propio para la réplica. En cada uno de los 43 consejos comunitarios. actividades de replica de instrumentos de gobierno propio y uso de herramientas pedagógicas de autoprotección . Alimentación y transporte</t>
  </si>
  <si>
    <t>espacios/sesiones de gobierno propio para la réplica. En cada uno de los 43 consejos comunitarios. actividades de replica de instrumentos de gobierno propio y uso de herramientas pedagógicas de autoprotección</t>
  </si>
  <si>
    <t>talleres de construcción/actualización de instrumento de gobierno propio. Cinco talleres por microzona. Dos talleres con autoridades para aprobación. Alimentación, transporte, alquiler de salón, talleristas sabedores y autoridades</t>
  </si>
  <si>
    <t>talleres de construcción/actualización de instrumento de gobierno propio. Bioseguridad y materiales para escuela de justicia ancestral</t>
  </si>
  <si>
    <t>Producción/desarrollo de instrumentos de gobierno propio/estrategias de autoprotección. Uno por cada microzona</t>
  </si>
  <si>
    <t>Result three M&amp;E activities</t>
  </si>
  <si>
    <t>Cali (CL)</t>
  </si>
  <si>
    <t>Month</t>
  </si>
  <si>
    <t>Result two M&amp;E activities</t>
  </si>
  <si>
    <t>Result one M&amp;E activities</t>
  </si>
  <si>
    <t>Accountability activities</t>
  </si>
  <si>
    <t>Independent evaluation</t>
  </si>
  <si>
    <t>Endline data collection</t>
  </si>
  <si>
    <t>Baseline data collection</t>
  </si>
  <si>
    <t>Talleres para desarrollo de planes de trabajo para la mitigación de riesgos identificados. gastos de materiales y producción de plan y documentos de mitigación de riesgos</t>
  </si>
  <si>
    <t>talleres/sesiones de identificación y evaluación de riesgos . gastos de materiales y elementos de bioseguridad</t>
  </si>
  <si>
    <t>Z2</t>
  </si>
  <si>
    <t>SUP</t>
  </si>
  <si>
    <t>Capacity building CO staff</t>
  </si>
  <si>
    <t>Seminar</t>
  </si>
  <si>
    <t>Other wage costs local staff</t>
  </si>
  <si>
    <t>HR</t>
  </si>
  <si>
    <t>Technical Assistant M&amp;E</t>
  </si>
  <si>
    <t>CO999</t>
  </si>
  <si>
    <t>Team Leader P</t>
  </si>
  <si>
    <t>Coordinator P</t>
  </si>
  <si>
    <t>Logistic Team Lider</t>
  </si>
  <si>
    <t>HR Technical Assistant</t>
  </si>
  <si>
    <t>Finance Oficier IP</t>
  </si>
  <si>
    <t>FIN</t>
  </si>
  <si>
    <t>Team Lider M&amp;E</t>
  </si>
  <si>
    <t>Finance Technical Assistant</t>
  </si>
  <si>
    <t>CO404</t>
  </si>
  <si>
    <t>Security Officer</t>
  </si>
  <si>
    <t>SEC</t>
  </si>
  <si>
    <t>Area Manager</t>
  </si>
  <si>
    <t>Logistic Coordinator</t>
  </si>
  <si>
    <t>PQR Assistant</t>
  </si>
  <si>
    <t>Logistic Technical Assistant</t>
  </si>
  <si>
    <t>HR Team Leader</t>
  </si>
  <si>
    <t>Finance Team Leader</t>
  </si>
  <si>
    <t>Asistant General</t>
  </si>
  <si>
    <t>Grands  Officer</t>
  </si>
  <si>
    <t>GRT</t>
  </si>
  <si>
    <t>Support Manager</t>
  </si>
  <si>
    <t>Driver</t>
  </si>
  <si>
    <t>Finance Oficier</t>
  </si>
  <si>
    <t>CO435</t>
  </si>
  <si>
    <t>Technical Assistant_P género</t>
  </si>
  <si>
    <t>Technical Assistant</t>
  </si>
  <si>
    <t>Team Leader</t>
  </si>
  <si>
    <t>Office rent (TC-PP-QBI-GP-IPI)</t>
  </si>
  <si>
    <t>Warehouse rent</t>
  </si>
  <si>
    <t>Water &amp; waste removal</t>
  </si>
  <si>
    <t>Electricity and power</t>
  </si>
  <si>
    <t>Security services &amp; alarm costs</t>
  </si>
  <si>
    <t>Computer Systems- ICT GLOBAL</t>
  </si>
  <si>
    <t>ICT</t>
  </si>
  <si>
    <t>Repair and maintenance buildings</t>
  </si>
  <si>
    <t>AUDIT/EXTERNAL EVALUATION COFL2103</t>
  </si>
  <si>
    <t>institutional audit</t>
  </si>
  <si>
    <t>Other external services</t>
  </si>
  <si>
    <t>Office supplies</t>
  </si>
  <si>
    <t>Office meetings</t>
  </si>
  <si>
    <t>Mobile phones CO</t>
  </si>
  <si>
    <t>Satellite phones</t>
  </si>
  <si>
    <t>Internet services</t>
  </si>
  <si>
    <t>Postage</t>
  </si>
  <si>
    <t>Delivery services</t>
  </si>
  <si>
    <t>Fuel NRC vehicles</t>
  </si>
  <si>
    <t>Maintenance vehicles</t>
  </si>
  <si>
    <t>Insurance vehicles</t>
  </si>
  <si>
    <t>Domestic travel cost CO</t>
  </si>
  <si>
    <t>Travel Cost M&amp;E</t>
  </si>
  <si>
    <t>Visibility costs</t>
  </si>
  <si>
    <t>Other financial expenses</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</si>
  <si>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</si>
  <si>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</si>
  <si>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</si>
  <si>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</si>
  <si>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</si>
  <si>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</si>
  <si>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</si>
  <si>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</si>
  <si>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</si>
  <si>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</si>
  <si>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</si>
  <si>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</si>
  <si>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</si>
  <si>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</si>
  <si>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</si>
  <si>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</si>
  <si>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</si>
  <si>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</si>
  <si>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</si>
  <si>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</si>
  <si>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</si>
  <si>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</si>
  <si>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</si>
  <si>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</si>
  <si>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</si>
  <si>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</si>
  <si>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</si>
  <si>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</si>
  <si>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</si>
  <si>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</si>
  <si>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</si>
  <si>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</si>
  <si>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</si>
  <si>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</si>
  <si>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</si>
  <si>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</si>
  <si>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</si>
  <si>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</si>
  <si>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</si>
  <si>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</si>
  <si>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</si>
  <si>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</si>
  <si>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</si>
  <si>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</si>
  <si>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</si>
  <si>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</si>
  <si>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</si>
  <si>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</si>
  <si>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</si>
  <si>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</si>
  <si>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</si>
  <si>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</si>
  <si>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</si>
  <si>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</si>
  <si>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</si>
  <si>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</si>
  <si>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</si>
  <si>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</si>
  <si>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</si>
  <si>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</si>
  <si>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</si>
  <si>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</si>
  <si>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</si>
  <si>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</si>
  <si>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</si>
  <si>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</si>
  <si>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</si>
  <si>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</si>
  <si>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</si>
  <si>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</si>
  <si>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</si>
  <si>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</si>
  <si>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</si>
  <si>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</si>
  <si>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</si>
  <si>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</si>
  <si>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</si>
  <si>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</si>
  <si>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</si>
  <si>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</si>
  <si>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</si>
  <si>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</si>
  <si>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</si>
  <si>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</si>
  <si>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</si>
  <si>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</si>
  <si>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</si>
  <si>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</si>
  <si>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</si>
  <si>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</si>
  <si>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</si>
  <si>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</si>
  <si>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</si>
  <si>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</si>
  <si>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</si>
  <si>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</si>
  <si>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</si>
  <si>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</si>
  <si>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</si>
  <si>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</si>
  <si>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</si>
  <si>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</si>
  <si>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</si>
  <si>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</si>
  <si>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</si>
  <si>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</si>
  <si>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</si>
  <si>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</si>
  <si>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</si>
  <si>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</si>
  <si>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</si>
  <si>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</si>
  <si>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</si>
  <si>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</si>
  <si>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</si>
  <si>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</si>
  <si>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</si>
  <si>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</si>
  <si>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</si>
  <si>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</si>
  <si>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</si>
  <si>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</si>
  <si>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</si>
  <si>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</si>
  <si>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</si>
  <si>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</si>
  <si>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</si>
  <si>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</si>
  <si>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</si>
  <si>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</si>
  <si>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</si>
  <si>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</si>
  <si>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</si>
  <si>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</si>
  <si>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</si>
  <si>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</si>
  <si>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</si>
  <si>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</si>
  <si>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</si>
  <si>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</si>
  <si>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</si>
  <si>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</si>
  <si>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</si>
  <si>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</si>
  <si>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</si>
  <si>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</si>
  <si>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</si>
  <si>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</si>
  <si>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</si>
  <si>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</si>
  <si>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</si>
  <si>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</si>
  <si>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</si>
  <si>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</si>
  <si>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</si>
  <si>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</si>
  <si>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</si>
  <si>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</si>
  <si>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</si>
  <si>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</si>
  <si>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</si>
  <si>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</si>
  <si>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</si>
  <si>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</si>
  <si>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</si>
  <si>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</si>
  <si>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</si>
  <si>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</si>
  <si>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</si>
  <si>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</si>
  <si>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</si>
  <si>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</si>
  <si>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</si>
  <si>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</si>
  <si>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</si>
  <si>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</si>
  <si>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</si>
  <si>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</si>
  <si>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</si>
  <si>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</si>
  <si>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</si>
  <si>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</si>
  <si>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</si>
  <si>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</si>
  <si>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</si>
  <si>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</si>
  <si>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</si>
  <si>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</si>
  <si>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</si>
  <si>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</si>
  <si>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</si>
  <si>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</si>
  <si>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</si>
  <si>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</si>
  <si>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</si>
  <si>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</si>
  <si>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</si>
  <si>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</si>
  <si>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</si>
  <si>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</si>
  <si>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</si>
  <si>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</si>
  <si>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</si>
  <si>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</si>
  <si>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</si>
  <si>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</si>
  <si>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</si>
  <si>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</si>
  <si>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</si>
  <si>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</si>
  <si>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</si>
  <si>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</si>
  <si>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</si>
  <si>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</si>
  <si>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</si>
  <si>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</si>
  <si>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</si>
  <si>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</si>
  <si>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</si>
  <si>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</si>
  <si>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</si>
  <si>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</si>
  <si>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</si>
  <si>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</si>
  <si>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</si>
  <si>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</si>
  <si>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</si>
  <si>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</si>
  <si>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</si>
  <si>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</si>
  <si>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</si>
  <si>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</si>
  <si>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</si>
  <si>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</si>
  <si>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</si>
  <si>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</si>
  <si>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</si>
  <si>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</si>
  <si>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</si>
  <si>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</si>
  <si>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</si>
  <si>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</si>
  <si>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</si>
  <si>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</si>
  <si>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</si>
  <si>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</si>
  <si>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</si>
  <si>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</si>
  <si>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</si>
  <si>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</si>
  <si>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</si>
  <si>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</si>
  <si>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</si>
  <si>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</si>
  <si>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</si>
  <si>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</si>
  <si>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</si>
  <si>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</si>
  <si>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</si>
  <si>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</si>
  <si>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</si>
  <si>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</si>
  <si>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</si>
  <si>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</si>
  <si>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</si>
  <si>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</si>
  <si>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</si>
  <si>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</si>
  <si>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</si>
  <si>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</si>
  <si>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</si>
  <si>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</si>
  <si>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</si>
  <si>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</si>
  <si>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</si>
  <si>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</si>
  <si>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</si>
  <si>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</si>
  <si>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</si>
  <si>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</si>
  <si>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</si>
  <si>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</si>
  <si>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</si>
  <si>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</si>
  <si>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</si>
  <si>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</si>
  <si>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</si>
  <si>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</si>
  <si>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</si>
  <si>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</si>
  <si>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</si>
  <si>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</si>
  <si>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</si>
  <si>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</si>
  <si>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</si>
  <si>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</si>
  <si>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</si>
  <si>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</si>
  <si>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</si>
  <si>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</si>
  <si>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</si>
  <si>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</si>
  <si>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</si>
  <si>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</si>
  <si>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</si>
  <si>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</si>
  <si>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</si>
  <si>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</si>
  <si>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</si>
  <si>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</si>
  <si>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</si>
  <si>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</si>
  <si>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</si>
  <si>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</si>
  <si>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</si>
  <si>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</si>
  <si>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</si>
  <si>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</si>
  <si>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</si>
  <si>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</si>
  <si>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</si>
  <si>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</si>
  <si>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</si>
  <si>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</si>
  <si>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</si>
  <si>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</si>
  <si>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</si>
  <si>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</si>
  <si>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</si>
  <si>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</si>
  <si>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</si>
  <si>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</si>
  <si>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</si>
  <si>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</si>
  <si>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</si>
  <si>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</si>
  <si>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</si>
  <si>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</si>
  <si>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</si>
  <si>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</si>
  <si>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P1061762458</t>
  </si>
  <si>
    <t>1061762458 LEIDY VANESSA USECHE ACEVEDO</t>
  </si>
  <si>
    <t>WA017042_CLO1557_PAGO_1/6 20%_CONSULTORÍA DESARROLLO DE INVESTIGACIONES ETNOHISTORICAS</t>
  </si>
  <si>
    <t>P16782962</t>
  </si>
  <si>
    <t>16782962 AXEL FERNANDO ROJAS MARTINEZ</t>
  </si>
  <si>
    <t>WA017084_CLO1557_PAGO_1/6 20%_CONSULTORÍA DESARROLLO DE INVESTIGACIONES ETNOHISTORICAS</t>
  </si>
  <si>
    <t>P1060360762</t>
  </si>
  <si>
    <t>1060360762 PAOLA ANDREA ARARAT NAZARIT</t>
  </si>
  <si>
    <t>WA015283_CLO1558_PAGO 2/5 20%_CONSULTORÍA ASESORIA PARA CAPACITACIÓN DE HERRAMIENTAS Y RPOTOCOLOS DE GESTIÓN DE INFORMACIÓN EN DERECHOS HUMANOS</t>
  </si>
  <si>
    <t>AJUS_6201010_ERROR_BID_WA017084_CLO1557_PAGO_1/6 20%_CONSULTORÍA DESARROLLO DE INVESTIGACIONES ETNOHISTORICAS</t>
  </si>
  <si>
    <t>AJUS_6201010_ERROR_BID_WA017042_CLO1557_PAGO_1/6 20%_CONSULTORÍA DESARROLLO DE INVESTIGACIONES ETNOHISTORICAS</t>
  </si>
  <si>
    <t>WA014810_CLO1558_CONSULTORÍA ASESORIA PARA CAPACITACIÓN DE HERRAMIENTAS Y RPOTOCOLOS DE GESTIÓN DE INFORMACIÓN EN DERECHOS HUMANOS</t>
  </si>
  <si>
    <t>WA015376_CLO1557 _PAGO 2/6 20%_AXEL_ROJAS_CONSULTORÍA DESARROLLO DE INVESTIGACIONES ETNOHISTORICA</t>
  </si>
  <si>
    <t>WA015377_CLO1557 _PAGO 3/6 10%_AXEL_ROJAS_CONSULTORÍA DESARROLLO DE INVESTIGACIONES ETNOHISTORICA</t>
  </si>
  <si>
    <t>WA015378_CLO1557_PAGO 2/6 20%_LEIDY VANESSA USECHE ACEVEDO_CONSULTORÍA DESARROLLO DE INVESTIGACIONES ETNOHISTORICA</t>
  </si>
  <si>
    <t>WA015380_CLO1557_PAGO 3/6 10%_LEIDY VANESSA USECHE ACEVEDO_CONSULTORÍA DESARROLLO DE INVESTIGACIONES ETNOHISTORICA</t>
  </si>
  <si>
    <t>P1061729891</t>
  </si>
  <si>
    <t>1061729891 ALION YESENIA BOHORQUEZ OLAYA</t>
  </si>
  <si>
    <t>WA017337_CLO1733-6_PAGO 2/4_YESENIA_BOHORQUEZ_CONSULTOR RECOLECCIÓN Y DOCUMENTACION DE ETNOHISTORIA EN 5 MICROCUENCAS</t>
  </si>
  <si>
    <t>P1003372066</t>
  </si>
  <si>
    <t>1003372066 CARMEN YIRLENA LUCUMI LUCUMI</t>
  </si>
  <si>
    <t>WA017336_CLO1733-7_PAGO 1/4_ CARMEN_LUCUMI_CONSULTOR RECOLECCIÓN Y DOCUMENTACION DE ETNOHISTORIA EN 5 MICROCUENCAS</t>
  </si>
  <si>
    <t>P1062320973</t>
  </si>
  <si>
    <t>1062320973 CLAUDIA LORENA ARARAT NAZARIT</t>
  </si>
  <si>
    <t>WA017335_CLO1733-8_PAGO 2/4_CLAUDIA_ARARAT_CONSULTOR RECOLECCIÓN Y DOCUMENTACION DE ETNOHISTORIA EN 5 MICROCUENCAS</t>
  </si>
  <si>
    <t>P1061436043</t>
  </si>
  <si>
    <t>1061436043 JOHAN STIVEN CARABALI OREJUELA</t>
  </si>
  <si>
    <t>WA017082_CLO1733-9_JOHAN_CARABALI_CONSULTOR RECOLECCIÓN Y DOCUMENTACION DE ETNOHISTORIA EN 5 MICROCUENCAS</t>
  </si>
  <si>
    <t>FC000021_CLO1527_PAGO 3/3 40%_CONSULTORÍA ASESORÍA PARA EL MONITOREO Y EVALUACIÓN DE PROYECTOS ENFOCADOS EN LA CONSTRUCCIÓN DE PAZ</t>
  </si>
  <si>
    <t>WA014890_CLO1837 _CONTRATACION_SABEDORA_ANCESTRAL_PARA_DESARROLLO_TANGA_ANCESTRAL</t>
  </si>
  <si>
    <t>WA014891_CLO1836 _CONTRATACION_HONORARIOS_PROFESIONAL_ASAMBLEA_REGLAMENTOS_INTERNO</t>
  </si>
  <si>
    <t>P1067464728</t>
  </si>
  <si>
    <t>1067464728 DAYSURY BALANTA VIAFARA</t>
  </si>
  <si>
    <t>WA015384</t>
  </si>
  <si>
    <t>WA015384_CLO1733-2_ PAGO 1/4_DAYSURY BALANTA_CONSULTORA RECOLECCIÓN Y DOCUMENTACION DE DERECHOS HUMANOS EN 5 MICROCUENCAS</t>
  </si>
  <si>
    <t>P1061433364</t>
  </si>
  <si>
    <t>1061433364 FABIAN DAVID POLO CARVAJAL</t>
  </si>
  <si>
    <t>WA015391</t>
  </si>
  <si>
    <t>WA015391_CLO1733-3_ PAGO 1/4_FABIÁN DAVID POLO CARVAJAL_CONSULTORA RECOLECCIÓN Y DOCUMENTACION DE DERECHOS HUMANOS EN 5</t>
  </si>
  <si>
    <t>P48679351</t>
  </si>
  <si>
    <t>48679351 SENEIDA ARARAT</t>
  </si>
  <si>
    <t>WA015382</t>
  </si>
  <si>
    <t>WA015382_CLO1733-4_PAGO 1/4_ SENEIDA ARARAT_CONSULTORA RECOLECCIÓN Y DOCUMENTACION DE DERECHOS HUMANOS EN 5 MICROCUENCAS</t>
  </si>
  <si>
    <t>P31538959</t>
  </si>
  <si>
    <t>31538959 MARIA XIMENA VIAFARA IBARBO</t>
  </si>
  <si>
    <t>WA015383</t>
  </si>
  <si>
    <t>WA015383_CLO1733-5_PAGO 1/4_ MARIA XIMENA VIAFARA IBARDO_CONSULTORA RECOLECCIÓN Y DOCUMENTACION DE DERECHOS HUMANOS EN 5</t>
  </si>
  <si>
    <t>P1060359594</t>
  </si>
  <si>
    <t>1060359594 JULIET CAROLINA CARABALI GUAZA</t>
  </si>
  <si>
    <t>WA015385</t>
  </si>
  <si>
    <t>WA015385_CL01733-12_ PAGO 1/4_JULIETH CAROLINA CARABALI GUAZA_CONSULTORA RECOLECCIÓN Y DOCUMENTACION DE DERECHOS HUMANOS EN 5 MICROCUENCAS</t>
  </si>
  <si>
    <t>WA017081</t>
  </si>
  <si>
    <t>WA017081_CLO1733-11 COFY2102_PAGO 1/4_ ARELIS GUAZA CASTILLO_CONSULTORA APOYO EN MONITOREO Y EVALUACIÓN</t>
  </si>
  <si>
    <t>FC000019_CLO1527_PAGO 2/3_CONSULTORÍA ASESORÍA PARA EL MONITOREO Y EVALUACIÓN DE PROYECTOS</t>
  </si>
  <si>
    <t>WA015285_CLO1733-6_PAGO 1/4 25%_ ALION_BOHORQUEZ_CONSULTOR RECOLECCIÓN Y DOCUMENTACION DE ETNOHISTORIA EN 5 MICROCUENCAS</t>
  </si>
  <si>
    <t>WA015284_CLO1733-8 COFY2102_PAGO 1/4 25%_  CLAUDIA_ARARAT_CONSULTOR RECOLECCIÓN Y DOCUMENTACION DE ETNOHISTORIA EN 5 MICROCUENCAS</t>
  </si>
  <si>
    <t>P1060419296</t>
  </si>
  <si>
    <t>1060419296 JEYDI CAMILA ALVAREZ GONZALEZ</t>
  </si>
  <si>
    <t>WA015381_CL01733-13_PAGO 1/4 25%_ JEYDI_ALVAREZ_CONSULTOR RECOLECCIÓN Y DOCUMENTACION DE ETNOHISTORIA EN 5 MICROCUENCAS</t>
  </si>
  <si>
    <t>AJUS_621012_ERROR_TAX_CODE_FC002099_CLO1747-2_COMPRA_INSUMOS_PAPELERIA_M&amp;E_ACTIV_SANTAMDER_QUILICHO</t>
  </si>
  <si>
    <t>AJUST_6201012_ERROR_TAX_CODE_FC002098_CLO1763-2_COMPRA_INSUMOS_PAPELERIA_M&amp;E_ACTIV_SANTAMDER_QUILICHO</t>
  </si>
  <si>
    <t>AN52</t>
  </si>
  <si>
    <t>FC804521</t>
  </si>
  <si>
    <t>FC804521_TKT_A.GONZALEZ_CLO_BOG_CLO_10_AL_24_04_2022</t>
  </si>
  <si>
    <t>FC000506_CLO0473_DP_SERVICIO_ALIMENTACION_SANTANDER_dE_QUILICHAO_</t>
  </si>
  <si>
    <t>AJUST_6201308_ERROR_TEXTO_WA014813_CLO1791_SERVIC_ALIMNETACION_ACTIVIDAD_M&amp;E_GUACHENE</t>
  </si>
  <si>
    <t>WA014813_CLO1791_SERVIC_ALQUILER_SALON_ACTIVIDAD_M&amp;E_GUACHENE</t>
  </si>
  <si>
    <t>WA014811_CLO1778-1_SERV_ALQUILER_JORNADA_RDC_S_QUILICHAO</t>
  </si>
  <si>
    <t>WA014812_CLO1747-1_ALQUILER_ESPACIO_BENEFICI_S_QUILICHAO_</t>
  </si>
  <si>
    <t>FC000971_CLO1746_SERV_HOTELEROS_ALIMENTAC_Y_ALQUILER_CAPACITAC_M&amp;E</t>
  </si>
  <si>
    <t>FC000972_CLO1763-1_SERV_HOTELEROS_ALQUILER_CAPACITAC_M&amp;E</t>
  </si>
  <si>
    <t>WA014813</t>
  </si>
  <si>
    <t>WA014813_CLO1791_SERVIC_ALIMNETACION_ACTIVIDAD_M&amp;E_GUACHENE</t>
  </si>
  <si>
    <t>FC001010_CLO1767-1_SERV_HOTELEROS_ALIMENTAC_Y_ALQUILER_CAPACITAC_M&amp;E</t>
  </si>
  <si>
    <t>WA017308_CLO1766_SERVICIO_ALQUILER_ESPACIO_ACTIVIDADES_CONSULTORIA_PROYECTO_PBF_CON_ACONC</t>
  </si>
  <si>
    <t>FC000424_CLO0458_DP_SERVICIO_TRANSPORTE_ACTIVIDAD_RDC_PBF</t>
  </si>
  <si>
    <t>FC000421_CLO0459_DP_SERVICI_TRANSPORTE_ACTIVIDAD_CONSULTIRUA M&amp;E</t>
  </si>
  <si>
    <t>FC000423_CLO1762_SERVICIO_TRANSPORTE PARA STAFF PARA ACTIVIDADES DE PROYECTO PBF CON ACONC - PACISFISTA</t>
  </si>
  <si>
    <t>FC000448_CLO1840 _SERVICIO_TRANSPORTE_18-19Y22_CALI-SANTANDER</t>
  </si>
  <si>
    <t>FC000436_CLO1807_SERVICIO_TRANSPORTE_ACTIVIDADES_PROYECTO_PBF_ACONC</t>
  </si>
  <si>
    <t>FC000439_CLO1815_SERVICIO_TRANPOSTE_ACTIVIDAD_PROYECTO_PBF_ACONC</t>
  </si>
  <si>
    <t>FC000944_ALOJAM_H_M.ACUÑA_SDER_QUILICHAO_25_AL_26_03_2022</t>
  </si>
  <si>
    <t>FC261377</t>
  </si>
  <si>
    <t>FC261377_O - OTROS GASTOS_GERARDO_FLETCHER_REUNIÓN COORDINACION PBF - ACTIVIDAD DE CONSULTORIA DE ETNOHISTORIA</t>
  </si>
  <si>
    <t>PTUCO276_T - TRANSPORTE_GERARDO_FLETCHER_REUNIÓN COORDINACION PBF - ACTIVIDAD DE CONSULTORIA DE ETNOHISTORIA</t>
  </si>
  <si>
    <t>PTUCO276_T - TRANSPORTE_GERARDO_FLETCHER_CONSULTORIA DE EVALUACION DE PROYECTOS CONSTRUCCION DE PAZ</t>
  </si>
  <si>
    <t>FC276901</t>
  </si>
  <si>
    <t>FC276901_C - COMBUS_$9280_7,464GL_HTY157_GERARDO_FLETCHER_REUNIÓN COORDINACION PBF - ACTIVIDAD DE CONSULTORIA DE ETNOHISTORIA</t>
  </si>
  <si>
    <t>FC432976</t>
  </si>
  <si>
    <t>FC432976_O - OTROS GASTOS_GERARDO_FLETCHER_CONSULTORIA DE EVALUACION DE PROYECTOS CONSTRUCCION DE PAZ</t>
  </si>
  <si>
    <t>FC423083</t>
  </si>
  <si>
    <t>FC423083_O - OTROS GASTOS_GERARDO_FLETCHER_CONSULTORIA DE EVALUACION DE PROYECTOS CONSTRUCCION DE PAZ</t>
  </si>
  <si>
    <t>FC270388</t>
  </si>
  <si>
    <t>FC270388_O - OTROS GASTOS_GERARDO_FLETCHER_REUNIÓN COORDINACION PBF - ACTIVIDAD DE CONSULTORIA DE ETNOHISTORIA</t>
  </si>
  <si>
    <t>FC002098_CLO1763-2_COMPRA_INSUMOS_PAPELERIA_M&amp;E_ACTIV_SANTAMDER_QUILICHO</t>
  </si>
  <si>
    <t>FC002099_CLO1747-2_COMPRA_INSUMOS_PAPELERIA_M&amp;E_ACTIV_SANTAMDER_QUILICHO</t>
  </si>
  <si>
    <t>FC000431</t>
  </si>
  <si>
    <t>AJUST_6201274_ERROR_BID_FC000431_CLO1767-2_SERVIC_TRANSP_M&amp;E_S_QUILICHAO_3,3/1000_TRANSP_CALI</t>
  </si>
  <si>
    <t>FC000431_CLO1767-2_SERVIC_TRANSP_M&amp;E_S_QUILICHAO_3,3/1000_TRANSP_CALI</t>
  </si>
  <si>
    <t>REINTEGRO_GIRO_NO_COBRADO_CLO1760 _Efecty_Auxilios de transporte para 3 personas para actividades de capacitación del COFY2102 PBF el 24 y 25 de marzo en Santander de Quilichao</t>
  </si>
  <si>
    <t>FC000972_CLO1763-1_SERV_HOTELEROS_ALIMENTAC_CAPACITAC_M&amp;E</t>
  </si>
  <si>
    <t>WA011897_CLO1814 _SERVICIO_ALIMENTACION_PROYECTO_PBF_CON_ACONC</t>
  </si>
  <si>
    <t>WA014811_CLO1778-1_SERV_ALIMENTAC_JORNADA_RDC_S_QUILICHAO</t>
  </si>
  <si>
    <t>WA014812_CLO1747-1_SERVIC_ALIMENTAC_BENEFICI_S_QUILICHAO_</t>
  </si>
  <si>
    <t>WA017308_CLO1766_SERVICIO_ALIMENTACION_ACTIVIDADES_CONSULTORIA_PROYECTO_PBF_CON_ACONC</t>
  </si>
  <si>
    <t>FC0084980_EMO_EXAMEN_MEDICO_INGRESO_M.MAYA</t>
  </si>
  <si>
    <t>Anderson Martinez Moreno</t>
  </si>
  <si>
    <t>P1033681687</t>
  </si>
  <si>
    <t>1033681687 ANDERSON MARTINEZ MORENO</t>
  </si>
  <si>
    <t>RECL_TRANS#1102090_COFM2012_A_COFY2102_SALARY 202112</t>
  </si>
  <si>
    <t>SALARY 202204</t>
  </si>
  <si>
    <t>RECL_TRANS#1200946_COFM2012_A_COFY2102_SALARY 202204</t>
  </si>
  <si>
    <t>RECL_TRANS#1200116_COFM2012_A_COFY2102_SALARY 202201</t>
  </si>
  <si>
    <t>51157059</t>
  </si>
  <si>
    <t>P800248806</t>
  </si>
  <si>
    <t>800248806 PROCAR INVERSIONES SECS</t>
  </si>
  <si>
    <t>FC006809</t>
  </si>
  <si>
    <t>FC006809_CLO1761-2_COMPRA_4_LLANTAS_VEHICULO_INSTITUC_HTY157_</t>
  </si>
  <si>
    <t>V_PV123780_VIATICO_REEMBOLSO_M.ACUÑA_MISION_ACTIVIDADES_CASA_MATRIA</t>
  </si>
  <si>
    <t>PV125684_V_VIATICOS_TANIA_OSPINA_ACOMPAÑ_M&amp;E_PBF_PROTECCION</t>
  </si>
  <si>
    <t>PC125684_V_VIATICOS_TANIA_OSPINA_ACTIVAD_EVALUAC_Y_ACOMPAÑAMIENT</t>
  </si>
  <si>
    <t>PV125684_V_VIATIC_TANIA_OSPINA_CAPACITA_M&amp;E_CONSULTORIA_PBF_RDC</t>
  </si>
  <si>
    <t>María Fernanda Maya Caviedes</t>
  </si>
  <si>
    <t>P34329712</t>
  </si>
  <si>
    <t>34329712 MARIA FERNANDA MAYA CAVIEDES</t>
  </si>
  <si>
    <t>V_PV129170_VIATICO_REEMBOLSO_F.MAYA_MISION_REUNION_SOCIALUZACION_ACONC_</t>
  </si>
  <si>
    <t>PV129170</t>
  </si>
  <si>
    <t>PV129170_V_VIATICOS_FERNANDA_MAYA_REUNION_ACONC_PRESENTACION_SOCIALIZA_CAMBIOS</t>
  </si>
  <si>
    <t>P_VIATICOS_JUDITH PALACIOS_SEGUIMIENTO IMPLEMENTACION PROYECTO</t>
  </si>
  <si>
    <t>P_VIATICO_JUDITH PALACIOS_SEGUIMIENTO IMPLEMENTACION PROYECTO</t>
  </si>
  <si>
    <t>PVCO532_V_VIATICOS_ALEJANDRA_GONZALEZ_ENCUENTRO_M&amp;E_PROTECCION</t>
  </si>
  <si>
    <t>PVCO532</t>
  </si>
  <si>
    <t>PVCO532_V_VIATICOS_ALEJANDRA_GONZALEZ_ENCUENTRO_ESCUELAS_COFY2102</t>
  </si>
  <si>
    <t>PVCO532_V_VIATICOS_ALEJANDRA_GONZALEZ_ENCUENTRO_CONSULTORIA_M&amp;E_</t>
  </si>
  <si>
    <t>V_PV123780_M.ACUÑA_MISION_ACTIVIDADES_PROTECCION_PBF</t>
  </si>
  <si>
    <t>PV125338</t>
  </si>
  <si>
    <t>PV125338_V - VIÁTICOS_HENRY_SAMBONI_Actividad de evaluación PBF</t>
  </si>
  <si>
    <t>PV125684_V_VIATICOS_TANIA_OSPINA_PARTICIPA_CURSO_HEIST</t>
  </si>
  <si>
    <t>PVCO276</t>
  </si>
  <si>
    <t>PVCO276_V - VIÁTICOS_GERARDO_FLETCHER_REUNIÓN COORDINACION PBF - ACTIVIDAD DE CONSULTORIA DE ETNOHISTORIA</t>
  </si>
  <si>
    <t>PVCO276_V - VIÁTICOS_GERARDO_FLETCHER_CONSULTORIA DE EVALUACION DE PROYECTOS CONSTRUCCION DE PAZ</t>
  </si>
  <si>
    <t>FC652360_O_COMPRA_PAPELERI_TANIA_OSPINA_CAPACITA_M&amp;E_CONSULTORIA_PBF_RDC</t>
  </si>
  <si>
    <t>FC465400</t>
  </si>
  <si>
    <t>FC465400_O_PEAJE_URW110__HENRY_SAMBONI_Actividad de evaluación PBF</t>
  </si>
  <si>
    <t>FC462049</t>
  </si>
  <si>
    <t>FC462049_O_PEAJE_URW110__HENRY_SAMBONI_Actividad de evaluación PBF</t>
  </si>
  <si>
    <t>FC001009_ALOJAM_H_T.OSPINA_SDER_QUILICHAO_04_AL_09_04_2022_RETENCION_PROGRESIVA_ZOMAC</t>
  </si>
  <si>
    <t>FC000943_ALOJAM_H_T.OSPINA_SDER_QUILICHAO_24_AL_26_03_2022</t>
  </si>
  <si>
    <t>FC001008_ALOJAM_H_A.GONZALEZ_SDER_QUILICHAO_08_AL_09_04_2022</t>
  </si>
  <si>
    <t>T_PTU123780_TRANSPORTE_REEMBOLSO_M.ACUÑA_MISION_ACTIVIDADES_CASA_MATRIA</t>
  </si>
  <si>
    <t>PTU125684_T_TRANSP_URB_TANIA_OSPINA_CAPACITA_M&amp;E_CONSULTORIA_PBF_RDC</t>
  </si>
  <si>
    <t>PTU125684_T_TRANSP_URB_TANIA_OSPINA_ACTIVAD_EVALUAC_Y_ACOMPAÑAMIENT</t>
  </si>
  <si>
    <t>P_TRANSPORTE_JUDITH PALACIOS_SEGUIMIENTO IMPLEMENTACION PROYECTO</t>
  </si>
  <si>
    <t>PTUCO532_T_TRANSP_URB_ALEJANDRA_GONZALEZ_ENCUENTRO_M&amp;E_PROTECCION</t>
  </si>
  <si>
    <t>PTUCO532</t>
  </si>
  <si>
    <t>PTUCO532_T_TRANSP_URB_ALEJANDRA_GONZALEZ_ENCUENTRO_ESCUELAS_COFY2102</t>
  </si>
  <si>
    <t>FC000442_CLO1778-2_SERVIC_TRANSP_M&amp;E_S_QUILICHAO_3,3/1000_TRANSP_CALI</t>
  </si>
  <si>
    <t>P1113675671</t>
  </si>
  <si>
    <t>1113675671 DANIEL MORENO GONGORA</t>
  </si>
  <si>
    <t>WA014967_O_COMPRA_PAPELERI_TANIA_OSPINA_CAPACITA_M&amp;E_CONSULTORIA_PBF_RDC</t>
  </si>
  <si>
    <t>IVA_CUENTA_1861_202204_CARGUES_WA</t>
  </si>
  <si>
    <t>COMISIONES_CUENTA_1861_202204_CARGUES_WA</t>
  </si>
  <si>
    <t>GASTOS_BANCARIOS_ABRIL_CUENTA_4020</t>
  </si>
  <si>
    <t xml:space="preserve">OH </t>
  </si>
  <si>
    <t>TOTAL EXPENDITURE</t>
  </si>
  <si>
    <t>NRC</t>
  </si>
  <si>
    <t>Expenses  activity allocated to Gender Equality and Women's Empowerment (GEWE) (if any):</t>
  </si>
  <si>
    <t>TRANS_ID</t>
  </si>
  <si>
    <t>Output/ result</t>
  </si>
  <si>
    <t>Budget_id</t>
  </si>
  <si>
    <t>HO &amp; Other COs</t>
  </si>
  <si>
    <t>Head of Programme</t>
  </si>
  <si>
    <t>Bogota (CO)</t>
  </si>
  <si>
    <t>MGT</t>
  </si>
  <si>
    <t>Country Director</t>
  </si>
  <si>
    <t>Head of support</t>
  </si>
  <si>
    <t>Training on HEIST</t>
  </si>
  <si>
    <t>M&amp;E Manager</t>
  </si>
  <si>
    <t>CO190</t>
  </si>
  <si>
    <t>CFM</t>
  </si>
  <si>
    <t>Finance Technical Officer - Budgeting</t>
  </si>
  <si>
    <t>CO131</t>
  </si>
  <si>
    <t>Finance Coordinator - Partnership</t>
  </si>
  <si>
    <t>CO277</t>
  </si>
  <si>
    <t>IM Coordinator</t>
  </si>
  <si>
    <t>CO607</t>
  </si>
  <si>
    <t>Technical Assistant Finance - Parthership</t>
  </si>
  <si>
    <t>Housing rental for international staff</t>
  </si>
  <si>
    <t>ADM</t>
  </si>
  <si>
    <t>Public Services (Water, Electricity, Gas) expats</t>
  </si>
  <si>
    <t>Cleaning</t>
  </si>
  <si>
    <t>Office Supplies</t>
  </si>
  <si>
    <t>Gastos de viaje staff</t>
  </si>
  <si>
    <t>AUDIT</t>
  </si>
  <si>
    <t>TOYOTA PRADO TXT DISEL 5 PUERTAS</t>
  </si>
  <si>
    <t>WA017361_CLO1749-1_SERVICIO_ALQUILER_ESPACIO_PRESENTACION_CONSULTAS_ETNOHISTORIA_PROYECTO_PBF</t>
  </si>
  <si>
    <t>WA011914_CLO1687_SERVICIO_ALQUILER_ESPACIO_PARA_ESCUELA_DE_GUARDIAS_PROYECTOS</t>
  </si>
  <si>
    <t>FC492595_O_PEAJE_HTY157_GERARDO_FLETCHER_Reunion de seguimiento proyecto COFY2102 PBF</t>
  </si>
  <si>
    <t>FC481561_O_PEAJE_HTY157_GERARDO_FLETCHER_Reunion de seguimiento proyecto COFY2102 PBF</t>
  </si>
  <si>
    <t>PTUCO276_T_TRANSPR_GERARDO_FLETCHER_Reunion de seguimiento proyecto COFY2102 PBF</t>
  </si>
  <si>
    <t>P900130916</t>
  </si>
  <si>
    <t>900130916 INVERSIONES SISE GARCIA SCA</t>
  </si>
  <si>
    <t>FC253577_C_COMBUST_4,279GL_$9,350_GERARDO_FLETCHER_Reunion de seguimiento proyecto COFY2102 PBF</t>
  </si>
  <si>
    <t>WA017361_CLO1749-1_SERVICIO_ALIMENTACION_PRESENTACION_CONSULTAS_ETNOHISTORIA_PROYECTO_PBF</t>
  </si>
  <si>
    <t>WA011914_CLO1687_SERVICIO_ALIMENTACION_PARA_ESCUELA_DE_GUARDIAS_PROYECTOS</t>
  </si>
  <si>
    <t>FC002339_CLO0538_DP_COMPRA_UDIFONOS_INALAMBRICOS_ON_EAR_HP500</t>
  </si>
  <si>
    <t>PVCO276_V_VIATICOS_GERARDO_FLETCHER_Reunion de seguimiento proyecto COFY2102 PBF</t>
  </si>
  <si>
    <t>No se categoriza por ser un ajuste Ajuste por error en BID</t>
  </si>
  <si>
    <t>MPTFO Project</t>
  </si>
  <si>
    <t>Agency Project</t>
  </si>
  <si>
    <t>UNDG Expense Category</t>
  </si>
  <si>
    <t>USD Amount</t>
  </si>
  <si>
    <t>NRC_COL_MDTF_202203</t>
  </si>
  <si>
    <t xml:space="preserve">EXPENSES </t>
  </si>
  <si>
    <t>WA017341_CLO1733-13_PAGO 2/4 25%_ JEYDI_ALVAREZ_CONSULTOR RECOLECCIÓN Y DOCUMENTACION DE ETNOHISTORIA EN 5 MICROCUENCAS</t>
  </si>
  <si>
    <t>P1144044360</t>
  </si>
  <si>
    <t>1144044360 KARIME RIOS PIEDRAHITA</t>
  </si>
  <si>
    <t>WA015390_CLO1824-1_KARIME RIOS_SERVIC_TRANSCRIPC_ENTREVISTAS PARA LA CONSULTORÍA DE ETNOHISTORIAS EN LAS 5 MICROCUENCAS ACONC</t>
  </si>
  <si>
    <t>P1151947494</t>
  </si>
  <si>
    <t>1151947494 ELIZABETH CAMARGO ALZATE</t>
  </si>
  <si>
    <t>WA015389_CLO1824-2_ELIZABETH_CAMARGO_SERVIC_TRANSCRIPC_ENTREVISTAS PARA LA CONSULTORÍA DE ETNOHISTORIAS EN LAS 5 MICROCUENCAS ACONC</t>
  </si>
  <si>
    <t>P1144048735</t>
  </si>
  <si>
    <t>1144048735 NATALIA ESCOBAR GARCIA</t>
  </si>
  <si>
    <t>WA015387_CLO1824-3_ NATALIA_ESCOBAR_SERVICIO DE TRANSCRIPCIONES ENTREVISTAS PARA LA CONSULTORÍA DE ETNOHISTORIAS EN LAS 5 MICROCUENCAS ACONC</t>
  </si>
  <si>
    <t>P1112487639</t>
  </si>
  <si>
    <t>1112487639 KELLY YINET GOMEZ SUAREZ</t>
  </si>
  <si>
    <t>WA015386_CLO1824-4_KELLY_GOMEZ_SERVICIO DE TRANSCRIPCIONES ENTREVISTAS PARA LA CONSULTORÍA DE ETNOHISTORIAS EN LAS 5 MICROCUENCAS ACONC</t>
  </si>
  <si>
    <t>P1144040222</t>
  </si>
  <si>
    <t>1144040222 OLGA LUCIA LLANOS MARTINEZ</t>
  </si>
  <si>
    <t>WA015388_CLO1824-5_OLGA_LLANOS_SERVICIO DE TRANSCRIPCIONES ENTREVISTAS PARA LA CONSULTORÍA DE ETNOHISTORIAS EN LAS 5 MICROCUENCAS ACONC</t>
  </si>
  <si>
    <t>A2</t>
  </si>
  <si>
    <t>GL Posting Cucuta (CO)</t>
  </si>
  <si>
    <t>CERI</t>
  </si>
  <si>
    <t>Fabian Andres Guete Uribe</t>
  </si>
  <si>
    <t>P1082894472</t>
  </si>
  <si>
    <t>1082894472 GUETE URIBE FABIAN ANDRES</t>
  </si>
  <si>
    <t>REC_1200947_SALARY 202204</t>
  </si>
  <si>
    <t>V_PV129170_F.MAYA_MISION_REUNION_GERENCIAS_BOGOTA</t>
  </si>
  <si>
    <t>FC809013_TKT_M.MAYA_CLO_BOG_CLO_18_A_19_05_2022</t>
  </si>
  <si>
    <t>T_PTU129170_F.MAYA_MISION_REUNION_GERENCIAS_BOGOTA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</si>
</sst>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quot;* #,##0.00_);_(&quot;$&quot;* \(#,##0.00\);_(&quot;$&quot;* &quot;-&quot;??_);_(@_)"/>
    <numFmt numFmtId="43" formatCode="_(* #,##0.00_);_(* \(#,##0.00\);_(* &quot;-&quot;??_);_(@_)"/>
    <numFmt numFmtId="164" formatCode="_-&quot;$&quot;\ * #,##0.00_-;\-&quot;$&quot;\ * #,##0.00_-;_-&quot;$&quot;\ * &quot;-&quot;??_-;_-@_-"/>
    <numFmt numFmtId="165" formatCode="_-* #,##0.00_-;\-* #,##0.00_-;_-* &quot;-&quot;??_-;_-@_-"/>
    <numFmt numFmtId="166" formatCode="_-* #,##0_-;\-* #,##0_-;_-* &quot;-&quot;??_-;_-@_-"/>
    <numFmt numFmtId="167" formatCode="_(&quot;$&quot;* #,##0_);_(&quot;$&quot;* \(#,##0\);_(&quot;$&quot;* &quot;-&quot;??_);_(@_)"/>
    <numFmt numFmtId="168" formatCode="_(* #,##0.0_);_(* \(#,##0.0\);_(* &quot;-&quot;??_);_(@_)"/>
    <numFmt numFmtId="169" formatCode="_(* #,##0_);_(* \(#,##0\);_(* &quot;-&quot;??_);_(@_)"/>
    <numFmt numFmtId="170" formatCode="0.0\ %"/>
    <numFmt numFmtId="171" formatCode="#,##0.00_ ;[Red]\-#,##0.00\ "/>
    <numFmt numFmtId="172" formatCode="#,##0_ ;[Red]\-#,##0\ "/>
  </numFmts>
  <fonts count="45">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B0F0"/>
      <name val="Calibri"/>
      <family val="2"/>
      <scheme val="minor"/>
    </font>
    <font>
      <b/>
      <sz val="24"/>
      <color rgb="FF00B0F0"/>
      <name val="Calibri"/>
      <family val="2"/>
      <scheme val="minor"/>
    </font>
    <font>
      <sz val="14"/>
      <color theme="1"/>
      <name val="Calibri"/>
      <family val="2"/>
      <scheme val="minor"/>
    </font>
    <font>
      <b/>
      <sz val="14"/>
      <color theme="1"/>
      <name val="Calibri"/>
      <family val="2"/>
      <scheme val="minor"/>
    </font>
    <font>
      <b/>
      <u/>
      <sz val="18"/>
      <color theme="1"/>
      <name val="Calibri"/>
      <family val="2"/>
      <scheme val="minor"/>
    </font>
    <font>
      <i/>
      <sz val="14"/>
      <color theme="1"/>
      <name val="Calibri"/>
      <family val="2"/>
      <scheme val="minor"/>
    </font>
    <font>
      <sz val="8"/>
      <color theme="0"/>
      <name val="Calibri"/>
      <family val="2"/>
      <scheme val="minor"/>
    </font>
    <font>
      <sz val="8"/>
      <color theme="2" tint="-0.89999084444715716"/>
      <name val="Calibri"/>
      <family val="2"/>
      <scheme val="minor"/>
    </font>
    <font>
      <sz val="8"/>
      <color theme="3" tint="-0.249977111117893"/>
      <name val="Calibri"/>
      <family val="2"/>
      <scheme val="minor"/>
    </font>
    <font>
      <sz val="8"/>
      <color theme="2" tint="-0.749992370372631"/>
      <name val="Calibri"/>
      <family val="2"/>
      <scheme val="minor"/>
    </font>
    <font>
      <sz val="8"/>
      <color theme="1"/>
      <name val="Calibri"/>
      <family val="2"/>
      <scheme val="minor"/>
    </font>
    <font>
      <sz val="12"/>
      <color rgb="FF000000"/>
      <name val="Calibri"/>
      <family val="2"/>
    </font>
    <font>
      <b/>
      <sz val="11"/>
      <name val="Arial"/>
      <family val="2"/>
    </font>
    <font>
      <sz val="11"/>
      <name val="Arial"/>
      <family val="2"/>
    </font>
    <font>
      <sz val="12"/>
      <name val="Arial"/>
      <family val="2"/>
    </font>
    <font>
      <b/>
      <sz val="12"/>
      <name val="Arial"/>
      <family val="2"/>
    </font>
    <font>
      <b/>
      <sz val="12"/>
      <color theme="1" tint="4.9989318521683403E-2"/>
      <name val="Arial"/>
      <family val="2"/>
    </font>
    <font>
      <sz val="12"/>
      <color theme="1" tint="4.9989318521683403E-2"/>
      <name val="Arial"/>
      <family val="2"/>
    </font>
    <font>
      <b/>
      <sz val="11"/>
      <color theme="1" tint="4.9989318521683403E-2"/>
      <name val="Arial"/>
      <family val="2"/>
    </font>
    <font>
      <sz val="11"/>
      <color theme="1" tint="4.9989318521683403E-2"/>
      <name val="Arial"/>
      <family val="2"/>
    </font>
    <font>
      <vertAlign val="superscript"/>
      <sz val="14"/>
      <name val="Arial"/>
      <family val="2"/>
    </font>
    <font>
      <sz val="14"/>
      <name val="Arial"/>
      <family val="2"/>
    </font>
    <font>
      <sz val="10"/>
      <name val="Arial"/>
      <family val="2"/>
    </font>
    <font>
      <b/>
      <sz val="12"/>
      <name val="Calibri"/>
      <family val="2"/>
      <scheme val="minor"/>
    </font>
    <font>
      <sz val="10"/>
      <color rgb="FF000000"/>
      <name val="MS Sans Serif"/>
    </font>
    <font>
      <vertAlign val="superscript"/>
      <sz val="11"/>
      <name val="Arial"/>
      <family val="2"/>
    </font>
    <font>
      <sz val="11"/>
      <color theme="0"/>
      <name val="Calibri"/>
      <family val="2"/>
      <scheme val="minor"/>
    </font>
    <font>
      <b/>
      <sz val="10"/>
      <name val="Arial Unicode MS"/>
      <family val="2"/>
    </font>
    <font>
      <sz val="12"/>
      <color theme="0"/>
      <name val="Calibri"/>
      <family val="2"/>
      <scheme val="minor"/>
    </font>
  </fonts>
  <fills count="2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6" tint="0.79998168889431442"/>
        <bgColor indexed="65"/>
      </patternFill>
    </fill>
    <fill>
      <patternFill patternType="solid">
        <fgColor theme="7" tint="0.79998168889431442"/>
        <bgColor indexed="65"/>
      </patternFill>
    </fill>
    <fill>
      <patternFill patternType="solid">
        <fgColor rgb="FF8E0000"/>
        <bgColor indexed="64"/>
      </patternFill>
    </fill>
    <fill>
      <gradientFill degree="225">
        <stop position="0">
          <color rgb="FFFF0000"/>
        </stop>
        <stop position="1">
          <color rgb="FFC00000"/>
        </stop>
      </gradientFill>
    </fill>
    <fill>
      <gradientFill degree="315">
        <stop position="0">
          <color rgb="FFFF0000"/>
        </stop>
        <stop position="1">
          <color rgb="FFC00000"/>
        </stop>
      </gradientFill>
    </fill>
    <fill>
      <patternFill patternType="solid">
        <fgColor theme="3" tint="-0.249977111117893"/>
        <bgColor indexed="64"/>
      </patternFill>
    </fill>
    <fill>
      <patternFill patternType="solid">
        <fgColor theme="3" tint="-0.499984740745262"/>
        <bgColor indexed="64"/>
      </patternFill>
    </fill>
    <fill>
      <patternFill patternType="solid">
        <fgColor theme="2" tint="-0.749992370372631"/>
        <bgColor indexed="64"/>
      </patternFill>
    </fill>
    <fill>
      <patternFill patternType="solid">
        <fgColor rgb="FFE7F0F9"/>
        <bgColor indexed="64"/>
      </patternFill>
    </fill>
    <fill>
      <patternFill patternType="solid">
        <fgColor rgb="FFE5E2D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1" tint="0.34998626667073579"/>
        <bgColor indexed="64"/>
      </patternFill>
    </fill>
    <fill>
      <patternFill patternType="solid">
        <fgColor theme="8" tint="0.59999389629810485"/>
        <bgColor indexed="64"/>
      </patternFill>
    </fill>
  </fills>
  <borders count="9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style="medium">
        <color rgb="FF0066FF"/>
      </left>
      <right style="thin">
        <color rgb="FFFFC000"/>
      </right>
      <top/>
      <bottom/>
      <diagonal/>
    </border>
    <border>
      <left style="thick">
        <color rgb="FFFFC000"/>
      </left>
      <right style="hair">
        <color rgb="FFFFC000"/>
      </right>
      <top style="thick">
        <color rgb="FFFFC000"/>
      </top>
      <bottom style="hair">
        <color indexed="64"/>
      </bottom>
      <diagonal/>
    </border>
    <border>
      <left style="hair">
        <color rgb="FFFFC000"/>
      </left>
      <right style="thick">
        <color rgb="FFFFC000"/>
      </right>
      <top style="thick">
        <color rgb="FFFFC000"/>
      </top>
      <bottom style="hair">
        <color indexed="64"/>
      </bottom>
      <diagonal/>
    </border>
    <border>
      <left/>
      <right style="thin">
        <color rgb="FFFFC000"/>
      </right>
      <top/>
      <bottom/>
      <diagonal/>
    </border>
    <border>
      <left/>
      <right style="medium">
        <color rgb="FF0066FF"/>
      </right>
      <top/>
      <bottom/>
      <diagonal/>
    </border>
    <border>
      <left style="medium">
        <color rgb="FF0066FF"/>
      </left>
      <right style="thin">
        <color rgb="FFFFC000"/>
      </right>
      <top style="medium">
        <color theme="4" tint="-0.24994659260841701"/>
      </top>
      <bottom/>
      <diagonal/>
    </border>
    <border>
      <left style="thin">
        <color rgb="FFFFC000"/>
      </left>
      <right style="thin">
        <color rgb="FFFFC000"/>
      </right>
      <top style="medium">
        <color theme="4" tint="-0.24994659260841701"/>
      </top>
      <bottom/>
      <diagonal/>
    </border>
    <border>
      <left style="thin">
        <color rgb="FFFFC000"/>
      </left>
      <right style="medium">
        <color rgb="FF0066FF"/>
      </right>
      <top style="medium">
        <color theme="4" tint="-0.24994659260841701"/>
      </top>
      <bottom/>
      <diagonal/>
    </border>
    <border>
      <left style="medium">
        <color rgb="FF0066FF"/>
      </left>
      <right/>
      <top/>
      <bottom/>
      <diagonal/>
    </border>
    <border>
      <left style="thin">
        <color rgb="FFFFC000"/>
      </left>
      <right style="thin">
        <color rgb="FFFFC000"/>
      </right>
      <top/>
      <bottom/>
      <diagonal/>
    </border>
    <border>
      <left style="thin">
        <color rgb="FFFFC000"/>
      </left>
      <right style="medium">
        <color rgb="FF0066FF"/>
      </right>
      <top style="medium">
        <color rgb="FF0066FF"/>
      </top>
      <bottom style="thin">
        <color rgb="FFFFC000"/>
      </bottom>
      <diagonal/>
    </border>
    <border>
      <left style="medium">
        <color rgb="FF0066FF"/>
      </left>
      <right style="thin">
        <color rgb="FFFFC000"/>
      </right>
      <top style="hair">
        <color theme="0" tint="-0.499984740745262"/>
      </top>
      <bottom/>
      <diagonal/>
    </border>
    <border>
      <left style="thin">
        <color rgb="FFFFC000"/>
      </left>
      <right/>
      <top style="hair">
        <color indexed="64"/>
      </top>
      <bottom/>
      <diagonal/>
    </border>
    <border>
      <left style="thin">
        <color rgb="FFFFC000"/>
      </left>
      <right style="hair">
        <color rgb="FFFFC000"/>
      </right>
      <top style="hair">
        <color indexed="64"/>
      </top>
      <bottom/>
      <diagonal/>
    </border>
    <border>
      <left style="hair">
        <color rgb="FFFFC000"/>
      </left>
      <right style="thin">
        <color rgb="FFFFC000"/>
      </right>
      <top style="hair">
        <color indexed="64"/>
      </top>
      <bottom/>
      <diagonal/>
    </border>
    <border>
      <left/>
      <right style="thin">
        <color rgb="FFFFC000"/>
      </right>
      <top style="hair">
        <color indexed="64"/>
      </top>
      <bottom/>
      <diagonal/>
    </border>
    <border>
      <left style="thin">
        <color rgb="FFFFC000"/>
      </left>
      <right style="thin">
        <color rgb="FFFFC000"/>
      </right>
      <top style="hair">
        <color indexed="64"/>
      </top>
      <bottom/>
      <diagonal/>
    </border>
    <border>
      <left style="thin">
        <color rgb="FFFFC000"/>
      </left>
      <right style="medium">
        <color rgb="FF0066FF"/>
      </right>
      <top style="hair">
        <color indexed="64"/>
      </top>
      <bottom/>
      <diagonal/>
    </border>
    <border>
      <left style="medium">
        <color rgb="FF0066FF"/>
      </left>
      <right style="thin">
        <color rgb="FFFFC000"/>
      </right>
      <top style="hair">
        <color indexed="64"/>
      </top>
      <bottom/>
      <diagonal/>
    </border>
    <border>
      <left/>
      <right style="medium">
        <color rgb="FF0066FF"/>
      </right>
      <top style="hair">
        <color indexed="64"/>
      </top>
      <bottom/>
      <diagonal/>
    </border>
    <border>
      <left style="thin">
        <color rgb="FF000000"/>
      </left>
      <right style="thin">
        <color rgb="FF000000"/>
      </right>
      <top style="thin">
        <color rgb="FF000000"/>
      </top>
      <bottom style="thin">
        <color rgb="FF000000"/>
      </bottom>
      <diagonal/>
    </border>
    <border>
      <left/>
      <right style="thin">
        <color rgb="FFFFC000"/>
      </right>
      <top style="hair">
        <color theme="0" tint="-0.499984740745262"/>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s>
  <cellStyleXfs count="7">
    <xf numFmtId="0" fontId="0" fillId="0" borderId="0"/>
    <xf numFmtId="44"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0" fontId="4" fillId="7" borderId="0" applyNumberFormat="0" applyBorder="0" applyAlignment="0" applyProtection="0"/>
    <xf numFmtId="0" fontId="4" fillId="8" borderId="0" applyNumberFormat="0" applyBorder="0" applyAlignment="0" applyProtection="0"/>
    <xf numFmtId="0" fontId="38" fillId="0" borderId="0"/>
  </cellStyleXfs>
  <cellXfs count="558">
    <xf numFmtId="0" fontId="0" fillId="0" borderId="0" xfId="0"/>
    <xf numFmtId="0" fontId="2" fillId="0" borderId="0" xfId="0" applyFont="1" applyAlignment="1">
      <alignment vertical="center" wrapText="1"/>
    </xf>
    <xf numFmtId="0" fontId="2" fillId="0" borderId="0" xfId="0" applyFont="1" applyAlignment="1" applyProtection="1">
      <alignment vertical="center" wrapText="1"/>
      <protection locked="0"/>
    </xf>
    <xf numFmtId="0" fontId="6" fillId="0" borderId="0" xfId="0" applyFont="1" applyAlignment="1">
      <alignment vertical="center" wrapText="1"/>
    </xf>
    <xf numFmtId="0" fontId="2" fillId="3" borderId="0" xfId="0" applyFont="1" applyFill="1" applyAlignment="1">
      <alignment vertical="center" wrapText="1"/>
    </xf>
    <xf numFmtId="0" fontId="0" fillId="0" borderId="23" xfId="0" applyBorder="1"/>
    <xf numFmtId="0" fontId="0" fillId="0" borderId="24" xfId="0" applyBorder="1" applyAlignment="1">
      <alignment wrapText="1"/>
    </xf>
    <xf numFmtId="0" fontId="0" fillId="0" borderId="25" xfId="0" applyBorder="1" applyAlignment="1">
      <alignment wrapText="1"/>
    </xf>
    <xf numFmtId="0" fontId="3" fillId="0" borderId="6" xfId="0" applyFont="1" applyBorder="1"/>
    <xf numFmtId="44" fontId="2" fillId="0" borderId="0" xfId="0" applyNumberFormat="1" applyFont="1" applyAlignment="1">
      <alignment vertical="center" wrapText="1"/>
    </xf>
    <xf numFmtId="9" fontId="2" fillId="2" borderId="9" xfId="2" applyFont="1" applyFill="1" applyBorder="1" applyAlignment="1">
      <alignment vertical="center" wrapText="1"/>
    </xf>
    <xf numFmtId="0" fontId="2" fillId="2" borderId="13" xfId="0" applyFont="1" applyFill="1" applyBorder="1" applyAlignment="1">
      <alignment vertical="center" wrapText="1"/>
    </xf>
    <xf numFmtId="0" fontId="2" fillId="3" borderId="0" xfId="0" applyFont="1" applyFill="1" applyAlignment="1" applyProtection="1">
      <alignment vertical="center" wrapText="1"/>
      <protection locked="0"/>
    </xf>
    <xf numFmtId="44" fontId="10" fillId="0" borderId="0" xfId="1" applyFont="1" applyFill="1" applyBorder="1" applyAlignment="1" applyProtection="1">
      <alignment vertical="center" wrapText="1"/>
    </xf>
    <xf numFmtId="44" fontId="2" fillId="2" borderId="3" xfId="1" applyFont="1" applyFill="1" applyBorder="1" applyAlignment="1" applyProtection="1">
      <alignment horizontal="center" vertical="center" wrapText="1"/>
    </xf>
    <xf numFmtId="0" fontId="7" fillId="2" borderId="8" xfId="0" applyFont="1" applyFill="1" applyBorder="1" applyAlignment="1">
      <alignment vertical="center" wrapText="1"/>
    </xf>
    <xf numFmtId="44" fontId="7" fillId="3" borderId="0" xfId="1" applyFont="1" applyFill="1" applyBorder="1" applyAlignment="1" applyProtection="1">
      <alignment vertical="center" wrapText="1"/>
    </xf>
    <xf numFmtId="44" fontId="2" fillId="2" borderId="5" xfId="1" applyFont="1" applyFill="1" applyBorder="1" applyAlignment="1" applyProtection="1">
      <alignment horizontal="center"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7" fillId="2" borderId="13" xfId="0" applyFont="1" applyFill="1" applyBorder="1" applyAlignment="1">
      <alignment vertical="center" wrapText="1"/>
    </xf>
    <xf numFmtId="0" fontId="7" fillId="2" borderId="8" xfId="0" applyFont="1" applyFill="1" applyBorder="1" applyAlignment="1" applyProtection="1">
      <alignment vertical="center" wrapText="1"/>
      <protection locked="0"/>
    </xf>
    <xf numFmtId="44" fontId="2" fillId="3" borderId="0" xfId="0" applyNumberFormat="1" applyFont="1" applyFill="1" applyAlignment="1">
      <alignment vertical="center" wrapText="1"/>
    </xf>
    <xf numFmtId="0" fontId="0" fillId="3" borderId="0" xfId="0" applyFill="1" applyAlignment="1">
      <alignment horizontal="center" vertical="center" wrapText="1"/>
    </xf>
    <xf numFmtId="0" fontId="12" fillId="0" borderId="0" xfId="0" applyFont="1" applyAlignment="1">
      <alignment wrapText="1"/>
    </xf>
    <xf numFmtId="0" fontId="13" fillId="0" borderId="0" xfId="0" applyFont="1" applyAlignment="1">
      <alignment wrapText="1"/>
    </xf>
    <xf numFmtId="0" fontId="0" fillId="0" borderId="0" xfId="0" applyAlignment="1">
      <alignment wrapText="1"/>
    </xf>
    <xf numFmtId="0" fontId="0" fillId="3" borderId="0" xfId="0" applyFill="1" applyAlignment="1">
      <alignment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44" fontId="2" fillId="3" borderId="0" xfId="2" applyNumberFormat="1" applyFont="1" applyFill="1" applyBorder="1" applyAlignment="1">
      <alignment wrapText="1"/>
    </xf>
    <xf numFmtId="0" fontId="2" fillId="3" borderId="0" xfId="0" applyFont="1" applyFill="1" applyAlignment="1">
      <alignment horizontal="left" wrapText="1"/>
    </xf>
    <xf numFmtId="44" fontId="2" fillId="0" borderId="0" xfId="1" applyFont="1" applyFill="1" applyBorder="1" applyAlignment="1" applyProtection="1">
      <alignment vertical="center" wrapText="1"/>
    </xf>
    <xf numFmtId="44" fontId="2" fillId="0" borderId="0" xfId="1" applyFont="1" applyFill="1" applyBorder="1" applyAlignment="1" applyProtection="1">
      <alignment horizontal="center" vertical="center"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44" fontId="2" fillId="2" borderId="3" xfId="0" applyNumberFormat="1" applyFont="1" applyFill="1" applyBorder="1" applyAlignment="1">
      <alignment horizontal="center" wrapText="1"/>
    </xf>
    <xf numFmtId="0" fontId="5" fillId="3" borderId="0" xfId="0" applyFont="1" applyFill="1" applyAlignment="1">
      <alignment wrapText="1"/>
    </xf>
    <xf numFmtId="44" fontId="2" fillId="4" borderId="3" xfId="1" applyFont="1" applyFill="1" applyBorder="1" applyAlignment="1" applyProtection="1">
      <alignment wrapText="1"/>
    </xf>
    <xf numFmtId="44" fontId="2" fillId="0" borderId="0" xfId="0" applyNumberFormat="1" applyFont="1" applyAlignment="1">
      <alignment wrapText="1"/>
    </xf>
    <xf numFmtId="44" fontId="6" fillId="0" borderId="0" xfId="1" applyFont="1" applyFill="1" applyBorder="1" applyAlignment="1">
      <alignment horizontal="right" vertical="center" wrapText="1"/>
    </xf>
    <xf numFmtId="0" fontId="2" fillId="2" borderId="40" xfId="0" applyFont="1" applyFill="1" applyBorder="1" applyAlignment="1">
      <alignment horizontal="center" wrapText="1"/>
    </xf>
    <xf numFmtId="44" fontId="2" fillId="2" borderId="3" xfId="0" applyNumberFormat="1" applyFont="1" applyFill="1" applyBorder="1" applyAlignment="1">
      <alignment wrapText="1"/>
    </xf>
    <xf numFmtId="0" fontId="6" fillId="2" borderId="40" xfId="0" applyFont="1" applyFill="1" applyBorder="1" applyAlignment="1">
      <alignment vertical="center" wrapText="1"/>
    </xf>
    <xf numFmtId="44" fontId="2" fillId="2" borderId="40" xfId="0" applyNumberFormat="1" applyFont="1" applyFill="1" applyBorder="1" applyAlignment="1">
      <alignment wrapText="1"/>
    </xf>
    <xf numFmtId="0" fontId="2" fillId="2" borderId="14" xfId="0" applyFont="1" applyFill="1" applyBorder="1" applyAlignment="1">
      <alignment horizontal="left" wrapText="1"/>
    </xf>
    <xf numFmtId="44" fontId="2" fillId="2" borderId="14" xfId="0" applyNumberFormat="1" applyFont="1" applyFill="1" applyBorder="1" applyAlignment="1">
      <alignment horizontal="center" wrapText="1"/>
    </xf>
    <xf numFmtId="44" fontId="2" fillId="2" borderId="14" xfId="0" applyNumberFormat="1" applyFont="1" applyFill="1" applyBorder="1" applyAlignment="1">
      <alignment wrapText="1"/>
    </xf>
    <xf numFmtId="44" fontId="2" fillId="4" borderId="3" xfId="1" applyFont="1" applyFill="1" applyBorder="1" applyAlignment="1">
      <alignment wrapText="1"/>
    </xf>
    <xf numFmtId="44" fontId="2" fillId="3" borderId="4" xfId="1" applyFont="1" applyFill="1" applyBorder="1" applyAlignment="1" applyProtection="1">
      <alignment wrapText="1"/>
    </xf>
    <xf numFmtId="44" fontId="2" fillId="3" borderId="1" xfId="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44" fontId="2" fillId="2" borderId="39" xfId="0" applyNumberFormat="1" applyFont="1" applyFill="1" applyBorder="1" applyAlignment="1">
      <alignment wrapText="1"/>
    </xf>
    <xf numFmtId="44" fontId="2" fillId="2" borderId="9" xfId="0" applyNumberFormat="1" applyFont="1" applyFill="1" applyBorder="1" applyAlignment="1">
      <alignment wrapText="1"/>
    </xf>
    <xf numFmtId="44" fontId="2" fillId="2" borderId="15" xfId="0" applyNumberFormat="1" applyFont="1" applyFill="1" applyBorder="1" applyAlignment="1">
      <alignment wrapText="1"/>
    </xf>
    <xf numFmtId="0" fontId="2" fillId="2" borderId="11" xfId="0" applyFont="1" applyFill="1" applyBorder="1" applyAlignment="1">
      <alignment horizontal="center" wrapText="1"/>
    </xf>
    <xf numFmtId="44" fontId="2" fillId="2" borderId="33" xfId="1" applyFont="1" applyFill="1" applyBorder="1" applyAlignment="1">
      <alignment wrapText="1"/>
    </xf>
    <xf numFmtId="44" fontId="2" fillId="2" borderId="34" xfId="0" applyNumberFormat="1" applyFont="1" applyFill="1" applyBorder="1" applyAlignment="1">
      <alignment wrapText="1"/>
    </xf>
    <xf numFmtId="0" fontId="5" fillId="0" borderId="0" xfId="0" applyFont="1"/>
    <xf numFmtId="0" fontId="14" fillId="0" borderId="0" xfId="0" applyFont="1"/>
    <xf numFmtId="49" fontId="0" fillId="0" borderId="0" xfId="0" applyNumberFormat="1"/>
    <xf numFmtId="0" fontId="14" fillId="0" borderId="0" xfId="0" applyFont="1" applyAlignment="1">
      <alignment vertical="center"/>
    </xf>
    <xf numFmtId="49" fontId="15" fillId="0" borderId="0" xfId="0" applyNumberFormat="1" applyFont="1" applyAlignment="1">
      <alignment horizontal="left"/>
    </xf>
    <xf numFmtId="49" fontId="15"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44" fontId="0" fillId="2" borderId="15" xfId="0" applyNumberFormat="1" applyFill="1" applyBorder="1" applyAlignment="1">
      <alignment vertical="center"/>
    </xf>
    <xf numFmtId="0" fontId="2" fillId="2" borderId="3" xfId="0" applyFont="1" applyFill="1" applyBorder="1" applyAlignment="1">
      <alignment vertical="center" wrapText="1"/>
    </xf>
    <xf numFmtId="44" fontId="2" fillId="2" borderId="4" xfId="1" applyFont="1" applyFill="1" applyBorder="1" applyAlignment="1" applyProtection="1">
      <alignment vertical="center" wrapText="1"/>
    </xf>
    <xf numFmtId="44" fontId="2" fillId="2" borderId="14" xfId="1" applyFont="1" applyFill="1" applyBorder="1" applyAlignment="1" applyProtection="1">
      <alignment vertical="center" wrapText="1"/>
    </xf>
    <xf numFmtId="44" fontId="2" fillId="2" borderId="38" xfId="1" applyFont="1" applyFill="1" applyBorder="1" applyAlignment="1" applyProtection="1">
      <alignment vertical="center" wrapText="1"/>
    </xf>
    <xf numFmtId="9" fontId="2" fillId="2" borderId="15" xfId="2" applyFont="1" applyFill="1" applyBorder="1" applyAlignment="1" applyProtection="1">
      <alignment vertical="center" wrapText="1"/>
    </xf>
    <xf numFmtId="0" fontId="3" fillId="2" borderId="29" xfId="0" applyFont="1" applyFill="1" applyBorder="1" applyAlignment="1">
      <alignment horizontal="left" vertical="center" wrapText="1"/>
    </xf>
    <xf numFmtId="44" fontId="2" fillId="2" borderId="17" xfId="0" applyNumberFormat="1" applyFont="1" applyFill="1" applyBorder="1" applyAlignment="1">
      <alignment vertical="center" wrapText="1"/>
    </xf>
    <xf numFmtId="0" fontId="3" fillId="2" borderId="8" xfId="0" applyFont="1" applyFill="1" applyBorder="1" applyAlignment="1">
      <alignment horizontal="left" vertical="center" wrapText="1"/>
    </xf>
    <xf numFmtId="4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0" fontId="2" fillId="2" borderId="40"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lignment vertical="center" wrapText="1"/>
    </xf>
    <xf numFmtId="44" fontId="2" fillId="2" borderId="41" xfId="1" applyFont="1" applyFill="1" applyBorder="1" applyAlignment="1" applyProtection="1">
      <alignment vertical="center" wrapText="1"/>
    </xf>
    <xf numFmtId="44" fontId="2" fillId="4" borderId="3" xfId="1" applyFont="1" applyFill="1" applyBorder="1" applyAlignment="1" applyProtection="1">
      <alignment vertical="center" wrapText="1"/>
    </xf>
    <xf numFmtId="0" fontId="2" fillId="2" borderId="3" xfId="1" applyNumberFormat="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0" fontId="2" fillId="4" borderId="43" xfId="0" applyFont="1" applyFill="1" applyBorder="1" applyAlignment="1">
      <alignment vertical="center" wrapText="1"/>
    </xf>
    <xf numFmtId="44" fontId="2" fillId="2" borderId="2" xfId="1" applyFont="1" applyFill="1" applyBorder="1" applyAlignment="1" applyProtection="1">
      <alignment horizontal="center" vertical="center" wrapText="1"/>
    </xf>
    <xf numFmtId="0" fontId="2" fillId="2" borderId="2" xfId="1" applyNumberFormat="1" applyFont="1" applyFill="1" applyBorder="1" applyAlignment="1" applyProtection="1">
      <alignment vertical="center" wrapText="1"/>
    </xf>
    <xf numFmtId="44" fontId="2" fillId="2" borderId="50" xfId="1" applyFont="1" applyFill="1" applyBorder="1" applyAlignment="1" applyProtection="1">
      <alignment vertical="center" wrapText="1"/>
    </xf>
    <xf numFmtId="44" fontId="2" fillId="2" borderId="0" xfId="1" applyFont="1" applyFill="1" applyBorder="1" applyAlignment="1">
      <alignment wrapText="1"/>
    </xf>
    <xf numFmtId="44" fontId="2" fillId="2" borderId="53" xfId="1" applyFont="1" applyFill="1" applyBorder="1" applyAlignment="1">
      <alignment wrapText="1"/>
    </xf>
    <xf numFmtId="0" fontId="7" fillId="2" borderId="35" xfId="0" applyFont="1" applyFill="1" applyBorder="1" applyAlignment="1">
      <alignment vertical="center" wrapText="1"/>
    </xf>
    <xf numFmtId="44" fontId="2" fillId="2" borderId="12" xfId="0" applyNumberFormat="1" applyFont="1" applyFill="1" applyBorder="1" applyAlignment="1">
      <alignment wrapText="1"/>
    </xf>
    <xf numFmtId="44" fontId="2" fillId="2" borderId="13" xfId="1" applyFont="1" applyFill="1" applyBorder="1" applyAlignment="1" applyProtection="1">
      <alignment wrapText="1"/>
    </xf>
    <xf numFmtId="44" fontId="2" fillId="2" borderId="26" xfId="1" applyFont="1" applyFill="1" applyBorder="1" applyAlignment="1">
      <alignment wrapText="1"/>
    </xf>
    <xf numFmtId="44" fontId="2" fillId="2" borderId="21" xfId="0" applyNumberFormat="1" applyFont="1" applyFill="1" applyBorder="1" applyAlignment="1">
      <alignment wrapText="1"/>
    </xf>
    <xf numFmtId="0" fontId="2" fillId="2" borderId="28" xfId="0" applyFont="1" applyFill="1" applyBorder="1" applyAlignment="1">
      <alignment wrapText="1"/>
    </xf>
    <xf numFmtId="0" fontId="2" fillId="2" borderId="52" xfId="0" applyFont="1" applyFill="1" applyBorder="1" applyAlignment="1">
      <alignment horizontal="center" wrapText="1"/>
    </xf>
    <xf numFmtId="44" fontId="2" fillId="2" borderId="2" xfId="0" applyNumberFormat="1" applyFont="1" applyFill="1" applyBorder="1" applyAlignment="1">
      <alignment horizontal="center" wrapText="1"/>
    </xf>
    <xf numFmtId="0" fontId="16" fillId="0" borderId="0" xfId="0" applyFont="1" applyAlignment="1">
      <alignment wrapText="1"/>
    </xf>
    <xf numFmtId="9" fontId="2" fillId="3" borderId="9" xfId="2" applyFont="1" applyFill="1" applyBorder="1" applyAlignment="1" applyProtection="1">
      <alignment vertical="center" wrapText="1"/>
      <protection locked="0"/>
    </xf>
    <xf numFmtId="9" fontId="2" fillId="3" borderId="32" xfId="2" applyFont="1" applyFill="1" applyBorder="1" applyAlignment="1" applyProtection="1">
      <alignment vertical="center" wrapText="1"/>
      <protection locked="0"/>
    </xf>
    <xf numFmtId="10" fontId="2" fillId="2" borderId="9" xfId="2" applyNumberFormat="1" applyFont="1" applyFill="1" applyBorder="1" applyAlignment="1" applyProtection="1">
      <alignment wrapText="1"/>
    </xf>
    <xf numFmtId="44" fontId="2" fillId="3" borderId="0" xfId="1" applyFont="1" applyFill="1" applyBorder="1" applyAlignment="1" applyProtection="1">
      <alignment vertical="center" wrapText="1"/>
      <protection locked="0"/>
    </xf>
    <xf numFmtId="44" fontId="0" fillId="0" borderId="0" xfId="1" applyFont="1" applyBorder="1" applyAlignment="1">
      <alignment wrapText="1"/>
    </xf>
    <xf numFmtId="44" fontId="2" fillId="3" borderId="0" xfId="1" applyFont="1" applyFill="1" applyBorder="1" applyAlignment="1">
      <alignment vertical="center" wrapText="1"/>
    </xf>
    <xf numFmtId="44" fontId="2" fillId="3" borderId="0" xfId="1" applyFont="1" applyFill="1" applyBorder="1" applyAlignment="1" applyProtection="1">
      <alignment horizontal="center" vertical="center" wrapText="1"/>
    </xf>
    <xf numFmtId="44" fontId="0" fillId="0" borderId="0" xfId="1" applyFont="1" applyFill="1" applyBorder="1" applyAlignment="1">
      <alignment wrapText="1"/>
    </xf>
    <xf numFmtId="44" fontId="13" fillId="0" borderId="0" xfId="1" applyFont="1" applyBorder="1" applyAlignment="1">
      <alignment wrapText="1"/>
    </xf>
    <xf numFmtId="44" fontId="2" fillId="2" borderId="29" xfId="0" applyNumberFormat="1" applyFont="1" applyFill="1" applyBorder="1" applyAlignment="1">
      <alignment vertical="center" wrapText="1"/>
    </xf>
    <xf numFmtId="0" fontId="3" fillId="2" borderId="13" xfId="0" applyFont="1" applyFill="1" applyBorder="1" applyAlignment="1">
      <alignment wrapText="1"/>
    </xf>
    <xf numFmtId="9" fontId="3" fillId="2" borderId="15" xfId="2" applyFont="1" applyFill="1" applyBorder="1" applyAlignment="1">
      <alignment wrapText="1"/>
    </xf>
    <xf numFmtId="0" fontId="0" fillId="2" borderId="14" xfId="0" applyFill="1" applyBorder="1"/>
    <xf numFmtId="0" fontId="0" fillId="2" borderId="15" xfId="0" applyFill="1" applyBorder="1"/>
    <xf numFmtId="0" fontId="1" fillId="2" borderId="3" xfId="0" applyFont="1" applyFill="1" applyBorder="1" applyAlignment="1">
      <alignment horizontal="center" vertical="center" wrapText="1"/>
    </xf>
    <xf numFmtId="44" fontId="2" fillId="3" borderId="3" xfId="1" applyFont="1" applyFill="1" applyBorder="1" applyAlignment="1" applyProtection="1">
      <alignment horizontal="center" vertical="center" wrapText="1"/>
    </xf>
    <xf numFmtId="44" fontId="0" fillId="0" borderId="0" xfId="1" applyFont="1" applyFill="1" applyBorder="1" applyAlignment="1">
      <alignment vertical="center" wrapText="1"/>
    </xf>
    <xf numFmtId="9" fontId="3" fillId="0" borderId="0" xfId="2" applyFont="1" applyFill="1" applyBorder="1" applyAlignment="1">
      <alignment wrapText="1"/>
    </xf>
    <xf numFmtId="0" fontId="11" fillId="6" borderId="6" xfId="0" applyFont="1" applyFill="1" applyBorder="1" applyAlignment="1">
      <alignment vertical="top" wrapText="1"/>
    </xf>
    <xf numFmtId="0" fontId="2" fillId="0" borderId="3" xfId="0" applyFont="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165" fontId="1" fillId="0" borderId="3" xfId="3" applyFont="1" applyBorder="1" applyAlignment="1" applyProtection="1">
      <alignment horizontal="center" vertical="center" wrapText="1"/>
      <protection locked="0"/>
    </xf>
    <xf numFmtId="9" fontId="0" fillId="0" borderId="3" xfId="2" applyFont="1" applyBorder="1" applyAlignment="1" applyProtection="1">
      <alignment horizontal="center" vertical="center" wrapText="1"/>
      <protection locked="0"/>
    </xf>
    <xf numFmtId="166" fontId="2" fillId="2" borderId="15" xfId="3" applyNumberFormat="1" applyFont="1" applyFill="1" applyBorder="1" applyAlignment="1" applyProtection="1">
      <alignment vertical="center" wrapText="1"/>
    </xf>
    <xf numFmtId="167" fontId="2" fillId="2" borderId="14" xfId="1" applyNumberFormat="1" applyFont="1" applyFill="1" applyBorder="1" applyAlignment="1" applyProtection="1">
      <alignment vertical="center" wrapText="1"/>
    </xf>
    <xf numFmtId="167" fontId="2" fillId="2" borderId="3" xfId="1" applyNumberFormat="1" applyFont="1" applyFill="1" applyBorder="1" applyAlignment="1" applyProtection="1">
      <alignment vertical="center" wrapText="1"/>
    </xf>
    <xf numFmtId="167" fontId="2" fillId="2" borderId="5" xfId="1" applyNumberFormat="1" applyFont="1" applyFill="1" applyBorder="1" applyAlignment="1" applyProtection="1">
      <alignment vertical="center" wrapText="1"/>
    </xf>
    <xf numFmtId="167" fontId="2" fillId="2" borderId="14" xfId="1" applyNumberFormat="1" applyFont="1" applyFill="1" applyBorder="1" applyAlignment="1">
      <alignment wrapText="1"/>
    </xf>
    <xf numFmtId="167" fontId="2" fillId="2" borderId="15" xfId="1" applyNumberFormat="1" applyFont="1" applyFill="1" applyBorder="1" applyAlignment="1">
      <alignment wrapText="1"/>
    </xf>
    <xf numFmtId="0" fontId="22" fillId="9" borderId="58" xfId="0" applyFont="1" applyFill="1" applyBorder="1" applyAlignment="1">
      <alignment horizontal="left" vertical="center" wrapText="1"/>
    </xf>
    <xf numFmtId="0" fontId="22" fillId="9" borderId="0" xfId="0" applyFont="1" applyFill="1" applyAlignment="1">
      <alignment horizontal="left" vertical="center" wrapText="1"/>
    </xf>
    <xf numFmtId="0" fontId="22" fillId="10" borderId="59" xfId="0" applyFont="1" applyFill="1" applyBorder="1" applyAlignment="1">
      <alignment horizontal="left" vertical="top" wrapText="1"/>
    </xf>
    <xf numFmtId="0" fontId="22" fillId="11" borderId="60" xfId="0" applyFont="1" applyFill="1" applyBorder="1" applyAlignment="1">
      <alignment horizontal="left" vertical="top" wrapText="1"/>
    </xf>
    <xf numFmtId="0" fontId="22" fillId="9" borderId="61" xfId="0" applyFont="1" applyFill="1" applyBorder="1" applyAlignment="1">
      <alignment horizontal="left" vertical="top" wrapText="1"/>
    </xf>
    <xf numFmtId="0" fontId="22" fillId="9" borderId="61" xfId="0" applyFont="1" applyFill="1" applyBorder="1" applyAlignment="1">
      <alignment horizontal="center" vertical="top" wrapText="1"/>
    </xf>
    <xf numFmtId="0" fontId="22" fillId="9" borderId="62" xfId="0" applyFont="1" applyFill="1" applyBorder="1" applyAlignment="1">
      <alignment horizontal="center" vertical="center" wrapText="1"/>
    </xf>
    <xf numFmtId="0" fontId="22" fillId="12" borderId="63" xfId="0" applyFont="1" applyFill="1" applyBorder="1" applyAlignment="1">
      <alignment horizontal="left" vertical="top" wrapText="1"/>
    </xf>
    <xf numFmtId="0" fontId="22" fillId="12" borderId="64" xfId="0" applyFont="1" applyFill="1" applyBorder="1" applyAlignment="1">
      <alignment horizontal="center" vertical="top" wrapText="1"/>
    </xf>
    <xf numFmtId="0" fontId="22" fillId="12" borderId="64" xfId="0" applyFont="1" applyFill="1" applyBorder="1" applyAlignment="1">
      <alignment horizontal="left" vertical="top" wrapText="1"/>
    </xf>
    <xf numFmtId="0" fontId="22" fillId="12" borderId="64" xfId="0" applyFont="1" applyFill="1" applyBorder="1" applyAlignment="1">
      <alignment horizontal="left" vertical="center" wrapText="1"/>
    </xf>
    <xf numFmtId="49" fontId="22" fillId="12" borderId="64" xfId="0" applyNumberFormat="1" applyFont="1" applyFill="1" applyBorder="1" applyAlignment="1">
      <alignment horizontal="left" vertical="center" wrapText="1"/>
    </xf>
    <xf numFmtId="49" fontId="22" fillId="13" borderId="64" xfId="0" applyNumberFormat="1" applyFont="1" applyFill="1" applyBorder="1" applyAlignment="1">
      <alignment horizontal="left" vertical="center" wrapText="1"/>
    </xf>
    <xf numFmtId="0" fontId="22" fillId="12" borderId="65" xfId="0" applyFont="1" applyFill="1" applyBorder="1" applyAlignment="1">
      <alignment horizontal="left" vertical="center" wrapText="1"/>
    </xf>
    <xf numFmtId="0" fontId="22" fillId="14" borderId="66" xfId="0" applyFont="1" applyFill="1" applyBorder="1" applyAlignment="1">
      <alignment horizontal="left" vertical="center" wrapText="1"/>
    </xf>
    <xf numFmtId="0" fontId="22" fillId="14" borderId="67" xfId="0" applyFont="1" applyFill="1" applyBorder="1" applyAlignment="1">
      <alignment horizontal="left" vertical="center" wrapText="1"/>
    </xf>
    <xf numFmtId="0" fontId="22" fillId="14" borderId="68" xfId="0" applyFont="1" applyFill="1" applyBorder="1" applyAlignment="1">
      <alignment horizontal="left" vertical="center" wrapText="1"/>
    </xf>
    <xf numFmtId="0" fontId="23" fillId="0" borderId="69" xfId="0" applyFont="1" applyBorder="1" applyAlignment="1" applyProtection="1">
      <alignment wrapText="1"/>
      <protection locked="0"/>
    </xf>
    <xf numFmtId="0" fontId="23" fillId="0" borderId="70" xfId="0" applyFont="1" applyBorder="1" applyAlignment="1" applyProtection="1">
      <alignment wrapText="1"/>
      <protection locked="0"/>
    </xf>
    <xf numFmtId="0" fontId="23" fillId="0" borderId="71" xfId="0" applyFont="1" applyBorder="1" applyAlignment="1" applyProtection="1">
      <alignment horizontal="center" wrapText="1"/>
      <protection locked="0"/>
    </xf>
    <xf numFmtId="0" fontId="23" fillId="0" borderId="72" xfId="0" applyFont="1" applyBorder="1" applyAlignment="1" applyProtection="1">
      <alignment horizontal="center" wrapText="1"/>
      <protection locked="0"/>
    </xf>
    <xf numFmtId="0" fontId="23" fillId="0" borderId="73" xfId="0" applyFont="1" applyBorder="1" applyAlignment="1" applyProtection="1">
      <alignment wrapText="1"/>
      <protection locked="0"/>
    </xf>
    <xf numFmtId="168" fontId="23" fillId="0" borderId="74" xfId="3" applyNumberFormat="1" applyFont="1" applyBorder="1" applyAlignment="1" applyProtection="1">
      <alignment wrapText="1"/>
      <protection locked="0"/>
    </xf>
    <xf numFmtId="0" fontId="23" fillId="0" borderId="74" xfId="0" applyFont="1" applyBorder="1" applyAlignment="1" applyProtection="1">
      <alignment horizontal="center" wrapText="1"/>
      <protection locked="0"/>
    </xf>
    <xf numFmtId="169" fontId="23" fillId="0" borderId="74" xfId="3" applyNumberFormat="1" applyFont="1" applyBorder="1" applyAlignment="1" applyProtection="1">
      <alignment wrapText="1"/>
      <protection locked="0"/>
    </xf>
    <xf numFmtId="170" fontId="23" fillId="0" borderId="75" xfId="2" applyNumberFormat="1" applyFont="1" applyBorder="1" applyAlignment="1" applyProtection="1">
      <alignment wrapText="1"/>
      <protection locked="0"/>
    </xf>
    <xf numFmtId="0" fontId="24" fillId="15" borderId="76" xfId="0" applyFont="1" applyFill="1" applyBorder="1" applyAlignment="1" applyProtection="1">
      <alignment horizontal="center" wrapText="1"/>
      <protection locked="0"/>
    </xf>
    <xf numFmtId="0" fontId="24" fillId="0" borderId="74" xfId="0" applyFont="1" applyBorder="1" applyAlignment="1" applyProtection="1">
      <alignment horizontal="center" wrapText="1"/>
      <protection locked="0"/>
    </xf>
    <xf numFmtId="0" fontId="24" fillId="0" borderId="74" xfId="0" applyFont="1" applyBorder="1" applyAlignment="1" applyProtection="1">
      <alignment wrapText="1"/>
      <protection locked="0"/>
    </xf>
    <xf numFmtId="49" fontId="24" fillId="0" borderId="74" xfId="0" applyNumberFormat="1" applyFont="1" applyBorder="1" applyAlignment="1" applyProtection="1">
      <alignment wrapText="1"/>
      <protection locked="0"/>
    </xf>
    <xf numFmtId="0" fontId="24" fillId="0" borderId="75" xfId="0" applyFont="1" applyBorder="1" applyAlignment="1" applyProtection="1">
      <alignment wrapText="1"/>
      <protection locked="0"/>
    </xf>
    <xf numFmtId="169" fontId="25" fillId="16" borderId="76" xfId="4" applyNumberFormat="1" applyFont="1" applyFill="1" applyBorder="1"/>
    <xf numFmtId="169" fontId="25" fillId="17" borderId="73" xfId="4" applyNumberFormat="1" applyFont="1" applyFill="1" applyBorder="1"/>
    <xf numFmtId="169" fontId="25" fillId="17" borderId="77" xfId="3" applyNumberFormat="1" applyFont="1" applyFill="1" applyBorder="1"/>
    <xf numFmtId="167" fontId="0" fillId="2" borderId="14" xfId="0" applyNumberFormat="1" applyFill="1" applyBorder="1"/>
    <xf numFmtId="44" fontId="1" fillId="0" borderId="3" xfId="1" applyFont="1" applyBorder="1" applyAlignment="1" applyProtection="1">
      <alignment horizontal="left" vertical="center" wrapText="1"/>
      <protection locked="0"/>
    </xf>
    <xf numFmtId="0" fontId="1" fillId="2" borderId="3" xfId="0" applyFont="1" applyFill="1" applyBorder="1" applyAlignment="1">
      <alignment vertical="center" wrapText="1"/>
    </xf>
    <xf numFmtId="44" fontId="1" fillId="0" borderId="3" xfId="1" applyFont="1" applyBorder="1" applyAlignment="1" applyProtection="1">
      <alignment horizontal="center" vertical="center" wrapText="1"/>
      <protection locked="0"/>
    </xf>
    <xf numFmtId="44" fontId="1" fillId="2" borderId="3" xfId="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44" fontId="1" fillId="3" borderId="3" xfId="1" applyFont="1" applyFill="1" applyBorder="1" applyAlignment="1" applyProtection="1">
      <alignment horizontal="left" vertical="center" wrapText="1"/>
      <protection locked="0"/>
    </xf>
    <xf numFmtId="49" fontId="1" fillId="0" borderId="3" xfId="1" applyNumberFormat="1" applyFont="1" applyBorder="1" applyAlignment="1" applyProtection="1">
      <alignment horizontal="left" wrapText="1"/>
      <protection locked="0"/>
    </xf>
    <xf numFmtId="44" fontId="1" fillId="0" borderId="0" xfId="1" applyFont="1" applyFill="1" applyBorder="1" applyAlignment="1" applyProtection="1">
      <alignment horizontal="center" vertical="center" wrapText="1"/>
    </xf>
    <xf numFmtId="44" fontId="1" fillId="3" borderId="3" xfId="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0" xfId="0" applyFont="1" applyFill="1" applyAlignment="1" applyProtection="1">
      <alignment vertical="center" wrapText="1"/>
      <protection locked="0"/>
    </xf>
    <xf numFmtId="0" fontId="1" fillId="3" borderId="0" xfId="0" applyFont="1" applyFill="1" applyAlignment="1" applyProtection="1">
      <alignment horizontal="left" vertical="top" wrapText="1"/>
      <protection locked="0"/>
    </xf>
    <xf numFmtId="44" fontId="1" fillId="3" borderId="0" xfId="1" applyFont="1" applyFill="1" applyBorder="1" applyAlignment="1" applyProtection="1">
      <alignment horizontal="center" vertical="center" wrapText="1"/>
      <protection locked="0"/>
    </xf>
    <xf numFmtId="44" fontId="1" fillId="3" borderId="0" xfId="1" applyFont="1" applyFill="1" applyBorder="1" applyAlignment="1" applyProtection="1">
      <alignment vertical="center" wrapText="1"/>
      <protection locked="0"/>
    </xf>
    <xf numFmtId="0" fontId="1" fillId="0" borderId="3" xfId="1" applyNumberFormat="1" applyFont="1" applyBorder="1" applyAlignment="1" applyProtection="1">
      <alignment horizontal="left" vertical="center" wrapText="1"/>
      <protection locked="0"/>
    </xf>
    <xf numFmtId="0" fontId="1" fillId="3" borderId="1"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44" fontId="1" fillId="0" borderId="3" xfId="1" applyFont="1" applyBorder="1" applyAlignment="1" applyProtection="1">
      <alignment vertical="center" wrapText="1"/>
      <protection locked="0"/>
    </xf>
    <xf numFmtId="4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2" xfId="0" applyFont="1" applyFill="1" applyBorder="1" applyAlignment="1" applyProtection="1">
      <alignment vertical="center" wrapText="1"/>
      <protection locked="0"/>
    </xf>
    <xf numFmtId="0" fontId="1" fillId="3" borderId="0" xfId="0" applyFont="1" applyFill="1" applyAlignment="1">
      <alignment vertical="center" wrapText="1"/>
    </xf>
    <xf numFmtId="0" fontId="1" fillId="2" borderId="8" xfId="0" applyFont="1" applyFill="1" applyBorder="1" applyAlignment="1">
      <alignment vertical="center" wrapText="1"/>
    </xf>
    <xf numFmtId="166" fontId="1" fillId="2" borderId="9" xfId="3" applyNumberFormat="1" applyFont="1" applyFill="1" applyBorder="1" applyAlignment="1" applyProtection="1">
      <alignment vertical="center" wrapText="1"/>
    </xf>
    <xf numFmtId="44" fontId="1" fillId="2" borderId="2" xfId="0" applyNumberFormat="1" applyFont="1" applyFill="1" applyBorder="1" applyAlignment="1">
      <alignment vertical="center" wrapText="1"/>
    </xf>
    <xf numFmtId="44" fontId="1" fillId="2" borderId="3" xfId="0" applyNumberFormat="1" applyFont="1" applyFill="1" applyBorder="1" applyAlignment="1">
      <alignment vertical="center" wrapText="1"/>
    </xf>
    <xf numFmtId="167" fontId="1" fillId="2" borderId="4" xfId="0" applyNumberFormat="1" applyFont="1" applyFill="1" applyBorder="1" applyAlignment="1">
      <alignment vertical="center" wrapText="1"/>
    </xf>
    <xf numFmtId="0" fontId="1" fillId="0" borderId="0" xfId="0" applyFont="1" applyAlignment="1" applyProtection="1">
      <alignment vertical="center" wrapText="1"/>
      <protection locked="0"/>
    </xf>
    <xf numFmtId="44" fontId="1" fillId="0" borderId="0" xfId="1" applyFont="1" applyFill="1" applyBorder="1" applyAlignment="1" applyProtection="1">
      <alignment vertical="center" wrapText="1"/>
      <protection locked="0"/>
    </xf>
    <xf numFmtId="0" fontId="1" fillId="0" borderId="0" xfId="0" applyFont="1" applyAlignment="1">
      <alignment vertical="center" wrapText="1"/>
    </xf>
    <xf numFmtId="0" fontId="1" fillId="0" borderId="0" xfId="0" applyFont="1" applyAlignment="1">
      <alignment wrapText="1"/>
    </xf>
    <xf numFmtId="0" fontId="1" fillId="3" borderId="0" xfId="0" applyFont="1" applyFill="1" applyAlignment="1">
      <alignment wrapText="1"/>
    </xf>
    <xf numFmtId="44" fontId="1" fillId="0" borderId="40" xfId="0" applyNumberFormat="1" applyFont="1" applyBorder="1" applyAlignment="1" applyProtection="1">
      <alignment wrapText="1"/>
      <protection locked="0"/>
    </xf>
    <xf numFmtId="44" fontId="1" fillId="3" borderId="40" xfId="1" applyFont="1" applyFill="1" applyBorder="1" applyAlignment="1" applyProtection="1">
      <alignment horizontal="center" vertical="center" wrapText="1"/>
      <protection locked="0"/>
    </xf>
    <xf numFmtId="44" fontId="1" fillId="0" borderId="3" xfId="0" applyNumberFormat="1" applyFont="1" applyBorder="1" applyAlignment="1" applyProtection="1">
      <alignment wrapText="1"/>
      <protection locked="0"/>
    </xf>
    <xf numFmtId="164" fontId="1" fillId="0" borderId="0" xfId="0" applyNumberFormat="1" applyFont="1" applyAlignment="1">
      <alignment wrapText="1"/>
    </xf>
    <xf numFmtId="167" fontId="1" fillId="2" borderId="40" xfId="0" applyNumberFormat="1" applyFont="1" applyFill="1" applyBorder="1" applyAlignment="1">
      <alignment wrapText="1"/>
    </xf>
    <xf numFmtId="44" fontId="1" fillId="2" borderId="40" xfId="0" applyNumberFormat="1" applyFont="1" applyFill="1" applyBorder="1" applyAlignment="1">
      <alignment wrapText="1"/>
    </xf>
    <xf numFmtId="167" fontId="1" fillId="2" borderId="51" xfId="0" applyNumberFormat="1" applyFont="1" applyFill="1" applyBorder="1" applyAlignment="1">
      <alignment wrapText="1"/>
    </xf>
    <xf numFmtId="44" fontId="1" fillId="3" borderId="0" xfId="1" applyFont="1" applyFill="1" applyBorder="1" applyAlignment="1" applyProtection="1">
      <alignment vertical="center" wrapText="1"/>
    </xf>
    <xf numFmtId="167" fontId="1" fillId="2" borderId="3" xfId="0" applyNumberFormat="1" applyFont="1" applyFill="1" applyBorder="1" applyAlignment="1">
      <alignment wrapText="1"/>
    </xf>
    <xf numFmtId="44" fontId="1" fillId="2" borderId="52" xfId="0" applyNumberFormat="1" applyFont="1" applyFill="1" applyBorder="1" applyAlignment="1">
      <alignment wrapText="1"/>
    </xf>
    <xf numFmtId="44" fontId="1" fillId="2" borderId="50" xfId="0" applyNumberFormat="1" applyFont="1" applyFill="1" applyBorder="1" applyAlignment="1">
      <alignment wrapText="1"/>
    </xf>
    <xf numFmtId="44" fontId="1" fillId="2" borderId="14" xfId="0" applyNumberFormat="1" applyFont="1" applyFill="1" applyBorder="1" applyAlignment="1">
      <alignment wrapText="1"/>
    </xf>
    <xf numFmtId="44" fontId="1" fillId="2" borderId="8" xfId="1" applyFont="1" applyFill="1" applyBorder="1" applyAlignment="1" applyProtection="1">
      <alignment wrapText="1"/>
    </xf>
    <xf numFmtId="167" fontId="1" fillId="2" borderId="3" xfId="1" applyNumberFormat="1" applyFont="1" applyFill="1" applyBorder="1" applyAlignment="1">
      <alignment wrapText="1"/>
    </xf>
    <xf numFmtId="44" fontId="1" fillId="3" borderId="0" xfId="0" applyNumberFormat="1" applyFont="1" applyFill="1" applyAlignment="1">
      <alignment vertical="center" wrapText="1"/>
    </xf>
    <xf numFmtId="0" fontId="1" fillId="3" borderId="0" xfId="0" applyFont="1" applyFill="1" applyAlignment="1">
      <alignment horizontal="center" vertical="center" wrapText="1"/>
    </xf>
    <xf numFmtId="0" fontId="1" fillId="0" borderId="0" xfId="0" applyFont="1"/>
    <xf numFmtId="167" fontId="1" fillId="2" borderId="39" xfId="0" applyNumberFormat="1" applyFont="1" applyFill="1" applyBorder="1" applyAlignment="1">
      <alignment wrapText="1"/>
    </xf>
    <xf numFmtId="167" fontId="1" fillId="2" borderId="15" xfId="0" applyNumberFormat="1" applyFont="1" applyFill="1" applyBorder="1" applyAlignment="1">
      <alignment wrapText="1"/>
    </xf>
    <xf numFmtId="44" fontId="1" fillId="2" borderId="54" xfId="1" applyFont="1" applyFill="1" applyBorder="1" applyAlignment="1" applyProtection="1">
      <alignment wrapText="1"/>
    </xf>
    <xf numFmtId="167" fontId="1" fillId="2" borderId="30" xfId="1" applyNumberFormat="1" applyFont="1" applyFill="1" applyBorder="1" applyAlignment="1">
      <alignment wrapText="1"/>
    </xf>
    <xf numFmtId="9" fontId="1" fillId="0" borderId="0" xfId="2" applyFont="1"/>
    <xf numFmtId="167" fontId="1" fillId="2" borderId="9" xfId="1" applyNumberFormat="1" applyFont="1" applyFill="1" applyBorder="1" applyAlignment="1">
      <alignment wrapText="1"/>
    </xf>
    <xf numFmtId="167" fontId="1" fillId="2" borderId="3" xfId="1" applyNumberFormat="1" applyFont="1" applyFill="1" applyBorder="1" applyAlignment="1">
      <alignment vertical="center" wrapText="1"/>
    </xf>
    <xf numFmtId="9" fontId="2" fillId="2" borderId="0" xfId="2" applyFont="1" applyFill="1" applyBorder="1" applyAlignment="1">
      <alignment wrapText="1"/>
    </xf>
    <xf numFmtId="0" fontId="27" fillId="0" borderId="0" xfId="0" applyFont="1" applyAlignment="1">
      <alignment wrapText="1"/>
    </xf>
    <xf numFmtId="49" fontId="1" fillId="3" borderId="2" xfId="1" applyNumberFormat="1" applyFont="1" applyFill="1" applyBorder="1" applyAlignment="1" applyProtection="1">
      <alignment horizontal="left" wrapText="1"/>
      <protection locked="0"/>
    </xf>
    <xf numFmtId="0" fontId="17" fillId="0" borderId="0" xfId="0" applyFont="1" applyAlignment="1">
      <alignment horizontal="left" vertical="top" wrapText="1"/>
    </xf>
    <xf numFmtId="0" fontId="1" fillId="3" borderId="3" xfId="0" applyFont="1" applyFill="1" applyBorder="1" applyAlignment="1" applyProtection="1">
      <alignment horizontal="left" vertical="top" wrapText="1"/>
      <protection locked="0"/>
    </xf>
    <xf numFmtId="0" fontId="19" fillId="0" borderId="57" xfId="0" applyFont="1" applyBorder="1" applyAlignment="1">
      <alignment horizontal="left" wrapText="1"/>
    </xf>
    <xf numFmtId="44" fontId="1" fillId="0" borderId="40" xfId="1" applyFont="1" applyBorder="1" applyAlignment="1" applyProtection="1">
      <alignment horizontal="left" vertical="center" wrapText="1"/>
      <protection locked="0"/>
    </xf>
    <xf numFmtId="0" fontId="2" fillId="0" borderId="0" xfId="0" applyFont="1" applyAlignment="1">
      <alignment horizontal="center" vertical="center" wrapText="1"/>
    </xf>
    <xf numFmtId="0" fontId="2" fillId="2" borderId="5" xfId="0" applyFont="1" applyFill="1" applyBorder="1" applyAlignment="1">
      <alignment horizontal="center" vertical="center" wrapText="1"/>
    </xf>
    <xf numFmtId="0" fontId="0" fillId="18" borderId="0" xfId="0" applyFill="1"/>
    <xf numFmtId="0" fontId="22" fillId="19" borderId="61" xfId="0" applyFont="1" applyFill="1" applyBorder="1" applyAlignment="1">
      <alignment horizontal="left" vertical="center" wrapText="1"/>
    </xf>
    <xf numFmtId="0" fontId="26" fillId="2" borderId="79" xfId="5" applyFont="1" applyFill="1" applyBorder="1" applyAlignment="1" applyProtection="1">
      <alignment horizontal="center"/>
      <protection locked="0"/>
    </xf>
    <xf numFmtId="44" fontId="10" fillId="3" borderId="0" xfId="1" applyFont="1" applyFill="1" applyBorder="1" applyAlignment="1" applyProtection="1">
      <alignment vertical="center" wrapText="1"/>
      <protection locked="0"/>
    </xf>
    <xf numFmtId="0" fontId="28" fillId="0" borderId="0" xfId="0" applyFont="1" applyAlignment="1">
      <alignment horizontal="center"/>
    </xf>
    <xf numFmtId="0" fontId="28" fillId="0" borderId="0" xfId="0" applyFont="1"/>
    <xf numFmtId="0" fontId="29" fillId="0" borderId="0" xfId="0" applyFont="1"/>
    <xf numFmtId="165" fontId="29" fillId="0" borderId="0" xfId="3" applyFont="1"/>
    <xf numFmtId="0" fontId="30" fillId="0" borderId="0" xfId="0" applyFont="1" applyAlignment="1">
      <alignment vertical="center"/>
    </xf>
    <xf numFmtId="0" fontId="28" fillId="0" borderId="27" xfId="0" applyFont="1" applyBorder="1" applyAlignment="1">
      <alignment horizontal="center" wrapText="1"/>
    </xf>
    <xf numFmtId="0" fontId="28" fillId="0" borderId="83" xfId="0" applyFont="1" applyBorder="1" applyAlignment="1">
      <alignment horizontal="center" wrapText="1"/>
    </xf>
    <xf numFmtId="0" fontId="28" fillId="0" borderId="6" xfId="0" applyFont="1" applyBorder="1" applyAlignment="1">
      <alignment horizontal="center" wrapText="1"/>
    </xf>
    <xf numFmtId="0" fontId="28" fillId="0" borderId="22" xfId="0" applyFont="1" applyBorder="1" applyAlignment="1">
      <alignment wrapText="1"/>
    </xf>
    <xf numFmtId="0" fontId="28" fillId="0" borderId="28" xfId="0" applyFont="1" applyBorder="1"/>
    <xf numFmtId="171" fontId="29" fillId="0" borderId="6" xfId="0" applyNumberFormat="1" applyFont="1" applyBorder="1" applyAlignment="1">
      <alignment horizontal="right"/>
    </xf>
    <xf numFmtId="0" fontId="29" fillId="0" borderId="83" xfId="0" applyFont="1" applyBorder="1"/>
    <xf numFmtId="0" fontId="29" fillId="0" borderId="84" xfId="0" applyFont="1" applyBorder="1"/>
    <xf numFmtId="165" fontId="28" fillId="0" borderId="84" xfId="3" applyFont="1" applyBorder="1" applyAlignment="1">
      <alignment horizontal="center"/>
    </xf>
    <xf numFmtId="0" fontId="28" fillId="0" borderId="84" xfId="0" applyFont="1" applyBorder="1" applyAlignment="1">
      <alignment horizontal="center"/>
    </xf>
    <xf numFmtId="0" fontId="28" fillId="0" borderId="85" xfId="0" applyFont="1" applyBorder="1" applyAlignment="1">
      <alignment horizontal="center"/>
    </xf>
    <xf numFmtId="0" fontId="28" fillId="0" borderId="18" xfId="0" applyFont="1" applyBorder="1" applyAlignment="1">
      <alignment horizontal="center"/>
    </xf>
    <xf numFmtId="0" fontId="28" fillId="0" borderId="23" xfId="0" applyFont="1" applyBorder="1" applyAlignment="1">
      <alignment horizontal="center"/>
    </xf>
    <xf numFmtId="0" fontId="28" fillId="0" borderId="23" xfId="0" applyFont="1" applyBorder="1" applyAlignment="1">
      <alignment horizontal="right"/>
    </xf>
    <xf numFmtId="171" fontId="29" fillId="0" borderId="24" xfId="0" applyNumberFormat="1" applyFont="1" applyBorder="1" applyAlignment="1">
      <alignment horizontal="right"/>
    </xf>
    <xf numFmtId="0" fontId="29" fillId="0" borderId="54" xfId="0" applyFont="1" applyBorder="1"/>
    <xf numFmtId="0" fontId="29" fillId="0" borderId="51" xfId="0" applyFont="1" applyBorder="1"/>
    <xf numFmtId="165" fontId="29" fillId="0" borderId="51" xfId="3" applyFont="1" applyBorder="1"/>
    <xf numFmtId="43" fontId="29" fillId="0" borderId="51" xfId="0" applyNumberFormat="1" applyFont="1" applyBorder="1"/>
    <xf numFmtId="0" fontId="29" fillId="0" borderId="30" xfId="0" applyFont="1" applyBorder="1"/>
    <xf numFmtId="0" fontId="28" fillId="0" borderId="11" xfId="0" applyFont="1" applyBorder="1" applyAlignment="1">
      <alignment horizontal="center"/>
    </xf>
    <xf numFmtId="0" fontId="28" fillId="0" borderId="24" xfId="0" applyFont="1" applyBorder="1" applyAlignment="1">
      <alignment horizontal="center"/>
    </xf>
    <xf numFmtId="0" fontId="29" fillId="0" borderId="24" xfId="0" applyFont="1" applyBorder="1"/>
    <xf numFmtId="169" fontId="29" fillId="0" borderId="24" xfId="3" applyNumberFormat="1" applyFont="1" applyFill="1" applyBorder="1" applyAlignment="1">
      <alignment horizontal="right"/>
    </xf>
    <xf numFmtId="169" fontId="29" fillId="0" borderId="54" xfId="3" applyNumberFormat="1" applyFont="1" applyBorder="1"/>
    <xf numFmtId="169" fontId="29" fillId="0" borderId="51" xfId="3" applyNumberFormat="1" applyFont="1" applyBorder="1"/>
    <xf numFmtId="170" fontId="29" fillId="0" borderId="51" xfId="2" applyNumberFormat="1" applyFont="1" applyBorder="1"/>
    <xf numFmtId="170" fontId="29" fillId="0" borderId="51" xfId="0" applyNumberFormat="1" applyFont="1" applyBorder="1"/>
    <xf numFmtId="170" fontId="29" fillId="0" borderId="30" xfId="2" applyNumberFormat="1" applyFont="1" applyBorder="1"/>
    <xf numFmtId="169" fontId="29" fillId="0" borderId="24" xfId="0" applyNumberFormat="1" applyFont="1" applyBorder="1" applyAlignment="1">
      <alignment horizontal="right"/>
    </xf>
    <xf numFmtId="169" fontId="29" fillId="0" borderId="54" xfId="0" applyNumberFormat="1" applyFont="1" applyBorder="1"/>
    <xf numFmtId="169" fontId="29" fillId="0" borderId="51" xfId="0" applyNumberFormat="1" applyFont="1" applyBorder="1"/>
    <xf numFmtId="0" fontId="29" fillId="0" borderId="0" xfId="0" applyFont="1" applyAlignment="1">
      <alignment vertical="top" wrapText="1"/>
    </xf>
    <xf numFmtId="0" fontId="28" fillId="0" borderId="20" xfId="0" applyFont="1" applyBorder="1" applyAlignment="1">
      <alignment horizontal="center"/>
    </xf>
    <xf numFmtId="0" fontId="28" fillId="0" borderId="25" xfId="0" applyFont="1" applyBorder="1" applyAlignment="1">
      <alignment horizontal="center"/>
    </xf>
    <xf numFmtId="0" fontId="28" fillId="0" borderId="86" xfId="0" applyFont="1" applyBorder="1" applyAlignment="1">
      <alignment horizontal="center"/>
    </xf>
    <xf numFmtId="172" fontId="28" fillId="0" borderId="86" xfId="3" applyNumberFormat="1" applyFont="1" applyFill="1" applyBorder="1" applyAlignment="1">
      <alignment horizontal="right"/>
    </xf>
    <xf numFmtId="0" fontId="28" fillId="0" borderId="48" xfId="0" applyFont="1" applyBorder="1"/>
    <xf numFmtId="171" fontId="28" fillId="0" borderId="86" xfId="3" applyNumberFormat="1" applyFont="1" applyFill="1" applyBorder="1" applyAlignment="1">
      <alignment horizontal="right"/>
    </xf>
    <xf numFmtId="171" fontId="28" fillId="0" borderId="13" xfId="3" applyNumberFormat="1" applyFont="1" applyFill="1" applyBorder="1" applyAlignment="1">
      <alignment horizontal="right"/>
    </xf>
    <xf numFmtId="171" fontId="28" fillId="0" borderId="14" xfId="3" applyNumberFormat="1" applyFont="1" applyFill="1" applyBorder="1" applyAlignment="1">
      <alignment horizontal="right"/>
    </xf>
    <xf numFmtId="10" fontId="28" fillId="0" borderId="14" xfId="2" applyNumberFormat="1" applyFont="1" applyFill="1" applyBorder="1" applyAlignment="1">
      <alignment horizontal="right"/>
    </xf>
    <xf numFmtId="10" fontId="28" fillId="0" borderId="15" xfId="2" applyNumberFormat="1" applyFont="1" applyFill="1" applyBorder="1" applyAlignment="1">
      <alignment horizontal="right"/>
    </xf>
    <xf numFmtId="0" fontId="29" fillId="0" borderId="23" xfId="0" applyFont="1" applyBorder="1"/>
    <xf numFmtId="171" fontId="29" fillId="0" borderId="19" xfId="3" applyNumberFormat="1" applyFont="1" applyFill="1" applyBorder="1" applyAlignment="1">
      <alignment horizontal="right"/>
    </xf>
    <xf numFmtId="10" fontId="29" fillId="0" borderId="51" xfId="2" applyNumberFormat="1" applyFont="1" applyBorder="1"/>
    <xf numFmtId="10" fontId="29" fillId="0" borderId="30" xfId="2" applyNumberFormat="1" applyFont="1" applyBorder="1"/>
    <xf numFmtId="0" fontId="28" fillId="0" borderId="24" xfId="0" applyFont="1" applyBorder="1" applyAlignment="1">
      <alignment horizontal="right"/>
    </xf>
    <xf numFmtId="0" fontId="28" fillId="0" borderId="24" xfId="0" applyFont="1" applyBorder="1"/>
    <xf numFmtId="0" fontId="28" fillId="0" borderId="11" xfId="0" applyFont="1" applyBorder="1" applyAlignment="1">
      <alignment horizontal="center" wrapText="1"/>
    </xf>
    <xf numFmtId="0" fontId="29" fillId="0" borderId="24" xfId="0" applyFont="1" applyBorder="1" applyAlignment="1">
      <alignment wrapText="1"/>
    </xf>
    <xf numFmtId="0" fontId="29" fillId="0" borderId="25" xfId="0" applyFont="1" applyBorder="1"/>
    <xf numFmtId="172" fontId="28" fillId="0" borderId="87" xfId="3" applyNumberFormat="1" applyFont="1" applyFill="1" applyBorder="1" applyAlignment="1">
      <alignment horizontal="right"/>
    </xf>
    <xf numFmtId="0" fontId="28" fillId="0" borderId="23" xfId="0" applyFont="1" applyBorder="1"/>
    <xf numFmtId="171" fontId="28" fillId="0" borderId="24" xfId="3" applyNumberFormat="1" applyFont="1" applyFill="1" applyBorder="1" applyAlignment="1">
      <alignment horizontal="right"/>
    </xf>
    <xf numFmtId="171" fontId="29" fillId="0" borderId="24" xfId="3" applyNumberFormat="1" applyFont="1" applyFill="1" applyBorder="1" applyAlignment="1">
      <alignment horizontal="right"/>
    </xf>
    <xf numFmtId="43" fontId="29" fillId="0" borderId="54" xfId="0" applyNumberFormat="1" applyFont="1" applyBorder="1"/>
    <xf numFmtId="44" fontId="29" fillId="0" borderId="51" xfId="1" applyFont="1" applyBorder="1"/>
    <xf numFmtId="0" fontId="29" fillId="0" borderId="88" xfId="0" applyFont="1" applyBorder="1" applyAlignment="1">
      <alignment horizontal="left" wrapText="1"/>
    </xf>
    <xf numFmtId="0" fontId="29" fillId="0" borderId="16" xfId="0" applyFont="1" applyBorder="1"/>
    <xf numFmtId="171" fontId="28" fillId="0" borderId="23" xfId="3" applyNumberFormat="1" applyFont="1" applyFill="1" applyBorder="1" applyAlignment="1">
      <alignment horizontal="right"/>
    </xf>
    <xf numFmtId="0" fontId="29" fillId="0" borderId="0" xfId="0" applyFont="1" applyAlignment="1">
      <alignment horizontal="left" wrapText="1"/>
    </xf>
    <xf numFmtId="171" fontId="29" fillId="0" borderId="23" xfId="3" applyNumberFormat="1" applyFont="1" applyFill="1" applyBorder="1" applyAlignment="1">
      <alignment horizontal="right"/>
    </xf>
    <xf numFmtId="165" fontId="29" fillId="0" borderId="51" xfId="3" applyFont="1" applyFill="1" applyBorder="1"/>
    <xf numFmtId="10" fontId="29" fillId="0" borderId="51" xfId="2" applyNumberFormat="1" applyFont="1" applyFill="1" applyBorder="1"/>
    <xf numFmtId="10" fontId="29" fillId="0" borderId="30" xfId="2" applyNumberFormat="1" applyFont="1" applyFill="1" applyBorder="1"/>
    <xf numFmtId="0" fontId="28" fillId="0" borderId="11" xfId="0" applyFont="1" applyBorder="1" applyAlignment="1">
      <alignment horizontal="right"/>
    </xf>
    <xf numFmtId="9" fontId="28" fillId="0" borderId="23" xfId="2" applyFont="1" applyFill="1" applyBorder="1"/>
    <xf numFmtId="171" fontId="29" fillId="0" borderId="12" xfId="3" applyNumberFormat="1" applyFont="1" applyFill="1" applyBorder="1" applyAlignment="1">
      <alignment horizontal="right"/>
    </xf>
    <xf numFmtId="0" fontId="29" fillId="0" borderId="11" xfId="0" applyFont="1" applyBorder="1"/>
    <xf numFmtId="0" fontId="34" fillId="0" borderId="24" xfId="0" applyFont="1" applyBorder="1" applyAlignment="1">
      <alignment wrapText="1"/>
    </xf>
    <xf numFmtId="0" fontId="34" fillId="0" borderId="0" xfId="0" applyFont="1" applyAlignment="1">
      <alignment wrapText="1"/>
    </xf>
    <xf numFmtId="0" fontId="29" fillId="0" borderId="24" xfId="0" applyFont="1" applyBorder="1" applyAlignment="1">
      <alignment horizontal="left" wrapText="1"/>
    </xf>
    <xf numFmtId="171" fontId="35" fillId="0" borderId="82" xfId="3" applyNumberFormat="1" applyFont="1" applyBorder="1" applyAlignment="1">
      <alignment horizontal="right"/>
    </xf>
    <xf numFmtId="0" fontId="29" fillId="0" borderId="25" xfId="0" applyFont="1" applyBorder="1" applyAlignment="1">
      <alignment horizontal="left" wrapText="1"/>
    </xf>
    <xf numFmtId="171" fontId="35" fillId="0" borderId="52" xfId="3" applyNumberFormat="1" applyFont="1" applyBorder="1" applyAlignment="1">
      <alignment horizontal="right"/>
    </xf>
    <xf numFmtId="0" fontId="28" fillId="0" borderId="27" xfId="0" applyFont="1" applyBorder="1" applyAlignment="1">
      <alignment horizontal="center"/>
    </xf>
    <xf numFmtId="0" fontId="29" fillId="0" borderId="6" xfId="0" applyFont="1" applyBorder="1"/>
    <xf numFmtId="0" fontId="28" fillId="0" borderId="6" xfId="0" applyFont="1" applyBorder="1"/>
    <xf numFmtId="0" fontId="28" fillId="0" borderId="0" xfId="0" applyFont="1" applyAlignment="1">
      <alignment horizontal="left" wrapText="1"/>
    </xf>
    <xf numFmtId="169" fontId="29" fillId="0" borderId="23" xfId="0" applyNumberFormat="1" applyFont="1" applyBorder="1" applyAlignment="1">
      <alignment horizontal="right"/>
    </xf>
    <xf numFmtId="171" fontId="35" fillId="0" borderId="24" xfId="3" applyNumberFormat="1" applyFont="1" applyBorder="1" applyAlignment="1">
      <alignment horizontal="right"/>
    </xf>
    <xf numFmtId="169" fontId="29" fillId="0" borderId="51" xfId="3" applyNumberFormat="1" applyFont="1" applyFill="1" applyBorder="1"/>
    <xf numFmtId="171" fontId="35" fillId="0" borderId="24" xfId="3" applyNumberFormat="1" applyFont="1" applyBorder="1" applyAlignment="1">
      <alignment horizontal="right" vertical="center"/>
    </xf>
    <xf numFmtId="171" fontId="35" fillId="0" borderId="25" xfId="3" applyNumberFormat="1" applyFont="1" applyBorder="1" applyAlignment="1">
      <alignment horizontal="right" vertical="center"/>
    </xf>
    <xf numFmtId="0" fontId="28" fillId="0" borderId="23" xfId="0" applyFont="1" applyBorder="1" applyAlignment="1">
      <alignment horizontal="left" wrapText="1"/>
    </xf>
    <xf numFmtId="169" fontId="29" fillId="0" borderId="12" xfId="0" applyNumberFormat="1" applyFont="1" applyBorder="1" applyAlignment="1">
      <alignment horizontal="right"/>
    </xf>
    <xf numFmtId="0" fontId="28" fillId="0" borderId="26" xfId="0" applyFont="1" applyBorder="1"/>
    <xf numFmtId="171" fontId="35" fillId="0" borderId="82" xfId="3" applyNumberFormat="1" applyFont="1" applyBorder="1" applyAlignment="1">
      <alignment horizontal="right" vertical="center"/>
    </xf>
    <xf numFmtId="0" fontId="28" fillId="0" borderId="24" xfId="0" applyFont="1" applyBorder="1" applyAlignment="1">
      <alignment horizontal="left" wrapText="1"/>
    </xf>
    <xf numFmtId="171" fontId="35" fillId="0" borderId="82" xfId="3" applyNumberFormat="1" applyFont="1" applyFill="1" applyBorder="1" applyAlignment="1">
      <alignment horizontal="right"/>
    </xf>
    <xf numFmtId="170" fontId="29" fillId="0" borderId="51" xfId="2" applyNumberFormat="1" applyFont="1" applyFill="1" applyBorder="1"/>
    <xf numFmtId="171" fontId="35" fillId="0" borderId="0" xfId="3" applyNumberFormat="1" applyFont="1" applyBorder="1" applyAlignment="1">
      <alignment horizontal="right"/>
    </xf>
    <xf numFmtId="171" fontId="35" fillId="0" borderId="0" xfId="3" applyNumberFormat="1" applyFont="1" applyFill="1" applyBorder="1" applyAlignment="1">
      <alignment horizontal="right" vertical="center"/>
    </xf>
    <xf numFmtId="9" fontId="28" fillId="0" borderId="86" xfId="2" applyFont="1" applyFill="1" applyBorder="1" applyAlignment="1">
      <alignment horizontal="right"/>
    </xf>
    <xf numFmtId="171" fontId="35" fillId="0" borderId="25" xfId="3" applyNumberFormat="1" applyFont="1" applyBorder="1" applyAlignment="1">
      <alignment horizontal="right"/>
    </xf>
    <xf numFmtId="171" fontId="28" fillId="0" borderId="25" xfId="3" applyNumberFormat="1" applyFont="1" applyFill="1" applyBorder="1" applyAlignment="1">
      <alignment horizontal="right"/>
    </xf>
    <xf numFmtId="169" fontId="29" fillId="0" borderId="89" xfId="0" applyNumberFormat="1" applyFont="1" applyBorder="1" applyAlignment="1">
      <alignment horizontal="right"/>
    </xf>
    <xf numFmtId="0" fontId="28" fillId="0" borderId="11" xfId="0" applyFont="1" applyBorder="1"/>
    <xf numFmtId="171" fontId="29" fillId="0" borderId="54" xfId="3" applyNumberFormat="1" applyFont="1" applyFill="1" applyBorder="1" applyAlignment="1">
      <alignment horizontal="right"/>
    </xf>
    <xf numFmtId="171" fontId="29" fillId="0" borderId="51" xfId="3" applyNumberFormat="1" applyFont="1" applyFill="1" applyBorder="1" applyAlignment="1">
      <alignment horizontal="right"/>
    </xf>
    <xf numFmtId="10" fontId="29" fillId="0" borderId="51" xfId="2" applyNumberFormat="1" applyFont="1" applyFill="1" applyBorder="1" applyAlignment="1">
      <alignment horizontal="right"/>
    </xf>
    <xf numFmtId="10" fontId="29" fillId="0" borderId="30" xfId="2" applyNumberFormat="1" applyFont="1" applyFill="1" applyBorder="1" applyAlignment="1">
      <alignment horizontal="right"/>
    </xf>
    <xf numFmtId="0" fontId="28" fillId="0" borderId="27" xfId="0" applyFont="1" applyBorder="1"/>
    <xf numFmtId="0" fontId="29" fillId="0" borderId="28" xfId="0" applyFont="1" applyBorder="1"/>
    <xf numFmtId="172" fontId="28" fillId="0" borderId="14" xfId="3" applyNumberFormat="1" applyFont="1" applyFill="1" applyBorder="1" applyAlignment="1">
      <alignment horizontal="right"/>
    </xf>
    <xf numFmtId="9" fontId="28" fillId="0" borderId="14" xfId="2" applyFont="1" applyFill="1" applyBorder="1" applyAlignment="1">
      <alignment horizontal="right"/>
    </xf>
    <xf numFmtId="0" fontId="34" fillId="0" borderId="0" xfId="0" applyFont="1" applyAlignment="1">
      <alignment horizontal="center"/>
    </xf>
    <xf numFmtId="0" fontId="35" fillId="0" borderId="0" xfId="0" applyFont="1"/>
    <xf numFmtId="0" fontId="35" fillId="0" borderId="0" xfId="0" applyFont="1" applyAlignment="1">
      <alignment horizontal="center"/>
    </xf>
    <xf numFmtId="0" fontId="32" fillId="0" borderId="0" xfId="0" applyFont="1" applyAlignment="1">
      <alignment horizontal="center"/>
    </xf>
    <xf numFmtId="0" fontId="33" fillId="0" borderId="0" xfId="0" applyFont="1"/>
    <xf numFmtId="0" fontId="30" fillId="0" borderId="0" xfId="0" applyFont="1"/>
    <xf numFmtId="165" fontId="30" fillId="0" borderId="0" xfId="3" applyFont="1"/>
    <xf numFmtId="0" fontId="28" fillId="0" borderId="0" xfId="0" applyFont="1" applyAlignment="1">
      <alignment horizontal="right"/>
    </xf>
    <xf numFmtId="0" fontId="33" fillId="0" borderId="0" xfId="0" applyFont="1" applyAlignment="1">
      <alignment horizontal="center"/>
    </xf>
    <xf numFmtId="0" fontId="37" fillId="0" borderId="0" xfId="0" applyFont="1"/>
    <xf numFmtId="165" fontId="37" fillId="0" borderId="0" xfId="3" applyFont="1"/>
    <xf numFmtId="0" fontId="29" fillId="0" borderId="0" xfId="0" applyFont="1" applyAlignment="1">
      <alignment horizontal="right" vertical="top"/>
    </xf>
    <xf numFmtId="165" fontId="30" fillId="0" borderId="0" xfId="3" applyFont="1" applyFill="1" applyAlignment="1">
      <alignment horizontal="left" vertical="center"/>
    </xf>
    <xf numFmtId="0" fontId="29" fillId="0" borderId="24" xfId="0" applyFont="1" applyBorder="1" applyAlignment="1">
      <alignment horizontal="center"/>
    </xf>
    <xf numFmtId="0" fontId="29" fillId="0" borderId="11" xfId="0" applyFont="1" applyBorder="1" applyAlignment="1">
      <alignment horizontal="center"/>
    </xf>
    <xf numFmtId="0" fontId="29" fillId="0" borderId="23" xfId="0" applyFont="1" applyBorder="1" applyAlignment="1">
      <alignment horizontal="center"/>
    </xf>
    <xf numFmtId="0" fontId="29" fillId="0" borderId="18" xfId="0" applyFont="1" applyBorder="1" applyAlignment="1">
      <alignment horizontal="center"/>
    </xf>
    <xf numFmtId="10" fontId="29" fillId="0" borderId="55" xfId="2" applyNumberFormat="1" applyFont="1" applyBorder="1"/>
    <xf numFmtId="10" fontId="29" fillId="0" borderId="56" xfId="2" applyNumberFormat="1" applyFont="1" applyBorder="1"/>
    <xf numFmtId="0" fontId="29" fillId="0" borderId="25" xfId="0" applyFont="1" applyBorder="1" applyAlignment="1">
      <alignment horizontal="center"/>
    </xf>
    <xf numFmtId="9" fontId="28" fillId="0" borderId="0" xfId="2" applyFont="1" applyFill="1" applyBorder="1"/>
    <xf numFmtId="0" fontId="3" fillId="20" borderId="0" xfId="0" applyFont="1" applyFill="1" applyAlignment="1">
      <alignment horizontal="center"/>
    </xf>
    <xf numFmtId="0" fontId="28" fillId="0" borderId="23" xfId="0" applyFont="1" applyBorder="1" applyAlignment="1">
      <alignment vertical="center" wrapText="1"/>
    </xf>
    <xf numFmtId="0" fontId="28" fillId="0" borderId="55" xfId="0" applyFont="1" applyBorder="1" applyAlignment="1">
      <alignment vertical="center" wrapText="1"/>
    </xf>
    <xf numFmtId="0" fontId="28" fillId="0" borderId="80" xfId="0" applyFont="1" applyBorder="1" applyAlignment="1">
      <alignment vertical="center" wrapText="1"/>
    </xf>
    <xf numFmtId="0" fontId="28" fillId="0" borderId="81" xfId="0" applyFont="1" applyBorder="1" applyAlignment="1">
      <alignment vertical="center" wrapText="1"/>
    </xf>
    <xf numFmtId="0" fontId="28" fillId="0" borderId="19" xfId="0" applyFont="1" applyBorder="1" applyAlignment="1">
      <alignment vertical="center" wrapText="1"/>
    </xf>
    <xf numFmtId="0" fontId="30" fillId="0" borderId="57" xfId="0" applyFont="1" applyBorder="1"/>
    <xf numFmtId="0" fontId="36" fillId="0" borderId="90" xfId="0" applyFont="1" applyBorder="1"/>
    <xf numFmtId="165" fontId="29" fillId="0" borderId="0" xfId="0" applyNumberFormat="1" applyFont="1"/>
    <xf numFmtId="165" fontId="0" fillId="0" borderId="0" xfId="3" applyFont="1"/>
    <xf numFmtId="167" fontId="0" fillId="2" borderId="17" xfId="1" applyNumberFormat="1" applyFont="1" applyFill="1" applyBorder="1" applyAlignment="1">
      <alignment vertical="center" wrapText="1"/>
    </xf>
    <xf numFmtId="0" fontId="8" fillId="0" borderId="0" xfId="0" applyFont="1" applyAlignment="1">
      <alignment wrapText="1"/>
    </xf>
    <xf numFmtId="0" fontId="8" fillId="3" borderId="0" xfId="0" applyFont="1" applyFill="1" applyAlignment="1">
      <alignment wrapText="1"/>
    </xf>
    <xf numFmtId="165" fontId="3" fillId="20" borderId="0" xfId="3" applyFont="1" applyFill="1" applyAlignment="1">
      <alignment horizontal="center"/>
    </xf>
    <xf numFmtId="165" fontId="0" fillId="18" borderId="0" xfId="3" applyFont="1" applyFill="1"/>
    <xf numFmtId="14" fontId="3" fillId="20" borderId="0" xfId="0" applyNumberFormat="1" applyFont="1" applyFill="1" applyAlignment="1">
      <alignment horizontal="center"/>
    </xf>
    <xf numFmtId="14" fontId="0" fillId="0" borderId="0" xfId="0" applyNumberFormat="1"/>
    <xf numFmtId="14" fontId="0" fillId="18" borderId="0" xfId="0" applyNumberFormat="1" applyFill="1"/>
    <xf numFmtId="40" fontId="0" fillId="0" borderId="0" xfId="0" applyNumberFormat="1" applyAlignment="1">
      <alignment wrapText="1"/>
    </xf>
    <xf numFmtId="40" fontId="0" fillId="3" borderId="0" xfId="0" applyNumberFormat="1" applyFill="1" applyAlignment="1">
      <alignment wrapText="1"/>
    </xf>
    <xf numFmtId="9" fontId="0" fillId="0" borderId="0" xfId="2" applyFont="1" applyAlignment="1">
      <alignment wrapText="1"/>
    </xf>
    <xf numFmtId="0" fontId="28" fillId="0" borderId="0" xfId="0" applyFont="1" applyAlignment="1">
      <alignment horizontal="left"/>
    </xf>
    <xf numFmtId="169" fontId="29" fillId="0" borderId="83" xfId="3" applyNumberFormat="1" applyFont="1" applyBorder="1"/>
    <xf numFmtId="169" fontId="29" fillId="0" borderId="84" xfId="3" applyNumberFormat="1" applyFont="1" applyBorder="1"/>
    <xf numFmtId="169" fontId="28" fillId="0" borderId="84" xfId="3" applyNumberFormat="1" applyFont="1" applyBorder="1" applyAlignment="1">
      <alignment horizontal="center"/>
    </xf>
    <xf numFmtId="169" fontId="29" fillId="0" borderId="51" xfId="3" applyNumberFormat="1" applyFont="1" applyBorder="1" applyAlignment="1">
      <alignment horizontal="right"/>
    </xf>
    <xf numFmtId="169" fontId="29" fillId="0" borderId="82" xfId="3" applyNumberFormat="1" applyFont="1" applyFill="1" applyBorder="1" applyAlignment="1">
      <alignment horizontal="right"/>
    </xf>
    <xf numFmtId="169" fontId="29" fillId="0" borderId="51" xfId="3" applyNumberFormat="1" applyFont="1" applyFill="1" applyBorder="1" applyAlignment="1">
      <alignment horizontal="right"/>
    </xf>
    <xf numFmtId="0" fontId="28" fillId="0" borderId="47" xfId="0" applyFont="1" applyBorder="1" applyAlignment="1">
      <alignment horizontal="center"/>
    </xf>
    <xf numFmtId="0" fontId="29" fillId="0" borderId="86" xfId="0" applyFont="1" applyBorder="1" applyAlignment="1">
      <alignment horizontal="center"/>
    </xf>
    <xf numFmtId="169" fontId="28" fillId="0" borderId="13" xfId="3" applyNumberFormat="1" applyFont="1" applyFill="1" applyBorder="1" applyAlignment="1">
      <alignment horizontal="right"/>
    </xf>
    <xf numFmtId="169" fontId="28" fillId="0" borderId="14" xfId="3" applyNumberFormat="1" applyFont="1" applyFill="1" applyBorder="1" applyAlignment="1">
      <alignment horizontal="right"/>
    </xf>
    <xf numFmtId="9" fontId="28" fillId="0" borderId="15" xfId="2" applyFont="1" applyFill="1" applyBorder="1" applyAlignment="1">
      <alignment horizontal="right"/>
    </xf>
    <xf numFmtId="169" fontId="28" fillId="0" borderId="86" xfId="3" applyNumberFormat="1" applyFont="1" applyFill="1" applyBorder="1" applyAlignment="1">
      <alignment horizontal="right"/>
    </xf>
    <xf numFmtId="9" fontId="28" fillId="0" borderId="5" xfId="2" applyFont="1" applyFill="1" applyBorder="1" applyAlignment="1">
      <alignment horizontal="right"/>
    </xf>
    <xf numFmtId="9" fontId="28" fillId="0" borderId="32" xfId="2" applyFont="1" applyFill="1" applyBorder="1" applyAlignment="1">
      <alignment horizontal="right"/>
    </xf>
    <xf numFmtId="169" fontId="29" fillId="0" borderId="18" xfId="3" applyNumberFormat="1" applyFont="1" applyBorder="1"/>
    <xf numFmtId="169" fontId="29" fillId="0" borderId="55" xfId="3" applyNumberFormat="1" applyFont="1" applyBorder="1"/>
    <xf numFmtId="169" fontId="29" fillId="0" borderId="11" xfId="3" applyNumberFormat="1" applyFont="1" applyBorder="1"/>
    <xf numFmtId="169" fontId="29" fillId="0" borderId="40" xfId="3" applyNumberFormat="1" applyFont="1" applyBorder="1"/>
    <xf numFmtId="169" fontId="29" fillId="0" borderId="0" xfId="3" applyNumberFormat="1" applyFont="1" applyFill="1"/>
    <xf numFmtId="171" fontId="28" fillId="0" borderId="24" xfId="3" applyNumberFormat="1" applyFont="1" applyFill="1" applyBorder="1" applyAlignment="1">
      <alignment horizontal="right" wrapText="1"/>
    </xf>
    <xf numFmtId="0" fontId="28" fillId="0" borderId="54" xfId="0" applyFont="1" applyBorder="1" applyAlignment="1">
      <alignment wrapText="1"/>
    </xf>
    <xf numFmtId="0" fontId="39" fillId="0" borderId="12" xfId="6" applyFont="1" applyBorder="1" applyAlignment="1" applyProtection="1">
      <alignment vertical="center" wrapText="1"/>
      <protection locked="0"/>
    </xf>
    <xf numFmtId="9" fontId="29" fillId="0" borderId="12" xfId="2" applyFont="1" applyFill="1" applyBorder="1" applyAlignment="1">
      <alignment vertical="center" wrapText="1"/>
    </xf>
    <xf numFmtId="171" fontId="28" fillId="0" borderId="12" xfId="3" applyNumberFormat="1" applyFont="1" applyFill="1" applyBorder="1" applyAlignment="1">
      <alignment horizontal="right" wrapText="1"/>
    </xf>
    <xf numFmtId="0" fontId="29" fillId="0" borderId="0" xfId="0" applyFont="1" applyAlignment="1">
      <alignment wrapText="1"/>
    </xf>
    <xf numFmtId="169" fontId="29" fillId="0" borderId="51" xfId="0" quotePrefix="1" applyNumberFormat="1" applyFont="1" applyBorder="1"/>
    <xf numFmtId="169" fontId="28" fillId="0" borderId="54" xfId="0" applyNumberFormat="1" applyFont="1" applyBorder="1" applyAlignment="1">
      <alignment wrapText="1"/>
    </xf>
    <xf numFmtId="0" fontId="29" fillId="0" borderId="0" xfId="0" applyFont="1" applyAlignment="1">
      <alignment horizontal="left"/>
    </xf>
    <xf numFmtId="172" fontId="29" fillId="0" borderId="24" xfId="3" applyNumberFormat="1" applyFont="1" applyFill="1" applyBorder="1" applyAlignment="1">
      <alignment horizontal="right"/>
    </xf>
    <xf numFmtId="0" fontId="29" fillId="0" borderId="0" xfId="6" applyFont="1" applyAlignment="1">
      <alignment vertical="center" wrapText="1"/>
    </xf>
    <xf numFmtId="169" fontId="29" fillId="0" borderId="24" xfId="3" applyNumberFormat="1" applyFont="1" applyBorder="1" applyAlignment="1">
      <alignment horizontal="right"/>
    </xf>
    <xf numFmtId="169" fontId="29" fillId="0" borderId="54" xfId="3" applyNumberFormat="1" applyFont="1" applyFill="1" applyBorder="1" applyAlignment="1">
      <alignment horizontal="right"/>
    </xf>
    <xf numFmtId="169" fontId="28" fillId="0" borderId="86" xfId="3" applyNumberFormat="1" applyFont="1" applyFill="1" applyBorder="1" applyAlignment="1">
      <alignment horizontal="right" indent="2"/>
    </xf>
    <xf numFmtId="165" fontId="28" fillId="0" borderId="86" xfId="3" applyFont="1" applyFill="1" applyBorder="1" applyAlignment="1">
      <alignment horizontal="right"/>
    </xf>
    <xf numFmtId="169" fontId="29" fillId="0" borderId="0" xfId="3" applyNumberFormat="1" applyFont="1"/>
    <xf numFmtId="4" fontId="40" fillId="0" borderId="0" xfId="0" applyNumberFormat="1" applyFont="1"/>
    <xf numFmtId="9" fontId="29" fillId="0" borderId="0" xfId="3" applyNumberFormat="1" applyFont="1"/>
    <xf numFmtId="0" fontId="28" fillId="0" borderId="23" xfId="0" applyFont="1" applyBorder="1" applyAlignment="1">
      <alignment vertical="center"/>
    </xf>
    <xf numFmtId="169" fontId="28" fillId="0" borderId="55" xfId="3" applyNumberFormat="1" applyFont="1" applyBorder="1" applyAlignment="1">
      <alignment vertical="center" wrapText="1"/>
    </xf>
    <xf numFmtId="165" fontId="1" fillId="0" borderId="3" xfId="1" applyNumberFormat="1" applyFont="1" applyBorder="1" applyAlignment="1" applyProtection="1">
      <alignment horizontal="center" vertical="center" wrapText="1"/>
      <protection locked="0"/>
    </xf>
    <xf numFmtId="164" fontId="0" fillId="0" borderId="0" xfId="0" applyNumberFormat="1" applyAlignment="1">
      <alignment wrapText="1"/>
    </xf>
    <xf numFmtId="169" fontId="0" fillId="0" borderId="0" xfId="0" applyNumberFormat="1"/>
    <xf numFmtId="164" fontId="0" fillId="18" borderId="0" xfId="0" applyNumberFormat="1" applyFill="1" applyAlignment="1">
      <alignment wrapText="1"/>
    </xf>
    <xf numFmtId="0" fontId="0" fillId="18" borderId="0" xfId="0" applyFill="1" applyAlignment="1">
      <alignment wrapText="1"/>
    </xf>
    <xf numFmtId="0" fontId="9" fillId="3" borderId="0" xfId="0" applyFont="1" applyFill="1" applyAlignment="1">
      <alignment vertical="center" wrapText="1"/>
    </xf>
    <xf numFmtId="0" fontId="10" fillId="3" borderId="0" xfId="0" applyFont="1" applyFill="1" applyAlignment="1" applyProtection="1">
      <alignment vertical="center" wrapText="1"/>
      <protection locked="0"/>
    </xf>
    <xf numFmtId="0" fontId="9" fillId="3" borderId="0" xfId="0" applyFont="1" applyFill="1" applyAlignment="1" applyProtection="1">
      <alignment vertical="center" wrapText="1"/>
      <protection locked="0"/>
    </xf>
    <xf numFmtId="40" fontId="8" fillId="0" borderId="0" xfId="0" applyNumberFormat="1" applyFont="1" applyAlignment="1">
      <alignment wrapText="1"/>
    </xf>
    <xf numFmtId="44" fontId="0" fillId="0" borderId="0" xfId="1" applyFont="1" applyAlignment="1">
      <alignment wrapText="1"/>
    </xf>
    <xf numFmtId="44" fontId="8" fillId="0" borderId="0" xfId="1" applyFont="1" applyAlignment="1">
      <alignment wrapText="1"/>
    </xf>
    <xf numFmtId="44" fontId="8" fillId="3" borderId="0" xfId="1" applyFont="1" applyFill="1" applyAlignment="1">
      <alignment wrapText="1"/>
    </xf>
    <xf numFmtId="44" fontId="0" fillId="3" borderId="0" xfId="1" applyFont="1" applyFill="1" applyAlignment="1">
      <alignment wrapText="1"/>
    </xf>
    <xf numFmtId="0" fontId="0" fillId="0" borderId="0" xfId="0" applyNumberFormat="1"/>
    <xf numFmtId="167" fontId="0" fillId="0" borderId="0" xfId="0" applyNumberFormat="1" applyAlignment="1">
      <alignment wrapText="1"/>
    </xf>
    <xf numFmtId="44" fontId="2" fillId="0" borderId="0" xfId="1" applyFont="1" applyAlignment="1" applyProtection="1">
      <alignment vertical="center" wrapText="1"/>
      <protection locked="0"/>
    </xf>
    <xf numFmtId="0" fontId="3" fillId="0" borderId="0" xfId="0" applyFont="1" applyAlignment="1">
      <alignment wrapText="1"/>
    </xf>
    <xf numFmtId="44" fontId="1" fillId="0" borderId="3" xfId="1" applyFont="1" applyBorder="1" applyAlignment="1" applyProtection="1">
      <alignment horizontal="left" wrapText="1"/>
      <protection locked="0"/>
    </xf>
    <xf numFmtId="44" fontId="1" fillId="3" borderId="3" xfId="1" applyFont="1" applyFill="1" applyBorder="1" applyAlignment="1" applyProtection="1">
      <alignment horizontal="left" wrapText="1"/>
      <protection locked="0"/>
    </xf>
    <xf numFmtId="44" fontId="2" fillId="3" borderId="3" xfId="1" applyFont="1" applyFill="1" applyBorder="1" applyAlignment="1" applyProtection="1">
      <alignment horizontal="left" wrapText="1"/>
      <protection locked="0"/>
    </xf>
    <xf numFmtId="44" fontId="10" fillId="0" borderId="3" xfId="1" applyFont="1" applyFill="1" applyBorder="1" applyAlignment="1" applyProtection="1">
      <alignment vertical="center" wrapText="1"/>
    </xf>
    <xf numFmtId="0" fontId="0" fillId="0" borderId="3" xfId="0" applyBorder="1" applyAlignment="1">
      <alignment wrapText="1"/>
    </xf>
    <xf numFmtId="44" fontId="2" fillId="0" borderId="3" xfId="1" applyFont="1" applyFill="1" applyBorder="1" applyAlignment="1" applyProtection="1">
      <alignment vertical="center" wrapText="1"/>
    </xf>
    <xf numFmtId="44" fontId="1" fillId="0" borderId="3" xfId="1" applyFont="1" applyFill="1" applyBorder="1" applyAlignment="1" applyProtection="1">
      <alignment horizontal="center" vertical="center" wrapText="1"/>
    </xf>
    <xf numFmtId="0" fontId="0" fillId="3" borderId="3" xfId="0" applyFill="1" applyBorder="1" applyAlignment="1">
      <alignment wrapText="1"/>
    </xf>
    <xf numFmtId="44" fontId="2" fillId="0" borderId="3" xfId="1" applyFont="1" applyFill="1" applyBorder="1" applyAlignment="1" applyProtection="1">
      <alignment horizontal="center" vertical="center" wrapText="1"/>
    </xf>
    <xf numFmtId="164" fontId="0" fillId="0" borderId="3" xfId="0" applyNumberFormat="1" applyBorder="1" applyAlignment="1">
      <alignment wrapText="1"/>
    </xf>
    <xf numFmtId="9" fontId="2" fillId="0" borderId="3" xfId="2" applyFont="1" applyFill="1" applyBorder="1" applyAlignment="1" applyProtection="1">
      <alignment horizontal="center" vertical="center" wrapText="1"/>
    </xf>
    <xf numFmtId="0" fontId="2" fillId="3" borderId="3" xfId="0" applyFont="1" applyFill="1" applyBorder="1" applyAlignment="1" applyProtection="1">
      <alignment vertical="center" wrapText="1"/>
      <protection locked="0"/>
    </xf>
    <xf numFmtId="44" fontId="9" fillId="3" borderId="0" xfId="0" applyNumberFormat="1" applyFont="1" applyFill="1" applyAlignment="1" applyProtection="1">
      <alignment vertical="center" wrapText="1"/>
      <protection locked="0"/>
    </xf>
    <xf numFmtId="164" fontId="9" fillId="3" borderId="0" xfId="0" applyNumberFormat="1" applyFont="1" applyFill="1" applyAlignment="1" applyProtection="1">
      <alignment vertical="center" wrapText="1"/>
      <protection locked="0"/>
    </xf>
    <xf numFmtId="0" fontId="43" fillId="0" borderId="3" xfId="0" applyFont="1" applyBorder="1" applyAlignment="1">
      <alignment wrapText="1"/>
    </xf>
    <xf numFmtId="0" fontId="43" fillId="0" borderId="3" xfId="0" applyFont="1" applyBorder="1"/>
    <xf numFmtId="0" fontId="0" fillId="0" borderId="0" xfId="0" applyAlignment="1">
      <alignment horizontal="right"/>
    </xf>
    <xf numFmtId="169" fontId="0" fillId="0" borderId="0" xfId="3" applyNumberFormat="1" applyFont="1"/>
    <xf numFmtId="0" fontId="42" fillId="3" borderId="0" xfId="0" applyFont="1" applyFill="1"/>
    <xf numFmtId="0" fontId="44" fillId="3" borderId="0" xfId="0" applyFont="1" applyFill="1"/>
    <xf numFmtId="0" fontId="17" fillId="0" borderId="0" xfId="0" applyFont="1" applyAlignment="1">
      <alignment horizontal="left" vertical="top" wrapText="1"/>
    </xf>
    <xf numFmtId="0" fontId="1" fillId="2" borderId="35" xfId="0" applyFont="1" applyFill="1" applyBorder="1" applyAlignment="1">
      <alignment horizontal="center" vertical="center" wrapText="1"/>
    </xf>
    <xf numFmtId="0" fontId="1" fillId="2" borderId="10" xfId="0" applyFont="1" applyFill="1" applyBorder="1" applyAlignment="1">
      <alignment horizontal="center" vertical="center" wrapText="1"/>
    </xf>
    <xf numFmtId="44" fontId="2" fillId="2" borderId="5" xfId="1" applyFont="1" applyFill="1" applyBorder="1" applyAlignment="1" applyProtection="1">
      <alignment horizontal="center" vertical="center" wrapText="1"/>
    </xf>
    <xf numFmtId="44" fontId="2" fillId="2" borderId="40" xfId="1" applyFont="1" applyFill="1" applyBorder="1" applyAlignment="1" applyProtection="1">
      <alignment horizontal="center" vertical="center" wrapText="1"/>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44" fontId="1" fillId="3" borderId="3" xfId="1" applyFont="1" applyFill="1" applyBorder="1" applyAlignment="1" applyProtection="1">
      <alignment horizontal="left" vertical="top" wrapText="1"/>
      <protection locked="0"/>
    </xf>
    <xf numFmtId="0" fontId="2" fillId="4" borderId="42" xfId="0" applyFont="1" applyFill="1" applyBorder="1" applyAlignment="1">
      <alignment horizontal="center" vertical="center" wrapText="1"/>
    </xf>
    <xf numFmtId="0" fontId="2" fillId="4" borderId="44" xfId="0" applyFont="1" applyFill="1" applyBorder="1" applyAlignment="1">
      <alignment horizontal="center" vertical="center" wrapText="1"/>
    </xf>
    <xf numFmtId="44" fontId="2" fillId="2" borderId="32" xfId="1" applyFont="1" applyFill="1" applyBorder="1" applyAlignment="1" applyProtection="1">
      <alignment horizontal="center" vertical="center" wrapText="1"/>
      <protection locked="0"/>
    </xf>
    <xf numFmtId="44" fontId="2" fillId="2" borderId="39" xfId="1" applyFont="1" applyFill="1" applyBorder="1" applyAlignment="1" applyProtection="1">
      <alignment horizontal="center" vertical="center" wrapText="1"/>
      <protection locked="0"/>
    </xf>
    <xf numFmtId="49" fontId="2" fillId="3" borderId="3" xfId="0" applyNumberFormat="1"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0" fontId="19" fillId="0" borderId="57" xfId="0" applyFont="1" applyBorder="1" applyAlignment="1">
      <alignment horizontal="left" wrapText="1"/>
    </xf>
    <xf numFmtId="44" fontId="1" fillId="0" borderId="5" xfId="1" applyFont="1" applyBorder="1" applyAlignment="1" applyProtection="1">
      <alignment horizontal="left" vertical="center" wrapText="1"/>
      <protection locked="0"/>
    </xf>
    <xf numFmtId="44" fontId="1" fillId="0" borderId="51" xfId="1" applyFont="1" applyBorder="1" applyAlignment="1" applyProtection="1">
      <alignment horizontal="left" vertical="center" wrapText="1"/>
      <protection locked="0"/>
    </xf>
    <xf numFmtId="44" fontId="1" fillId="0" borderId="40" xfId="1" applyFont="1" applyBorder="1" applyAlignment="1" applyProtection="1">
      <alignment horizontal="left" vertical="center" wrapText="1"/>
      <protection locked="0"/>
    </xf>
    <xf numFmtId="44" fontId="1" fillId="0" borderId="78" xfId="1" applyFont="1" applyBorder="1" applyAlignment="1" applyProtection="1">
      <alignment horizontal="left" vertical="center" wrapText="1"/>
      <protection locked="0"/>
    </xf>
    <xf numFmtId="0" fontId="2" fillId="2" borderId="5"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 fillId="0" borderId="0" xfId="0" applyFont="1" applyAlignment="1">
      <alignment horizontal="center" vertical="center" wrapText="1"/>
    </xf>
    <xf numFmtId="0" fontId="2" fillId="2" borderId="2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0" fillId="5" borderId="13" xfId="0" applyFill="1" applyBorder="1" applyAlignment="1">
      <alignment horizontal="center" vertical="center" wrapText="1"/>
    </xf>
    <xf numFmtId="0" fontId="0" fillId="5" borderId="15" xfId="0" applyFill="1" applyBorder="1" applyAlignment="1">
      <alignment horizontal="center" vertical="center" wrapText="1"/>
    </xf>
    <xf numFmtId="0" fontId="2" fillId="2" borderId="5" xfId="0" applyFont="1" applyFill="1" applyBorder="1" applyAlignment="1" applyProtection="1">
      <alignment horizontal="center" vertical="center" wrapText="1"/>
      <protection locked="0"/>
    </xf>
    <xf numFmtId="0" fontId="2" fillId="2" borderId="40" xfId="0" applyFont="1" applyFill="1" applyBorder="1" applyAlignment="1" applyProtection="1">
      <alignment horizontal="center" vertical="center" wrapText="1"/>
      <protection locked="0"/>
    </xf>
    <xf numFmtId="14" fontId="31" fillId="0" borderId="57" xfId="0" applyNumberFormat="1" applyFont="1" applyBorder="1" applyAlignment="1">
      <alignment horizontal="center"/>
    </xf>
    <xf numFmtId="0" fontId="31" fillId="0" borderId="57" xfId="0" applyFont="1" applyBorder="1" applyAlignment="1">
      <alignment horizontal="center"/>
    </xf>
    <xf numFmtId="0" fontId="36" fillId="0" borderId="0" xfId="0" applyFont="1" applyAlignment="1">
      <alignment horizontal="center"/>
    </xf>
    <xf numFmtId="0" fontId="36" fillId="0" borderId="90" xfId="0" applyFont="1" applyBorder="1" applyAlignment="1">
      <alignment horizontal="center"/>
    </xf>
    <xf numFmtId="0" fontId="29" fillId="0" borderId="57" xfId="0" applyFont="1" applyBorder="1" applyAlignment="1">
      <alignment horizontal="center"/>
    </xf>
    <xf numFmtId="0" fontId="41" fillId="0" borderId="90" xfId="0" applyFont="1" applyBorder="1" applyAlignment="1">
      <alignment horizontal="center"/>
    </xf>
    <xf numFmtId="0" fontId="2" fillId="2" borderId="55" xfId="0" applyFont="1" applyFill="1" applyBorder="1" applyAlignment="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30" xfId="0" applyFont="1" applyFill="1" applyBorder="1" applyAlignment="1">
      <alignment horizontal="center" vertical="center" wrapText="1"/>
    </xf>
    <xf numFmtId="0" fontId="2" fillId="2" borderId="27" xfId="0" applyFont="1" applyFill="1" applyBorder="1" applyAlignment="1">
      <alignment horizontal="center" wrapText="1"/>
    </xf>
    <xf numFmtId="0" fontId="2" fillId="2" borderId="28" xfId="0" applyFont="1" applyFill="1" applyBorder="1" applyAlignment="1">
      <alignment horizontal="center" wrapText="1"/>
    </xf>
    <xf numFmtId="0" fontId="2" fillId="2" borderId="22" xfId="0" applyFont="1" applyFill="1" applyBorder="1" applyAlignment="1">
      <alignment horizontal="center" wrapText="1"/>
    </xf>
    <xf numFmtId="44" fontId="3" fillId="2" borderId="4" xfId="0" applyNumberFormat="1" applyFont="1" applyFill="1" applyBorder="1" applyAlignment="1">
      <alignment horizontal="center"/>
    </xf>
    <xf numFmtId="44" fontId="3" fillId="2" borderId="36" xfId="0" applyNumberFormat="1" applyFont="1" applyFill="1" applyBorder="1" applyAlignment="1">
      <alignment horizontal="center"/>
    </xf>
    <xf numFmtId="44" fontId="3" fillId="2" borderId="45" xfId="0" applyNumberFormat="1" applyFont="1" applyFill="1" applyBorder="1" applyAlignment="1">
      <alignment horizontal="center"/>
    </xf>
    <xf numFmtId="44" fontId="3" fillId="2" borderId="46" xfId="0" applyNumberFormat="1" applyFont="1" applyFill="1" applyBorder="1" applyAlignment="1">
      <alignment horizontal="center"/>
    </xf>
    <xf numFmtId="0" fontId="3" fillId="2" borderId="42" xfId="0" applyFont="1" applyFill="1" applyBorder="1" applyAlignment="1">
      <alignment horizontal="left"/>
    </xf>
    <xf numFmtId="0" fontId="3" fillId="2" borderId="43" xfId="0" applyFont="1" applyFill="1" applyBorder="1" applyAlignment="1">
      <alignment horizontal="left"/>
    </xf>
    <xf numFmtId="0" fontId="3" fillId="2" borderId="44" xfId="0" applyFont="1" applyFill="1" applyBorder="1" applyAlignment="1">
      <alignment horizontal="left"/>
    </xf>
    <xf numFmtId="49" fontId="0" fillId="2" borderId="47" xfId="0" applyNumberFormat="1" applyFill="1" applyBorder="1" applyAlignment="1">
      <alignment horizontal="center" wrapText="1"/>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0" fontId="0" fillId="2" borderId="47" xfId="0" applyFill="1" applyBorder="1" applyAlignment="1">
      <alignment horizontal="center" wrapText="1"/>
    </xf>
    <xf numFmtId="0" fontId="0" fillId="2" borderId="48" xfId="0" applyFill="1" applyBorder="1" applyAlignment="1">
      <alignment horizontal="center" wrapText="1"/>
    </xf>
    <xf numFmtId="0" fontId="0" fillId="2" borderId="49" xfId="0" applyFill="1" applyBorder="1" applyAlignment="1">
      <alignment horizontal="center" wrapText="1"/>
    </xf>
    <xf numFmtId="0" fontId="3" fillId="6" borderId="18"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0"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1"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0" xfId="0" applyFont="1" applyFill="1" applyBorder="1" applyAlignment="1">
      <alignment horizontal="center" vertical="center"/>
    </xf>
    <xf numFmtId="0" fontId="2" fillId="6" borderId="26" xfId="0" applyFont="1" applyFill="1" applyBorder="1" applyAlignment="1">
      <alignment horizontal="center" vertical="center"/>
    </xf>
    <xf numFmtId="0" fontId="2" fillId="6" borderId="21" xfId="0" applyFont="1" applyFill="1" applyBorder="1" applyAlignment="1">
      <alignment horizontal="center" vertical="center"/>
    </xf>
    <xf numFmtId="0" fontId="2" fillId="2" borderId="56" xfId="0" applyFont="1" applyFill="1" applyBorder="1" applyAlignment="1">
      <alignment horizontal="center" vertical="center" wrapText="1"/>
    </xf>
  </cellXfs>
  <cellStyles count="7">
    <cellStyle name="20% - Énfasis3" xfId="4" builtinId="38"/>
    <cellStyle name="20% - Énfasis4" xfId="5" builtinId="42"/>
    <cellStyle name="Millares" xfId="3" builtinId="3"/>
    <cellStyle name="Moneda" xfId="1" builtinId="4"/>
    <cellStyle name="Normal" xfId="0" builtinId="0"/>
    <cellStyle name="Normal 3" xfId="6"/>
    <cellStyle name="Porcentaje" xfId="2" builtinId="5"/>
  </cellStyles>
  <dxfs count="45">
    <dxf>
      <font>
        <b val="0"/>
        <i val="0"/>
        <color rgb="FFFFFF00"/>
      </font>
      <fill>
        <patternFill>
          <bgColor theme="6" tint="-0.24994659260841701"/>
        </patternFill>
      </fill>
      <border>
        <bottom style="thin">
          <color theme="0"/>
        </bottom>
        <vertical/>
        <horizontal/>
      </border>
    </dxf>
    <dxf>
      <fill>
        <patternFill>
          <bgColor rgb="FFFFFF00"/>
        </patternFill>
      </fill>
      <border>
        <left/>
        <right/>
        <top/>
        <bottom/>
      </border>
    </dxf>
    <dxf>
      <numFmt numFmtId="3" formatCode="#,##0"/>
      <fill>
        <patternFill>
          <bgColor rgb="FFFFFF00"/>
        </patternFill>
      </fill>
      <border>
        <left style="hair">
          <color rgb="FFFF0000"/>
        </left>
        <right style="hair">
          <color rgb="FFFF0000"/>
        </right>
        <top style="hair">
          <color rgb="FFFF0000"/>
        </top>
        <bottom style="hair">
          <color rgb="FFFF0000"/>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norwegianrefugeecouncil.sharepoint.com/Users/francisco.altamar/AppData/Local/Microsoft/Windows/INetCache/Content.Outlook/KM1HIK8W/B04.%20DONOR%20Budget%20Template%20V17.4%20(000000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norwegianrefugeecouncil.sharepoint.com/Users/francisco.altamar/AppData/Local/Microsoft/Windows/INetCache/Content.Outlook/KM1HIK8W/B04.%20DONOR%20Budget%20Template%20V17.4%20(00000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norwegianrefugeecouncil-my.sharepoint.com/personal/jesica_perdomo_nrc_no/Documents/Desktop/PRESUPUESTO%20PBF/00125909_MDTF_202205%20ACUMULADO%20MAY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esica.perdomo/Downloads/DONOR_Budget_Template%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B"/>
      <sheetName val="_Export_to_FINAL_BUDGET"/>
      <sheetName val="_Income&amp;admin"/>
      <sheetName val="_options"/>
      <sheetName val="_CC"/>
      <sheetName val="_ H _"/>
      <sheetName val="_ i _"/>
      <sheetName val="_data sheet"/>
      <sheetName val="_overview"/>
      <sheetName val="_Project"/>
      <sheetName val="_PMF_Rates"/>
      <sheetName val="_SetUP"/>
      <sheetName val="DETAILED_budget"/>
      <sheetName val="SALARY_budget"/>
      <sheetName val="Import_MASTER_Detailed"/>
      <sheetName val="Import_MASTER_Salary"/>
      <sheetName val="AdminCalc"/>
      <sheetName val="BPRM"/>
      <sheetName val="DFADT"/>
      <sheetName val="DFID"/>
      <sheetName val="NORAD"/>
      <sheetName val="UNHCR"/>
      <sheetName val="EC DONOR FORM"/>
      <sheetName val="ECHO Financial statement"/>
      <sheetName val="ECHO Financial Overview"/>
      <sheetName val="_ADMIN"/>
      <sheetName val="DONOR FORM"/>
      <sheetName val="DONOR FORM account level"/>
      <sheetName val="_Itemized budget"/>
      <sheetName val="_Blank"/>
      <sheetName val="3-3._Transfer_as_APPROVED"/>
      <sheetName val="APPROVED"/>
      <sheetName val="_DONOR FORM Offline"/>
      <sheetName val="_Accounts"/>
      <sheetName val="ResNO"/>
      <sheetName val="Activity"/>
      <sheetName val="_CodeClass"/>
      <sheetName val="_CodeDonor"/>
      <sheetName val="_CostCenter"/>
      <sheetName val="_Acc_grp_and_class"/>
      <sheetName val="_DonorList"/>
      <sheetName val="_Units"/>
      <sheetName val="_Location"/>
      <sheetName val="_Site"/>
      <sheetName val="_AdmBase"/>
      <sheetName val="_Period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B"/>
      <sheetName val="_Export_to_FINAL_BUDGET"/>
      <sheetName val="_Income&amp;admin"/>
      <sheetName val="_options"/>
      <sheetName val="_CC"/>
      <sheetName val="_ H _"/>
      <sheetName val="_ i _"/>
      <sheetName val="_data sheet"/>
      <sheetName val="_overview"/>
      <sheetName val="_Project"/>
      <sheetName val="_PMF_Rates"/>
      <sheetName val="_SetUP"/>
      <sheetName val="DETAILED_budget"/>
      <sheetName val="SALARY_budget"/>
      <sheetName val="_Accounts"/>
      <sheetName val="Import_MASTER_Detailed"/>
      <sheetName val="Import_MASTER_Salary"/>
      <sheetName val="AdminCalc"/>
      <sheetName val="BPRM"/>
      <sheetName val="DFADT"/>
      <sheetName val="DFID"/>
      <sheetName val="NORAD"/>
      <sheetName val="UNHCR"/>
      <sheetName val="EC DONOR FORM"/>
      <sheetName val="ECHO Financial statement"/>
      <sheetName val="ECHO Financial Overview"/>
      <sheetName val="ResNO"/>
      <sheetName val="_ADMIN"/>
      <sheetName val="DONOR FORM"/>
      <sheetName val="DONOR FORM account level"/>
      <sheetName val="_Itemized budget"/>
      <sheetName val="_Blank"/>
      <sheetName val="3-3._Transfer_as_APPROVED"/>
      <sheetName val="APPROVED"/>
      <sheetName val="_DONOR FORM Offline"/>
      <sheetName val="Activity"/>
      <sheetName val="_CodeClass"/>
      <sheetName val="_CodeDonor"/>
      <sheetName val="_CostCenter"/>
      <sheetName val="_Acc_grp_and_class"/>
      <sheetName val="_DonorList"/>
      <sheetName val="_Units"/>
      <sheetName val="_Location"/>
      <sheetName val="_Site"/>
      <sheetName val="_AdmBase"/>
      <sheetName val="_Periods"/>
      <sheetName val="B04. DONOR Budget Template V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refreshError="1"/>
      <sheetData sheetId="4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s"/>
      <sheetName val="GL1"/>
      <sheetName val="DRAFT"/>
      <sheetName val="For MPTF Use"/>
      <sheetName val="For MPTF Use Ajustado "/>
    </sheetNames>
    <sheetDataSet>
      <sheetData sheetId="0">
        <row r="1">
          <cell r="C1" t="str">
            <v>UNDG Expense Category</v>
          </cell>
          <cell r="D1" t="str">
            <v>USD Amount</v>
          </cell>
        </row>
        <row r="2">
          <cell r="C2">
            <v>1</v>
          </cell>
          <cell r="D2">
            <v>139114.57999999999</v>
          </cell>
        </row>
        <row r="3">
          <cell r="C3">
            <v>2</v>
          </cell>
          <cell r="D3">
            <v>136607.97999999998</v>
          </cell>
        </row>
        <row r="4">
          <cell r="C4">
            <v>3</v>
          </cell>
          <cell r="D4">
            <v>16271.179999999989</v>
          </cell>
        </row>
        <row r="5">
          <cell r="C5">
            <v>4</v>
          </cell>
          <cell r="D5">
            <v>51420.999999999985</v>
          </cell>
        </row>
        <row r="6">
          <cell r="C6">
            <v>5</v>
          </cell>
          <cell r="D6">
            <v>23131.110000000015</v>
          </cell>
        </row>
        <row r="7">
          <cell r="C7">
            <v>6</v>
          </cell>
          <cell r="D7">
            <v>192218.93000000011</v>
          </cell>
        </row>
        <row r="8">
          <cell r="C8">
            <v>7</v>
          </cell>
          <cell r="D8">
            <v>76042.650000000081</v>
          </cell>
        </row>
        <row r="9">
          <cell r="C9">
            <v>8</v>
          </cell>
          <cell r="D9">
            <v>33943.19</v>
          </cell>
        </row>
        <row r="10">
          <cell r="C10">
            <v>9</v>
          </cell>
          <cell r="D10">
            <v>0</v>
          </cell>
        </row>
        <row r="11">
          <cell r="C11">
            <v>10</v>
          </cell>
          <cell r="D11">
            <v>0</v>
          </cell>
        </row>
        <row r="12">
          <cell r="C12">
            <v>11</v>
          </cell>
          <cell r="D12">
            <v>0</v>
          </cell>
        </row>
        <row r="13">
          <cell r="D13">
            <v>668750.62000000011</v>
          </cell>
        </row>
        <row r="16">
          <cell r="D16">
            <v>811497.91000000038</v>
          </cell>
        </row>
        <row r="18">
          <cell r="D18">
            <v>-142747.29000000027</v>
          </cell>
        </row>
      </sheetData>
      <sheetData sheetId="1"/>
      <sheetData sheetId="2"/>
      <sheetData sheetId="3">
        <row r="16">
          <cell r="A16">
            <v>8</v>
          </cell>
        </row>
      </sheetData>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options"/>
      <sheetName val="_CC"/>
      <sheetName val="_ H _"/>
      <sheetName val="_Project"/>
      <sheetName val="_PMF_Rates"/>
      <sheetName val="_i_"/>
      <sheetName val="_SetUP"/>
      <sheetName val="_topdown_periods"/>
      <sheetName val="_overview"/>
      <sheetName val="_Itemized budget"/>
      <sheetName val="DETAILED_budget"/>
      <sheetName val="SALARY_PLAN"/>
      <sheetName val="DETAILED_PLAN"/>
      <sheetName val="AdminCalc"/>
      <sheetName val="NMFA"/>
      <sheetName val="BPRM"/>
      <sheetName val="DFADT"/>
      <sheetName val="DFID"/>
      <sheetName val="NORAD"/>
      <sheetName val="UNHCR"/>
      <sheetName val="EC DONOR FORM"/>
      <sheetName val="ECHO Financial statement"/>
      <sheetName val="ECHO Financial Overview"/>
      <sheetName val="ECHO Project - RQ"/>
      <sheetName val="ECHO Annex 2 - RQ"/>
      <sheetName val="ECHO Section 13 - SF"/>
      <sheetName val="_X-Balance"/>
      <sheetName val="4910_PLAN"/>
      <sheetName val="_ADMIN"/>
      <sheetName val="DONOR FORM"/>
      <sheetName val="DONOR FORM account level"/>
      <sheetName val="_Blank"/>
      <sheetName val="3-3._Transfer_as_APPROVED"/>
      <sheetName val="APPROVED"/>
      <sheetName val="_DONOR FORM Offline"/>
      <sheetName val="_Accounts"/>
      <sheetName val="ResNO"/>
      <sheetName val="Activity"/>
      <sheetName val="_CodeClass"/>
      <sheetName val="_CodeDonor"/>
      <sheetName val="_CostCenter"/>
      <sheetName val="_Acc_grp_and_class"/>
      <sheetName val="_DonorList"/>
      <sheetName val="_Units"/>
      <sheetName val="_Location"/>
      <sheetName val="_Site"/>
      <sheetName val="_AdmBase"/>
      <sheetName val="_Periods"/>
    </sheetNames>
    <sheetDataSet>
      <sheetData sheetId="0"/>
      <sheetData sheetId="1"/>
      <sheetData sheetId="2"/>
      <sheetData sheetId="3"/>
      <sheetData sheetId="4"/>
      <sheetData sheetId="5"/>
      <sheetData sheetId="6">
        <row r="15">
          <cell r="E15" t="str">
            <v>USD</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2:E4"/>
  <sheetViews>
    <sheetView showGridLines="0" zoomScale="80" zoomScaleNormal="80" workbookViewId="0"/>
  </sheetViews>
  <sheetFormatPr baseColWidth="10" defaultColWidth="8.7109375" defaultRowHeight="15"/>
  <cols>
    <col min="2" max="2" width="127.28515625" customWidth="1"/>
  </cols>
  <sheetData>
    <row r="2" spans="2:5" ht="36.75" customHeight="1">
      <c r="B2" s="482" t="s">
        <v>0</v>
      </c>
      <c r="C2" s="482"/>
      <c r="D2" s="482"/>
      <c r="E2" s="482"/>
    </row>
    <row r="3" spans="2:5" ht="21.75" customHeight="1" thickBot="1">
      <c r="B3" s="115" t="s">
        <v>1</v>
      </c>
      <c r="C3" s="241"/>
      <c r="D3" s="241"/>
      <c r="E3" s="241"/>
    </row>
    <row r="4" spans="2:5" ht="300" customHeight="1" thickBot="1">
      <c r="B4" s="134" t="s">
        <v>2</v>
      </c>
    </row>
  </sheetData>
  <mergeCells count="1">
    <mergeCell ref="B2:E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0"/>
  <sheetViews>
    <sheetView workbookViewId="0">
      <selection activeCell="R3" sqref="R3"/>
    </sheetView>
  </sheetViews>
  <sheetFormatPr baseColWidth="10" defaultColWidth="9.140625" defaultRowHeight="15"/>
  <cols>
    <col min="10" max="10" width="9.85546875" bestFit="1" customWidth="1"/>
    <col min="20" max="20" width="10.140625" bestFit="1" customWidth="1"/>
  </cols>
  <sheetData>
    <row r="1" spans="1:22" ht="34.5" thickTop="1">
      <c r="A1" s="248" t="s">
        <v>4053</v>
      </c>
      <c r="B1" s="145" t="s">
        <v>3438</v>
      </c>
      <c r="C1" s="146" t="s">
        <v>3439</v>
      </c>
      <c r="D1" s="147" t="s">
        <v>3440</v>
      </c>
      <c r="E1" s="148" t="s">
        <v>3441</v>
      </c>
      <c r="F1" s="149" t="s">
        <v>3442</v>
      </c>
      <c r="G1" s="149" t="s">
        <v>3443</v>
      </c>
      <c r="H1" s="149" t="s">
        <v>3444</v>
      </c>
      <c r="I1" s="150" t="s">
        <v>373</v>
      </c>
      <c r="J1" s="150" t="s">
        <v>3445</v>
      </c>
      <c r="K1" s="151" t="s">
        <v>3179</v>
      </c>
      <c r="L1" s="152" t="s">
        <v>3446</v>
      </c>
      <c r="M1" s="153" t="s">
        <v>355</v>
      </c>
      <c r="N1" s="154" t="s">
        <v>353</v>
      </c>
      <c r="O1" s="153" t="s">
        <v>3447</v>
      </c>
      <c r="P1" s="155" t="s">
        <v>4054</v>
      </c>
      <c r="Q1" s="156" t="s">
        <v>3448</v>
      </c>
      <c r="R1" s="157" t="s">
        <v>4055</v>
      </c>
      <c r="S1" s="158" t="s">
        <v>3449</v>
      </c>
      <c r="T1" s="159" t="s">
        <v>3450</v>
      </c>
      <c r="U1" s="160" t="str">
        <f>"Donor currency ("&amp;[4]_SetUP!$E$15&amp;")"</f>
        <v>Donor currency (USD)</v>
      </c>
      <c r="V1" s="161" t="s">
        <v>3451</v>
      </c>
    </row>
    <row r="2" spans="1:22" ht="34.5">
      <c r="A2" s="249">
        <v>2069202</v>
      </c>
      <c r="B2" s="162" t="s">
        <v>3452</v>
      </c>
      <c r="C2" s="163"/>
      <c r="D2" s="164">
        <v>202101</v>
      </c>
      <c r="E2" s="165">
        <v>202206</v>
      </c>
      <c r="F2" s="166" t="s">
        <v>3453</v>
      </c>
      <c r="G2" s="167">
        <v>1</v>
      </c>
      <c r="H2" s="167">
        <v>1</v>
      </c>
      <c r="I2" s="168" t="s">
        <v>375</v>
      </c>
      <c r="J2" s="169">
        <v>98130.9</v>
      </c>
      <c r="K2" s="170">
        <v>1</v>
      </c>
      <c r="L2" s="171" t="s">
        <v>1635</v>
      </c>
      <c r="M2" s="172">
        <v>4010</v>
      </c>
      <c r="N2" s="172" t="s">
        <v>382</v>
      </c>
      <c r="O2" s="172"/>
      <c r="P2" s="173"/>
      <c r="Q2" s="174" t="s">
        <v>346</v>
      </c>
      <c r="R2" s="173">
        <v>2069202</v>
      </c>
      <c r="S2" s="175"/>
      <c r="T2" s="176">
        <v>98131</v>
      </c>
      <c r="U2" s="177">
        <v>98131</v>
      </c>
      <c r="V2" s="178">
        <v>892992.09699999995</v>
      </c>
    </row>
    <row r="3" spans="1:22" ht="34.5">
      <c r="A3" s="249">
        <v>2069146</v>
      </c>
      <c r="B3" s="162" t="s">
        <v>3454</v>
      </c>
      <c r="C3" s="163"/>
      <c r="D3" s="164">
        <v>202201</v>
      </c>
      <c r="E3" s="165">
        <v>202206</v>
      </c>
      <c r="F3" s="166" t="s">
        <v>3455</v>
      </c>
      <c r="G3" s="167">
        <v>1</v>
      </c>
      <c r="H3" s="167">
        <v>1</v>
      </c>
      <c r="I3" s="168" t="s">
        <v>398</v>
      </c>
      <c r="J3" s="169">
        <v>44502696.534999996</v>
      </c>
      <c r="K3" s="170">
        <v>1</v>
      </c>
      <c r="L3" s="171" t="s">
        <v>396</v>
      </c>
      <c r="M3" s="172">
        <v>4042</v>
      </c>
      <c r="N3" s="172" t="s">
        <v>3456</v>
      </c>
      <c r="O3" s="172"/>
      <c r="P3" s="173">
        <v>101</v>
      </c>
      <c r="Q3" s="174" t="s">
        <v>439</v>
      </c>
      <c r="R3" s="173">
        <v>2069146</v>
      </c>
      <c r="S3" s="175"/>
      <c r="T3" s="176">
        <v>44502696.534999996</v>
      </c>
      <c r="U3" s="177">
        <v>12714.42</v>
      </c>
      <c r="V3" s="178">
        <v>115707.012</v>
      </c>
    </row>
    <row r="4" spans="1:22" ht="34.5">
      <c r="A4" s="249">
        <v>2069147</v>
      </c>
      <c r="B4" s="162" t="s">
        <v>3454</v>
      </c>
      <c r="C4" s="163"/>
      <c r="D4" s="164">
        <v>202102</v>
      </c>
      <c r="E4" s="165">
        <v>202112</v>
      </c>
      <c r="F4" s="166" t="s">
        <v>3455</v>
      </c>
      <c r="G4" s="167">
        <v>1</v>
      </c>
      <c r="H4" s="167">
        <v>1</v>
      </c>
      <c r="I4" s="168" t="s">
        <v>398</v>
      </c>
      <c r="J4" s="169">
        <v>205697304.16499999</v>
      </c>
      <c r="K4" s="170">
        <v>1</v>
      </c>
      <c r="L4" s="171" t="s">
        <v>396</v>
      </c>
      <c r="M4" s="172">
        <v>4042</v>
      </c>
      <c r="N4" s="172" t="s">
        <v>3456</v>
      </c>
      <c r="O4" s="172"/>
      <c r="P4" s="173">
        <v>101</v>
      </c>
      <c r="Q4" s="174" t="s">
        <v>439</v>
      </c>
      <c r="R4" s="173">
        <v>2069147</v>
      </c>
      <c r="S4" s="175"/>
      <c r="T4" s="176">
        <v>205697304.16499999</v>
      </c>
      <c r="U4" s="177">
        <v>58767.72</v>
      </c>
      <c r="V4" s="178">
        <v>534812.98800000001</v>
      </c>
    </row>
    <row r="5" spans="1:22" ht="34.5">
      <c r="A5" s="249">
        <v>2069148</v>
      </c>
      <c r="B5" s="162" t="s">
        <v>3454</v>
      </c>
      <c r="C5" s="163"/>
      <c r="D5" s="164">
        <v>202102</v>
      </c>
      <c r="E5" s="165">
        <v>202112</v>
      </c>
      <c r="F5" s="166" t="s">
        <v>3455</v>
      </c>
      <c r="G5" s="167">
        <v>1</v>
      </c>
      <c r="H5" s="167">
        <v>1</v>
      </c>
      <c r="I5" s="168" t="s">
        <v>398</v>
      </c>
      <c r="J5" s="169">
        <v>69538570.851999998</v>
      </c>
      <c r="K5" s="170">
        <v>1</v>
      </c>
      <c r="L5" s="171" t="s">
        <v>396</v>
      </c>
      <c r="M5" s="172">
        <v>4042</v>
      </c>
      <c r="N5" s="172" t="s">
        <v>3456</v>
      </c>
      <c r="O5" s="172"/>
      <c r="P5" s="173">
        <v>100</v>
      </c>
      <c r="Q5" s="174" t="s">
        <v>437</v>
      </c>
      <c r="R5" s="173">
        <v>2069148</v>
      </c>
      <c r="S5" s="175"/>
      <c r="T5" s="176">
        <v>69538570.851999998</v>
      </c>
      <c r="U5" s="177">
        <v>19867.169999999998</v>
      </c>
      <c r="V5" s="178">
        <v>180800.28</v>
      </c>
    </row>
    <row r="6" spans="1:22" ht="34.5">
      <c r="A6" s="249">
        <v>2069149</v>
      </c>
      <c r="B6" s="162" t="s">
        <v>3454</v>
      </c>
      <c r="C6" s="163"/>
      <c r="D6" s="164">
        <v>202201</v>
      </c>
      <c r="E6" s="165">
        <v>202206</v>
      </c>
      <c r="F6" s="166" t="s">
        <v>3455</v>
      </c>
      <c r="G6" s="167">
        <v>1</v>
      </c>
      <c r="H6" s="167">
        <v>1</v>
      </c>
      <c r="I6" s="168" t="s">
        <v>398</v>
      </c>
      <c r="J6" s="169">
        <v>96724741.010000005</v>
      </c>
      <c r="K6" s="170">
        <v>1</v>
      </c>
      <c r="L6" s="171" t="s">
        <v>396</v>
      </c>
      <c r="M6" s="172">
        <v>4042</v>
      </c>
      <c r="N6" s="172" t="s">
        <v>3456</v>
      </c>
      <c r="O6" s="172"/>
      <c r="P6" s="173">
        <v>100</v>
      </c>
      <c r="Q6" s="174" t="s">
        <v>437</v>
      </c>
      <c r="R6" s="173">
        <v>2069149</v>
      </c>
      <c r="S6" s="175"/>
      <c r="T6" s="176">
        <v>96724741.010000005</v>
      </c>
      <c r="U6" s="177">
        <v>27634.258999999998</v>
      </c>
      <c r="V6" s="178">
        <v>251484.32500000001</v>
      </c>
    </row>
    <row r="7" spans="1:22" ht="23.25">
      <c r="A7" s="249">
        <v>2069142</v>
      </c>
      <c r="B7" s="162" t="s">
        <v>3457</v>
      </c>
      <c r="C7" s="163"/>
      <c r="D7" s="164">
        <v>202201</v>
      </c>
      <c r="E7" s="165">
        <v>202206</v>
      </c>
      <c r="F7" s="166" t="s">
        <v>3455</v>
      </c>
      <c r="G7" s="167">
        <v>1</v>
      </c>
      <c r="H7" s="167">
        <v>1</v>
      </c>
      <c r="I7" s="168" t="s">
        <v>398</v>
      </c>
      <c r="J7" s="169">
        <v>2400000</v>
      </c>
      <c r="K7" s="170">
        <v>1</v>
      </c>
      <c r="L7" s="171" t="s">
        <v>396</v>
      </c>
      <c r="M7" s="172">
        <v>4043</v>
      </c>
      <c r="N7" s="172" t="s">
        <v>3456</v>
      </c>
      <c r="O7" s="172"/>
      <c r="P7" s="173">
        <v>101</v>
      </c>
      <c r="Q7" s="174" t="s">
        <v>439</v>
      </c>
      <c r="R7" s="173">
        <v>2069142</v>
      </c>
      <c r="S7" s="175"/>
      <c r="T7" s="176">
        <v>2400000</v>
      </c>
      <c r="U7" s="177">
        <v>685.68</v>
      </c>
      <c r="V7" s="178">
        <v>6240</v>
      </c>
    </row>
    <row r="8" spans="1:22" ht="23.25">
      <c r="A8" s="249">
        <v>2069143</v>
      </c>
      <c r="B8" s="162" t="s">
        <v>3457</v>
      </c>
      <c r="C8" s="163"/>
      <c r="D8" s="164">
        <v>202102</v>
      </c>
      <c r="E8" s="165">
        <v>202112</v>
      </c>
      <c r="F8" s="166" t="s">
        <v>3455</v>
      </c>
      <c r="G8" s="167">
        <v>1</v>
      </c>
      <c r="H8" s="167">
        <v>1</v>
      </c>
      <c r="I8" s="168" t="s">
        <v>398</v>
      </c>
      <c r="J8" s="169">
        <v>11943928.596000001</v>
      </c>
      <c r="K8" s="170">
        <v>1</v>
      </c>
      <c r="L8" s="171" t="s">
        <v>396</v>
      </c>
      <c r="M8" s="172">
        <v>4043</v>
      </c>
      <c r="N8" s="172" t="s">
        <v>3456</v>
      </c>
      <c r="O8" s="172"/>
      <c r="P8" s="173">
        <v>101</v>
      </c>
      <c r="Q8" s="174" t="s">
        <v>439</v>
      </c>
      <c r="R8" s="173">
        <v>2069143</v>
      </c>
      <c r="S8" s="175"/>
      <c r="T8" s="176">
        <v>11943928.596000001</v>
      </c>
      <c r="U8" s="177">
        <v>3412.38</v>
      </c>
      <c r="V8" s="178">
        <v>31054.212</v>
      </c>
    </row>
    <row r="9" spans="1:22" ht="23.25">
      <c r="A9" s="249">
        <v>2069144</v>
      </c>
      <c r="B9" s="162" t="s">
        <v>3457</v>
      </c>
      <c r="C9" s="163"/>
      <c r="D9" s="164">
        <v>202102</v>
      </c>
      <c r="E9" s="165">
        <v>202112</v>
      </c>
      <c r="F9" s="166" t="s">
        <v>3455</v>
      </c>
      <c r="G9" s="167">
        <v>1</v>
      </c>
      <c r="H9" s="167">
        <v>1</v>
      </c>
      <c r="I9" s="168" t="s">
        <v>398</v>
      </c>
      <c r="J9" s="169">
        <v>33911656.424000002</v>
      </c>
      <c r="K9" s="170">
        <v>1</v>
      </c>
      <c r="L9" s="171" t="s">
        <v>396</v>
      </c>
      <c r="M9" s="172">
        <v>4043</v>
      </c>
      <c r="N9" s="172" t="s">
        <v>3456</v>
      </c>
      <c r="O9" s="172"/>
      <c r="P9" s="173">
        <v>100</v>
      </c>
      <c r="Q9" s="174" t="s">
        <v>437</v>
      </c>
      <c r="R9" s="173">
        <v>2069144</v>
      </c>
      <c r="S9" s="175"/>
      <c r="T9" s="176">
        <v>33911656.424000002</v>
      </c>
      <c r="U9" s="177">
        <v>9688.56</v>
      </c>
      <c r="V9" s="178">
        <v>88170.312000000005</v>
      </c>
    </row>
    <row r="10" spans="1:22" ht="23.25">
      <c r="A10" s="249">
        <v>2069145</v>
      </c>
      <c r="B10" s="162" t="s">
        <v>3457</v>
      </c>
      <c r="C10" s="163"/>
      <c r="D10" s="164">
        <v>202201</v>
      </c>
      <c r="E10" s="165">
        <v>202206</v>
      </c>
      <c r="F10" s="166" t="s">
        <v>3455</v>
      </c>
      <c r="G10" s="167">
        <v>1</v>
      </c>
      <c r="H10" s="167">
        <v>1</v>
      </c>
      <c r="I10" s="168" t="s">
        <v>398</v>
      </c>
      <c r="J10" s="169">
        <v>52792678.684</v>
      </c>
      <c r="K10" s="170">
        <v>1</v>
      </c>
      <c r="L10" s="171" t="s">
        <v>396</v>
      </c>
      <c r="M10" s="172">
        <v>4043</v>
      </c>
      <c r="N10" s="172" t="s">
        <v>3456</v>
      </c>
      <c r="O10" s="172"/>
      <c r="P10" s="173">
        <v>100</v>
      </c>
      <c r="Q10" s="174" t="s">
        <v>437</v>
      </c>
      <c r="R10" s="173">
        <v>2069145</v>
      </c>
      <c r="S10" s="175"/>
      <c r="T10" s="176">
        <v>52792678.684</v>
      </c>
      <c r="U10" s="177">
        <v>15082.868</v>
      </c>
      <c r="V10" s="178">
        <v>137260.967</v>
      </c>
    </row>
    <row r="11" spans="1:22" ht="34.5">
      <c r="A11" s="249">
        <v>2069140</v>
      </c>
      <c r="B11" s="162" t="s">
        <v>3458</v>
      </c>
      <c r="C11" s="163"/>
      <c r="D11" s="164">
        <v>202102</v>
      </c>
      <c r="E11" s="165">
        <v>202112</v>
      </c>
      <c r="F11" s="166" t="s">
        <v>3455</v>
      </c>
      <c r="G11" s="167">
        <v>1</v>
      </c>
      <c r="H11" s="167">
        <v>1</v>
      </c>
      <c r="I11" s="168" t="s">
        <v>398</v>
      </c>
      <c r="J11" s="169">
        <v>28441478.489</v>
      </c>
      <c r="K11" s="170">
        <v>1</v>
      </c>
      <c r="L11" s="171" t="s">
        <v>396</v>
      </c>
      <c r="M11" s="172">
        <v>4044</v>
      </c>
      <c r="N11" s="172" t="s">
        <v>3456</v>
      </c>
      <c r="O11" s="172"/>
      <c r="P11" s="173">
        <v>100</v>
      </c>
      <c r="Q11" s="174" t="s">
        <v>437</v>
      </c>
      <c r="R11" s="173">
        <v>2069140</v>
      </c>
      <c r="S11" s="175"/>
      <c r="T11" s="176">
        <v>28441478.489</v>
      </c>
      <c r="U11" s="177">
        <v>8125.73</v>
      </c>
      <c r="V11" s="178">
        <v>73947.839999999997</v>
      </c>
    </row>
    <row r="12" spans="1:22" ht="34.5">
      <c r="A12" s="249">
        <v>2069141</v>
      </c>
      <c r="B12" s="162" t="s">
        <v>3458</v>
      </c>
      <c r="C12" s="163"/>
      <c r="D12" s="164">
        <v>202201</v>
      </c>
      <c r="E12" s="165">
        <v>202206</v>
      </c>
      <c r="F12" s="166" t="s">
        <v>3455</v>
      </c>
      <c r="G12" s="167">
        <v>1</v>
      </c>
      <c r="H12" s="167">
        <v>1</v>
      </c>
      <c r="I12" s="168" t="s">
        <v>398</v>
      </c>
      <c r="J12" s="169">
        <v>122376062.183</v>
      </c>
      <c r="K12" s="170">
        <v>1</v>
      </c>
      <c r="L12" s="171" t="s">
        <v>396</v>
      </c>
      <c r="M12" s="172">
        <v>4044</v>
      </c>
      <c r="N12" s="172" t="s">
        <v>3456</v>
      </c>
      <c r="O12" s="172"/>
      <c r="P12" s="173">
        <v>100</v>
      </c>
      <c r="Q12" s="174" t="s">
        <v>437</v>
      </c>
      <c r="R12" s="173">
        <v>2069141</v>
      </c>
      <c r="S12" s="175"/>
      <c r="T12" s="176">
        <v>122376062.183</v>
      </c>
      <c r="U12" s="177">
        <v>34962.841</v>
      </c>
      <c r="V12" s="178">
        <v>318177.76199999999</v>
      </c>
    </row>
    <row r="13" spans="1:22" ht="34.5">
      <c r="A13" s="249">
        <v>2514826</v>
      </c>
      <c r="B13" s="162" t="s">
        <v>3458</v>
      </c>
      <c r="C13" s="163"/>
      <c r="D13" s="164">
        <v>202102</v>
      </c>
      <c r="E13" s="165">
        <v>202112</v>
      </c>
      <c r="F13" s="166" t="s">
        <v>3455</v>
      </c>
      <c r="G13" s="167">
        <v>1</v>
      </c>
      <c r="H13" s="167">
        <v>1</v>
      </c>
      <c r="I13" s="168" t="s">
        <v>398</v>
      </c>
      <c r="J13" s="169">
        <v>2552607.63</v>
      </c>
      <c r="K13" s="170">
        <v>1</v>
      </c>
      <c r="L13" s="171" t="s">
        <v>396</v>
      </c>
      <c r="M13" s="172">
        <v>4044</v>
      </c>
      <c r="N13" s="172" t="s">
        <v>3456</v>
      </c>
      <c r="O13" s="172"/>
      <c r="P13" s="173">
        <v>101</v>
      </c>
      <c r="Q13" s="174" t="s">
        <v>439</v>
      </c>
      <c r="R13" s="173">
        <v>2514826</v>
      </c>
      <c r="S13" s="175"/>
      <c r="T13" s="176">
        <v>2552607.63</v>
      </c>
      <c r="U13" s="177">
        <v>729.28</v>
      </c>
      <c r="V13" s="178">
        <v>6636.7839999999997</v>
      </c>
    </row>
    <row r="14" spans="1:22" ht="34.5">
      <c r="A14" s="249">
        <v>2560217</v>
      </c>
      <c r="B14" s="162" t="s">
        <v>3458</v>
      </c>
      <c r="C14" s="163"/>
      <c r="D14" s="164">
        <v>202201</v>
      </c>
      <c r="E14" s="165">
        <v>202206</v>
      </c>
      <c r="F14" s="166" t="s">
        <v>3455</v>
      </c>
      <c r="G14" s="167">
        <v>1</v>
      </c>
      <c r="H14" s="167">
        <v>1</v>
      </c>
      <c r="I14" s="168" t="s">
        <v>398</v>
      </c>
      <c r="J14" s="169">
        <v>13447392.369999999</v>
      </c>
      <c r="K14" s="170">
        <v>1</v>
      </c>
      <c r="L14" s="171" t="s">
        <v>396</v>
      </c>
      <c r="M14" s="172">
        <v>4044</v>
      </c>
      <c r="N14" s="172" t="s">
        <v>3456</v>
      </c>
      <c r="O14" s="172"/>
      <c r="P14" s="173">
        <v>101</v>
      </c>
      <c r="Q14" s="174" t="s">
        <v>439</v>
      </c>
      <c r="R14" s="173">
        <v>2560217</v>
      </c>
      <c r="S14" s="175"/>
      <c r="T14" s="176">
        <v>13447392.369999999</v>
      </c>
      <c r="U14" s="177">
        <v>3841.92</v>
      </c>
      <c r="V14" s="178">
        <v>34963.218000000001</v>
      </c>
    </row>
    <row r="15" spans="1:22" ht="34.5">
      <c r="A15" s="249">
        <v>2069136</v>
      </c>
      <c r="B15" s="162" t="s">
        <v>3459</v>
      </c>
      <c r="C15" s="163"/>
      <c r="D15" s="164">
        <v>202102</v>
      </c>
      <c r="E15" s="165">
        <v>202112</v>
      </c>
      <c r="F15" s="166" t="s">
        <v>3455</v>
      </c>
      <c r="G15" s="167">
        <v>1</v>
      </c>
      <c r="H15" s="167">
        <v>1</v>
      </c>
      <c r="I15" s="168" t="s">
        <v>398</v>
      </c>
      <c r="J15" s="169">
        <v>169719147.838</v>
      </c>
      <c r="K15" s="170">
        <v>1</v>
      </c>
      <c r="L15" s="171" t="s">
        <v>396</v>
      </c>
      <c r="M15" s="172">
        <v>4045</v>
      </c>
      <c r="N15" s="172" t="s">
        <v>3456</v>
      </c>
      <c r="O15" s="172"/>
      <c r="P15" s="173">
        <v>101</v>
      </c>
      <c r="Q15" s="174" t="s">
        <v>439</v>
      </c>
      <c r="R15" s="173">
        <v>2069136</v>
      </c>
      <c r="S15" s="175"/>
      <c r="T15" s="176">
        <v>169719147.838</v>
      </c>
      <c r="U15" s="177">
        <v>48488.760999999999</v>
      </c>
      <c r="V15" s="178">
        <v>441269.78200000001</v>
      </c>
    </row>
    <row r="16" spans="1:22" ht="34.5">
      <c r="A16" s="249">
        <v>2069137</v>
      </c>
      <c r="B16" s="162" t="s">
        <v>3459</v>
      </c>
      <c r="C16" s="163"/>
      <c r="D16" s="164">
        <v>202201</v>
      </c>
      <c r="E16" s="165">
        <v>202206</v>
      </c>
      <c r="F16" s="166" t="s">
        <v>3455</v>
      </c>
      <c r="G16" s="167">
        <v>1</v>
      </c>
      <c r="H16" s="167">
        <v>1</v>
      </c>
      <c r="I16" s="168" t="s">
        <v>398</v>
      </c>
      <c r="J16" s="169">
        <v>809799925.06799996</v>
      </c>
      <c r="K16" s="170">
        <v>1</v>
      </c>
      <c r="L16" s="171" t="s">
        <v>396</v>
      </c>
      <c r="M16" s="172">
        <v>4045</v>
      </c>
      <c r="N16" s="172" t="s">
        <v>3456</v>
      </c>
      <c r="O16" s="172"/>
      <c r="P16" s="173">
        <v>101</v>
      </c>
      <c r="Q16" s="174" t="s">
        <v>439</v>
      </c>
      <c r="R16" s="173">
        <v>2069137</v>
      </c>
      <c r="S16" s="175"/>
      <c r="T16" s="176">
        <v>809799925.06799996</v>
      </c>
      <c r="U16" s="177">
        <v>231359.83900000001</v>
      </c>
      <c r="V16" s="178">
        <v>2105479.8059999999</v>
      </c>
    </row>
    <row r="17" spans="1:22" ht="34.5">
      <c r="A17" s="249">
        <v>2069138</v>
      </c>
      <c r="B17" s="162" t="s">
        <v>3459</v>
      </c>
      <c r="C17" s="163"/>
      <c r="D17" s="164">
        <v>202102</v>
      </c>
      <c r="E17" s="165">
        <v>202112</v>
      </c>
      <c r="F17" s="166" t="s">
        <v>3455</v>
      </c>
      <c r="G17" s="167">
        <v>1</v>
      </c>
      <c r="H17" s="167">
        <v>1</v>
      </c>
      <c r="I17" s="168" t="s">
        <v>398</v>
      </c>
      <c r="J17" s="169">
        <v>150995206.62200001</v>
      </c>
      <c r="K17" s="170">
        <v>1</v>
      </c>
      <c r="L17" s="171" t="s">
        <v>396</v>
      </c>
      <c r="M17" s="172">
        <v>4045</v>
      </c>
      <c r="N17" s="172" t="s">
        <v>3456</v>
      </c>
      <c r="O17" s="172"/>
      <c r="P17" s="173">
        <v>100</v>
      </c>
      <c r="Q17" s="174" t="s">
        <v>437</v>
      </c>
      <c r="R17" s="173">
        <v>2069138</v>
      </c>
      <c r="S17" s="175"/>
      <c r="T17" s="176">
        <v>150995206.62200001</v>
      </c>
      <c r="U17" s="177">
        <v>43139.330999999998</v>
      </c>
      <c r="V17" s="178">
        <v>392587.54499999998</v>
      </c>
    </row>
    <row r="18" spans="1:22" ht="34.5">
      <c r="A18" s="249">
        <v>2069139</v>
      </c>
      <c r="B18" s="162" t="s">
        <v>3459</v>
      </c>
      <c r="C18" s="163"/>
      <c r="D18" s="164">
        <v>202201</v>
      </c>
      <c r="E18" s="165">
        <v>202206</v>
      </c>
      <c r="F18" s="166" t="s">
        <v>3455</v>
      </c>
      <c r="G18" s="167">
        <v>1</v>
      </c>
      <c r="H18" s="167">
        <v>1</v>
      </c>
      <c r="I18" s="168" t="s">
        <v>398</v>
      </c>
      <c r="J18" s="169">
        <v>285261603.26599997</v>
      </c>
      <c r="K18" s="170">
        <v>1</v>
      </c>
      <c r="L18" s="171" t="s">
        <v>396</v>
      </c>
      <c r="M18" s="172">
        <v>4045</v>
      </c>
      <c r="N18" s="172" t="s">
        <v>3456</v>
      </c>
      <c r="O18" s="172"/>
      <c r="P18" s="173">
        <v>100</v>
      </c>
      <c r="Q18" s="174" t="s">
        <v>437</v>
      </c>
      <c r="R18" s="173">
        <v>2069139</v>
      </c>
      <c r="S18" s="175"/>
      <c r="T18" s="176">
        <v>285261603.26599997</v>
      </c>
      <c r="U18" s="177">
        <v>81499.240000000005</v>
      </c>
      <c r="V18" s="178">
        <v>741680.16599999997</v>
      </c>
    </row>
    <row r="19" spans="1:22" ht="45.75">
      <c r="A19" s="249">
        <v>2582121</v>
      </c>
      <c r="B19" s="162" t="s">
        <v>3460</v>
      </c>
      <c r="C19" s="163"/>
      <c r="D19" s="164">
        <v>202201</v>
      </c>
      <c r="E19" s="165">
        <v>202206</v>
      </c>
      <c r="F19" s="166" t="s">
        <v>3455</v>
      </c>
      <c r="G19" s="167">
        <v>1</v>
      </c>
      <c r="H19" s="167">
        <v>1</v>
      </c>
      <c r="I19" s="168" t="s">
        <v>398</v>
      </c>
      <c r="J19" s="169">
        <v>1</v>
      </c>
      <c r="K19" s="170">
        <v>1</v>
      </c>
      <c r="L19" s="171" t="s">
        <v>396</v>
      </c>
      <c r="M19" s="172">
        <v>4050</v>
      </c>
      <c r="N19" s="172" t="s">
        <v>3456</v>
      </c>
      <c r="O19" s="172"/>
      <c r="P19" s="173">
        <v>100</v>
      </c>
      <c r="Q19" s="174" t="s">
        <v>437</v>
      </c>
      <c r="R19" s="173">
        <v>2582121</v>
      </c>
      <c r="S19" s="175"/>
      <c r="T19" s="176">
        <v>1</v>
      </c>
      <c r="U19" s="177">
        <v>0</v>
      </c>
      <c r="V19" s="178">
        <v>1</v>
      </c>
    </row>
    <row r="20" spans="1:22" ht="45.75">
      <c r="A20" s="249">
        <v>2582122</v>
      </c>
      <c r="B20" s="162" t="s">
        <v>3460</v>
      </c>
      <c r="C20" s="163"/>
      <c r="D20" s="164">
        <v>202201</v>
      </c>
      <c r="E20" s="165">
        <v>202206</v>
      </c>
      <c r="F20" s="166" t="s">
        <v>3455</v>
      </c>
      <c r="G20" s="167">
        <v>1</v>
      </c>
      <c r="H20" s="167">
        <v>1</v>
      </c>
      <c r="I20" s="168" t="s">
        <v>398</v>
      </c>
      <c r="J20" s="169">
        <v>1</v>
      </c>
      <c r="K20" s="170">
        <v>1</v>
      </c>
      <c r="L20" s="171" t="s">
        <v>396</v>
      </c>
      <c r="M20" s="172">
        <v>4050</v>
      </c>
      <c r="N20" s="172" t="s">
        <v>3456</v>
      </c>
      <c r="O20" s="172"/>
      <c r="P20" s="173">
        <v>101</v>
      </c>
      <c r="Q20" s="174" t="s">
        <v>439</v>
      </c>
      <c r="R20" s="173">
        <v>2582122</v>
      </c>
      <c r="S20" s="175"/>
      <c r="T20" s="176">
        <v>1</v>
      </c>
      <c r="U20" s="177">
        <v>0</v>
      </c>
      <c r="V20" s="178">
        <v>1</v>
      </c>
    </row>
    <row r="21" spans="1:22" ht="23.25">
      <c r="A21" s="249">
        <v>2557530</v>
      </c>
      <c r="B21" s="162" t="s">
        <v>3461</v>
      </c>
      <c r="C21" s="163"/>
      <c r="D21" s="164">
        <v>202102</v>
      </c>
      <c r="E21" s="165">
        <v>202112</v>
      </c>
      <c r="F21" s="166" t="s">
        <v>3455</v>
      </c>
      <c r="G21" s="167">
        <v>30</v>
      </c>
      <c r="H21" s="167">
        <v>1</v>
      </c>
      <c r="I21" s="168" t="s">
        <v>398</v>
      </c>
      <c r="J21" s="169">
        <v>507093.68800000002</v>
      </c>
      <c r="K21" s="170">
        <v>0.4</v>
      </c>
      <c r="L21" s="171" t="s">
        <v>450</v>
      </c>
      <c r="M21" s="172">
        <v>4220</v>
      </c>
      <c r="N21" s="172" t="s">
        <v>3462</v>
      </c>
      <c r="O21" s="172"/>
      <c r="P21" s="173"/>
      <c r="Q21" s="174" t="s">
        <v>324</v>
      </c>
      <c r="R21" s="173">
        <v>2557530</v>
      </c>
      <c r="S21" s="175"/>
      <c r="T21" s="176">
        <v>6085124.2560000001</v>
      </c>
      <c r="U21" s="177">
        <v>1738.52</v>
      </c>
      <c r="V21" s="178">
        <v>15821.322</v>
      </c>
    </row>
    <row r="22" spans="1:22" ht="34.5">
      <c r="A22" s="249">
        <v>2458085</v>
      </c>
      <c r="B22" s="162" t="s">
        <v>3463</v>
      </c>
      <c r="C22" s="163"/>
      <c r="D22" s="164">
        <v>202201</v>
      </c>
      <c r="E22" s="165">
        <v>202206</v>
      </c>
      <c r="F22" s="166" t="s">
        <v>3455</v>
      </c>
      <c r="G22" s="167">
        <v>5</v>
      </c>
      <c r="H22" s="167">
        <v>1</v>
      </c>
      <c r="I22" s="168" t="s">
        <v>398</v>
      </c>
      <c r="J22" s="169">
        <v>525840.049</v>
      </c>
      <c r="K22" s="170">
        <v>1</v>
      </c>
      <c r="L22" s="171" t="s">
        <v>450</v>
      </c>
      <c r="M22" s="172">
        <v>4250</v>
      </c>
      <c r="N22" s="172" t="s">
        <v>3462</v>
      </c>
      <c r="O22" s="172"/>
      <c r="P22" s="173"/>
      <c r="Q22" s="174" t="s">
        <v>324</v>
      </c>
      <c r="R22" s="173">
        <v>1415431</v>
      </c>
      <c r="S22" s="175"/>
      <c r="T22" s="176">
        <v>2629200.2450000001</v>
      </c>
      <c r="U22" s="177">
        <v>751.16300000000001</v>
      </c>
      <c r="V22" s="178">
        <v>6835.92</v>
      </c>
    </row>
    <row r="23" spans="1:22" ht="45.75">
      <c r="A23" s="249">
        <v>2069135</v>
      </c>
      <c r="B23" s="162" t="s">
        <v>3464</v>
      </c>
      <c r="C23" s="163"/>
      <c r="D23" s="164">
        <v>202102</v>
      </c>
      <c r="E23" s="165">
        <v>202112</v>
      </c>
      <c r="F23" s="166" t="s">
        <v>3455</v>
      </c>
      <c r="G23" s="167">
        <v>1</v>
      </c>
      <c r="H23" s="167">
        <v>1</v>
      </c>
      <c r="I23" s="168" t="s">
        <v>398</v>
      </c>
      <c r="J23" s="169">
        <v>50866854.042000003</v>
      </c>
      <c r="K23" s="170">
        <v>1</v>
      </c>
      <c r="L23" s="171" t="s">
        <v>450</v>
      </c>
      <c r="M23" s="172">
        <v>4251</v>
      </c>
      <c r="N23" s="172" t="s">
        <v>3462</v>
      </c>
      <c r="O23" s="172"/>
      <c r="P23" s="173"/>
      <c r="Q23" s="174" t="s">
        <v>324</v>
      </c>
      <c r="R23" s="173">
        <v>1415430</v>
      </c>
      <c r="S23" s="175"/>
      <c r="T23" s="176">
        <v>50866854.042000003</v>
      </c>
      <c r="U23" s="177">
        <v>14532.66</v>
      </c>
      <c r="V23" s="178">
        <v>132253.82399999999</v>
      </c>
    </row>
    <row r="24" spans="1:22" ht="45.75">
      <c r="A24" s="249">
        <v>2458086</v>
      </c>
      <c r="B24" s="162" t="s">
        <v>3464</v>
      </c>
      <c r="C24" s="163" t="s">
        <v>4056</v>
      </c>
      <c r="D24" s="164">
        <v>202201</v>
      </c>
      <c r="E24" s="165">
        <v>202206</v>
      </c>
      <c r="F24" s="166" t="s">
        <v>3455</v>
      </c>
      <c r="G24" s="167">
        <v>1</v>
      </c>
      <c r="H24" s="167">
        <v>1</v>
      </c>
      <c r="I24" s="168" t="s">
        <v>398</v>
      </c>
      <c r="J24" s="169">
        <v>2400717.0630000001</v>
      </c>
      <c r="K24" s="170">
        <v>0.5</v>
      </c>
      <c r="L24" s="171" t="s">
        <v>450</v>
      </c>
      <c r="M24" s="172">
        <v>4251</v>
      </c>
      <c r="N24" s="172" t="s">
        <v>3462</v>
      </c>
      <c r="O24" s="172"/>
      <c r="P24" s="173"/>
      <c r="Q24" s="174" t="s">
        <v>324</v>
      </c>
      <c r="R24" s="173">
        <v>1415430</v>
      </c>
      <c r="S24" s="175"/>
      <c r="T24" s="176">
        <v>1200358.5319999999</v>
      </c>
      <c r="U24" s="177">
        <v>342.94200000000001</v>
      </c>
      <c r="V24" s="178">
        <v>3120.93</v>
      </c>
    </row>
    <row r="25" spans="1:22" ht="158.25">
      <c r="A25" s="249">
        <v>2069121</v>
      </c>
      <c r="B25" s="162" t="s">
        <v>3465</v>
      </c>
      <c r="C25" s="163"/>
      <c r="D25" s="164">
        <v>202102</v>
      </c>
      <c r="E25" s="165">
        <v>202112</v>
      </c>
      <c r="F25" s="166" t="s">
        <v>3455</v>
      </c>
      <c r="G25" s="167">
        <v>1</v>
      </c>
      <c r="H25" s="167">
        <v>15</v>
      </c>
      <c r="I25" s="168" t="s">
        <v>398</v>
      </c>
      <c r="J25" s="169">
        <v>339225.17800000001</v>
      </c>
      <c r="K25" s="170">
        <v>1</v>
      </c>
      <c r="L25" s="171" t="s">
        <v>396</v>
      </c>
      <c r="M25" s="172">
        <v>4500</v>
      </c>
      <c r="N25" s="172" t="s">
        <v>3456</v>
      </c>
      <c r="O25" s="172"/>
      <c r="P25" s="173"/>
      <c r="Q25" s="174" t="s">
        <v>19</v>
      </c>
      <c r="R25" s="173">
        <v>2069121</v>
      </c>
      <c r="S25" s="175"/>
      <c r="T25" s="176">
        <v>5088377.6689999998</v>
      </c>
      <c r="U25" s="177">
        <v>1453.75</v>
      </c>
      <c r="V25" s="178">
        <v>13229.784</v>
      </c>
    </row>
    <row r="26" spans="1:22" ht="147">
      <c r="A26" s="249">
        <v>2069123</v>
      </c>
      <c r="B26" s="162" t="s">
        <v>3466</v>
      </c>
      <c r="C26" s="163"/>
      <c r="D26" s="164">
        <v>202102</v>
      </c>
      <c r="E26" s="165">
        <v>202112</v>
      </c>
      <c r="F26" s="166" t="s">
        <v>3455</v>
      </c>
      <c r="G26" s="167">
        <v>1</v>
      </c>
      <c r="H26" s="167">
        <v>6</v>
      </c>
      <c r="I26" s="168" t="s">
        <v>398</v>
      </c>
      <c r="J26" s="169">
        <v>1405629.4480000001</v>
      </c>
      <c r="K26" s="170">
        <v>1</v>
      </c>
      <c r="L26" s="171" t="s">
        <v>396</v>
      </c>
      <c r="M26" s="172">
        <v>4500</v>
      </c>
      <c r="N26" s="172" t="s">
        <v>3456</v>
      </c>
      <c r="O26" s="172"/>
      <c r="P26" s="173"/>
      <c r="Q26" s="174" t="s">
        <v>22</v>
      </c>
      <c r="R26" s="173">
        <v>2069123</v>
      </c>
      <c r="S26" s="175"/>
      <c r="T26" s="176">
        <v>8433776.6889999993</v>
      </c>
      <c r="U26" s="177">
        <v>2409.5300000000002</v>
      </c>
      <c r="V26" s="178">
        <v>21927.815999999999</v>
      </c>
    </row>
    <row r="27" spans="1:22" ht="147">
      <c r="A27" s="249">
        <v>2069125</v>
      </c>
      <c r="B27" s="162" t="s">
        <v>3467</v>
      </c>
      <c r="C27" s="163"/>
      <c r="D27" s="164">
        <v>202102</v>
      </c>
      <c r="E27" s="165">
        <v>202112</v>
      </c>
      <c r="F27" s="166" t="s">
        <v>3455</v>
      </c>
      <c r="G27" s="167">
        <v>1</v>
      </c>
      <c r="H27" s="167">
        <v>1</v>
      </c>
      <c r="I27" s="168" t="s">
        <v>398</v>
      </c>
      <c r="J27" s="169">
        <v>60776932.097000003</v>
      </c>
      <c r="K27" s="170">
        <v>1</v>
      </c>
      <c r="L27" s="171" t="s">
        <v>396</v>
      </c>
      <c r="M27" s="172">
        <v>4500</v>
      </c>
      <c r="N27" s="172" t="s">
        <v>3456</v>
      </c>
      <c r="O27" s="172"/>
      <c r="P27" s="173"/>
      <c r="Q27" s="174" t="s">
        <v>25</v>
      </c>
      <c r="R27" s="173">
        <v>2069125</v>
      </c>
      <c r="S27" s="175"/>
      <c r="T27" s="176">
        <v>60776932.097000003</v>
      </c>
      <c r="U27" s="177">
        <v>17363.97</v>
      </c>
      <c r="V27" s="178">
        <v>158020.01999999999</v>
      </c>
    </row>
    <row r="28" spans="1:22" ht="214.5">
      <c r="A28" s="249">
        <v>2069126</v>
      </c>
      <c r="B28" s="162" t="s">
        <v>3468</v>
      </c>
      <c r="C28" s="163"/>
      <c r="D28" s="164">
        <v>202102</v>
      </c>
      <c r="E28" s="165">
        <v>202112</v>
      </c>
      <c r="F28" s="166" t="s">
        <v>3455</v>
      </c>
      <c r="G28" s="167">
        <v>1</v>
      </c>
      <c r="H28" s="167">
        <v>8</v>
      </c>
      <c r="I28" s="168" t="s">
        <v>398</v>
      </c>
      <c r="J28" s="169">
        <v>13383295.414999999</v>
      </c>
      <c r="K28" s="170">
        <v>1</v>
      </c>
      <c r="L28" s="171" t="s">
        <v>396</v>
      </c>
      <c r="M28" s="172">
        <v>4500</v>
      </c>
      <c r="N28" s="172" t="s">
        <v>3456</v>
      </c>
      <c r="O28" s="172"/>
      <c r="P28" s="173"/>
      <c r="Q28" s="174" t="s">
        <v>36</v>
      </c>
      <c r="R28" s="173">
        <v>2069126</v>
      </c>
      <c r="S28" s="175"/>
      <c r="T28" s="176">
        <v>107066363.318</v>
      </c>
      <c r="U28" s="177">
        <v>30588.86</v>
      </c>
      <c r="V28" s="178">
        <v>278372.54399999999</v>
      </c>
    </row>
    <row r="29" spans="1:22" ht="237">
      <c r="A29" s="249">
        <v>2069127</v>
      </c>
      <c r="B29" s="162" t="s">
        <v>3469</v>
      </c>
      <c r="C29" s="163"/>
      <c r="D29" s="164">
        <v>202102</v>
      </c>
      <c r="E29" s="165">
        <v>202112</v>
      </c>
      <c r="F29" s="166" t="s">
        <v>3455</v>
      </c>
      <c r="G29" s="167">
        <v>1</v>
      </c>
      <c r="H29" s="167">
        <v>1</v>
      </c>
      <c r="I29" s="168" t="s">
        <v>398</v>
      </c>
      <c r="J29" s="169">
        <v>95901295.064999998</v>
      </c>
      <c r="K29" s="170">
        <v>1</v>
      </c>
      <c r="L29" s="171" t="s">
        <v>396</v>
      </c>
      <c r="M29" s="172">
        <v>4500</v>
      </c>
      <c r="N29" s="172" t="s">
        <v>3456</v>
      </c>
      <c r="O29" s="172"/>
      <c r="P29" s="173"/>
      <c r="Q29" s="174" t="s">
        <v>36</v>
      </c>
      <c r="R29" s="173">
        <v>2069127</v>
      </c>
      <c r="S29" s="175"/>
      <c r="T29" s="176">
        <v>95901295.064999998</v>
      </c>
      <c r="U29" s="177">
        <v>27399</v>
      </c>
      <c r="V29" s="178">
        <v>249343.36799999999</v>
      </c>
    </row>
    <row r="30" spans="1:22" ht="304.5">
      <c r="A30" s="249">
        <v>2069128</v>
      </c>
      <c r="B30" s="162" t="s">
        <v>3470</v>
      </c>
      <c r="C30" s="163"/>
      <c r="D30" s="164">
        <v>202102</v>
      </c>
      <c r="E30" s="165">
        <v>202112</v>
      </c>
      <c r="F30" s="166" t="s">
        <v>3455</v>
      </c>
      <c r="G30" s="167">
        <v>1</v>
      </c>
      <c r="H30" s="167">
        <v>86</v>
      </c>
      <c r="I30" s="168" t="s">
        <v>398</v>
      </c>
      <c r="J30" s="169">
        <v>356599.06699999998</v>
      </c>
      <c r="K30" s="170">
        <v>1</v>
      </c>
      <c r="L30" s="171" t="s">
        <v>396</v>
      </c>
      <c r="M30" s="172">
        <v>4500</v>
      </c>
      <c r="N30" s="172" t="s">
        <v>3456</v>
      </c>
      <c r="O30" s="172"/>
      <c r="P30" s="173"/>
      <c r="Q30" s="174" t="s">
        <v>40</v>
      </c>
      <c r="R30" s="173">
        <v>2069128</v>
      </c>
      <c r="S30" s="175"/>
      <c r="T30" s="176">
        <v>30667519.776000001</v>
      </c>
      <c r="U30" s="177">
        <v>8761.7099999999991</v>
      </c>
      <c r="V30" s="178">
        <v>79735.547999999995</v>
      </c>
    </row>
    <row r="31" spans="1:22" ht="270.75">
      <c r="A31" s="249">
        <v>2069129</v>
      </c>
      <c r="B31" s="162" t="s">
        <v>3471</v>
      </c>
      <c r="C31" s="163"/>
      <c r="D31" s="164">
        <v>202102</v>
      </c>
      <c r="E31" s="165">
        <v>202112</v>
      </c>
      <c r="F31" s="166" t="s">
        <v>3455</v>
      </c>
      <c r="G31" s="167">
        <v>1</v>
      </c>
      <c r="H31" s="167">
        <v>1</v>
      </c>
      <c r="I31" s="168" t="s">
        <v>398</v>
      </c>
      <c r="J31" s="169">
        <v>296744.31199999998</v>
      </c>
      <c r="K31" s="170">
        <v>1</v>
      </c>
      <c r="L31" s="171" t="s">
        <v>396</v>
      </c>
      <c r="M31" s="172">
        <v>4500</v>
      </c>
      <c r="N31" s="172" t="s">
        <v>3456</v>
      </c>
      <c r="O31" s="172"/>
      <c r="P31" s="173"/>
      <c r="Q31" s="174" t="s">
        <v>40</v>
      </c>
      <c r="R31" s="173">
        <v>2069129</v>
      </c>
      <c r="S31" s="175"/>
      <c r="T31" s="176">
        <v>296744.31199999998</v>
      </c>
      <c r="U31" s="177">
        <v>84.78</v>
      </c>
      <c r="V31" s="178">
        <v>771.54</v>
      </c>
    </row>
    <row r="32" spans="1:22" ht="282">
      <c r="A32" s="249">
        <v>2069130</v>
      </c>
      <c r="B32" s="162" t="s">
        <v>3472</v>
      </c>
      <c r="C32" s="163"/>
      <c r="D32" s="164">
        <v>202102</v>
      </c>
      <c r="E32" s="165">
        <v>202112</v>
      </c>
      <c r="F32" s="166" t="s">
        <v>3455</v>
      </c>
      <c r="G32" s="167">
        <v>1</v>
      </c>
      <c r="H32" s="167">
        <v>12</v>
      </c>
      <c r="I32" s="168" t="s">
        <v>398</v>
      </c>
      <c r="J32" s="169">
        <v>181839.92499999999</v>
      </c>
      <c r="K32" s="170">
        <v>1</v>
      </c>
      <c r="L32" s="171" t="s">
        <v>396</v>
      </c>
      <c r="M32" s="172">
        <v>4500</v>
      </c>
      <c r="N32" s="172" t="s">
        <v>3456</v>
      </c>
      <c r="O32" s="172"/>
      <c r="P32" s="173"/>
      <c r="Q32" s="174" t="s">
        <v>52</v>
      </c>
      <c r="R32" s="173">
        <v>2069130</v>
      </c>
      <c r="S32" s="175"/>
      <c r="T32" s="176">
        <v>2182079.1039999998</v>
      </c>
      <c r="U32" s="177">
        <v>623.41999999999996</v>
      </c>
      <c r="V32" s="178">
        <v>5673.4080000000004</v>
      </c>
    </row>
    <row r="33" spans="1:22" ht="169.5">
      <c r="A33" s="249">
        <v>2069131</v>
      </c>
      <c r="B33" s="162" t="s">
        <v>3473</v>
      </c>
      <c r="C33" s="163"/>
      <c r="D33" s="164">
        <v>202102</v>
      </c>
      <c r="E33" s="165">
        <v>202112</v>
      </c>
      <c r="F33" s="166" t="s">
        <v>3455</v>
      </c>
      <c r="G33" s="167">
        <v>1</v>
      </c>
      <c r="H33" s="167">
        <v>1</v>
      </c>
      <c r="I33" s="168" t="s">
        <v>398</v>
      </c>
      <c r="J33" s="169">
        <v>41265.313000000002</v>
      </c>
      <c r="K33" s="170">
        <v>1</v>
      </c>
      <c r="L33" s="171" t="s">
        <v>396</v>
      </c>
      <c r="M33" s="172">
        <v>4500</v>
      </c>
      <c r="N33" s="172" t="s">
        <v>3456</v>
      </c>
      <c r="O33" s="172"/>
      <c r="P33" s="173"/>
      <c r="Q33" s="174" t="s">
        <v>52</v>
      </c>
      <c r="R33" s="173">
        <v>2069131</v>
      </c>
      <c r="S33" s="175"/>
      <c r="T33" s="176">
        <v>41265.313000000002</v>
      </c>
      <c r="U33" s="177">
        <v>11.789</v>
      </c>
      <c r="V33" s="178">
        <v>107.292</v>
      </c>
    </row>
    <row r="34" spans="1:22" ht="135.75">
      <c r="A34" s="249">
        <v>2069132</v>
      </c>
      <c r="B34" s="162" t="s">
        <v>3474</v>
      </c>
      <c r="C34" s="163"/>
      <c r="D34" s="164">
        <v>202102</v>
      </c>
      <c r="E34" s="165">
        <v>202112</v>
      </c>
      <c r="F34" s="166" t="s">
        <v>3455</v>
      </c>
      <c r="G34" s="167">
        <v>1</v>
      </c>
      <c r="H34" s="167">
        <v>5</v>
      </c>
      <c r="I34" s="168" t="s">
        <v>398</v>
      </c>
      <c r="J34" s="169">
        <v>4638741.9369999999</v>
      </c>
      <c r="K34" s="170">
        <v>0.7</v>
      </c>
      <c r="L34" s="171" t="s">
        <v>396</v>
      </c>
      <c r="M34" s="172">
        <v>4500</v>
      </c>
      <c r="N34" s="172" t="s">
        <v>3456</v>
      </c>
      <c r="O34" s="172"/>
      <c r="P34" s="173"/>
      <c r="Q34" s="174" t="s">
        <v>56</v>
      </c>
      <c r="R34" s="173">
        <v>2069132</v>
      </c>
      <c r="S34" s="175"/>
      <c r="T34" s="176">
        <v>16235596.779999999</v>
      </c>
      <c r="U34" s="177">
        <v>4638.51</v>
      </c>
      <c r="V34" s="178">
        <v>42212.555999999997</v>
      </c>
    </row>
    <row r="35" spans="1:22" ht="135.75">
      <c r="A35" s="249">
        <v>2069133</v>
      </c>
      <c r="B35" s="162" t="s">
        <v>3474</v>
      </c>
      <c r="C35" s="163"/>
      <c r="D35" s="164">
        <v>202201</v>
      </c>
      <c r="E35" s="165">
        <v>202206</v>
      </c>
      <c r="F35" s="166" t="s">
        <v>3455</v>
      </c>
      <c r="G35" s="167">
        <v>1</v>
      </c>
      <c r="H35" s="167">
        <v>5</v>
      </c>
      <c r="I35" s="168" t="s">
        <v>398</v>
      </c>
      <c r="J35" s="169">
        <v>246309601.56799999</v>
      </c>
      <c r="K35" s="170">
        <v>0.3</v>
      </c>
      <c r="L35" s="171" t="s">
        <v>396</v>
      </c>
      <c r="M35" s="172">
        <v>4500</v>
      </c>
      <c r="N35" s="172" t="s">
        <v>3456</v>
      </c>
      <c r="O35" s="172"/>
      <c r="P35" s="173"/>
      <c r="Q35" s="174" t="s">
        <v>56</v>
      </c>
      <c r="R35" s="173">
        <v>2069133</v>
      </c>
      <c r="S35" s="175"/>
      <c r="T35" s="176">
        <v>369464402.35299999</v>
      </c>
      <c r="U35" s="177">
        <v>105555.98</v>
      </c>
      <c r="V35" s="178">
        <v>960607.446</v>
      </c>
    </row>
    <row r="36" spans="1:22" ht="34.5">
      <c r="A36" s="249">
        <v>2265777</v>
      </c>
      <c r="B36" s="162" t="s">
        <v>3475</v>
      </c>
      <c r="C36" s="163" t="s">
        <v>3476</v>
      </c>
      <c r="D36" s="164">
        <v>202201</v>
      </c>
      <c r="E36" s="165">
        <v>202206</v>
      </c>
      <c r="F36" s="166" t="s">
        <v>3477</v>
      </c>
      <c r="G36" s="167">
        <v>1</v>
      </c>
      <c r="H36" s="167">
        <v>4</v>
      </c>
      <c r="I36" s="168" t="s">
        <v>398</v>
      </c>
      <c r="J36" s="169">
        <v>8750000</v>
      </c>
      <c r="K36" s="170">
        <v>1</v>
      </c>
      <c r="L36" s="171" t="s">
        <v>396</v>
      </c>
      <c r="M36" s="172">
        <v>4500</v>
      </c>
      <c r="N36" s="172" t="s">
        <v>326</v>
      </c>
      <c r="O36" s="172"/>
      <c r="P36" s="173">
        <v>901</v>
      </c>
      <c r="Q36" s="174" t="s">
        <v>326</v>
      </c>
      <c r="R36" s="173">
        <v>2265777</v>
      </c>
      <c r="S36" s="175"/>
      <c r="T36" s="176">
        <v>35000000</v>
      </c>
      <c r="U36" s="177">
        <v>9999.5</v>
      </c>
      <c r="V36" s="178">
        <v>91000.001999999993</v>
      </c>
    </row>
    <row r="37" spans="1:22" ht="34.5">
      <c r="A37" s="249">
        <v>2265779</v>
      </c>
      <c r="B37" s="162" t="s">
        <v>3478</v>
      </c>
      <c r="C37" s="163" t="s">
        <v>3476</v>
      </c>
      <c r="D37" s="164">
        <v>202201</v>
      </c>
      <c r="E37" s="165">
        <v>202206</v>
      </c>
      <c r="F37" s="166" t="s">
        <v>3477</v>
      </c>
      <c r="G37" s="167">
        <v>1</v>
      </c>
      <c r="H37" s="167">
        <v>4</v>
      </c>
      <c r="I37" s="168" t="s">
        <v>398</v>
      </c>
      <c r="J37" s="169">
        <v>10000000</v>
      </c>
      <c r="K37" s="170">
        <v>1</v>
      </c>
      <c r="L37" s="171" t="s">
        <v>396</v>
      </c>
      <c r="M37" s="172">
        <v>4500</v>
      </c>
      <c r="N37" s="172" t="s">
        <v>326</v>
      </c>
      <c r="O37" s="172"/>
      <c r="P37" s="173">
        <v>901</v>
      </c>
      <c r="Q37" s="174" t="s">
        <v>326</v>
      </c>
      <c r="R37" s="173">
        <v>2265779</v>
      </c>
      <c r="S37" s="175"/>
      <c r="T37" s="176">
        <v>40000000</v>
      </c>
      <c r="U37" s="177">
        <v>11428</v>
      </c>
      <c r="V37" s="178">
        <v>103999.99800000001</v>
      </c>
    </row>
    <row r="38" spans="1:22" ht="34.5">
      <c r="A38" s="249">
        <v>2265782</v>
      </c>
      <c r="B38" s="162" t="s">
        <v>3479</v>
      </c>
      <c r="C38" s="163" t="s">
        <v>3476</v>
      </c>
      <c r="D38" s="164">
        <v>202201</v>
      </c>
      <c r="E38" s="165">
        <v>202206</v>
      </c>
      <c r="F38" s="166" t="s">
        <v>3477</v>
      </c>
      <c r="G38" s="167">
        <v>1</v>
      </c>
      <c r="H38" s="167">
        <v>4</v>
      </c>
      <c r="I38" s="168" t="s">
        <v>398</v>
      </c>
      <c r="J38" s="169">
        <v>10000000</v>
      </c>
      <c r="K38" s="170">
        <v>1</v>
      </c>
      <c r="L38" s="171" t="s">
        <v>396</v>
      </c>
      <c r="M38" s="172">
        <v>4500</v>
      </c>
      <c r="N38" s="172" t="s">
        <v>326</v>
      </c>
      <c r="O38" s="172"/>
      <c r="P38" s="173">
        <v>901</v>
      </c>
      <c r="Q38" s="174" t="s">
        <v>326</v>
      </c>
      <c r="R38" s="173">
        <v>2265782</v>
      </c>
      <c r="S38" s="175"/>
      <c r="T38" s="176">
        <v>40000000</v>
      </c>
      <c r="U38" s="177">
        <v>11428</v>
      </c>
      <c r="V38" s="178">
        <v>104000</v>
      </c>
    </row>
    <row r="39" spans="1:22" ht="34.5">
      <c r="A39" s="249">
        <v>2265783</v>
      </c>
      <c r="B39" s="162" t="s">
        <v>3480</v>
      </c>
      <c r="C39" s="163" t="s">
        <v>3476</v>
      </c>
      <c r="D39" s="164">
        <v>202201</v>
      </c>
      <c r="E39" s="165">
        <v>202206</v>
      </c>
      <c r="F39" s="166" t="s">
        <v>3477</v>
      </c>
      <c r="G39" s="167">
        <v>1</v>
      </c>
      <c r="H39" s="167">
        <v>2</v>
      </c>
      <c r="I39" s="168" t="s">
        <v>398</v>
      </c>
      <c r="J39" s="169">
        <v>9707735.3870000001</v>
      </c>
      <c r="K39" s="170">
        <v>1</v>
      </c>
      <c r="L39" s="171" t="s">
        <v>396</v>
      </c>
      <c r="M39" s="172">
        <v>4500</v>
      </c>
      <c r="N39" s="172" t="s">
        <v>326</v>
      </c>
      <c r="O39" s="172"/>
      <c r="P39" s="173">
        <v>901</v>
      </c>
      <c r="Q39" s="174" t="s">
        <v>326</v>
      </c>
      <c r="R39" s="173">
        <v>2265783</v>
      </c>
      <c r="S39" s="175"/>
      <c r="T39" s="176">
        <v>19415470.774</v>
      </c>
      <c r="U39" s="177">
        <v>5547</v>
      </c>
      <c r="V39" s="178">
        <v>50480.226000000002</v>
      </c>
    </row>
    <row r="40" spans="1:22" ht="34.5">
      <c r="A40" s="249">
        <v>2265784</v>
      </c>
      <c r="B40" s="162" t="s">
        <v>3480</v>
      </c>
      <c r="C40" s="163" t="s">
        <v>3476</v>
      </c>
      <c r="D40" s="164">
        <v>202103</v>
      </c>
      <c r="E40" s="165">
        <v>202112</v>
      </c>
      <c r="F40" s="166" t="s">
        <v>3477</v>
      </c>
      <c r="G40" s="167">
        <v>1</v>
      </c>
      <c r="H40" s="167">
        <v>3</v>
      </c>
      <c r="I40" s="168" t="s">
        <v>398</v>
      </c>
      <c r="J40" s="169">
        <v>194843.07500000001</v>
      </c>
      <c r="K40" s="170">
        <v>1</v>
      </c>
      <c r="L40" s="171" t="s">
        <v>396</v>
      </c>
      <c r="M40" s="172">
        <v>4500</v>
      </c>
      <c r="N40" s="172" t="s">
        <v>326</v>
      </c>
      <c r="O40" s="172"/>
      <c r="P40" s="173">
        <v>901</v>
      </c>
      <c r="Q40" s="174" t="s">
        <v>326</v>
      </c>
      <c r="R40" s="173">
        <v>2265784</v>
      </c>
      <c r="S40" s="175"/>
      <c r="T40" s="176">
        <v>584529.22600000002</v>
      </c>
      <c r="U40" s="177">
        <v>167</v>
      </c>
      <c r="V40" s="178">
        <v>1519.78</v>
      </c>
    </row>
    <row r="41" spans="1:22" ht="23.25">
      <c r="A41" s="249">
        <v>2265785</v>
      </c>
      <c r="B41" s="162" t="s">
        <v>3481</v>
      </c>
      <c r="C41" s="163" t="s">
        <v>3476</v>
      </c>
      <c r="D41" s="164">
        <v>202201</v>
      </c>
      <c r="E41" s="165">
        <v>202206</v>
      </c>
      <c r="F41" s="166" t="s">
        <v>3477</v>
      </c>
      <c r="G41" s="167">
        <v>1</v>
      </c>
      <c r="H41" s="167">
        <v>1</v>
      </c>
      <c r="I41" s="168" t="s">
        <v>398</v>
      </c>
      <c r="J41" s="169">
        <v>45500000</v>
      </c>
      <c r="K41" s="170">
        <v>1</v>
      </c>
      <c r="L41" s="171" t="s">
        <v>396</v>
      </c>
      <c r="M41" s="172">
        <v>4500</v>
      </c>
      <c r="N41" s="172" t="s">
        <v>326</v>
      </c>
      <c r="O41" s="172"/>
      <c r="P41" s="173">
        <v>901</v>
      </c>
      <c r="Q41" s="174" t="s">
        <v>326</v>
      </c>
      <c r="R41" s="173">
        <v>2265785</v>
      </c>
      <c r="S41" s="175"/>
      <c r="T41" s="176">
        <v>45500000</v>
      </c>
      <c r="U41" s="177">
        <v>12999.35</v>
      </c>
      <c r="V41" s="178">
        <v>118300.00199999999</v>
      </c>
    </row>
    <row r="42" spans="1:22" ht="34.5">
      <c r="A42" s="249">
        <v>2265786</v>
      </c>
      <c r="B42" s="162" t="s">
        <v>3482</v>
      </c>
      <c r="C42" s="163" t="s">
        <v>3476</v>
      </c>
      <c r="D42" s="164">
        <v>202201</v>
      </c>
      <c r="E42" s="165">
        <v>202206</v>
      </c>
      <c r="F42" s="166" t="s">
        <v>3477</v>
      </c>
      <c r="G42" s="167">
        <v>1</v>
      </c>
      <c r="H42" s="167">
        <v>1</v>
      </c>
      <c r="I42" s="168" t="s">
        <v>398</v>
      </c>
      <c r="J42" s="169">
        <v>25000000</v>
      </c>
      <c r="K42" s="170">
        <v>1</v>
      </c>
      <c r="L42" s="171" t="s">
        <v>396</v>
      </c>
      <c r="M42" s="172">
        <v>4500</v>
      </c>
      <c r="N42" s="172" t="s">
        <v>326</v>
      </c>
      <c r="O42" s="172"/>
      <c r="P42" s="173">
        <v>901</v>
      </c>
      <c r="Q42" s="174" t="s">
        <v>326</v>
      </c>
      <c r="R42" s="173">
        <v>2265786</v>
      </c>
      <c r="S42" s="175"/>
      <c r="T42" s="176">
        <v>25000000</v>
      </c>
      <c r="U42" s="177">
        <v>7142.5</v>
      </c>
      <c r="V42" s="178">
        <v>64999.998</v>
      </c>
    </row>
    <row r="43" spans="1:22" ht="34.5">
      <c r="A43" s="249">
        <v>2265787</v>
      </c>
      <c r="B43" s="162" t="s">
        <v>3483</v>
      </c>
      <c r="C43" s="163" t="s">
        <v>3476</v>
      </c>
      <c r="D43" s="164">
        <v>202103</v>
      </c>
      <c r="E43" s="165">
        <v>202112</v>
      </c>
      <c r="F43" s="166" t="s">
        <v>3477</v>
      </c>
      <c r="G43" s="167">
        <v>1</v>
      </c>
      <c r="H43" s="167">
        <v>1</v>
      </c>
      <c r="I43" s="168" t="s">
        <v>398</v>
      </c>
      <c r="J43" s="169">
        <v>1238501.925</v>
      </c>
      <c r="K43" s="170">
        <v>1</v>
      </c>
      <c r="L43" s="171" t="s">
        <v>396</v>
      </c>
      <c r="M43" s="172">
        <v>4500</v>
      </c>
      <c r="N43" s="172" t="s">
        <v>326</v>
      </c>
      <c r="O43" s="172"/>
      <c r="P43" s="173">
        <v>901</v>
      </c>
      <c r="Q43" s="174" t="s">
        <v>326</v>
      </c>
      <c r="R43" s="173">
        <v>2265787</v>
      </c>
      <c r="S43" s="175"/>
      <c r="T43" s="176">
        <v>1238501.925</v>
      </c>
      <c r="U43" s="177">
        <v>353.84</v>
      </c>
      <c r="V43" s="178">
        <v>3220.1010000000001</v>
      </c>
    </row>
    <row r="44" spans="1:22" ht="169.5">
      <c r="A44" s="249">
        <v>2540506</v>
      </c>
      <c r="B44" s="162" t="s">
        <v>3473</v>
      </c>
      <c r="C44" s="163"/>
      <c r="D44" s="164">
        <v>202201</v>
      </c>
      <c r="E44" s="165">
        <v>202206</v>
      </c>
      <c r="F44" s="166" t="s">
        <v>3455</v>
      </c>
      <c r="G44" s="167">
        <v>1</v>
      </c>
      <c r="H44" s="167">
        <v>1</v>
      </c>
      <c r="I44" s="168" t="s">
        <v>398</v>
      </c>
      <c r="J44" s="169">
        <v>15458734.888</v>
      </c>
      <c r="K44" s="170">
        <v>1</v>
      </c>
      <c r="L44" s="171" t="s">
        <v>396</v>
      </c>
      <c r="M44" s="172">
        <v>4500</v>
      </c>
      <c r="N44" s="172" t="s">
        <v>3456</v>
      </c>
      <c r="O44" s="172"/>
      <c r="P44" s="173"/>
      <c r="Q44" s="174" t="s">
        <v>52</v>
      </c>
      <c r="R44" s="173">
        <v>2540506</v>
      </c>
      <c r="S44" s="175"/>
      <c r="T44" s="176">
        <v>15458734.888</v>
      </c>
      <c r="U44" s="177">
        <v>4416.5609999999997</v>
      </c>
      <c r="V44" s="178">
        <v>40192.709000000003</v>
      </c>
    </row>
    <row r="45" spans="1:22" ht="282">
      <c r="A45" s="249">
        <v>2540507</v>
      </c>
      <c r="B45" s="162" t="s">
        <v>3472</v>
      </c>
      <c r="C45" s="163"/>
      <c r="D45" s="164">
        <v>202201</v>
      </c>
      <c r="E45" s="165">
        <v>202206</v>
      </c>
      <c r="F45" s="166" t="s">
        <v>3455</v>
      </c>
      <c r="G45" s="167">
        <v>1</v>
      </c>
      <c r="H45" s="167">
        <v>1</v>
      </c>
      <c r="I45" s="168" t="s">
        <v>398</v>
      </c>
      <c r="J45" s="169">
        <v>153817920.43399999</v>
      </c>
      <c r="K45" s="170">
        <v>1</v>
      </c>
      <c r="L45" s="171" t="s">
        <v>396</v>
      </c>
      <c r="M45" s="172">
        <v>4500</v>
      </c>
      <c r="N45" s="172" t="s">
        <v>3456</v>
      </c>
      <c r="O45" s="172"/>
      <c r="P45" s="173"/>
      <c r="Q45" s="174" t="s">
        <v>52</v>
      </c>
      <c r="R45" s="173">
        <v>2540507</v>
      </c>
      <c r="S45" s="175"/>
      <c r="T45" s="176">
        <v>153817920.43399999</v>
      </c>
      <c r="U45" s="177">
        <v>43945.78</v>
      </c>
      <c r="V45" s="178">
        <v>399926.598</v>
      </c>
    </row>
    <row r="46" spans="1:22" ht="270.75">
      <c r="A46" s="249">
        <v>2540508</v>
      </c>
      <c r="B46" s="162" t="s">
        <v>3471</v>
      </c>
      <c r="C46" s="163"/>
      <c r="D46" s="164">
        <v>202201</v>
      </c>
      <c r="E46" s="165">
        <v>202206</v>
      </c>
      <c r="F46" s="166" t="s">
        <v>3455</v>
      </c>
      <c r="G46" s="167">
        <v>1</v>
      </c>
      <c r="H46" s="167">
        <v>1</v>
      </c>
      <c r="I46" s="168" t="s">
        <v>398</v>
      </c>
      <c r="J46" s="169">
        <v>18153253.958000001</v>
      </c>
      <c r="K46" s="170">
        <v>1</v>
      </c>
      <c r="L46" s="171" t="s">
        <v>396</v>
      </c>
      <c r="M46" s="172">
        <v>4500</v>
      </c>
      <c r="N46" s="172" t="s">
        <v>3456</v>
      </c>
      <c r="O46" s="172"/>
      <c r="P46" s="173"/>
      <c r="Q46" s="174" t="s">
        <v>40</v>
      </c>
      <c r="R46" s="173">
        <v>2540508</v>
      </c>
      <c r="S46" s="175"/>
      <c r="T46" s="176">
        <v>18153253.958000001</v>
      </c>
      <c r="U46" s="177">
        <v>5186.3850000000002</v>
      </c>
      <c r="V46" s="178">
        <v>47198.46</v>
      </c>
    </row>
    <row r="47" spans="1:22" ht="304.5">
      <c r="A47" s="249">
        <v>2540509</v>
      </c>
      <c r="B47" s="162" t="s">
        <v>3470</v>
      </c>
      <c r="C47" s="163"/>
      <c r="D47" s="164">
        <v>202201</v>
      </c>
      <c r="E47" s="165">
        <v>202206</v>
      </c>
      <c r="F47" s="166" t="s">
        <v>3455</v>
      </c>
      <c r="G47" s="167">
        <v>1</v>
      </c>
      <c r="H47" s="167">
        <v>1</v>
      </c>
      <c r="I47" s="168" t="s">
        <v>398</v>
      </c>
      <c r="J47" s="169">
        <v>72000000</v>
      </c>
      <c r="K47" s="170">
        <v>1</v>
      </c>
      <c r="L47" s="171" t="s">
        <v>396</v>
      </c>
      <c r="M47" s="172">
        <v>4500</v>
      </c>
      <c r="N47" s="172" t="s">
        <v>3456</v>
      </c>
      <c r="O47" s="172"/>
      <c r="P47" s="173"/>
      <c r="Q47" s="174" t="s">
        <v>40</v>
      </c>
      <c r="R47" s="173">
        <v>2540509</v>
      </c>
      <c r="S47" s="175"/>
      <c r="T47" s="176">
        <v>72000000</v>
      </c>
      <c r="U47" s="177">
        <v>20570.400000000001</v>
      </c>
      <c r="V47" s="178">
        <v>187200.005</v>
      </c>
    </row>
    <row r="48" spans="1:22" ht="237">
      <c r="A48" s="249">
        <v>2540510</v>
      </c>
      <c r="B48" s="162" t="s">
        <v>3469</v>
      </c>
      <c r="C48" s="163"/>
      <c r="D48" s="164">
        <v>202201</v>
      </c>
      <c r="E48" s="165">
        <v>202206</v>
      </c>
      <c r="F48" s="166" t="s">
        <v>3455</v>
      </c>
      <c r="G48" s="167">
        <v>1</v>
      </c>
      <c r="H48" s="167">
        <v>1</v>
      </c>
      <c r="I48" s="168" t="s">
        <v>398</v>
      </c>
      <c r="J48" s="169">
        <v>15231184.982000001</v>
      </c>
      <c r="K48" s="170">
        <v>1</v>
      </c>
      <c r="L48" s="171" t="s">
        <v>396</v>
      </c>
      <c r="M48" s="172">
        <v>4500</v>
      </c>
      <c r="N48" s="172" t="s">
        <v>3456</v>
      </c>
      <c r="O48" s="172"/>
      <c r="P48" s="173"/>
      <c r="Q48" s="174" t="s">
        <v>36</v>
      </c>
      <c r="R48" s="173">
        <v>2540510</v>
      </c>
      <c r="S48" s="175"/>
      <c r="T48" s="176">
        <v>15231184.982000001</v>
      </c>
      <c r="U48" s="177">
        <v>4351.55</v>
      </c>
      <c r="V48" s="178">
        <v>39601.074999999997</v>
      </c>
    </row>
    <row r="49" spans="1:22" ht="214.5">
      <c r="A49" s="249">
        <v>2540511</v>
      </c>
      <c r="B49" s="162" t="s">
        <v>3468</v>
      </c>
      <c r="C49" s="163"/>
      <c r="D49" s="164">
        <v>202201</v>
      </c>
      <c r="E49" s="165">
        <v>202206</v>
      </c>
      <c r="F49" s="166" t="s">
        <v>3455</v>
      </c>
      <c r="G49" s="167">
        <v>1</v>
      </c>
      <c r="H49" s="167">
        <v>1</v>
      </c>
      <c r="I49" s="168" t="s">
        <v>398</v>
      </c>
      <c r="J49" s="169">
        <v>8933637.8019999992</v>
      </c>
      <c r="K49" s="170">
        <v>1</v>
      </c>
      <c r="L49" s="171" t="s">
        <v>396</v>
      </c>
      <c r="M49" s="172">
        <v>4500</v>
      </c>
      <c r="N49" s="172" t="s">
        <v>3456</v>
      </c>
      <c r="O49" s="172"/>
      <c r="P49" s="173"/>
      <c r="Q49" s="174" t="s">
        <v>36</v>
      </c>
      <c r="R49" s="173">
        <v>2540511</v>
      </c>
      <c r="S49" s="175"/>
      <c r="T49" s="176">
        <v>8933637.8019999992</v>
      </c>
      <c r="U49" s="177">
        <v>2552.34</v>
      </c>
      <c r="V49" s="178">
        <v>23227.456999999999</v>
      </c>
    </row>
    <row r="50" spans="1:22" ht="203.25">
      <c r="A50" s="249">
        <v>2540513</v>
      </c>
      <c r="B50" s="162" t="s">
        <v>3484</v>
      </c>
      <c r="C50" s="163"/>
      <c r="D50" s="164">
        <v>202201</v>
      </c>
      <c r="E50" s="165">
        <v>202206</v>
      </c>
      <c r="F50" s="166" t="s">
        <v>3455</v>
      </c>
      <c r="G50" s="167">
        <v>1</v>
      </c>
      <c r="H50" s="167">
        <v>1</v>
      </c>
      <c r="I50" s="168" t="s">
        <v>398</v>
      </c>
      <c r="J50" s="169">
        <v>13000000</v>
      </c>
      <c r="K50" s="170">
        <v>1</v>
      </c>
      <c r="L50" s="171" t="s">
        <v>396</v>
      </c>
      <c r="M50" s="172">
        <v>4500</v>
      </c>
      <c r="N50" s="172" t="s">
        <v>3456</v>
      </c>
      <c r="O50" s="172"/>
      <c r="P50" s="173"/>
      <c r="Q50" s="174" t="s">
        <v>22</v>
      </c>
      <c r="R50" s="173">
        <v>2540513</v>
      </c>
      <c r="S50" s="175"/>
      <c r="T50" s="176">
        <v>13000000</v>
      </c>
      <c r="U50" s="177">
        <v>3714.1</v>
      </c>
      <c r="V50" s="178">
        <v>33799.995000000003</v>
      </c>
    </row>
    <row r="51" spans="1:22" ht="147">
      <c r="A51" s="249">
        <v>2540514</v>
      </c>
      <c r="B51" s="162" t="s">
        <v>3466</v>
      </c>
      <c r="C51" s="163"/>
      <c r="D51" s="164">
        <v>202201</v>
      </c>
      <c r="E51" s="165">
        <v>202206</v>
      </c>
      <c r="F51" s="166" t="s">
        <v>3455</v>
      </c>
      <c r="G51" s="167">
        <v>1</v>
      </c>
      <c r="H51" s="167">
        <v>1</v>
      </c>
      <c r="I51" s="168" t="s">
        <v>398</v>
      </c>
      <c r="J51" s="169">
        <v>48566223.82</v>
      </c>
      <c r="K51" s="170">
        <v>1</v>
      </c>
      <c r="L51" s="171" t="s">
        <v>396</v>
      </c>
      <c r="M51" s="172">
        <v>4500</v>
      </c>
      <c r="N51" s="172" t="s">
        <v>3456</v>
      </c>
      <c r="O51" s="172"/>
      <c r="P51" s="173"/>
      <c r="Q51" s="174" t="s">
        <v>22</v>
      </c>
      <c r="R51" s="173">
        <v>2540514</v>
      </c>
      <c r="S51" s="175"/>
      <c r="T51" s="176">
        <v>48566223.82</v>
      </c>
      <c r="U51" s="177">
        <v>13875.37</v>
      </c>
      <c r="V51" s="178">
        <v>126272.175</v>
      </c>
    </row>
    <row r="52" spans="1:22" ht="147">
      <c r="A52" s="249">
        <v>2540515</v>
      </c>
      <c r="B52" s="162" t="s">
        <v>3485</v>
      </c>
      <c r="C52" s="163"/>
      <c r="D52" s="164">
        <v>202201</v>
      </c>
      <c r="E52" s="165">
        <v>202206</v>
      </c>
      <c r="F52" s="166" t="s">
        <v>3455</v>
      </c>
      <c r="G52" s="167">
        <v>1</v>
      </c>
      <c r="H52" s="167">
        <v>1</v>
      </c>
      <c r="I52" s="168" t="s">
        <v>398</v>
      </c>
      <c r="J52" s="169">
        <v>15000000</v>
      </c>
      <c r="K52" s="170">
        <v>1</v>
      </c>
      <c r="L52" s="171" t="s">
        <v>396</v>
      </c>
      <c r="M52" s="172">
        <v>4500</v>
      </c>
      <c r="N52" s="172" t="s">
        <v>3456</v>
      </c>
      <c r="O52" s="172"/>
      <c r="P52" s="173"/>
      <c r="Q52" s="174" t="s">
        <v>19</v>
      </c>
      <c r="R52" s="173">
        <v>2540515</v>
      </c>
      <c r="S52" s="175"/>
      <c r="T52" s="176">
        <v>15000000</v>
      </c>
      <c r="U52" s="177">
        <v>4285.5</v>
      </c>
      <c r="V52" s="178">
        <v>39000.006000000001</v>
      </c>
    </row>
    <row r="53" spans="1:22" ht="158.25">
      <c r="A53" s="249">
        <v>2540516</v>
      </c>
      <c r="B53" s="162" t="s">
        <v>3465</v>
      </c>
      <c r="C53" s="163"/>
      <c r="D53" s="164">
        <v>202201</v>
      </c>
      <c r="E53" s="165">
        <v>202206</v>
      </c>
      <c r="F53" s="166" t="s">
        <v>3455</v>
      </c>
      <c r="G53" s="167">
        <v>1</v>
      </c>
      <c r="H53" s="167">
        <v>1</v>
      </c>
      <c r="I53" s="168" t="s">
        <v>398</v>
      </c>
      <c r="J53" s="169">
        <v>101134686.42900001</v>
      </c>
      <c r="K53" s="170">
        <v>1</v>
      </c>
      <c r="L53" s="171" t="s">
        <v>396</v>
      </c>
      <c r="M53" s="172">
        <v>4500</v>
      </c>
      <c r="N53" s="172" t="s">
        <v>3456</v>
      </c>
      <c r="O53" s="172"/>
      <c r="P53" s="173"/>
      <c r="Q53" s="174" t="s">
        <v>19</v>
      </c>
      <c r="R53" s="173">
        <v>2540516</v>
      </c>
      <c r="S53" s="175"/>
      <c r="T53" s="176">
        <v>101134686.42900001</v>
      </c>
      <c r="U53" s="177">
        <v>28894.18</v>
      </c>
      <c r="V53" s="178">
        <v>262950.18599999999</v>
      </c>
    </row>
    <row r="54" spans="1:22" ht="34.5">
      <c r="A54" s="249">
        <v>2560216</v>
      </c>
      <c r="B54" s="162" t="s">
        <v>3483</v>
      </c>
      <c r="C54" s="163" t="s">
        <v>3476</v>
      </c>
      <c r="D54" s="164">
        <v>202201</v>
      </c>
      <c r="E54" s="165">
        <v>202206</v>
      </c>
      <c r="F54" s="166" t="s">
        <v>3477</v>
      </c>
      <c r="G54" s="167">
        <v>1</v>
      </c>
      <c r="H54" s="167">
        <v>1</v>
      </c>
      <c r="I54" s="168" t="s">
        <v>398</v>
      </c>
      <c r="J54" s="169">
        <v>12348161.229</v>
      </c>
      <c r="K54" s="170">
        <v>1</v>
      </c>
      <c r="L54" s="171" t="s">
        <v>396</v>
      </c>
      <c r="M54" s="172">
        <v>4500</v>
      </c>
      <c r="N54" s="172" t="s">
        <v>326</v>
      </c>
      <c r="O54" s="172"/>
      <c r="P54" s="173">
        <v>901</v>
      </c>
      <c r="Q54" s="174" t="s">
        <v>326</v>
      </c>
      <c r="R54" s="173">
        <v>2560216</v>
      </c>
      <c r="S54" s="175"/>
      <c r="T54" s="176">
        <v>12348161.229</v>
      </c>
      <c r="U54" s="177">
        <v>3527.87</v>
      </c>
      <c r="V54" s="178">
        <v>32105.22</v>
      </c>
    </row>
    <row r="55" spans="1:22" ht="23.25">
      <c r="A55" s="249">
        <v>2720000</v>
      </c>
      <c r="B55" s="162" t="s">
        <v>4057</v>
      </c>
      <c r="C55" s="163" t="s">
        <v>4058</v>
      </c>
      <c r="D55" s="164">
        <v>202102</v>
      </c>
      <c r="E55" s="165">
        <v>202206</v>
      </c>
      <c r="F55" s="166" t="s">
        <v>3477</v>
      </c>
      <c r="G55" s="167">
        <v>1</v>
      </c>
      <c r="H55" s="167">
        <v>2</v>
      </c>
      <c r="I55" s="168" t="s">
        <v>376</v>
      </c>
      <c r="J55" s="169">
        <v>79920.039999999994</v>
      </c>
      <c r="K55" s="170">
        <v>0.05</v>
      </c>
      <c r="L55" s="171" t="s">
        <v>3486</v>
      </c>
      <c r="M55" s="172">
        <v>5095</v>
      </c>
      <c r="N55" s="172" t="s">
        <v>4059</v>
      </c>
      <c r="O55" s="172">
        <v>2608</v>
      </c>
      <c r="P55" s="173"/>
      <c r="Q55" s="174" t="s">
        <v>321</v>
      </c>
      <c r="R55" s="173">
        <v>1448741</v>
      </c>
      <c r="S55" s="175"/>
      <c r="T55" s="176">
        <v>7992.0039999999999</v>
      </c>
      <c r="U55" s="177">
        <v>878.24199999999996</v>
      </c>
      <c r="V55" s="178">
        <v>7992.0039999999999</v>
      </c>
    </row>
    <row r="56" spans="1:22" ht="23.25">
      <c r="A56" s="249">
        <v>2719999</v>
      </c>
      <c r="B56" s="162" t="s">
        <v>4060</v>
      </c>
      <c r="C56" s="163" t="s">
        <v>4058</v>
      </c>
      <c r="D56" s="164">
        <v>202102</v>
      </c>
      <c r="E56" s="165">
        <v>202206</v>
      </c>
      <c r="F56" s="166" t="s">
        <v>3477</v>
      </c>
      <c r="G56" s="167">
        <v>1</v>
      </c>
      <c r="H56" s="167">
        <v>2</v>
      </c>
      <c r="I56" s="168" t="s">
        <v>376</v>
      </c>
      <c r="J56" s="169">
        <v>88696.39</v>
      </c>
      <c r="K56" s="170">
        <v>0.05</v>
      </c>
      <c r="L56" s="171" t="s">
        <v>3486</v>
      </c>
      <c r="M56" s="172">
        <v>5095</v>
      </c>
      <c r="N56" s="172" t="s">
        <v>4059</v>
      </c>
      <c r="O56" s="172">
        <v>9453</v>
      </c>
      <c r="P56" s="173"/>
      <c r="Q56" s="174" t="s">
        <v>321</v>
      </c>
      <c r="R56" s="173">
        <v>1660679</v>
      </c>
      <c r="S56" s="175"/>
      <c r="T56" s="176">
        <v>8869.6389999999992</v>
      </c>
      <c r="U56" s="177">
        <v>974.68600000000004</v>
      </c>
      <c r="V56" s="178">
        <v>8869.6389999999992</v>
      </c>
    </row>
    <row r="57" spans="1:22" ht="23.25">
      <c r="A57" s="249">
        <v>2719995</v>
      </c>
      <c r="B57" s="162" t="s">
        <v>4061</v>
      </c>
      <c r="C57" s="163" t="s">
        <v>4058</v>
      </c>
      <c r="D57" s="164">
        <v>202102</v>
      </c>
      <c r="E57" s="165">
        <v>202206</v>
      </c>
      <c r="F57" s="166" t="s">
        <v>3477</v>
      </c>
      <c r="G57" s="167">
        <v>1</v>
      </c>
      <c r="H57" s="167">
        <v>2</v>
      </c>
      <c r="I57" s="168" t="s">
        <v>376</v>
      </c>
      <c r="J57" s="169">
        <v>78553.89</v>
      </c>
      <c r="K57" s="170">
        <v>0.05</v>
      </c>
      <c r="L57" s="171" t="s">
        <v>3486</v>
      </c>
      <c r="M57" s="172">
        <v>5095</v>
      </c>
      <c r="N57" s="172" t="s">
        <v>4059</v>
      </c>
      <c r="O57" s="172">
        <v>126085</v>
      </c>
      <c r="P57" s="173"/>
      <c r="Q57" s="174" t="s">
        <v>321</v>
      </c>
      <c r="R57" s="173">
        <v>2346227</v>
      </c>
      <c r="S57" s="175"/>
      <c r="T57" s="176">
        <v>7855.3890000000001</v>
      </c>
      <c r="U57" s="177">
        <v>863.22900000000004</v>
      </c>
      <c r="V57" s="178">
        <v>7855.3890000000001</v>
      </c>
    </row>
    <row r="58" spans="1:22" ht="23.25">
      <c r="A58" s="249">
        <v>2723840</v>
      </c>
      <c r="B58" s="162" t="s">
        <v>4062</v>
      </c>
      <c r="C58" s="163" t="s">
        <v>4058</v>
      </c>
      <c r="D58" s="164">
        <v>202201</v>
      </c>
      <c r="E58" s="165">
        <v>202206</v>
      </c>
      <c r="F58" s="166" t="s">
        <v>3455</v>
      </c>
      <c r="G58" s="167">
        <v>1</v>
      </c>
      <c r="H58" s="167">
        <v>1</v>
      </c>
      <c r="I58" s="168" t="s">
        <v>375</v>
      </c>
      <c r="J58" s="169">
        <v>5142.6019999999999</v>
      </c>
      <c r="K58" s="170">
        <v>1</v>
      </c>
      <c r="L58" s="171" t="s">
        <v>450</v>
      </c>
      <c r="M58" s="172">
        <v>5280</v>
      </c>
      <c r="N58" s="172" t="s">
        <v>3504</v>
      </c>
      <c r="O58" s="172"/>
      <c r="P58" s="173"/>
      <c r="Q58" s="174" t="s">
        <v>324</v>
      </c>
      <c r="R58" s="173">
        <v>2455611</v>
      </c>
      <c r="S58" s="175"/>
      <c r="T58" s="176">
        <v>5142.6019999999999</v>
      </c>
      <c r="U58" s="177">
        <v>5142.6019999999999</v>
      </c>
      <c r="V58" s="178">
        <v>46797.678</v>
      </c>
    </row>
    <row r="59" spans="1:22" ht="34.5">
      <c r="A59" s="249">
        <v>2461635</v>
      </c>
      <c r="B59" s="162" t="s">
        <v>3488</v>
      </c>
      <c r="C59" s="163"/>
      <c r="D59" s="164">
        <v>202103</v>
      </c>
      <c r="E59" s="165">
        <v>202112</v>
      </c>
      <c r="F59" s="166" t="s">
        <v>3489</v>
      </c>
      <c r="G59" s="167">
        <v>1</v>
      </c>
      <c r="H59" s="167">
        <v>1</v>
      </c>
      <c r="I59" s="168" t="s">
        <v>398</v>
      </c>
      <c r="J59" s="169">
        <v>4412845.642</v>
      </c>
      <c r="K59" s="170">
        <v>1</v>
      </c>
      <c r="L59" s="171" t="s">
        <v>396</v>
      </c>
      <c r="M59" s="172">
        <v>5280</v>
      </c>
      <c r="N59" s="172" t="s">
        <v>326</v>
      </c>
      <c r="O59" s="172"/>
      <c r="P59" s="173">
        <v>901</v>
      </c>
      <c r="Q59" s="174" t="s">
        <v>326</v>
      </c>
      <c r="R59" s="173">
        <v>2461635</v>
      </c>
      <c r="S59" s="175"/>
      <c r="T59" s="176">
        <v>4412845.642</v>
      </c>
      <c r="U59" s="177">
        <v>1260.75</v>
      </c>
      <c r="V59" s="178">
        <v>11473.4</v>
      </c>
    </row>
    <row r="60" spans="1:22" ht="34.5">
      <c r="A60" s="249">
        <v>2705673</v>
      </c>
      <c r="B60" s="162" t="s">
        <v>3488</v>
      </c>
      <c r="C60" s="163"/>
      <c r="D60" s="164">
        <v>202201</v>
      </c>
      <c r="E60" s="165">
        <v>202206</v>
      </c>
      <c r="F60" s="166" t="s">
        <v>3455</v>
      </c>
      <c r="G60" s="167">
        <v>1</v>
      </c>
      <c r="H60" s="167">
        <v>1</v>
      </c>
      <c r="I60" s="168" t="s">
        <v>398</v>
      </c>
      <c r="J60" s="169">
        <v>6500000</v>
      </c>
      <c r="K60" s="170">
        <v>1</v>
      </c>
      <c r="L60" s="171" t="s">
        <v>396</v>
      </c>
      <c r="M60" s="172">
        <v>5280</v>
      </c>
      <c r="N60" s="172" t="s">
        <v>3456</v>
      </c>
      <c r="O60" s="172"/>
      <c r="P60" s="173"/>
      <c r="Q60" s="174" t="s">
        <v>56</v>
      </c>
      <c r="R60" s="173">
        <v>2705673</v>
      </c>
      <c r="S60" s="175"/>
      <c r="T60" s="176">
        <v>6500000</v>
      </c>
      <c r="U60" s="177">
        <v>1857.05</v>
      </c>
      <c r="V60" s="178">
        <v>16900</v>
      </c>
    </row>
    <row r="61" spans="1:22" ht="34.5">
      <c r="A61" s="249">
        <v>2069117</v>
      </c>
      <c r="B61" s="162" t="s">
        <v>3490</v>
      </c>
      <c r="C61" s="163"/>
      <c r="D61" s="164">
        <v>202201</v>
      </c>
      <c r="E61" s="165">
        <v>202206</v>
      </c>
      <c r="F61" s="166" t="s">
        <v>3455</v>
      </c>
      <c r="G61" s="167">
        <v>7</v>
      </c>
      <c r="H61" s="167">
        <v>1</v>
      </c>
      <c r="I61" s="168" t="s">
        <v>398</v>
      </c>
      <c r="J61" s="169">
        <v>2379981.1120000002</v>
      </c>
      <c r="K61" s="170">
        <v>0.1</v>
      </c>
      <c r="L61" s="171" t="s">
        <v>450</v>
      </c>
      <c r="M61" s="172">
        <v>5290</v>
      </c>
      <c r="N61" s="172" t="s">
        <v>3491</v>
      </c>
      <c r="O61" s="172"/>
      <c r="P61" s="173"/>
      <c r="Q61" s="174" t="s">
        <v>324</v>
      </c>
      <c r="R61" s="173">
        <v>1415427</v>
      </c>
      <c r="S61" s="175"/>
      <c r="T61" s="176">
        <v>1665986.7779999999</v>
      </c>
      <c r="U61" s="177">
        <v>475.97199999999998</v>
      </c>
      <c r="V61" s="178">
        <v>4331.5680000000002</v>
      </c>
    </row>
    <row r="62" spans="1:22" ht="34.5">
      <c r="A62" s="249">
        <v>2069118</v>
      </c>
      <c r="B62" s="162" t="s">
        <v>3490</v>
      </c>
      <c r="C62" s="163"/>
      <c r="D62" s="164">
        <v>202102</v>
      </c>
      <c r="E62" s="165">
        <v>202112</v>
      </c>
      <c r="F62" s="166" t="s">
        <v>3455</v>
      </c>
      <c r="G62" s="167">
        <v>7</v>
      </c>
      <c r="H62" s="167">
        <v>1</v>
      </c>
      <c r="I62" s="168" t="s">
        <v>398</v>
      </c>
      <c r="J62" s="169">
        <v>262163.79499999998</v>
      </c>
      <c r="K62" s="170">
        <v>0.2</v>
      </c>
      <c r="L62" s="171" t="s">
        <v>450</v>
      </c>
      <c r="M62" s="172">
        <v>5290</v>
      </c>
      <c r="N62" s="172" t="s">
        <v>3491</v>
      </c>
      <c r="O62" s="172"/>
      <c r="P62" s="173"/>
      <c r="Q62" s="174" t="s">
        <v>324</v>
      </c>
      <c r="R62" s="173">
        <v>2069118</v>
      </c>
      <c r="S62" s="175"/>
      <c r="T62" s="176">
        <v>367029.31199999998</v>
      </c>
      <c r="U62" s="177">
        <v>104.86</v>
      </c>
      <c r="V62" s="178">
        <v>954.27599999999995</v>
      </c>
    </row>
    <row r="63" spans="1:22" ht="23.25">
      <c r="A63" s="249">
        <v>2069161</v>
      </c>
      <c r="B63" s="162" t="s">
        <v>3498</v>
      </c>
      <c r="C63" s="163"/>
      <c r="D63" s="164">
        <v>202201</v>
      </c>
      <c r="E63" s="165">
        <v>202206</v>
      </c>
      <c r="F63" s="166" t="s">
        <v>3477</v>
      </c>
      <c r="G63" s="167">
        <v>1</v>
      </c>
      <c r="H63" s="167">
        <v>7</v>
      </c>
      <c r="I63" s="168" t="s">
        <v>398</v>
      </c>
      <c r="J63" s="169">
        <v>6238811.3880000003</v>
      </c>
      <c r="K63" s="170">
        <v>0.85</v>
      </c>
      <c r="L63" s="171" t="s">
        <v>450</v>
      </c>
      <c r="M63" s="172">
        <v>5295</v>
      </c>
      <c r="N63" s="172" t="s">
        <v>3499</v>
      </c>
      <c r="O63" s="172">
        <v>119010</v>
      </c>
      <c r="P63" s="173"/>
      <c r="Q63" s="174" t="s">
        <v>321</v>
      </c>
      <c r="R63" s="173">
        <v>1931338</v>
      </c>
      <c r="S63" s="175"/>
      <c r="T63" s="176">
        <v>37120927.762000002</v>
      </c>
      <c r="U63" s="177">
        <v>10605.449000000001</v>
      </c>
      <c r="V63" s="178">
        <v>96514.41</v>
      </c>
    </row>
    <row r="64" spans="1:22" ht="23.25">
      <c r="A64" s="249">
        <v>2719998</v>
      </c>
      <c r="B64" s="162" t="s">
        <v>4063</v>
      </c>
      <c r="C64" s="163" t="s">
        <v>4058</v>
      </c>
      <c r="D64" s="164">
        <v>202102</v>
      </c>
      <c r="E64" s="165">
        <v>202206</v>
      </c>
      <c r="F64" s="166" t="s">
        <v>3477</v>
      </c>
      <c r="G64" s="167">
        <v>1</v>
      </c>
      <c r="H64" s="167">
        <v>2</v>
      </c>
      <c r="I64" s="168" t="s">
        <v>398</v>
      </c>
      <c r="J64" s="169">
        <v>11924766.957</v>
      </c>
      <c r="K64" s="170">
        <v>0.1</v>
      </c>
      <c r="L64" s="171" t="s">
        <v>3486</v>
      </c>
      <c r="M64" s="172">
        <v>5295</v>
      </c>
      <c r="N64" s="172" t="s">
        <v>326</v>
      </c>
      <c r="O64" s="172" t="s">
        <v>4064</v>
      </c>
      <c r="P64" s="173"/>
      <c r="Q64" s="174" t="s">
        <v>321</v>
      </c>
      <c r="R64" s="173">
        <v>1956859</v>
      </c>
      <c r="S64" s="175"/>
      <c r="T64" s="176">
        <v>2384953.3909999998</v>
      </c>
      <c r="U64" s="177">
        <v>681.38099999999997</v>
      </c>
      <c r="V64" s="178">
        <v>6200.8789999999999</v>
      </c>
    </row>
    <row r="65" spans="1:22" ht="34.5">
      <c r="A65" s="249">
        <v>2069151</v>
      </c>
      <c r="B65" s="162" t="s">
        <v>3492</v>
      </c>
      <c r="C65" s="163"/>
      <c r="D65" s="164">
        <v>202102</v>
      </c>
      <c r="E65" s="165">
        <v>202112</v>
      </c>
      <c r="F65" s="166" t="s">
        <v>3477</v>
      </c>
      <c r="G65" s="167">
        <v>1</v>
      </c>
      <c r="H65" s="167">
        <v>12</v>
      </c>
      <c r="I65" s="168" t="s">
        <v>398</v>
      </c>
      <c r="J65" s="169">
        <v>4220436.0650000004</v>
      </c>
      <c r="K65" s="170">
        <v>0.7</v>
      </c>
      <c r="L65" s="171" t="s">
        <v>450</v>
      </c>
      <c r="M65" s="172">
        <v>5295</v>
      </c>
      <c r="N65" s="172" t="s">
        <v>326</v>
      </c>
      <c r="O65" s="172" t="s">
        <v>3493</v>
      </c>
      <c r="P65" s="173"/>
      <c r="Q65" s="174" t="s">
        <v>321</v>
      </c>
      <c r="R65" s="173">
        <v>2069151</v>
      </c>
      <c r="S65" s="175"/>
      <c r="T65" s="176">
        <v>35451662.946000002</v>
      </c>
      <c r="U65" s="177">
        <v>10128.540000000001</v>
      </c>
      <c r="V65" s="178">
        <v>92174.327999999994</v>
      </c>
    </row>
    <row r="66" spans="1:22" ht="23.25">
      <c r="A66" s="249">
        <v>2069153</v>
      </c>
      <c r="B66" s="162" t="s">
        <v>3494</v>
      </c>
      <c r="C66" s="163"/>
      <c r="D66" s="164">
        <v>202201</v>
      </c>
      <c r="E66" s="165">
        <v>202206</v>
      </c>
      <c r="F66" s="166" t="s">
        <v>3477</v>
      </c>
      <c r="G66" s="167">
        <v>1</v>
      </c>
      <c r="H66" s="167">
        <v>7</v>
      </c>
      <c r="I66" s="168" t="s">
        <v>398</v>
      </c>
      <c r="J66" s="169">
        <v>7886439.1129999999</v>
      </c>
      <c r="K66" s="170">
        <v>1</v>
      </c>
      <c r="L66" s="171" t="s">
        <v>396</v>
      </c>
      <c r="M66" s="172">
        <v>5295</v>
      </c>
      <c r="N66" s="172" t="s">
        <v>3456</v>
      </c>
      <c r="O66" s="172" t="s">
        <v>3493</v>
      </c>
      <c r="P66" s="173"/>
      <c r="Q66" s="174" t="s">
        <v>387</v>
      </c>
      <c r="R66" s="173">
        <v>2069153</v>
      </c>
      <c r="S66" s="175"/>
      <c r="T66" s="176">
        <v>55205073.791000001</v>
      </c>
      <c r="U66" s="177">
        <v>15772.09</v>
      </c>
      <c r="V66" s="178">
        <v>143533.19399999999</v>
      </c>
    </row>
    <row r="67" spans="1:22" ht="23.25">
      <c r="A67" s="249">
        <v>2069155</v>
      </c>
      <c r="B67" s="162" t="s">
        <v>3496</v>
      </c>
      <c r="C67" s="163"/>
      <c r="D67" s="164">
        <v>202102</v>
      </c>
      <c r="E67" s="165">
        <v>202112</v>
      </c>
      <c r="F67" s="166" t="s">
        <v>3477</v>
      </c>
      <c r="G67" s="167">
        <v>1</v>
      </c>
      <c r="H67" s="167">
        <v>12</v>
      </c>
      <c r="I67" s="168" t="s">
        <v>398</v>
      </c>
      <c r="J67" s="169">
        <v>6939134.8940000003</v>
      </c>
      <c r="K67" s="170">
        <v>0.16</v>
      </c>
      <c r="L67" s="171" t="s">
        <v>450</v>
      </c>
      <c r="M67" s="172">
        <v>5295</v>
      </c>
      <c r="N67" s="172" t="s">
        <v>3462</v>
      </c>
      <c r="O67" s="172" t="s">
        <v>1234</v>
      </c>
      <c r="P67" s="173"/>
      <c r="Q67" s="174" t="s">
        <v>321</v>
      </c>
      <c r="R67" s="173">
        <v>2069155</v>
      </c>
      <c r="S67" s="175"/>
      <c r="T67" s="176">
        <v>13323138.995999999</v>
      </c>
      <c r="U67" s="177">
        <v>3806.4209999999998</v>
      </c>
      <c r="V67" s="178">
        <v>34640.160000000003</v>
      </c>
    </row>
    <row r="68" spans="1:22" ht="34.5">
      <c r="A68" s="249">
        <v>2069156</v>
      </c>
      <c r="B68" s="162" t="s">
        <v>3497</v>
      </c>
      <c r="C68" s="163"/>
      <c r="D68" s="164">
        <v>202102</v>
      </c>
      <c r="E68" s="165">
        <v>202112</v>
      </c>
      <c r="F68" s="166" t="s">
        <v>3477</v>
      </c>
      <c r="G68" s="167">
        <v>1</v>
      </c>
      <c r="H68" s="167">
        <v>12</v>
      </c>
      <c r="I68" s="168" t="s">
        <v>398</v>
      </c>
      <c r="J68" s="169">
        <v>4745168.2769999998</v>
      </c>
      <c r="K68" s="170">
        <v>0.06</v>
      </c>
      <c r="L68" s="171" t="s">
        <v>450</v>
      </c>
      <c r="M68" s="172">
        <v>5295</v>
      </c>
      <c r="N68" s="172" t="s">
        <v>3491</v>
      </c>
      <c r="O68" s="172" t="s">
        <v>1199</v>
      </c>
      <c r="P68" s="173"/>
      <c r="Q68" s="174" t="s">
        <v>321</v>
      </c>
      <c r="R68" s="173">
        <v>2069156</v>
      </c>
      <c r="S68" s="175"/>
      <c r="T68" s="176">
        <v>3416521.16</v>
      </c>
      <c r="U68" s="177">
        <v>976.1</v>
      </c>
      <c r="V68" s="178">
        <v>8882.9519999999993</v>
      </c>
    </row>
    <row r="69" spans="1:22" ht="23.25">
      <c r="A69" s="249">
        <v>2069162</v>
      </c>
      <c r="B69" s="162" t="s">
        <v>3498</v>
      </c>
      <c r="C69" s="163"/>
      <c r="D69" s="164">
        <v>202102</v>
      </c>
      <c r="E69" s="165">
        <v>202112</v>
      </c>
      <c r="F69" s="166" t="s">
        <v>3477</v>
      </c>
      <c r="G69" s="167">
        <v>1</v>
      </c>
      <c r="H69" s="167">
        <v>12</v>
      </c>
      <c r="I69" s="168" t="s">
        <v>398</v>
      </c>
      <c r="J69" s="169">
        <v>5841912.3219999997</v>
      </c>
      <c r="K69" s="170">
        <v>0.8</v>
      </c>
      <c r="L69" s="171" t="s">
        <v>450</v>
      </c>
      <c r="M69" s="172">
        <v>5295</v>
      </c>
      <c r="N69" s="172" t="s">
        <v>3499</v>
      </c>
      <c r="O69" s="172">
        <v>119010</v>
      </c>
      <c r="P69" s="173"/>
      <c r="Q69" s="174" t="s">
        <v>321</v>
      </c>
      <c r="R69" s="173">
        <v>2069162</v>
      </c>
      <c r="S69" s="175"/>
      <c r="T69" s="176">
        <v>56082358.292000003</v>
      </c>
      <c r="U69" s="177">
        <v>16022.73</v>
      </c>
      <c r="V69" s="178">
        <v>145814.136</v>
      </c>
    </row>
    <row r="70" spans="1:22" ht="34.5">
      <c r="A70" s="249">
        <v>2069164</v>
      </c>
      <c r="B70" s="162" t="s">
        <v>3501</v>
      </c>
      <c r="C70" s="163"/>
      <c r="D70" s="164">
        <v>202102</v>
      </c>
      <c r="E70" s="165">
        <v>202112</v>
      </c>
      <c r="F70" s="166" t="s">
        <v>3477</v>
      </c>
      <c r="G70" s="167">
        <v>1</v>
      </c>
      <c r="H70" s="167">
        <v>12</v>
      </c>
      <c r="I70" s="168" t="s">
        <v>398</v>
      </c>
      <c r="J70" s="169">
        <v>3920097.4870000002</v>
      </c>
      <c r="K70" s="170">
        <v>0.09</v>
      </c>
      <c r="L70" s="171" t="s">
        <v>450</v>
      </c>
      <c r="M70" s="172">
        <v>5295</v>
      </c>
      <c r="N70" s="172" t="s">
        <v>3499</v>
      </c>
      <c r="O70" s="172" t="s">
        <v>3502</v>
      </c>
      <c r="P70" s="173"/>
      <c r="Q70" s="174" t="s">
        <v>321</v>
      </c>
      <c r="R70" s="173">
        <v>2069164</v>
      </c>
      <c r="S70" s="175"/>
      <c r="T70" s="176">
        <v>4233705.2860000003</v>
      </c>
      <c r="U70" s="177">
        <v>1209.57</v>
      </c>
      <c r="V70" s="178">
        <v>11007.636</v>
      </c>
    </row>
    <row r="71" spans="1:22" ht="23.25">
      <c r="A71" s="249">
        <v>2069166</v>
      </c>
      <c r="B71" s="162" t="s">
        <v>3505</v>
      </c>
      <c r="C71" s="163"/>
      <c r="D71" s="164">
        <v>202102</v>
      </c>
      <c r="E71" s="165">
        <v>202112</v>
      </c>
      <c r="F71" s="166" t="s">
        <v>3477</v>
      </c>
      <c r="G71" s="167">
        <v>1</v>
      </c>
      <c r="H71" s="167">
        <v>12</v>
      </c>
      <c r="I71" s="168" t="s">
        <v>398</v>
      </c>
      <c r="J71" s="169">
        <v>17796451.563999999</v>
      </c>
      <c r="K71" s="170">
        <v>0.06</v>
      </c>
      <c r="L71" s="171" t="s">
        <v>450</v>
      </c>
      <c r="M71" s="172">
        <v>5295</v>
      </c>
      <c r="N71" s="172" t="s">
        <v>3487</v>
      </c>
      <c r="O71" s="172" t="s">
        <v>1191</v>
      </c>
      <c r="P71" s="173"/>
      <c r="Q71" s="174" t="s">
        <v>321</v>
      </c>
      <c r="R71" s="173">
        <v>2069166</v>
      </c>
      <c r="S71" s="175"/>
      <c r="T71" s="176">
        <v>12813445.126</v>
      </c>
      <c r="U71" s="177">
        <v>3660.8009999999999</v>
      </c>
      <c r="V71" s="178">
        <v>33314.951999999997</v>
      </c>
    </row>
    <row r="72" spans="1:22" ht="23.25">
      <c r="A72" s="249">
        <v>2069170</v>
      </c>
      <c r="B72" s="162" t="s">
        <v>3506</v>
      </c>
      <c r="C72" s="163"/>
      <c r="D72" s="164">
        <v>202102</v>
      </c>
      <c r="E72" s="165">
        <v>202112</v>
      </c>
      <c r="F72" s="166" t="s">
        <v>3477</v>
      </c>
      <c r="G72" s="167">
        <v>1</v>
      </c>
      <c r="H72" s="167">
        <v>12</v>
      </c>
      <c r="I72" s="168" t="s">
        <v>398</v>
      </c>
      <c r="J72" s="169">
        <v>9420624.6359999999</v>
      </c>
      <c r="K72" s="170">
        <v>0.12</v>
      </c>
      <c r="L72" s="171" t="s">
        <v>450</v>
      </c>
      <c r="M72" s="172">
        <v>5295</v>
      </c>
      <c r="N72" s="172" t="s">
        <v>3462</v>
      </c>
      <c r="O72" s="172" t="s">
        <v>1179</v>
      </c>
      <c r="P72" s="173"/>
      <c r="Q72" s="174" t="s">
        <v>321</v>
      </c>
      <c r="R72" s="173">
        <v>2069170</v>
      </c>
      <c r="S72" s="175"/>
      <c r="T72" s="176">
        <v>13565699.476</v>
      </c>
      <c r="U72" s="177">
        <v>3875.72</v>
      </c>
      <c r="V72" s="178">
        <v>35270.82</v>
      </c>
    </row>
    <row r="73" spans="1:22" ht="23.25">
      <c r="A73" s="249">
        <v>2069171</v>
      </c>
      <c r="B73" s="162" t="s">
        <v>3507</v>
      </c>
      <c r="C73" s="163"/>
      <c r="D73" s="164">
        <v>202102</v>
      </c>
      <c r="E73" s="165">
        <v>202112</v>
      </c>
      <c r="F73" s="166" t="s">
        <v>3477</v>
      </c>
      <c r="G73" s="167">
        <v>1</v>
      </c>
      <c r="H73" s="167">
        <v>12</v>
      </c>
      <c r="I73" s="168" t="s">
        <v>398</v>
      </c>
      <c r="J73" s="169">
        <v>4400458.6679999996</v>
      </c>
      <c r="K73" s="170">
        <v>0.3</v>
      </c>
      <c r="L73" s="171" t="s">
        <v>450</v>
      </c>
      <c r="M73" s="172">
        <v>5295</v>
      </c>
      <c r="N73" s="172" t="s">
        <v>326</v>
      </c>
      <c r="O73" s="172" t="s">
        <v>3493</v>
      </c>
      <c r="P73" s="173"/>
      <c r="Q73" s="174" t="s">
        <v>321</v>
      </c>
      <c r="R73" s="173">
        <v>2069171</v>
      </c>
      <c r="S73" s="175"/>
      <c r="T73" s="176">
        <v>15841651.205</v>
      </c>
      <c r="U73" s="177">
        <v>4525.96</v>
      </c>
      <c r="V73" s="178">
        <v>41188.296000000002</v>
      </c>
    </row>
    <row r="74" spans="1:22" ht="34.5">
      <c r="A74" s="249">
        <v>2069173</v>
      </c>
      <c r="B74" s="162" t="s">
        <v>3508</v>
      </c>
      <c r="C74" s="163"/>
      <c r="D74" s="164">
        <v>202102</v>
      </c>
      <c r="E74" s="165">
        <v>202112</v>
      </c>
      <c r="F74" s="166" t="s">
        <v>3477</v>
      </c>
      <c r="G74" s="167">
        <v>1</v>
      </c>
      <c r="H74" s="167">
        <v>12</v>
      </c>
      <c r="I74" s="168" t="s">
        <v>398</v>
      </c>
      <c r="J74" s="169">
        <v>4486832.9519999996</v>
      </c>
      <c r="K74" s="170">
        <v>0.03</v>
      </c>
      <c r="L74" s="171" t="s">
        <v>450</v>
      </c>
      <c r="M74" s="172">
        <v>5295</v>
      </c>
      <c r="N74" s="172" t="s">
        <v>3462</v>
      </c>
      <c r="O74" s="172" t="s">
        <v>1187</v>
      </c>
      <c r="P74" s="173"/>
      <c r="Q74" s="174" t="s">
        <v>321</v>
      </c>
      <c r="R74" s="173">
        <v>2069173</v>
      </c>
      <c r="S74" s="175"/>
      <c r="T74" s="176">
        <v>1615259.8629999999</v>
      </c>
      <c r="U74" s="177">
        <v>461.48</v>
      </c>
      <c r="V74" s="178">
        <v>4199.6760000000004</v>
      </c>
    </row>
    <row r="75" spans="1:22" ht="34.5">
      <c r="A75" s="249">
        <v>2069175</v>
      </c>
      <c r="B75" s="162" t="s">
        <v>3510</v>
      </c>
      <c r="C75" s="163"/>
      <c r="D75" s="164">
        <v>202102</v>
      </c>
      <c r="E75" s="165">
        <v>202112</v>
      </c>
      <c r="F75" s="166" t="s">
        <v>3477</v>
      </c>
      <c r="G75" s="167">
        <v>1</v>
      </c>
      <c r="H75" s="167">
        <v>12</v>
      </c>
      <c r="I75" s="168" t="s">
        <v>398</v>
      </c>
      <c r="J75" s="169">
        <v>7124221.7580000004</v>
      </c>
      <c r="K75" s="170">
        <v>0.22</v>
      </c>
      <c r="L75" s="171" t="s">
        <v>450</v>
      </c>
      <c r="M75" s="172">
        <v>5295</v>
      </c>
      <c r="N75" s="172" t="s">
        <v>3499</v>
      </c>
      <c r="O75" s="172" t="s">
        <v>1175</v>
      </c>
      <c r="P75" s="173"/>
      <c r="Q75" s="174" t="s">
        <v>321</v>
      </c>
      <c r="R75" s="173">
        <v>2069175</v>
      </c>
      <c r="S75" s="175"/>
      <c r="T75" s="176">
        <v>18807945.442000002</v>
      </c>
      <c r="U75" s="177">
        <v>5373.43</v>
      </c>
      <c r="V75" s="178">
        <v>48900.66</v>
      </c>
    </row>
    <row r="76" spans="1:22" ht="23.25">
      <c r="A76" s="249">
        <v>2069177</v>
      </c>
      <c r="B76" s="162" t="s">
        <v>3503</v>
      </c>
      <c r="C76" s="163"/>
      <c r="D76" s="164">
        <v>202102</v>
      </c>
      <c r="E76" s="165">
        <v>202112</v>
      </c>
      <c r="F76" s="166" t="s">
        <v>3477</v>
      </c>
      <c r="G76" s="167">
        <v>1</v>
      </c>
      <c r="H76" s="167">
        <v>12</v>
      </c>
      <c r="I76" s="168" t="s">
        <v>398</v>
      </c>
      <c r="J76" s="169">
        <v>6167495.0829999996</v>
      </c>
      <c r="K76" s="170">
        <v>0.11</v>
      </c>
      <c r="L76" s="171" t="s">
        <v>450</v>
      </c>
      <c r="M76" s="172">
        <v>5295</v>
      </c>
      <c r="N76" s="172" t="s">
        <v>3504</v>
      </c>
      <c r="O76" s="172" t="s">
        <v>1170</v>
      </c>
      <c r="P76" s="173"/>
      <c r="Q76" s="174" t="s">
        <v>321</v>
      </c>
      <c r="R76" s="173">
        <v>2069177</v>
      </c>
      <c r="S76" s="175"/>
      <c r="T76" s="176">
        <v>8141093.5099999998</v>
      </c>
      <c r="U76" s="177">
        <v>2325.91</v>
      </c>
      <c r="V76" s="178">
        <v>21166.848000000002</v>
      </c>
    </row>
    <row r="77" spans="1:22" ht="23.25">
      <c r="A77" s="249">
        <v>2069179</v>
      </c>
      <c r="B77" s="162" t="s">
        <v>3511</v>
      </c>
      <c r="C77" s="163"/>
      <c r="D77" s="164">
        <v>202102</v>
      </c>
      <c r="E77" s="165">
        <v>202112</v>
      </c>
      <c r="F77" s="166" t="s">
        <v>3477</v>
      </c>
      <c r="G77" s="167">
        <v>1</v>
      </c>
      <c r="H77" s="167">
        <v>12</v>
      </c>
      <c r="I77" s="168" t="s">
        <v>398</v>
      </c>
      <c r="J77" s="169">
        <v>3436996.0559999999</v>
      </c>
      <c r="K77" s="170">
        <v>0.15</v>
      </c>
      <c r="L77" s="171" t="s">
        <v>450</v>
      </c>
      <c r="M77" s="172">
        <v>5295</v>
      </c>
      <c r="N77" s="172" t="s">
        <v>3462</v>
      </c>
      <c r="O77" s="172">
        <v>122377</v>
      </c>
      <c r="P77" s="173"/>
      <c r="Q77" s="174" t="s">
        <v>321</v>
      </c>
      <c r="R77" s="173">
        <v>2069179</v>
      </c>
      <c r="S77" s="175"/>
      <c r="T77" s="176">
        <v>6186592.9009999996</v>
      </c>
      <c r="U77" s="177">
        <v>1767.51</v>
      </c>
      <c r="V77" s="178">
        <v>16085.137000000001</v>
      </c>
    </row>
    <row r="78" spans="1:22" ht="23.25">
      <c r="A78" s="249">
        <v>2069183</v>
      </c>
      <c r="B78" s="162" t="s">
        <v>3512</v>
      </c>
      <c r="C78" s="163"/>
      <c r="D78" s="164">
        <v>202102</v>
      </c>
      <c r="E78" s="165">
        <v>202112</v>
      </c>
      <c r="F78" s="166" t="s">
        <v>3477</v>
      </c>
      <c r="G78" s="167">
        <v>1</v>
      </c>
      <c r="H78" s="167">
        <v>12</v>
      </c>
      <c r="I78" s="168" t="s">
        <v>398</v>
      </c>
      <c r="J78" s="169">
        <v>6199083.7889999999</v>
      </c>
      <c r="K78" s="170">
        <v>0.15</v>
      </c>
      <c r="L78" s="171" t="s">
        <v>450</v>
      </c>
      <c r="M78" s="172">
        <v>5295</v>
      </c>
      <c r="N78" s="172" t="s">
        <v>3513</v>
      </c>
      <c r="O78" s="172" t="s">
        <v>1195</v>
      </c>
      <c r="P78" s="173"/>
      <c r="Q78" s="174" t="s">
        <v>321</v>
      </c>
      <c r="R78" s="173">
        <v>2069183</v>
      </c>
      <c r="S78" s="175"/>
      <c r="T78" s="176">
        <v>11158350.82</v>
      </c>
      <c r="U78" s="177">
        <v>3187.9409999999998</v>
      </c>
      <c r="V78" s="178">
        <v>29011.716</v>
      </c>
    </row>
    <row r="79" spans="1:22" ht="23.25">
      <c r="A79" s="249">
        <v>2069187</v>
      </c>
      <c r="B79" s="162" t="s">
        <v>3500</v>
      </c>
      <c r="C79" s="163"/>
      <c r="D79" s="164">
        <v>202102</v>
      </c>
      <c r="E79" s="165">
        <v>202112</v>
      </c>
      <c r="F79" s="166" t="s">
        <v>3477</v>
      </c>
      <c r="G79" s="167">
        <v>1</v>
      </c>
      <c r="H79" s="167">
        <v>12</v>
      </c>
      <c r="I79" s="168" t="s">
        <v>398</v>
      </c>
      <c r="J79" s="169">
        <v>7360618.0389999999</v>
      </c>
      <c r="K79" s="170">
        <v>0.21</v>
      </c>
      <c r="L79" s="171" t="s">
        <v>450</v>
      </c>
      <c r="M79" s="172">
        <v>5295</v>
      </c>
      <c r="N79" s="172" t="s">
        <v>326</v>
      </c>
      <c r="O79" s="172" t="s">
        <v>1195</v>
      </c>
      <c r="P79" s="173"/>
      <c r="Q79" s="174" t="s">
        <v>321</v>
      </c>
      <c r="R79" s="173">
        <v>2069187</v>
      </c>
      <c r="S79" s="175"/>
      <c r="T79" s="176">
        <v>18548757.458000001</v>
      </c>
      <c r="U79" s="177">
        <v>5299.38</v>
      </c>
      <c r="V79" s="178">
        <v>48226.764000000003</v>
      </c>
    </row>
    <row r="80" spans="1:22" ht="23.25">
      <c r="A80" s="249">
        <v>2069191</v>
      </c>
      <c r="B80" s="162" t="s">
        <v>3515</v>
      </c>
      <c r="C80" s="163"/>
      <c r="D80" s="164">
        <v>202102</v>
      </c>
      <c r="E80" s="165">
        <v>202112</v>
      </c>
      <c r="F80" s="166" t="s">
        <v>3477</v>
      </c>
      <c r="G80" s="167">
        <v>1</v>
      </c>
      <c r="H80" s="167">
        <v>12</v>
      </c>
      <c r="I80" s="168" t="s">
        <v>398</v>
      </c>
      <c r="J80" s="169">
        <v>3190848.9780000001</v>
      </c>
      <c r="K80" s="170">
        <v>0.04</v>
      </c>
      <c r="L80" s="171" t="s">
        <v>450</v>
      </c>
      <c r="M80" s="172">
        <v>5295</v>
      </c>
      <c r="N80" s="172" t="s">
        <v>3462</v>
      </c>
      <c r="O80" s="172" t="s">
        <v>1392</v>
      </c>
      <c r="P80" s="173"/>
      <c r="Q80" s="174" t="s">
        <v>321</v>
      </c>
      <c r="R80" s="173">
        <v>2069191</v>
      </c>
      <c r="S80" s="175"/>
      <c r="T80" s="176">
        <v>1531607.51</v>
      </c>
      <c r="U80" s="177">
        <v>437.58</v>
      </c>
      <c r="V80" s="178">
        <v>3982.1759999999999</v>
      </c>
    </row>
    <row r="81" spans="1:22" ht="23.25">
      <c r="A81" s="249">
        <v>2069193</v>
      </c>
      <c r="B81" s="162" t="s">
        <v>3509</v>
      </c>
      <c r="C81" s="163"/>
      <c r="D81" s="164">
        <v>202102</v>
      </c>
      <c r="E81" s="165">
        <v>202112</v>
      </c>
      <c r="F81" s="166" t="s">
        <v>3477</v>
      </c>
      <c r="G81" s="167">
        <v>1</v>
      </c>
      <c r="H81" s="167">
        <v>12</v>
      </c>
      <c r="I81" s="168" t="s">
        <v>398</v>
      </c>
      <c r="J81" s="169">
        <v>6921731.6749999998</v>
      </c>
      <c r="K81" s="170">
        <v>0.13</v>
      </c>
      <c r="L81" s="171" t="s">
        <v>450</v>
      </c>
      <c r="M81" s="172">
        <v>5295</v>
      </c>
      <c r="N81" s="172" t="s">
        <v>3491</v>
      </c>
      <c r="O81" s="172" t="s">
        <v>1247</v>
      </c>
      <c r="P81" s="173"/>
      <c r="Q81" s="174" t="s">
        <v>321</v>
      </c>
      <c r="R81" s="173">
        <v>2069193</v>
      </c>
      <c r="S81" s="175"/>
      <c r="T81" s="176">
        <v>10797901.413000001</v>
      </c>
      <c r="U81" s="177">
        <v>3084.96</v>
      </c>
      <c r="V81" s="178">
        <v>28074.54</v>
      </c>
    </row>
    <row r="82" spans="1:22" ht="23.25">
      <c r="A82" s="249">
        <v>2069194</v>
      </c>
      <c r="B82" s="162" t="s">
        <v>3516</v>
      </c>
      <c r="C82" s="163"/>
      <c r="D82" s="164">
        <v>202102</v>
      </c>
      <c r="E82" s="165">
        <v>202112</v>
      </c>
      <c r="F82" s="166" t="s">
        <v>3477</v>
      </c>
      <c r="G82" s="167">
        <v>1</v>
      </c>
      <c r="H82" s="167">
        <v>12</v>
      </c>
      <c r="I82" s="168" t="s">
        <v>398</v>
      </c>
      <c r="J82" s="169">
        <v>6099319.3210000005</v>
      </c>
      <c r="K82" s="170">
        <v>0.21</v>
      </c>
      <c r="L82" s="171" t="s">
        <v>450</v>
      </c>
      <c r="M82" s="172">
        <v>5295</v>
      </c>
      <c r="N82" s="172" t="s">
        <v>3499</v>
      </c>
      <c r="O82" s="172" t="s">
        <v>1183</v>
      </c>
      <c r="P82" s="173"/>
      <c r="Q82" s="174" t="s">
        <v>321</v>
      </c>
      <c r="R82" s="173">
        <v>2069194</v>
      </c>
      <c r="S82" s="175"/>
      <c r="T82" s="176">
        <v>15370284.687999999</v>
      </c>
      <c r="U82" s="177">
        <v>4391.29</v>
      </c>
      <c r="V82" s="178">
        <v>39962.735999999997</v>
      </c>
    </row>
    <row r="83" spans="1:22" ht="34.5">
      <c r="A83" s="249">
        <v>2069195</v>
      </c>
      <c r="B83" s="162" t="s">
        <v>3501</v>
      </c>
      <c r="C83" s="163"/>
      <c r="D83" s="164">
        <v>202102</v>
      </c>
      <c r="E83" s="165">
        <v>202112</v>
      </c>
      <c r="F83" s="166" t="s">
        <v>3477</v>
      </c>
      <c r="G83" s="167">
        <v>1</v>
      </c>
      <c r="H83" s="167">
        <v>12</v>
      </c>
      <c r="I83" s="168" t="s">
        <v>398</v>
      </c>
      <c r="J83" s="169">
        <v>4211110.7680000002</v>
      </c>
      <c r="K83" s="170">
        <v>0.16</v>
      </c>
      <c r="L83" s="171" t="s">
        <v>450</v>
      </c>
      <c r="M83" s="172">
        <v>5295</v>
      </c>
      <c r="N83" s="172" t="s">
        <v>3499</v>
      </c>
      <c r="O83" s="172" t="s">
        <v>3517</v>
      </c>
      <c r="P83" s="173"/>
      <c r="Q83" s="174" t="s">
        <v>321</v>
      </c>
      <c r="R83" s="173">
        <v>2069195</v>
      </c>
      <c r="S83" s="175"/>
      <c r="T83" s="176">
        <v>8085332.6749999998</v>
      </c>
      <c r="U83" s="177">
        <v>2309.98</v>
      </c>
      <c r="V83" s="178">
        <v>21021.864000000001</v>
      </c>
    </row>
    <row r="84" spans="1:22" ht="23.25">
      <c r="A84" s="249">
        <v>2069198</v>
      </c>
      <c r="B84" s="162" t="s">
        <v>3494</v>
      </c>
      <c r="C84" s="163"/>
      <c r="D84" s="164">
        <v>202102</v>
      </c>
      <c r="E84" s="165">
        <v>202112</v>
      </c>
      <c r="F84" s="166" t="s">
        <v>3477</v>
      </c>
      <c r="G84" s="167">
        <v>1</v>
      </c>
      <c r="H84" s="167">
        <v>12</v>
      </c>
      <c r="I84" s="168" t="s">
        <v>398</v>
      </c>
      <c r="J84" s="169">
        <v>8132659.2259999998</v>
      </c>
      <c r="K84" s="170">
        <v>0.05</v>
      </c>
      <c r="L84" s="171" t="s">
        <v>396</v>
      </c>
      <c r="M84" s="172">
        <v>5295</v>
      </c>
      <c r="N84" s="172" t="s">
        <v>3456</v>
      </c>
      <c r="O84" s="172" t="s">
        <v>3493</v>
      </c>
      <c r="P84" s="173"/>
      <c r="Q84" s="174" t="s">
        <v>387</v>
      </c>
      <c r="R84" s="173">
        <v>2069198</v>
      </c>
      <c r="S84" s="175"/>
      <c r="T84" s="176">
        <v>4879595.5360000003</v>
      </c>
      <c r="U84" s="177">
        <v>1394.1</v>
      </c>
      <c r="V84" s="178">
        <v>12686.951999999999</v>
      </c>
    </row>
    <row r="85" spans="1:22" ht="34.5">
      <c r="A85" s="249">
        <v>2069199</v>
      </c>
      <c r="B85" s="162" t="s">
        <v>3518</v>
      </c>
      <c r="C85" s="163"/>
      <c r="D85" s="164">
        <v>202102</v>
      </c>
      <c r="E85" s="165">
        <v>202112</v>
      </c>
      <c r="F85" s="166" t="s">
        <v>3477</v>
      </c>
      <c r="G85" s="167">
        <v>1</v>
      </c>
      <c r="H85" s="167">
        <v>12</v>
      </c>
      <c r="I85" s="168" t="s">
        <v>398</v>
      </c>
      <c r="J85" s="169">
        <v>4480022.915</v>
      </c>
      <c r="K85" s="170">
        <v>0.57999999999999996</v>
      </c>
      <c r="L85" s="171" t="s">
        <v>396</v>
      </c>
      <c r="M85" s="172">
        <v>5295</v>
      </c>
      <c r="N85" s="172" t="s">
        <v>3456</v>
      </c>
      <c r="O85" s="172">
        <v>123780</v>
      </c>
      <c r="P85" s="173"/>
      <c r="Q85" s="174" t="s">
        <v>387</v>
      </c>
      <c r="R85" s="173">
        <v>2069199</v>
      </c>
      <c r="S85" s="175"/>
      <c r="T85" s="176">
        <v>31180959.486000001</v>
      </c>
      <c r="U85" s="177">
        <v>8908.4</v>
      </c>
      <c r="V85" s="178">
        <v>81070.5</v>
      </c>
    </row>
    <row r="86" spans="1:22" ht="34.5">
      <c r="A86" s="249">
        <v>2069200</v>
      </c>
      <c r="B86" s="162" t="s">
        <v>3518</v>
      </c>
      <c r="C86" s="163"/>
      <c r="D86" s="164">
        <v>202201</v>
      </c>
      <c r="E86" s="165">
        <v>202206</v>
      </c>
      <c r="F86" s="166" t="s">
        <v>3477</v>
      </c>
      <c r="G86" s="167">
        <v>1</v>
      </c>
      <c r="H86" s="167">
        <v>7</v>
      </c>
      <c r="I86" s="168" t="s">
        <v>398</v>
      </c>
      <c r="J86" s="169">
        <v>4757547.0130000003</v>
      </c>
      <c r="K86" s="170">
        <v>1</v>
      </c>
      <c r="L86" s="171" t="s">
        <v>396</v>
      </c>
      <c r="M86" s="172">
        <v>5295</v>
      </c>
      <c r="N86" s="172" t="s">
        <v>3456</v>
      </c>
      <c r="O86" s="172">
        <v>123780</v>
      </c>
      <c r="P86" s="173"/>
      <c r="Q86" s="174" t="s">
        <v>387</v>
      </c>
      <c r="R86" s="173">
        <v>2069200</v>
      </c>
      <c r="S86" s="175"/>
      <c r="T86" s="176">
        <v>33302829.090999998</v>
      </c>
      <c r="U86" s="177">
        <v>9514.6180000000004</v>
      </c>
      <c r="V86" s="178">
        <v>86587.356</v>
      </c>
    </row>
    <row r="87" spans="1:22" ht="23.25">
      <c r="A87" s="249">
        <v>2069201</v>
      </c>
      <c r="B87" s="162" t="s">
        <v>3495</v>
      </c>
      <c r="C87" s="163"/>
      <c r="D87" s="164">
        <v>202102</v>
      </c>
      <c r="E87" s="165">
        <v>202112</v>
      </c>
      <c r="F87" s="166" t="s">
        <v>3477</v>
      </c>
      <c r="G87" s="167">
        <v>1</v>
      </c>
      <c r="H87" s="167">
        <v>12</v>
      </c>
      <c r="I87" s="168" t="s">
        <v>398</v>
      </c>
      <c r="J87" s="169">
        <v>9022323.1559999995</v>
      </c>
      <c r="K87" s="170">
        <v>0.38</v>
      </c>
      <c r="L87" s="171" t="s">
        <v>396</v>
      </c>
      <c r="M87" s="172">
        <v>5295</v>
      </c>
      <c r="N87" s="172" t="s">
        <v>3456</v>
      </c>
      <c r="O87" s="172" t="s">
        <v>1162</v>
      </c>
      <c r="P87" s="173"/>
      <c r="Q87" s="174" t="s">
        <v>387</v>
      </c>
      <c r="R87" s="173">
        <v>2069201</v>
      </c>
      <c r="S87" s="175"/>
      <c r="T87" s="176">
        <v>41141793.590000004</v>
      </c>
      <c r="U87" s="177">
        <v>11754.21</v>
      </c>
      <c r="V87" s="178">
        <v>106968.66</v>
      </c>
    </row>
    <row r="88" spans="1:22" ht="23.25">
      <c r="A88" s="249">
        <v>2069154</v>
      </c>
      <c r="B88" s="162" t="s">
        <v>3495</v>
      </c>
      <c r="C88" s="163"/>
      <c r="D88" s="164">
        <v>202201</v>
      </c>
      <c r="E88" s="165">
        <v>202206</v>
      </c>
      <c r="F88" s="166" t="s">
        <v>3477</v>
      </c>
      <c r="G88" s="167">
        <v>1</v>
      </c>
      <c r="H88" s="167">
        <v>7</v>
      </c>
      <c r="I88" s="168" t="s">
        <v>398</v>
      </c>
      <c r="J88" s="169">
        <v>8780854.8289999999</v>
      </c>
      <c r="K88" s="170">
        <v>1</v>
      </c>
      <c r="L88" s="171" t="s">
        <v>396</v>
      </c>
      <c r="M88" s="172">
        <v>5295</v>
      </c>
      <c r="N88" s="172" t="s">
        <v>3456</v>
      </c>
      <c r="O88" s="172" t="s">
        <v>3493</v>
      </c>
      <c r="P88" s="173"/>
      <c r="Q88" s="174" t="s">
        <v>387</v>
      </c>
      <c r="R88" s="173">
        <v>2114356</v>
      </c>
      <c r="S88" s="175"/>
      <c r="T88" s="176">
        <v>61465983.803000003</v>
      </c>
      <c r="U88" s="177">
        <v>17560.831999999999</v>
      </c>
      <c r="V88" s="178">
        <v>159811.56</v>
      </c>
    </row>
    <row r="89" spans="1:22" ht="23.25">
      <c r="A89" s="249">
        <v>2560220</v>
      </c>
      <c r="B89" s="162" t="s">
        <v>3520</v>
      </c>
      <c r="C89" s="163" t="s">
        <v>3476</v>
      </c>
      <c r="D89" s="164">
        <v>202201</v>
      </c>
      <c r="E89" s="165">
        <v>202206</v>
      </c>
      <c r="F89" s="166" t="s">
        <v>3477</v>
      </c>
      <c r="G89" s="167">
        <v>1</v>
      </c>
      <c r="H89" s="167">
        <v>6</v>
      </c>
      <c r="I89" s="168" t="s">
        <v>398</v>
      </c>
      <c r="J89" s="169">
        <v>8065357.6780000003</v>
      </c>
      <c r="K89" s="170">
        <v>0.5</v>
      </c>
      <c r="L89" s="171" t="s">
        <v>450</v>
      </c>
      <c r="M89" s="172">
        <v>5295</v>
      </c>
      <c r="N89" s="172" t="s">
        <v>3499</v>
      </c>
      <c r="O89" s="172" t="s">
        <v>1175</v>
      </c>
      <c r="P89" s="173"/>
      <c r="Q89" s="174" t="s">
        <v>321</v>
      </c>
      <c r="R89" s="173">
        <v>2114370</v>
      </c>
      <c r="S89" s="175"/>
      <c r="T89" s="176">
        <v>24196073.033</v>
      </c>
      <c r="U89" s="177">
        <v>6912.8180000000002</v>
      </c>
      <c r="V89" s="178">
        <v>62909.79</v>
      </c>
    </row>
    <row r="90" spans="1:22" ht="23.25">
      <c r="A90" s="249">
        <v>2069157</v>
      </c>
      <c r="B90" s="162" t="s">
        <v>3496</v>
      </c>
      <c r="C90" s="163"/>
      <c r="D90" s="164">
        <v>202201</v>
      </c>
      <c r="E90" s="165">
        <v>202206</v>
      </c>
      <c r="F90" s="166" t="s">
        <v>3477</v>
      </c>
      <c r="G90" s="167">
        <v>1</v>
      </c>
      <c r="H90" s="167">
        <v>7</v>
      </c>
      <c r="I90" s="168" t="s">
        <v>398</v>
      </c>
      <c r="J90" s="169">
        <v>7040245.5410000002</v>
      </c>
      <c r="K90" s="170">
        <v>0.3</v>
      </c>
      <c r="L90" s="171" t="s">
        <v>450</v>
      </c>
      <c r="M90" s="172">
        <v>5295</v>
      </c>
      <c r="N90" s="172" t="s">
        <v>3462</v>
      </c>
      <c r="O90" s="172">
        <v>122377</v>
      </c>
      <c r="P90" s="173"/>
      <c r="Q90" s="174" t="s">
        <v>321</v>
      </c>
      <c r="R90" s="173">
        <v>2114371</v>
      </c>
      <c r="S90" s="175"/>
      <c r="T90" s="176">
        <v>14784515.636</v>
      </c>
      <c r="U90" s="177">
        <v>4223.9359999999997</v>
      </c>
      <c r="V90" s="178">
        <v>38439.739000000001</v>
      </c>
    </row>
    <row r="91" spans="1:22" ht="23.25">
      <c r="A91" s="249">
        <v>2069189</v>
      </c>
      <c r="B91" s="162" t="s">
        <v>3514</v>
      </c>
      <c r="C91" s="163"/>
      <c r="D91" s="164">
        <v>202102</v>
      </c>
      <c r="E91" s="165">
        <v>202112</v>
      </c>
      <c r="F91" s="166" t="s">
        <v>3477</v>
      </c>
      <c r="G91" s="167">
        <v>1</v>
      </c>
      <c r="H91" s="167">
        <v>12</v>
      </c>
      <c r="I91" s="168" t="s">
        <v>398</v>
      </c>
      <c r="J91" s="169">
        <v>10698076.385</v>
      </c>
      <c r="K91" s="170">
        <v>7.0000000000000007E-2</v>
      </c>
      <c r="L91" s="171" t="s">
        <v>450</v>
      </c>
      <c r="M91" s="172">
        <v>5295</v>
      </c>
      <c r="N91" s="172" t="s">
        <v>3487</v>
      </c>
      <c r="O91" s="172" t="s">
        <v>1215</v>
      </c>
      <c r="P91" s="173"/>
      <c r="Q91" s="174" t="s">
        <v>321</v>
      </c>
      <c r="R91" s="173">
        <v>2114372</v>
      </c>
      <c r="S91" s="175"/>
      <c r="T91" s="176">
        <v>8986384.1640000008</v>
      </c>
      <c r="U91" s="177">
        <v>2567.41</v>
      </c>
      <c r="V91" s="178">
        <v>23364.6</v>
      </c>
    </row>
    <row r="92" spans="1:22" ht="23.25">
      <c r="A92" s="249">
        <v>2069168</v>
      </c>
      <c r="B92" s="162" t="s">
        <v>3506</v>
      </c>
      <c r="C92" s="163"/>
      <c r="D92" s="164">
        <v>202201</v>
      </c>
      <c r="E92" s="165">
        <v>202206</v>
      </c>
      <c r="F92" s="166" t="s">
        <v>3477</v>
      </c>
      <c r="G92" s="167">
        <v>1</v>
      </c>
      <c r="H92" s="167">
        <v>6</v>
      </c>
      <c r="I92" s="168" t="s">
        <v>398</v>
      </c>
      <c r="J92" s="169">
        <v>7040245.5410000002</v>
      </c>
      <c r="K92" s="170">
        <v>0.2</v>
      </c>
      <c r="L92" s="171" t="s">
        <v>450</v>
      </c>
      <c r="M92" s="172">
        <v>5295</v>
      </c>
      <c r="N92" s="172" t="s">
        <v>3462</v>
      </c>
      <c r="O92" s="172">
        <v>128232</v>
      </c>
      <c r="P92" s="173"/>
      <c r="Q92" s="174" t="s">
        <v>321</v>
      </c>
      <c r="R92" s="173">
        <v>2114374</v>
      </c>
      <c r="S92" s="175"/>
      <c r="T92" s="176">
        <v>8448294.6490000002</v>
      </c>
      <c r="U92" s="177">
        <v>2413.6779999999999</v>
      </c>
      <c r="V92" s="178">
        <v>21965.567999999999</v>
      </c>
    </row>
    <row r="93" spans="1:22" ht="23.25">
      <c r="A93" s="249">
        <v>2069197</v>
      </c>
      <c r="B93" s="162" t="s">
        <v>3515</v>
      </c>
      <c r="C93" s="163"/>
      <c r="D93" s="164">
        <v>202201</v>
      </c>
      <c r="E93" s="165">
        <v>202206</v>
      </c>
      <c r="F93" s="166" t="s">
        <v>3477</v>
      </c>
      <c r="G93" s="167">
        <v>1</v>
      </c>
      <c r="H93" s="167">
        <v>6</v>
      </c>
      <c r="I93" s="168" t="s">
        <v>398</v>
      </c>
      <c r="J93" s="169">
        <v>4014953.38</v>
      </c>
      <c r="K93" s="170">
        <v>0.7</v>
      </c>
      <c r="L93" s="171" t="s">
        <v>450</v>
      </c>
      <c r="M93" s="172">
        <v>5295</v>
      </c>
      <c r="N93" s="172" t="s">
        <v>3462</v>
      </c>
      <c r="O93" s="172" t="s">
        <v>1387</v>
      </c>
      <c r="P93" s="173"/>
      <c r="Q93" s="174" t="s">
        <v>321</v>
      </c>
      <c r="R93" s="173">
        <v>2114375</v>
      </c>
      <c r="S93" s="175"/>
      <c r="T93" s="176">
        <v>16862804.195999999</v>
      </c>
      <c r="U93" s="177">
        <v>4817.7030000000004</v>
      </c>
      <c r="V93" s="178">
        <v>43843.29</v>
      </c>
    </row>
    <row r="94" spans="1:22" ht="23.25">
      <c r="A94" s="249">
        <v>2560219</v>
      </c>
      <c r="B94" s="162" t="s">
        <v>3519</v>
      </c>
      <c r="C94" s="163" t="s">
        <v>3476</v>
      </c>
      <c r="D94" s="164">
        <v>202201</v>
      </c>
      <c r="E94" s="165">
        <v>202206</v>
      </c>
      <c r="F94" s="166" t="s">
        <v>3477</v>
      </c>
      <c r="G94" s="167">
        <v>1</v>
      </c>
      <c r="H94" s="167">
        <v>5</v>
      </c>
      <c r="I94" s="168" t="s">
        <v>398</v>
      </c>
      <c r="J94" s="169">
        <v>4584432.4749999996</v>
      </c>
      <c r="K94" s="170">
        <v>1</v>
      </c>
      <c r="L94" s="171" t="s">
        <v>450</v>
      </c>
      <c r="M94" s="172">
        <v>5295</v>
      </c>
      <c r="N94" s="172" t="s">
        <v>3462</v>
      </c>
      <c r="O94" s="172" t="s">
        <v>1187</v>
      </c>
      <c r="P94" s="173"/>
      <c r="Q94" s="174" t="s">
        <v>321</v>
      </c>
      <c r="R94" s="173">
        <v>2114377</v>
      </c>
      <c r="S94" s="175"/>
      <c r="T94" s="176">
        <v>22922162.375</v>
      </c>
      <c r="U94" s="177">
        <v>6548.8620000000001</v>
      </c>
      <c r="V94" s="178">
        <v>59597.622000000003</v>
      </c>
    </row>
    <row r="95" spans="1:22" ht="23.25">
      <c r="A95" s="249">
        <v>2069174</v>
      </c>
      <c r="B95" s="162" t="s">
        <v>3509</v>
      </c>
      <c r="C95" s="163"/>
      <c r="D95" s="164">
        <v>202201</v>
      </c>
      <c r="E95" s="165">
        <v>202206</v>
      </c>
      <c r="F95" s="166" t="s">
        <v>3477</v>
      </c>
      <c r="G95" s="167">
        <v>1</v>
      </c>
      <c r="H95" s="167">
        <v>6</v>
      </c>
      <c r="I95" s="168" t="s">
        <v>398</v>
      </c>
      <c r="J95" s="169">
        <v>7040245.5410000002</v>
      </c>
      <c r="K95" s="170">
        <v>0.35</v>
      </c>
      <c r="L95" s="171" t="s">
        <v>450</v>
      </c>
      <c r="M95" s="172">
        <v>5295</v>
      </c>
      <c r="N95" s="172" t="s">
        <v>3491</v>
      </c>
      <c r="O95" s="172" t="s">
        <v>1247</v>
      </c>
      <c r="P95" s="173"/>
      <c r="Q95" s="174" t="s">
        <v>321</v>
      </c>
      <c r="R95" s="173">
        <v>2114380</v>
      </c>
      <c r="S95" s="175"/>
      <c r="T95" s="176">
        <v>14784515.636</v>
      </c>
      <c r="U95" s="177">
        <v>4223.9359999999997</v>
      </c>
      <c r="V95" s="178">
        <v>38439.739000000001</v>
      </c>
    </row>
    <row r="96" spans="1:22" ht="23.25">
      <c r="A96" s="249">
        <v>2069182</v>
      </c>
      <c r="B96" s="162" t="s">
        <v>3511</v>
      </c>
      <c r="C96" s="163"/>
      <c r="D96" s="164">
        <v>202201</v>
      </c>
      <c r="E96" s="165">
        <v>202206</v>
      </c>
      <c r="F96" s="166" t="s">
        <v>3477</v>
      </c>
      <c r="G96" s="167">
        <v>1</v>
      </c>
      <c r="H96" s="167">
        <v>6</v>
      </c>
      <c r="I96" s="168" t="s">
        <v>398</v>
      </c>
      <c r="J96" s="169">
        <v>3362460.7319999998</v>
      </c>
      <c r="K96" s="170">
        <v>1</v>
      </c>
      <c r="L96" s="171" t="s">
        <v>450</v>
      </c>
      <c r="M96" s="172">
        <v>5295</v>
      </c>
      <c r="N96" s="172" t="s">
        <v>3462</v>
      </c>
      <c r="O96" s="172">
        <v>126111</v>
      </c>
      <c r="P96" s="173"/>
      <c r="Q96" s="174" t="s">
        <v>321</v>
      </c>
      <c r="R96" s="173">
        <v>2114384</v>
      </c>
      <c r="S96" s="175"/>
      <c r="T96" s="176">
        <v>20174764.392000001</v>
      </c>
      <c r="U96" s="177">
        <v>5763.93</v>
      </c>
      <c r="V96" s="178">
        <v>52454.387999999999</v>
      </c>
    </row>
    <row r="97" spans="1:22" ht="23.25">
      <c r="A97" s="249">
        <v>2586483</v>
      </c>
      <c r="B97" s="162" t="s">
        <v>3519</v>
      </c>
      <c r="C97" s="163" t="s">
        <v>3476</v>
      </c>
      <c r="D97" s="164">
        <v>202201</v>
      </c>
      <c r="E97" s="165">
        <v>202206</v>
      </c>
      <c r="F97" s="166" t="s">
        <v>3477</v>
      </c>
      <c r="G97" s="167">
        <v>1</v>
      </c>
      <c r="H97" s="167">
        <v>5</v>
      </c>
      <c r="I97" s="168" t="s">
        <v>398</v>
      </c>
      <c r="J97" s="169">
        <v>4279716.6490000002</v>
      </c>
      <c r="K97" s="170">
        <v>1</v>
      </c>
      <c r="L97" s="171" t="s">
        <v>450</v>
      </c>
      <c r="M97" s="172">
        <v>5295</v>
      </c>
      <c r="N97" s="172" t="s">
        <v>3462</v>
      </c>
      <c r="O97" s="172">
        <v>127836</v>
      </c>
      <c r="P97" s="173"/>
      <c r="Q97" s="174" t="s">
        <v>321</v>
      </c>
      <c r="R97" s="173">
        <v>2114385</v>
      </c>
      <c r="S97" s="175"/>
      <c r="T97" s="176">
        <v>21398583.245000001</v>
      </c>
      <c r="U97" s="177">
        <v>6113.5749999999998</v>
      </c>
      <c r="V97" s="178">
        <v>55636.313999999998</v>
      </c>
    </row>
    <row r="98" spans="1:22" ht="23.25">
      <c r="A98" s="249">
        <v>2069178</v>
      </c>
      <c r="B98" s="162" t="s">
        <v>3505</v>
      </c>
      <c r="C98" s="163"/>
      <c r="D98" s="164">
        <v>202201</v>
      </c>
      <c r="E98" s="165">
        <v>202206</v>
      </c>
      <c r="F98" s="166" t="s">
        <v>3477</v>
      </c>
      <c r="G98" s="167">
        <v>1</v>
      </c>
      <c r="H98" s="167">
        <v>6</v>
      </c>
      <c r="I98" s="168" t="s">
        <v>398</v>
      </c>
      <c r="J98" s="169">
        <v>16281211.414000001</v>
      </c>
      <c r="K98" s="170">
        <v>0.2</v>
      </c>
      <c r="L98" s="171" t="s">
        <v>450</v>
      </c>
      <c r="M98" s="172">
        <v>5295</v>
      </c>
      <c r="N98" s="172" t="s">
        <v>3487</v>
      </c>
      <c r="O98" s="172" t="s">
        <v>1191</v>
      </c>
      <c r="P98" s="173"/>
      <c r="Q98" s="174" t="s">
        <v>321</v>
      </c>
      <c r="R98" s="173">
        <v>2114386</v>
      </c>
      <c r="S98" s="175"/>
      <c r="T98" s="176">
        <v>19537453.697000001</v>
      </c>
      <c r="U98" s="177">
        <v>5581.8509999999997</v>
      </c>
      <c r="V98" s="178">
        <v>50797.38</v>
      </c>
    </row>
    <row r="99" spans="1:22" ht="23.25">
      <c r="A99" s="249">
        <v>2069163</v>
      </c>
      <c r="B99" s="162" t="s">
        <v>3500</v>
      </c>
      <c r="C99" s="163"/>
      <c r="D99" s="164">
        <v>202201</v>
      </c>
      <c r="E99" s="165">
        <v>202206</v>
      </c>
      <c r="F99" s="166" t="s">
        <v>3477</v>
      </c>
      <c r="G99" s="167">
        <v>1</v>
      </c>
      <c r="H99" s="167">
        <v>2</v>
      </c>
      <c r="I99" s="168" t="s">
        <v>398</v>
      </c>
      <c r="J99" s="169">
        <v>6704949.915</v>
      </c>
      <c r="K99" s="170">
        <v>0.14000000000000001</v>
      </c>
      <c r="L99" s="171" t="s">
        <v>450</v>
      </c>
      <c r="M99" s="172">
        <v>5295</v>
      </c>
      <c r="N99" s="172" t="s">
        <v>326</v>
      </c>
      <c r="O99" s="172" t="s">
        <v>1195</v>
      </c>
      <c r="P99" s="173"/>
      <c r="Q99" s="174" t="s">
        <v>321</v>
      </c>
      <c r="R99" s="173">
        <v>2114387</v>
      </c>
      <c r="S99" s="175"/>
      <c r="T99" s="176">
        <v>1877385.976</v>
      </c>
      <c r="U99" s="177">
        <v>536.36900000000003</v>
      </c>
      <c r="V99" s="178">
        <v>4881.2039999999997</v>
      </c>
    </row>
    <row r="100" spans="1:22" ht="23.25">
      <c r="A100" s="249">
        <v>2069165</v>
      </c>
      <c r="B100" s="162" t="s">
        <v>3503</v>
      </c>
      <c r="C100" s="163"/>
      <c r="D100" s="164">
        <v>202201</v>
      </c>
      <c r="E100" s="165">
        <v>202206</v>
      </c>
      <c r="F100" s="166" t="s">
        <v>3477</v>
      </c>
      <c r="G100" s="167">
        <v>1</v>
      </c>
      <c r="H100" s="167">
        <v>6</v>
      </c>
      <c r="I100" s="168" t="s">
        <v>398</v>
      </c>
      <c r="J100" s="169">
        <v>5896094.4230000004</v>
      </c>
      <c r="K100" s="170">
        <v>0.3</v>
      </c>
      <c r="L100" s="171" t="s">
        <v>450</v>
      </c>
      <c r="M100" s="172">
        <v>5295</v>
      </c>
      <c r="N100" s="172" t="s">
        <v>3504</v>
      </c>
      <c r="O100" s="172" t="s">
        <v>1170</v>
      </c>
      <c r="P100" s="173"/>
      <c r="Q100" s="174" t="s">
        <v>321</v>
      </c>
      <c r="R100" s="173">
        <v>2114392</v>
      </c>
      <c r="S100" s="175"/>
      <c r="T100" s="176">
        <v>10612969.960999999</v>
      </c>
      <c r="U100" s="177">
        <v>3032.1260000000002</v>
      </c>
      <c r="V100" s="178">
        <v>27593.723999999998</v>
      </c>
    </row>
    <row r="101" spans="1:22" ht="34.5">
      <c r="A101" s="249">
        <v>2069152</v>
      </c>
      <c r="B101" s="162" t="s">
        <v>3492</v>
      </c>
      <c r="C101" s="163" t="s">
        <v>4056</v>
      </c>
      <c r="D101" s="164">
        <v>202201</v>
      </c>
      <c r="E101" s="165">
        <v>202206</v>
      </c>
      <c r="F101" s="166" t="s">
        <v>3477</v>
      </c>
      <c r="G101" s="167">
        <v>1</v>
      </c>
      <c r="H101" s="167">
        <v>8</v>
      </c>
      <c r="I101" s="168" t="s">
        <v>398</v>
      </c>
      <c r="J101" s="169">
        <v>5021373.0310000004</v>
      </c>
      <c r="K101" s="170">
        <v>1</v>
      </c>
      <c r="L101" s="171" t="s">
        <v>450</v>
      </c>
      <c r="M101" s="172">
        <v>5295</v>
      </c>
      <c r="N101" s="172" t="s">
        <v>326</v>
      </c>
      <c r="O101" s="172">
        <v>125684</v>
      </c>
      <c r="P101" s="173"/>
      <c r="Q101" s="174" t="s">
        <v>321</v>
      </c>
      <c r="R101" s="173">
        <v>2114395</v>
      </c>
      <c r="S101" s="175"/>
      <c r="T101" s="176">
        <v>40170984.248000003</v>
      </c>
      <c r="U101" s="177">
        <v>11476.85</v>
      </c>
      <c r="V101" s="178">
        <v>104444.557</v>
      </c>
    </row>
    <row r="102" spans="1:22" ht="23.25">
      <c r="A102" s="249">
        <v>2600581</v>
      </c>
      <c r="B102" s="162" t="s">
        <v>3519</v>
      </c>
      <c r="C102" s="163" t="s">
        <v>3476</v>
      </c>
      <c r="D102" s="164">
        <v>202201</v>
      </c>
      <c r="E102" s="165">
        <v>202206</v>
      </c>
      <c r="F102" s="166" t="s">
        <v>3477</v>
      </c>
      <c r="G102" s="167">
        <v>1</v>
      </c>
      <c r="H102" s="167">
        <v>3</v>
      </c>
      <c r="I102" s="168" t="s">
        <v>398</v>
      </c>
      <c r="J102" s="169">
        <v>4714107.8890000004</v>
      </c>
      <c r="K102" s="170">
        <v>1</v>
      </c>
      <c r="L102" s="171" t="s">
        <v>396</v>
      </c>
      <c r="M102" s="172">
        <v>5295</v>
      </c>
      <c r="N102" s="172" t="s">
        <v>4065</v>
      </c>
      <c r="O102" s="172">
        <v>124475</v>
      </c>
      <c r="P102" s="173"/>
      <c r="Q102" s="174" t="s">
        <v>321</v>
      </c>
      <c r="R102" s="173">
        <v>2114395</v>
      </c>
      <c r="S102" s="175"/>
      <c r="T102" s="176">
        <v>14142323.666999999</v>
      </c>
      <c r="U102" s="177">
        <v>4040.462</v>
      </c>
      <c r="V102" s="178">
        <v>36770.04</v>
      </c>
    </row>
    <row r="103" spans="1:22" ht="23.25">
      <c r="A103" s="249">
        <v>2560221</v>
      </c>
      <c r="B103" s="162" t="s">
        <v>3519</v>
      </c>
      <c r="C103" s="163" t="s">
        <v>3476</v>
      </c>
      <c r="D103" s="164">
        <v>202201</v>
      </c>
      <c r="E103" s="165">
        <v>202206</v>
      </c>
      <c r="F103" s="166" t="s">
        <v>3477</v>
      </c>
      <c r="G103" s="167">
        <v>1</v>
      </c>
      <c r="H103" s="167">
        <v>6</v>
      </c>
      <c r="I103" s="168" t="s">
        <v>398</v>
      </c>
      <c r="J103" s="169">
        <v>4692388.3269999996</v>
      </c>
      <c r="K103" s="170">
        <v>1</v>
      </c>
      <c r="L103" s="171" t="s">
        <v>450</v>
      </c>
      <c r="M103" s="172">
        <v>5295</v>
      </c>
      <c r="N103" s="172" t="s">
        <v>3499</v>
      </c>
      <c r="O103" s="172">
        <v>122536</v>
      </c>
      <c r="P103" s="173"/>
      <c r="Q103" s="174" t="s">
        <v>321</v>
      </c>
      <c r="R103" s="173">
        <v>2114404</v>
      </c>
      <c r="S103" s="175"/>
      <c r="T103" s="176">
        <v>28154329.962000001</v>
      </c>
      <c r="U103" s="177">
        <v>8043.692</v>
      </c>
      <c r="V103" s="178">
        <v>73201.259999999995</v>
      </c>
    </row>
    <row r="104" spans="1:22" ht="45.75">
      <c r="A104" s="249">
        <v>2719997</v>
      </c>
      <c r="B104" s="162" t="s">
        <v>4066</v>
      </c>
      <c r="C104" s="163" t="s">
        <v>4058</v>
      </c>
      <c r="D104" s="164">
        <v>202102</v>
      </c>
      <c r="E104" s="165">
        <v>202206</v>
      </c>
      <c r="F104" s="166" t="s">
        <v>3477</v>
      </c>
      <c r="G104" s="167">
        <v>1</v>
      </c>
      <c r="H104" s="167">
        <v>2</v>
      </c>
      <c r="I104" s="168" t="s">
        <v>398</v>
      </c>
      <c r="J104" s="169">
        <v>7729644.3219999997</v>
      </c>
      <c r="K104" s="170">
        <v>0.3</v>
      </c>
      <c r="L104" s="171" t="s">
        <v>3486</v>
      </c>
      <c r="M104" s="172">
        <v>5295</v>
      </c>
      <c r="N104" s="172" t="s">
        <v>3499</v>
      </c>
      <c r="O104" s="172" t="s">
        <v>4067</v>
      </c>
      <c r="P104" s="173"/>
      <c r="Q104" s="174" t="s">
        <v>321</v>
      </c>
      <c r="R104" s="173">
        <v>2119102</v>
      </c>
      <c r="S104" s="175"/>
      <c r="T104" s="176">
        <v>4637786.5930000003</v>
      </c>
      <c r="U104" s="177">
        <v>1325.0160000000001</v>
      </c>
      <c r="V104" s="178">
        <v>12058.245000000001</v>
      </c>
    </row>
    <row r="105" spans="1:22" ht="45.75">
      <c r="A105" s="249">
        <v>2719996</v>
      </c>
      <c r="B105" s="162" t="s">
        <v>4068</v>
      </c>
      <c r="C105" s="163" t="s">
        <v>4058</v>
      </c>
      <c r="D105" s="164">
        <v>202102</v>
      </c>
      <c r="E105" s="165">
        <v>202206</v>
      </c>
      <c r="F105" s="166" t="s">
        <v>3477</v>
      </c>
      <c r="G105" s="167">
        <v>1</v>
      </c>
      <c r="H105" s="167">
        <v>2</v>
      </c>
      <c r="I105" s="168" t="s">
        <v>398</v>
      </c>
      <c r="J105" s="169">
        <v>8780854.8289999999</v>
      </c>
      <c r="K105" s="170">
        <v>0.3</v>
      </c>
      <c r="L105" s="171" t="s">
        <v>3486</v>
      </c>
      <c r="M105" s="172">
        <v>5295</v>
      </c>
      <c r="N105" s="172" t="s">
        <v>3499</v>
      </c>
      <c r="O105" s="172" t="s">
        <v>4069</v>
      </c>
      <c r="P105" s="173"/>
      <c r="Q105" s="174" t="s">
        <v>321</v>
      </c>
      <c r="R105" s="173">
        <v>2119106</v>
      </c>
      <c r="S105" s="175"/>
      <c r="T105" s="176">
        <v>5268512.8969999999</v>
      </c>
      <c r="U105" s="177">
        <v>1505.2139999999999</v>
      </c>
      <c r="V105" s="178">
        <v>13698.134</v>
      </c>
    </row>
    <row r="106" spans="1:22" ht="23.25">
      <c r="A106" s="249">
        <v>2560222</v>
      </c>
      <c r="B106" s="162" t="s">
        <v>3519</v>
      </c>
      <c r="C106" s="163" t="s">
        <v>3476</v>
      </c>
      <c r="D106" s="164">
        <v>202201</v>
      </c>
      <c r="E106" s="165">
        <v>202206</v>
      </c>
      <c r="F106" s="166" t="s">
        <v>3477</v>
      </c>
      <c r="G106" s="167">
        <v>1</v>
      </c>
      <c r="H106" s="167">
        <v>7</v>
      </c>
      <c r="I106" s="168" t="s">
        <v>398</v>
      </c>
      <c r="J106" s="169">
        <v>4658922.8890000004</v>
      </c>
      <c r="K106" s="170">
        <v>0.95</v>
      </c>
      <c r="L106" s="171" t="s">
        <v>396</v>
      </c>
      <c r="M106" s="172">
        <v>5295</v>
      </c>
      <c r="N106" s="172" t="s">
        <v>3456</v>
      </c>
      <c r="O106" s="172">
        <v>124182</v>
      </c>
      <c r="P106" s="173"/>
      <c r="Q106" s="174" t="s">
        <v>387</v>
      </c>
      <c r="R106" s="173">
        <v>2441949</v>
      </c>
      <c r="S106" s="175"/>
      <c r="T106" s="176">
        <v>30981837.214000002</v>
      </c>
      <c r="U106" s="177">
        <v>8851.5110000000004</v>
      </c>
      <c r="V106" s="178">
        <v>80552.778000000006</v>
      </c>
    </row>
    <row r="107" spans="1:22" ht="23.25">
      <c r="A107" s="249">
        <v>2560218</v>
      </c>
      <c r="B107" s="162" t="s">
        <v>3519</v>
      </c>
      <c r="C107" s="163" t="s">
        <v>3476</v>
      </c>
      <c r="D107" s="164">
        <v>202201</v>
      </c>
      <c r="E107" s="165">
        <v>202206</v>
      </c>
      <c r="F107" s="166" t="s">
        <v>3477</v>
      </c>
      <c r="G107" s="167">
        <v>1</v>
      </c>
      <c r="H107" s="167">
        <v>6</v>
      </c>
      <c r="I107" s="168" t="s">
        <v>398</v>
      </c>
      <c r="J107" s="169">
        <v>4296803.5690000001</v>
      </c>
      <c r="K107" s="170">
        <v>0.73</v>
      </c>
      <c r="L107" s="171" t="s">
        <v>450</v>
      </c>
      <c r="M107" s="172">
        <v>5295</v>
      </c>
      <c r="N107" s="172" t="s">
        <v>3487</v>
      </c>
      <c r="O107" s="172">
        <v>127573</v>
      </c>
      <c r="P107" s="173"/>
      <c r="Q107" s="174" t="s">
        <v>321</v>
      </c>
      <c r="R107" s="173">
        <v>2441988</v>
      </c>
      <c r="S107" s="175"/>
      <c r="T107" s="176">
        <v>18819999.631999999</v>
      </c>
      <c r="U107" s="177">
        <v>5376.8739999999998</v>
      </c>
      <c r="V107" s="178">
        <v>48931.998</v>
      </c>
    </row>
    <row r="108" spans="1:22" ht="23.25">
      <c r="A108" s="249">
        <v>2450060</v>
      </c>
      <c r="B108" s="162" t="s">
        <v>3511</v>
      </c>
      <c r="C108" s="163" t="s">
        <v>3476</v>
      </c>
      <c r="D108" s="164">
        <v>202110</v>
      </c>
      <c r="E108" s="165">
        <v>202112</v>
      </c>
      <c r="F108" s="166" t="s">
        <v>3477</v>
      </c>
      <c r="G108" s="167">
        <v>1</v>
      </c>
      <c r="H108" s="167">
        <v>3</v>
      </c>
      <c r="I108" s="168" t="s">
        <v>398</v>
      </c>
      <c r="J108" s="169">
        <v>3702896.8130000001</v>
      </c>
      <c r="K108" s="170">
        <v>0.85</v>
      </c>
      <c r="L108" s="171" t="s">
        <v>450</v>
      </c>
      <c r="M108" s="172">
        <v>5295</v>
      </c>
      <c r="N108" s="172" t="s">
        <v>3499</v>
      </c>
      <c r="O108" s="172">
        <v>125062</v>
      </c>
      <c r="P108" s="173"/>
      <c r="Q108" s="174" t="s">
        <v>321</v>
      </c>
      <c r="R108" s="173">
        <v>2450060</v>
      </c>
      <c r="S108" s="175"/>
      <c r="T108" s="176">
        <v>9442386.8739999998</v>
      </c>
      <c r="U108" s="177">
        <v>2697.69</v>
      </c>
      <c r="V108" s="178">
        <v>24550.205999999998</v>
      </c>
    </row>
    <row r="109" spans="1:22" ht="23.25">
      <c r="A109" s="249">
        <v>2719994</v>
      </c>
      <c r="B109" s="162" t="s">
        <v>4070</v>
      </c>
      <c r="C109" s="163" t="s">
        <v>4058</v>
      </c>
      <c r="D109" s="164">
        <v>202102</v>
      </c>
      <c r="E109" s="165">
        <v>202206</v>
      </c>
      <c r="F109" s="166" t="s">
        <v>3477</v>
      </c>
      <c r="G109" s="167">
        <v>1</v>
      </c>
      <c r="H109" s="167">
        <v>3</v>
      </c>
      <c r="I109" s="168" t="s">
        <v>398</v>
      </c>
      <c r="J109" s="169">
        <v>8276797.8399999999</v>
      </c>
      <c r="K109" s="170">
        <v>0.8</v>
      </c>
      <c r="L109" s="171" t="s">
        <v>3486</v>
      </c>
      <c r="M109" s="172">
        <v>5295</v>
      </c>
      <c r="N109" s="172" t="s">
        <v>326</v>
      </c>
      <c r="O109" s="172" t="s">
        <v>4071</v>
      </c>
      <c r="P109" s="173"/>
      <c r="Q109" s="174" t="s">
        <v>321</v>
      </c>
      <c r="R109" s="173">
        <v>2452552</v>
      </c>
      <c r="S109" s="175"/>
      <c r="T109" s="176">
        <v>19864314.816</v>
      </c>
      <c r="U109" s="177">
        <v>5675.2349999999997</v>
      </c>
      <c r="V109" s="178">
        <v>51647.218999999997</v>
      </c>
    </row>
    <row r="110" spans="1:22" ht="23.25">
      <c r="A110" s="249">
        <v>2586484</v>
      </c>
      <c r="B110" s="162" t="s">
        <v>3519</v>
      </c>
      <c r="C110" s="163" t="s">
        <v>3476</v>
      </c>
      <c r="D110" s="164">
        <v>202201</v>
      </c>
      <c r="E110" s="165">
        <v>202206</v>
      </c>
      <c r="F110" s="166" t="s">
        <v>3477</v>
      </c>
      <c r="G110" s="167">
        <v>1</v>
      </c>
      <c r="H110" s="167">
        <v>5</v>
      </c>
      <c r="I110" s="168" t="s">
        <v>398</v>
      </c>
      <c r="J110" s="169">
        <v>4279716.6490000002</v>
      </c>
      <c r="K110" s="170">
        <v>1</v>
      </c>
      <c r="L110" s="171" t="s">
        <v>450</v>
      </c>
      <c r="M110" s="172">
        <v>5295</v>
      </c>
      <c r="N110" s="172" t="s">
        <v>3462</v>
      </c>
      <c r="O110" s="172">
        <v>127068</v>
      </c>
      <c r="P110" s="173"/>
      <c r="Q110" s="174" t="s">
        <v>321</v>
      </c>
      <c r="R110" s="173">
        <v>2579331</v>
      </c>
      <c r="S110" s="175"/>
      <c r="T110" s="176">
        <v>21398583.245000001</v>
      </c>
      <c r="U110" s="177">
        <v>6113.5749999999998</v>
      </c>
      <c r="V110" s="178">
        <v>55636.313999999998</v>
      </c>
    </row>
    <row r="111" spans="1:22" ht="45.75">
      <c r="A111" s="249">
        <v>2719993</v>
      </c>
      <c r="B111" s="162" t="s">
        <v>4072</v>
      </c>
      <c r="C111" s="163" t="s">
        <v>4058</v>
      </c>
      <c r="D111" s="164">
        <v>202102</v>
      </c>
      <c r="E111" s="165">
        <v>202206</v>
      </c>
      <c r="F111" s="166" t="s">
        <v>3477</v>
      </c>
      <c r="G111" s="167">
        <v>1</v>
      </c>
      <c r="H111" s="167">
        <v>2</v>
      </c>
      <c r="I111" s="168" t="s">
        <v>398</v>
      </c>
      <c r="J111" s="169">
        <v>4540351.3930000002</v>
      </c>
      <c r="K111" s="170">
        <v>0.3</v>
      </c>
      <c r="L111" s="171" t="s">
        <v>3486</v>
      </c>
      <c r="M111" s="172">
        <v>5295</v>
      </c>
      <c r="N111" s="172" t="s">
        <v>3499</v>
      </c>
      <c r="O111" s="172">
        <v>129211</v>
      </c>
      <c r="P111" s="173"/>
      <c r="Q111" s="174" t="s">
        <v>321</v>
      </c>
      <c r="R111" s="173">
        <v>2638933</v>
      </c>
      <c r="S111" s="175"/>
      <c r="T111" s="176">
        <v>2724210.8360000001</v>
      </c>
      <c r="U111" s="177">
        <v>778.30700000000002</v>
      </c>
      <c r="V111" s="178">
        <v>7082.9480000000003</v>
      </c>
    </row>
    <row r="112" spans="1:22" ht="34.5">
      <c r="A112" s="249">
        <v>2069115</v>
      </c>
      <c r="B112" s="162" t="s">
        <v>3521</v>
      </c>
      <c r="C112" s="163"/>
      <c r="D112" s="164">
        <v>202201</v>
      </c>
      <c r="E112" s="165">
        <v>202206</v>
      </c>
      <c r="F112" s="166" t="s">
        <v>3477</v>
      </c>
      <c r="G112" s="167">
        <v>1</v>
      </c>
      <c r="H112" s="167">
        <v>1</v>
      </c>
      <c r="I112" s="168" t="s">
        <v>398</v>
      </c>
      <c r="J112" s="169">
        <v>10949331.841</v>
      </c>
      <c r="K112" s="170">
        <v>0.1</v>
      </c>
      <c r="L112" s="171" t="s">
        <v>450</v>
      </c>
      <c r="M112" s="172">
        <v>6300</v>
      </c>
      <c r="N112" s="172" t="s">
        <v>3487</v>
      </c>
      <c r="O112" s="172"/>
      <c r="P112" s="173"/>
      <c r="Q112" s="174" t="s">
        <v>324</v>
      </c>
      <c r="R112" s="173">
        <v>1415426</v>
      </c>
      <c r="S112" s="175"/>
      <c r="T112" s="176">
        <v>1094933.1839999999</v>
      </c>
      <c r="U112" s="177">
        <v>312.822</v>
      </c>
      <c r="V112" s="178">
        <v>2846.826</v>
      </c>
    </row>
    <row r="113" spans="1:22" ht="34.5">
      <c r="A113" s="249">
        <v>2069116</v>
      </c>
      <c r="B113" s="162" t="s">
        <v>3521</v>
      </c>
      <c r="C113" s="163"/>
      <c r="D113" s="164">
        <v>202102</v>
      </c>
      <c r="E113" s="165">
        <v>202112</v>
      </c>
      <c r="F113" s="166" t="s">
        <v>3477</v>
      </c>
      <c r="G113" s="167">
        <v>1</v>
      </c>
      <c r="H113" s="167">
        <v>12</v>
      </c>
      <c r="I113" s="168" t="s">
        <v>398</v>
      </c>
      <c r="J113" s="169">
        <v>9538268.1769999992</v>
      </c>
      <c r="K113" s="170">
        <v>0.1</v>
      </c>
      <c r="L113" s="171" t="s">
        <v>450</v>
      </c>
      <c r="M113" s="172">
        <v>6300</v>
      </c>
      <c r="N113" s="172" t="s">
        <v>3487</v>
      </c>
      <c r="O113" s="172"/>
      <c r="P113" s="173"/>
      <c r="Q113" s="174" t="s">
        <v>324</v>
      </c>
      <c r="R113" s="173">
        <v>2069116</v>
      </c>
      <c r="S113" s="175"/>
      <c r="T113" s="176">
        <v>11445921.812000001</v>
      </c>
      <c r="U113" s="177">
        <v>3270.1</v>
      </c>
      <c r="V113" s="178">
        <v>29759.4</v>
      </c>
    </row>
    <row r="114" spans="1:22" ht="23.25">
      <c r="A114" s="249">
        <v>2069114</v>
      </c>
      <c r="B114" s="162" t="s">
        <v>3522</v>
      </c>
      <c r="C114" s="163"/>
      <c r="D114" s="164">
        <v>202201</v>
      </c>
      <c r="E114" s="165">
        <v>202206</v>
      </c>
      <c r="F114" s="166" t="s">
        <v>3477</v>
      </c>
      <c r="G114" s="167">
        <v>1</v>
      </c>
      <c r="H114" s="167">
        <v>6</v>
      </c>
      <c r="I114" s="168" t="s">
        <v>398</v>
      </c>
      <c r="J114" s="169">
        <v>1452313.5</v>
      </c>
      <c r="K114" s="170">
        <v>0.1</v>
      </c>
      <c r="L114" s="171" t="s">
        <v>450</v>
      </c>
      <c r="M114" s="172">
        <v>6310</v>
      </c>
      <c r="N114" s="172" t="s">
        <v>3487</v>
      </c>
      <c r="O114" s="172"/>
      <c r="P114" s="173"/>
      <c r="Q114" s="174" t="s">
        <v>324</v>
      </c>
      <c r="R114" s="173">
        <v>1415425</v>
      </c>
      <c r="S114" s="175"/>
      <c r="T114" s="176">
        <v>871388.1</v>
      </c>
      <c r="U114" s="177">
        <v>248.95599999999999</v>
      </c>
      <c r="V114" s="178">
        <v>2265.6060000000002</v>
      </c>
    </row>
    <row r="115" spans="1:22" ht="45.75">
      <c r="A115" s="249">
        <v>2719992</v>
      </c>
      <c r="B115" s="162" t="s">
        <v>4073</v>
      </c>
      <c r="C115" s="163" t="s">
        <v>4058</v>
      </c>
      <c r="D115" s="164">
        <v>202102</v>
      </c>
      <c r="E115" s="165">
        <v>202206</v>
      </c>
      <c r="F115" s="166" t="s">
        <v>3453</v>
      </c>
      <c r="G115" s="167">
        <v>1</v>
      </c>
      <c r="H115" s="167">
        <v>2</v>
      </c>
      <c r="I115" s="168" t="s">
        <v>375</v>
      </c>
      <c r="J115" s="169">
        <v>1100</v>
      </c>
      <c r="K115" s="170">
        <v>0.05</v>
      </c>
      <c r="L115" s="171" t="s">
        <v>3486</v>
      </c>
      <c r="M115" s="172">
        <v>6311</v>
      </c>
      <c r="N115" s="172" t="s">
        <v>4074</v>
      </c>
      <c r="O115" s="172"/>
      <c r="P115" s="173"/>
      <c r="Q115" s="174" t="s">
        <v>324</v>
      </c>
      <c r="R115" s="173">
        <v>1444091</v>
      </c>
      <c r="S115" s="175"/>
      <c r="T115" s="176">
        <v>110</v>
      </c>
      <c r="U115" s="177">
        <v>110</v>
      </c>
      <c r="V115" s="178">
        <v>1001</v>
      </c>
    </row>
    <row r="116" spans="1:22" ht="45.75">
      <c r="A116" s="249">
        <v>2719991</v>
      </c>
      <c r="B116" s="162" t="s">
        <v>4073</v>
      </c>
      <c r="C116" s="163" t="s">
        <v>4058</v>
      </c>
      <c r="D116" s="164">
        <v>202102</v>
      </c>
      <c r="E116" s="165">
        <v>202206</v>
      </c>
      <c r="F116" s="166" t="s">
        <v>3453</v>
      </c>
      <c r="G116" s="167">
        <v>1</v>
      </c>
      <c r="H116" s="167">
        <v>2</v>
      </c>
      <c r="I116" s="168" t="s">
        <v>375</v>
      </c>
      <c r="J116" s="169">
        <v>1500</v>
      </c>
      <c r="K116" s="170">
        <v>0.05</v>
      </c>
      <c r="L116" s="171" t="s">
        <v>3486</v>
      </c>
      <c r="M116" s="172">
        <v>6311</v>
      </c>
      <c r="N116" s="172" t="s">
        <v>4074</v>
      </c>
      <c r="O116" s="172"/>
      <c r="P116" s="173"/>
      <c r="Q116" s="174" t="s">
        <v>324</v>
      </c>
      <c r="R116" s="173">
        <v>1660686</v>
      </c>
      <c r="S116" s="175"/>
      <c r="T116" s="176">
        <v>150</v>
      </c>
      <c r="U116" s="177">
        <v>150</v>
      </c>
      <c r="V116" s="178">
        <v>1365</v>
      </c>
    </row>
    <row r="117" spans="1:22" ht="34.5">
      <c r="A117" s="249">
        <v>2069112</v>
      </c>
      <c r="B117" s="162" t="s">
        <v>3523</v>
      </c>
      <c r="C117" s="163"/>
      <c r="D117" s="164">
        <v>202201</v>
      </c>
      <c r="E117" s="165">
        <v>202206</v>
      </c>
      <c r="F117" s="166" t="s">
        <v>3477</v>
      </c>
      <c r="G117" s="167">
        <v>1</v>
      </c>
      <c r="H117" s="167">
        <v>6</v>
      </c>
      <c r="I117" s="168" t="s">
        <v>398</v>
      </c>
      <c r="J117" s="169">
        <v>192000</v>
      </c>
      <c r="K117" s="170">
        <v>0.1</v>
      </c>
      <c r="L117" s="171" t="s">
        <v>450</v>
      </c>
      <c r="M117" s="172">
        <v>6320</v>
      </c>
      <c r="N117" s="172" t="s">
        <v>3487</v>
      </c>
      <c r="O117" s="172"/>
      <c r="P117" s="173"/>
      <c r="Q117" s="174" t="s">
        <v>324</v>
      </c>
      <c r="R117" s="173">
        <v>1415424</v>
      </c>
      <c r="S117" s="175"/>
      <c r="T117" s="176">
        <v>115200</v>
      </c>
      <c r="U117" s="177">
        <v>32.912999999999997</v>
      </c>
      <c r="V117" s="178">
        <v>299.52</v>
      </c>
    </row>
    <row r="118" spans="1:22" ht="57">
      <c r="A118" s="249">
        <v>2719990</v>
      </c>
      <c r="B118" s="162" t="s">
        <v>4075</v>
      </c>
      <c r="C118" s="163" t="s">
        <v>4058</v>
      </c>
      <c r="D118" s="164">
        <v>202102</v>
      </c>
      <c r="E118" s="165">
        <v>202206</v>
      </c>
      <c r="F118" s="166" t="s">
        <v>3453</v>
      </c>
      <c r="G118" s="167">
        <v>3</v>
      </c>
      <c r="H118" s="167">
        <v>2</v>
      </c>
      <c r="I118" s="168" t="s">
        <v>375</v>
      </c>
      <c r="J118" s="169">
        <v>150</v>
      </c>
      <c r="K118" s="170">
        <v>0.05</v>
      </c>
      <c r="L118" s="171" t="s">
        <v>3486</v>
      </c>
      <c r="M118" s="172">
        <v>6320</v>
      </c>
      <c r="N118" s="172" t="s">
        <v>4074</v>
      </c>
      <c r="O118" s="172"/>
      <c r="P118" s="173"/>
      <c r="Q118" s="174" t="s">
        <v>324</v>
      </c>
      <c r="R118" s="173">
        <v>1660689</v>
      </c>
      <c r="S118" s="175"/>
      <c r="T118" s="176">
        <v>45</v>
      </c>
      <c r="U118" s="177">
        <v>45</v>
      </c>
      <c r="V118" s="178">
        <v>409.5</v>
      </c>
    </row>
    <row r="119" spans="1:22" ht="34.5">
      <c r="A119" s="249">
        <v>2069113</v>
      </c>
      <c r="B119" s="162" t="s">
        <v>3523</v>
      </c>
      <c r="C119" s="163"/>
      <c r="D119" s="164">
        <v>202102</v>
      </c>
      <c r="E119" s="165">
        <v>202112</v>
      </c>
      <c r="F119" s="166" t="s">
        <v>3477</v>
      </c>
      <c r="G119" s="167">
        <v>1</v>
      </c>
      <c r="H119" s="167">
        <v>12</v>
      </c>
      <c r="I119" s="168" t="s">
        <v>398</v>
      </c>
      <c r="J119" s="169">
        <v>73240.744000000006</v>
      </c>
      <c r="K119" s="170">
        <v>0.2</v>
      </c>
      <c r="L119" s="171" t="s">
        <v>450</v>
      </c>
      <c r="M119" s="172">
        <v>6320</v>
      </c>
      <c r="N119" s="172" t="s">
        <v>3487</v>
      </c>
      <c r="O119" s="172"/>
      <c r="P119" s="173"/>
      <c r="Q119" s="174" t="s">
        <v>324</v>
      </c>
      <c r="R119" s="173">
        <v>2069113</v>
      </c>
      <c r="S119" s="175"/>
      <c r="T119" s="176">
        <v>175777.78700000001</v>
      </c>
      <c r="U119" s="177">
        <v>50.22</v>
      </c>
      <c r="V119" s="178">
        <v>457.02</v>
      </c>
    </row>
    <row r="120" spans="1:22" ht="23.25">
      <c r="A120" s="249">
        <v>2069110</v>
      </c>
      <c r="B120" s="162" t="s">
        <v>3524</v>
      </c>
      <c r="C120" s="163"/>
      <c r="D120" s="164">
        <v>202201</v>
      </c>
      <c r="E120" s="165">
        <v>202206</v>
      </c>
      <c r="F120" s="166" t="s">
        <v>3477</v>
      </c>
      <c r="G120" s="167">
        <v>1</v>
      </c>
      <c r="H120" s="167">
        <v>6</v>
      </c>
      <c r="I120" s="168" t="s">
        <v>398</v>
      </c>
      <c r="J120" s="169">
        <v>1236281</v>
      </c>
      <c r="K120" s="170">
        <v>0.1</v>
      </c>
      <c r="L120" s="171" t="s">
        <v>450</v>
      </c>
      <c r="M120" s="172">
        <v>6340</v>
      </c>
      <c r="N120" s="172" t="s">
        <v>3487</v>
      </c>
      <c r="O120" s="172"/>
      <c r="P120" s="173"/>
      <c r="Q120" s="174" t="s">
        <v>324</v>
      </c>
      <c r="R120" s="173">
        <v>1415423</v>
      </c>
      <c r="S120" s="175"/>
      <c r="T120" s="176">
        <v>741768.6</v>
      </c>
      <c r="U120" s="177">
        <v>211.923</v>
      </c>
      <c r="V120" s="178">
        <v>1928.598</v>
      </c>
    </row>
    <row r="121" spans="1:22" ht="23.25">
      <c r="A121" s="249">
        <v>2069111</v>
      </c>
      <c r="B121" s="162" t="s">
        <v>3524</v>
      </c>
      <c r="C121" s="163"/>
      <c r="D121" s="164">
        <v>202102</v>
      </c>
      <c r="E121" s="165">
        <v>202112</v>
      </c>
      <c r="F121" s="166" t="s">
        <v>3477</v>
      </c>
      <c r="G121" s="167">
        <v>1</v>
      </c>
      <c r="H121" s="167">
        <v>12</v>
      </c>
      <c r="I121" s="168" t="s">
        <v>398</v>
      </c>
      <c r="J121" s="169">
        <v>134319.065</v>
      </c>
      <c r="K121" s="170">
        <v>0.2</v>
      </c>
      <c r="L121" s="171" t="s">
        <v>450</v>
      </c>
      <c r="M121" s="172">
        <v>6340</v>
      </c>
      <c r="N121" s="172" t="s">
        <v>3487</v>
      </c>
      <c r="O121" s="172"/>
      <c r="P121" s="173"/>
      <c r="Q121" s="174" t="s">
        <v>324</v>
      </c>
      <c r="R121" s="173">
        <v>2069111</v>
      </c>
      <c r="S121" s="175"/>
      <c r="T121" s="176">
        <v>322365.755</v>
      </c>
      <c r="U121" s="177">
        <v>92.1</v>
      </c>
      <c r="V121" s="178">
        <v>838.15200000000004</v>
      </c>
    </row>
    <row r="122" spans="1:22">
      <c r="A122" s="249">
        <v>2680676</v>
      </c>
      <c r="B122" s="162" t="s">
        <v>4076</v>
      </c>
      <c r="C122" s="163"/>
      <c r="D122" s="164">
        <v>202201</v>
      </c>
      <c r="E122" s="165">
        <v>202206</v>
      </c>
      <c r="F122" s="166" t="s">
        <v>3477</v>
      </c>
      <c r="G122" s="167">
        <v>1</v>
      </c>
      <c r="H122" s="167">
        <v>3</v>
      </c>
      <c r="I122" s="168" t="s">
        <v>398</v>
      </c>
      <c r="J122" s="169">
        <v>344707</v>
      </c>
      <c r="K122" s="170">
        <v>1</v>
      </c>
      <c r="L122" s="171" t="s">
        <v>450</v>
      </c>
      <c r="M122" s="172">
        <v>6360</v>
      </c>
      <c r="N122" s="172" t="s">
        <v>3487</v>
      </c>
      <c r="O122" s="172"/>
      <c r="P122" s="173"/>
      <c r="Q122" s="174" t="s">
        <v>324</v>
      </c>
      <c r="R122" s="173">
        <v>1415422</v>
      </c>
      <c r="S122" s="175"/>
      <c r="T122" s="176">
        <v>1034121</v>
      </c>
      <c r="U122" s="177">
        <v>295.44799999999998</v>
      </c>
      <c r="V122" s="178">
        <v>2688.7139999999999</v>
      </c>
    </row>
    <row r="123" spans="1:22" ht="34.5">
      <c r="A123" s="249">
        <v>2680677</v>
      </c>
      <c r="B123" s="162" t="s">
        <v>3525</v>
      </c>
      <c r="C123" s="163"/>
      <c r="D123" s="164">
        <v>202201</v>
      </c>
      <c r="E123" s="165">
        <v>202206</v>
      </c>
      <c r="F123" s="166" t="s">
        <v>3477</v>
      </c>
      <c r="G123" s="167">
        <v>1</v>
      </c>
      <c r="H123" s="167">
        <v>3</v>
      </c>
      <c r="I123" s="168" t="s">
        <v>398</v>
      </c>
      <c r="J123" s="169">
        <v>1778029</v>
      </c>
      <c r="K123" s="170">
        <v>1</v>
      </c>
      <c r="L123" s="171" t="s">
        <v>450</v>
      </c>
      <c r="M123" s="172">
        <v>6370</v>
      </c>
      <c r="N123" s="172" t="s">
        <v>3487</v>
      </c>
      <c r="O123" s="172"/>
      <c r="P123" s="173"/>
      <c r="Q123" s="174" t="s">
        <v>324</v>
      </c>
      <c r="R123" s="173">
        <v>1415421</v>
      </c>
      <c r="S123" s="175"/>
      <c r="T123" s="176">
        <v>5334087</v>
      </c>
      <c r="U123" s="177">
        <v>1523.9490000000001</v>
      </c>
      <c r="V123" s="178">
        <v>13868.628000000001</v>
      </c>
    </row>
    <row r="124" spans="1:22" ht="34.5">
      <c r="A124" s="249">
        <v>2426426</v>
      </c>
      <c r="B124" s="162" t="s">
        <v>3525</v>
      </c>
      <c r="C124" s="163"/>
      <c r="D124" s="164">
        <v>202102</v>
      </c>
      <c r="E124" s="165">
        <v>202112</v>
      </c>
      <c r="F124" s="166" t="s">
        <v>3477</v>
      </c>
      <c r="G124" s="167">
        <v>1</v>
      </c>
      <c r="H124" s="167">
        <v>12</v>
      </c>
      <c r="I124" s="168" t="s">
        <v>398</v>
      </c>
      <c r="J124" s="169">
        <v>22568690.420000002</v>
      </c>
      <c r="K124" s="170">
        <v>0.1</v>
      </c>
      <c r="L124" s="171" t="s">
        <v>450</v>
      </c>
      <c r="M124" s="172">
        <v>6370</v>
      </c>
      <c r="N124" s="172" t="s">
        <v>3504</v>
      </c>
      <c r="O124" s="172"/>
      <c r="P124" s="173"/>
      <c r="Q124" s="174" t="s">
        <v>324</v>
      </c>
      <c r="R124" s="173">
        <v>2426426</v>
      </c>
      <c r="S124" s="175"/>
      <c r="T124" s="176">
        <v>27082428.504000001</v>
      </c>
      <c r="U124" s="177">
        <v>7737.45</v>
      </c>
      <c r="V124" s="178">
        <v>70414.311000000002</v>
      </c>
    </row>
    <row r="125" spans="1:22" ht="34.5">
      <c r="A125" s="249">
        <v>2069108</v>
      </c>
      <c r="B125" s="162" t="s">
        <v>3526</v>
      </c>
      <c r="C125" s="163"/>
      <c r="D125" s="164">
        <v>202201</v>
      </c>
      <c r="E125" s="165">
        <v>202206</v>
      </c>
      <c r="F125" s="166" t="s">
        <v>3477</v>
      </c>
      <c r="G125" s="167">
        <v>1</v>
      </c>
      <c r="H125" s="167">
        <v>6</v>
      </c>
      <c r="I125" s="168" t="s">
        <v>398</v>
      </c>
      <c r="J125" s="169">
        <v>4791823.33</v>
      </c>
      <c r="K125" s="170">
        <v>0.1</v>
      </c>
      <c r="L125" s="171" t="s">
        <v>450</v>
      </c>
      <c r="M125" s="172">
        <v>6520</v>
      </c>
      <c r="N125" s="172" t="s">
        <v>3527</v>
      </c>
      <c r="O125" s="172"/>
      <c r="P125" s="173"/>
      <c r="Q125" s="174" t="s">
        <v>324</v>
      </c>
      <c r="R125" s="173">
        <v>1415420</v>
      </c>
      <c r="S125" s="175"/>
      <c r="T125" s="176">
        <v>2875093.9980000001</v>
      </c>
      <c r="U125" s="177">
        <v>821.41399999999999</v>
      </c>
      <c r="V125" s="178">
        <v>7475.2439999999997</v>
      </c>
    </row>
    <row r="126" spans="1:22" ht="34.5">
      <c r="A126" s="249">
        <v>2069109</v>
      </c>
      <c r="B126" s="162" t="s">
        <v>3526</v>
      </c>
      <c r="C126" s="163"/>
      <c r="D126" s="164">
        <v>202102</v>
      </c>
      <c r="E126" s="165">
        <v>202112</v>
      </c>
      <c r="F126" s="166" t="s">
        <v>3477</v>
      </c>
      <c r="G126" s="167">
        <v>1</v>
      </c>
      <c r="H126" s="167">
        <v>12</v>
      </c>
      <c r="I126" s="168" t="s">
        <v>398</v>
      </c>
      <c r="J126" s="169">
        <v>19054399.815000001</v>
      </c>
      <c r="K126" s="170">
        <v>0.1</v>
      </c>
      <c r="L126" s="171" t="s">
        <v>450</v>
      </c>
      <c r="M126" s="172">
        <v>6520</v>
      </c>
      <c r="N126" s="172" t="s">
        <v>3527</v>
      </c>
      <c r="O126" s="172"/>
      <c r="P126" s="173"/>
      <c r="Q126" s="174" t="s">
        <v>324</v>
      </c>
      <c r="R126" s="173">
        <v>2069109</v>
      </c>
      <c r="S126" s="175"/>
      <c r="T126" s="176">
        <v>22865279.776999999</v>
      </c>
      <c r="U126" s="177">
        <v>6532.61</v>
      </c>
      <c r="V126" s="178">
        <v>59449.728000000003</v>
      </c>
    </row>
    <row r="127" spans="1:22" ht="34.5">
      <c r="A127" s="249">
        <v>2069106</v>
      </c>
      <c r="B127" s="162" t="s">
        <v>3528</v>
      </c>
      <c r="C127" s="163"/>
      <c r="D127" s="164">
        <v>202201</v>
      </c>
      <c r="E127" s="165">
        <v>202206</v>
      </c>
      <c r="F127" s="166" t="s">
        <v>3477</v>
      </c>
      <c r="G127" s="167">
        <v>1</v>
      </c>
      <c r="H127" s="167">
        <v>6</v>
      </c>
      <c r="I127" s="168" t="s">
        <v>398</v>
      </c>
      <c r="J127" s="169">
        <v>2516666.66</v>
      </c>
      <c r="K127" s="170">
        <v>0.1</v>
      </c>
      <c r="L127" s="171" t="s">
        <v>450</v>
      </c>
      <c r="M127" s="172">
        <v>6600</v>
      </c>
      <c r="N127" s="172" t="s">
        <v>3462</v>
      </c>
      <c r="O127" s="172"/>
      <c r="P127" s="173"/>
      <c r="Q127" s="174" t="s">
        <v>324</v>
      </c>
      <c r="R127" s="173">
        <v>1415418</v>
      </c>
      <c r="S127" s="175"/>
      <c r="T127" s="176">
        <v>1509999.996</v>
      </c>
      <c r="U127" s="177">
        <v>431.40699999999998</v>
      </c>
      <c r="V127" s="178">
        <v>3925.998</v>
      </c>
    </row>
    <row r="128" spans="1:22" ht="34.5">
      <c r="A128" s="249">
        <v>2069107</v>
      </c>
      <c r="B128" s="162" t="s">
        <v>3528</v>
      </c>
      <c r="C128" s="163"/>
      <c r="D128" s="164">
        <v>202102</v>
      </c>
      <c r="E128" s="165">
        <v>202112</v>
      </c>
      <c r="F128" s="166" t="s">
        <v>3477</v>
      </c>
      <c r="G128" s="167">
        <v>1</v>
      </c>
      <c r="H128" s="167">
        <v>12</v>
      </c>
      <c r="I128" s="168" t="s">
        <v>398</v>
      </c>
      <c r="J128" s="169">
        <v>4139992.42</v>
      </c>
      <c r="K128" s="170">
        <v>0.2</v>
      </c>
      <c r="L128" s="171" t="s">
        <v>450</v>
      </c>
      <c r="M128" s="172">
        <v>6600</v>
      </c>
      <c r="N128" s="172" t="s">
        <v>3462</v>
      </c>
      <c r="O128" s="172"/>
      <c r="P128" s="173"/>
      <c r="Q128" s="174" t="s">
        <v>324</v>
      </c>
      <c r="R128" s="173">
        <v>2069107</v>
      </c>
      <c r="S128" s="175"/>
      <c r="T128" s="176">
        <v>9935981.8080000002</v>
      </c>
      <c r="U128" s="177">
        <v>2838.71</v>
      </c>
      <c r="V128" s="178">
        <v>25833.552</v>
      </c>
    </row>
    <row r="129" spans="1:22" ht="45.75">
      <c r="A129" s="249">
        <v>2069105</v>
      </c>
      <c r="B129" s="162" t="s">
        <v>3529</v>
      </c>
      <c r="C129" s="163"/>
      <c r="D129" s="164">
        <v>202201</v>
      </c>
      <c r="E129" s="165">
        <v>202206</v>
      </c>
      <c r="F129" s="166" t="s">
        <v>3455</v>
      </c>
      <c r="G129" s="167">
        <v>1</v>
      </c>
      <c r="H129" s="167">
        <v>1</v>
      </c>
      <c r="I129" s="168" t="s">
        <v>398</v>
      </c>
      <c r="J129" s="169">
        <v>39375000</v>
      </c>
      <c r="K129" s="170">
        <v>1</v>
      </c>
      <c r="L129" s="171" t="s">
        <v>450</v>
      </c>
      <c r="M129" s="172">
        <v>6700</v>
      </c>
      <c r="N129" s="172" t="s">
        <v>3462</v>
      </c>
      <c r="O129" s="172"/>
      <c r="P129" s="173"/>
      <c r="Q129" s="174" t="s">
        <v>4079</v>
      </c>
      <c r="R129" s="173">
        <v>1931449</v>
      </c>
      <c r="S129" s="175"/>
      <c r="T129" s="176">
        <v>39375000</v>
      </c>
      <c r="U129" s="177">
        <v>11249.438</v>
      </c>
      <c r="V129" s="178">
        <v>102375</v>
      </c>
    </row>
    <row r="130" spans="1:22" ht="23.25">
      <c r="A130" s="249">
        <v>2457084</v>
      </c>
      <c r="B130" s="162" t="s">
        <v>3530</v>
      </c>
      <c r="C130" s="163"/>
      <c r="D130" s="164">
        <v>202110</v>
      </c>
      <c r="E130" s="165">
        <v>202112</v>
      </c>
      <c r="F130" s="166" t="s">
        <v>3455</v>
      </c>
      <c r="G130" s="167">
        <v>1</v>
      </c>
      <c r="H130" s="167">
        <v>1</v>
      </c>
      <c r="I130" s="168" t="s">
        <v>398</v>
      </c>
      <c r="J130" s="169">
        <v>26938606.93</v>
      </c>
      <c r="K130" s="170">
        <v>1</v>
      </c>
      <c r="L130" s="171" t="s">
        <v>450</v>
      </c>
      <c r="M130" s="172">
        <v>6700</v>
      </c>
      <c r="N130" s="172" t="s">
        <v>3462</v>
      </c>
      <c r="O130" s="172"/>
      <c r="P130" s="173"/>
      <c r="Q130" s="174" t="s">
        <v>324</v>
      </c>
      <c r="R130" s="173">
        <v>2457084</v>
      </c>
      <c r="S130" s="175"/>
      <c r="T130" s="176">
        <v>26938606.93</v>
      </c>
      <c r="U130" s="177">
        <v>7696.36</v>
      </c>
      <c r="V130" s="178">
        <v>70040.379000000001</v>
      </c>
    </row>
    <row r="131" spans="1:22" ht="34.5">
      <c r="A131" s="249">
        <v>2551527</v>
      </c>
      <c r="B131" s="162" t="s">
        <v>3531</v>
      </c>
      <c r="C131" s="163"/>
      <c r="D131" s="164">
        <v>202102</v>
      </c>
      <c r="E131" s="165">
        <v>202112</v>
      </c>
      <c r="F131" s="166" t="s">
        <v>3455</v>
      </c>
      <c r="G131" s="167">
        <v>15</v>
      </c>
      <c r="H131" s="167">
        <v>5</v>
      </c>
      <c r="I131" s="168" t="s">
        <v>398</v>
      </c>
      <c r="J131" s="169">
        <v>659910.86300000001</v>
      </c>
      <c r="K131" s="170">
        <v>1</v>
      </c>
      <c r="L131" s="171" t="s">
        <v>450</v>
      </c>
      <c r="M131" s="172">
        <v>6790</v>
      </c>
      <c r="N131" s="172" t="s">
        <v>3462</v>
      </c>
      <c r="O131" s="172"/>
      <c r="P131" s="173"/>
      <c r="Q131" s="174" t="s">
        <v>324</v>
      </c>
      <c r="R131" s="173">
        <v>2551527</v>
      </c>
      <c r="S131" s="175"/>
      <c r="T131" s="176">
        <v>49493314.691</v>
      </c>
      <c r="U131" s="177">
        <v>14140.24</v>
      </c>
      <c r="V131" s="178">
        <v>128682.62300000001</v>
      </c>
    </row>
    <row r="132" spans="1:22" ht="34.5">
      <c r="A132" s="249">
        <v>2702179</v>
      </c>
      <c r="B132" s="162" t="s">
        <v>3531</v>
      </c>
      <c r="C132" s="163"/>
      <c r="D132" s="164">
        <v>202201</v>
      </c>
      <c r="E132" s="165">
        <v>202206</v>
      </c>
      <c r="F132" s="166" t="s">
        <v>3477</v>
      </c>
      <c r="G132" s="167">
        <v>1</v>
      </c>
      <c r="H132" s="167">
        <v>5</v>
      </c>
      <c r="I132" s="168" t="s">
        <v>398</v>
      </c>
      <c r="J132" s="169">
        <v>1000000</v>
      </c>
      <c r="K132" s="170">
        <v>1</v>
      </c>
      <c r="L132" s="171" t="s">
        <v>396</v>
      </c>
      <c r="M132" s="172">
        <v>6790</v>
      </c>
      <c r="N132" s="172" t="s">
        <v>326</v>
      </c>
      <c r="O132" s="172"/>
      <c r="P132" s="173">
        <v>901</v>
      </c>
      <c r="Q132" s="174" t="s">
        <v>326</v>
      </c>
      <c r="R132" s="173">
        <v>2702179</v>
      </c>
      <c r="S132" s="175"/>
      <c r="T132" s="176">
        <v>5000000</v>
      </c>
      <c r="U132" s="177">
        <v>1428.5</v>
      </c>
      <c r="V132" s="178">
        <v>13000</v>
      </c>
    </row>
    <row r="133" spans="1:22" ht="23.25">
      <c r="A133" s="249">
        <v>2069103</v>
      </c>
      <c r="B133" s="162" t="s">
        <v>3532</v>
      </c>
      <c r="C133" s="163"/>
      <c r="D133" s="164">
        <v>202201</v>
      </c>
      <c r="E133" s="165">
        <v>202206</v>
      </c>
      <c r="F133" s="166" t="s">
        <v>3477</v>
      </c>
      <c r="G133" s="167">
        <v>1</v>
      </c>
      <c r="H133" s="167">
        <v>6</v>
      </c>
      <c r="I133" s="168" t="s">
        <v>398</v>
      </c>
      <c r="J133" s="169">
        <v>1055585.8629999999</v>
      </c>
      <c r="K133" s="170">
        <v>0.1</v>
      </c>
      <c r="L133" s="171" t="s">
        <v>450</v>
      </c>
      <c r="M133" s="172">
        <v>6800</v>
      </c>
      <c r="N133" s="172" t="s">
        <v>3462</v>
      </c>
      <c r="O133" s="172"/>
      <c r="P133" s="173"/>
      <c r="Q133" s="174" t="s">
        <v>324</v>
      </c>
      <c r="R133" s="173">
        <v>1415414</v>
      </c>
      <c r="S133" s="175"/>
      <c r="T133" s="176">
        <v>633351.51800000004</v>
      </c>
      <c r="U133" s="177">
        <v>180.94900000000001</v>
      </c>
      <c r="V133" s="178">
        <v>1646.712</v>
      </c>
    </row>
    <row r="134" spans="1:22" ht="23.25">
      <c r="A134" s="249">
        <v>2069104</v>
      </c>
      <c r="B134" s="162" t="s">
        <v>3532</v>
      </c>
      <c r="C134" s="163"/>
      <c r="D134" s="164">
        <v>202102</v>
      </c>
      <c r="E134" s="165">
        <v>202112</v>
      </c>
      <c r="F134" s="166" t="s">
        <v>3477</v>
      </c>
      <c r="G134" s="167">
        <v>1</v>
      </c>
      <c r="H134" s="167">
        <v>12</v>
      </c>
      <c r="I134" s="168" t="s">
        <v>398</v>
      </c>
      <c r="J134" s="169">
        <v>21717391.381000001</v>
      </c>
      <c r="K134" s="170">
        <v>0.1</v>
      </c>
      <c r="L134" s="171" t="s">
        <v>450</v>
      </c>
      <c r="M134" s="172">
        <v>6800</v>
      </c>
      <c r="N134" s="172" t="s">
        <v>3462</v>
      </c>
      <c r="O134" s="172"/>
      <c r="P134" s="173"/>
      <c r="Q134" s="174" t="s">
        <v>324</v>
      </c>
      <c r="R134" s="173">
        <v>2069104</v>
      </c>
      <c r="S134" s="175"/>
      <c r="T134" s="176">
        <v>26060869.657000002</v>
      </c>
      <c r="U134" s="177">
        <v>7445.59</v>
      </c>
      <c r="V134" s="178">
        <v>67758.263999999996</v>
      </c>
    </row>
    <row r="135" spans="1:22" ht="23.25">
      <c r="A135" s="249">
        <v>2720487</v>
      </c>
      <c r="B135" s="162" t="s">
        <v>4077</v>
      </c>
      <c r="C135" s="163" t="s">
        <v>4058</v>
      </c>
      <c r="D135" s="164">
        <v>202102</v>
      </c>
      <c r="E135" s="165">
        <v>202206</v>
      </c>
      <c r="F135" s="166" t="s">
        <v>3453</v>
      </c>
      <c r="G135" s="167">
        <v>1</v>
      </c>
      <c r="H135" s="167">
        <v>2</v>
      </c>
      <c r="I135" s="168" t="s">
        <v>398</v>
      </c>
      <c r="J135" s="169">
        <v>15547765.880000001</v>
      </c>
      <c r="K135" s="170">
        <v>0.92100000000000004</v>
      </c>
      <c r="L135" s="171" t="s">
        <v>3486</v>
      </c>
      <c r="M135" s="172">
        <v>6800</v>
      </c>
      <c r="N135" s="172" t="s">
        <v>3462</v>
      </c>
      <c r="O135" s="172"/>
      <c r="P135" s="173"/>
      <c r="Q135" s="174" t="s">
        <v>324</v>
      </c>
      <c r="R135" s="173">
        <v>2444582</v>
      </c>
      <c r="S135" s="175"/>
      <c r="T135" s="176">
        <v>28638984.750999998</v>
      </c>
      <c r="U135" s="177">
        <v>8182.1580000000004</v>
      </c>
      <c r="V135" s="178">
        <v>74461.36</v>
      </c>
    </row>
    <row r="136" spans="1:22" ht="23.25">
      <c r="A136" s="249">
        <v>2069101</v>
      </c>
      <c r="B136" s="162" t="s">
        <v>3533</v>
      </c>
      <c r="C136" s="163"/>
      <c r="D136" s="164">
        <v>202201</v>
      </c>
      <c r="E136" s="165">
        <v>202206</v>
      </c>
      <c r="F136" s="166" t="s">
        <v>3477</v>
      </c>
      <c r="G136" s="167">
        <v>1</v>
      </c>
      <c r="H136" s="167">
        <v>6</v>
      </c>
      <c r="I136" s="168" t="s">
        <v>398</v>
      </c>
      <c r="J136" s="169">
        <v>1389333.33</v>
      </c>
      <c r="K136" s="170">
        <v>0.1</v>
      </c>
      <c r="L136" s="171" t="s">
        <v>450</v>
      </c>
      <c r="M136" s="172">
        <v>6860</v>
      </c>
      <c r="N136" s="172" t="s">
        <v>3487</v>
      </c>
      <c r="O136" s="172"/>
      <c r="P136" s="173"/>
      <c r="Q136" s="174" t="s">
        <v>324</v>
      </c>
      <c r="R136" s="173">
        <v>1415411</v>
      </c>
      <c r="S136" s="175"/>
      <c r="T136" s="176">
        <v>833599.99800000002</v>
      </c>
      <c r="U136" s="177">
        <v>238.16</v>
      </c>
      <c r="V136" s="178">
        <v>2167.3620000000001</v>
      </c>
    </row>
    <row r="137" spans="1:22" ht="23.25">
      <c r="A137" s="249">
        <v>2069102</v>
      </c>
      <c r="B137" s="162" t="s">
        <v>3533</v>
      </c>
      <c r="C137" s="163"/>
      <c r="D137" s="164">
        <v>202102</v>
      </c>
      <c r="E137" s="165">
        <v>202112</v>
      </c>
      <c r="F137" s="166" t="s">
        <v>3477</v>
      </c>
      <c r="G137" s="167">
        <v>1</v>
      </c>
      <c r="H137" s="167">
        <v>12</v>
      </c>
      <c r="I137" s="168" t="s">
        <v>398</v>
      </c>
      <c r="J137" s="169">
        <v>2336628.1170000001</v>
      </c>
      <c r="K137" s="170">
        <v>0.2</v>
      </c>
      <c r="L137" s="171" t="s">
        <v>450</v>
      </c>
      <c r="M137" s="172">
        <v>6860</v>
      </c>
      <c r="N137" s="172" t="s">
        <v>3487</v>
      </c>
      <c r="O137" s="172"/>
      <c r="P137" s="173"/>
      <c r="Q137" s="174" t="s">
        <v>324</v>
      </c>
      <c r="R137" s="173">
        <v>2069102</v>
      </c>
      <c r="S137" s="175"/>
      <c r="T137" s="176">
        <v>5607907.4800000004</v>
      </c>
      <c r="U137" s="177">
        <v>1602.1790000000001</v>
      </c>
      <c r="V137" s="178">
        <v>14580.564</v>
      </c>
    </row>
    <row r="138" spans="1:22" ht="23.25">
      <c r="A138" s="249">
        <v>2461667</v>
      </c>
      <c r="B138" s="162" t="s">
        <v>3533</v>
      </c>
      <c r="C138" s="163" t="s">
        <v>3476</v>
      </c>
      <c r="D138" s="164">
        <v>202103</v>
      </c>
      <c r="E138" s="165">
        <v>202112</v>
      </c>
      <c r="F138" s="166" t="s">
        <v>3477</v>
      </c>
      <c r="G138" s="167">
        <v>1</v>
      </c>
      <c r="H138" s="167">
        <v>1</v>
      </c>
      <c r="I138" s="168" t="s">
        <v>398</v>
      </c>
      <c r="J138" s="169">
        <v>2806965.3480000002</v>
      </c>
      <c r="K138" s="170">
        <v>1</v>
      </c>
      <c r="L138" s="171" t="s">
        <v>396</v>
      </c>
      <c r="M138" s="172">
        <v>6860</v>
      </c>
      <c r="N138" s="172" t="s">
        <v>326</v>
      </c>
      <c r="O138" s="172"/>
      <c r="P138" s="173">
        <v>901</v>
      </c>
      <c r="Q138" s="174" t="s">
        <v>326</v>
      </c>
      <c r="R138" s="173">
        <v>2461667</v>
      </c>
      <c r="S138" s="175"/>
      <c r="T138" s="176">
        <v>2806965.3480000002</v>
      </c>
      <c r="U138" s="177">
        <v>801.95</v>
      </c>
      <c r="V138" s="178">
        <v>7298.11</v>
      </c>
    </row>
    <row r="139" spans="1:22" ht="23.25">
      <c r="A139" s="249">
        <v>2705674</v>
      </c>
      <c r="B139" s="162" t="s">
        <v>3533</v>
      </c>
      <c r="C139" s="163"/>
      <c r="D139" s="164">
        <v>202201</v>
      </c>
      <c r="E139" s="165">
        <v>202206</v>
      </c>
      <c r="F139" s="166" t="s">
        <v>3477</v>
      </c>
      <c r="G139" s="167">
        <v>1</v>
      </c>
      <c r="H139" s="167">
        <v>6</v>
      </c>
      <c r="I139" s="168" t="s">
        <v>398</v>
      </c>
      <c r="J139" s="169">
        <v>1300000</v>
      </c>
      <c r="K139" s="170">
        <v>1</v>
      </c>
      <c r="L139" s="171" t="s">
        <v>396</v>
      </c>
      <c r="M139" s="172">
        <v>6860</v>
      </c>
      <c r="N139" s="172" t="s">
        <v>3456</v>
      </c>
      <c r="O139" s="172"/>
      <c r="P139" s="173"/>
      <c r="Q139" s="174" t="s">
        <v>56</v>
      </c>
      <c r="R139" s="173">
        <v>2705674</v>
      </c>
      <c r="S139" s="175"/>
      <c r="T139" s="176">
        <v>7800000</v>
      </c>
      <c r="U139" s="177">
        <v>2228.46</v>
      </c>
      <c r="V139" s="178">
        <v>20280</v>
      </c>
    </row>
    <row r="140" spans="1:22" ht="23.25">
      <c r="A140" s="249">
        <v>2069099</v>
      </c>
      <c r="B140" s="162" t="s">
        <v>3534</v>
      </c>
      <c r="C140" s="163"/>
      <c r="D140" s="164">
        <v>202201</v>
      </c>
      <c r="E140" s="165">
        <v>202206</v>
      </c>
      <c r="F140" s="166" t="s">
        <v>3477</v>
      </c>
      <c r="G140" s="167">
        <v>1</v>
      </c>
      <c r="H140" s="167">
        <v>6</v>
      </c>
      <c r="I140" s="168" t="s">
        <v>398</v>
      </c>
      <c r="J140" s="169">
        <v>4000000</v>
      </c>
      <c r="K140" s="170">
        <v>0.1</v>
      </c>
      <c r="L140" s="171" t="s">
        <v>450</v>
      </c>
      <c r="M140" s="172">
        <v>6910</v>
      </c>
      <c r="N140" s="172" t="s">
        <v>3487</v>
      </c>
      <c r="O140" s="172"/>
      <c r="P140" s="173"/>
      <c r="Q140" s="174" t="s">
        <v>324</v>
      </c>
      <c r="R140" s="173">
        <v>1415409</v>
      </c>
      <c r="S140" s="175"/>
      <c r="T140" s="176">
        <v>2400000</v>
      </c>
      <c r="U140" s="177">
        <v>685.68</v>
      </c>
      <c r="V140" s="178">
        <v>6240</v>
      </c>
    </row>
    <row r="141" spans="1:22" ht="23.25">
      <c r="A141" s="249">
        <v>2069100</v>
      </c>
      <c r="B141" s="162" t="s">
        <v>3534</v>
      </c>
      <c r="C141" s="163"/>
      <c r="D141" s="164">
        <v>202102</v>
      </c>
      <c r="E141" s="165">
        <v>202112</v>
      </c>
      <c r="F141" s="166" t="s">
        <v>3477</v>
      </c>
      <c r="G141" s="167">
        <v>1</v>
      </c>
      <c r="H141" s="167">
        <v>12</v>
      </c>
      <c r="I141" s="168" t="s">
        <v>398</v>
      </c>
      <c r="J141" s="169">
        <v>8505222.3870000001</v>
      </c>
      <c r="K141" s="170">
        <v>0.1</v>
      </c>
      <c r="L141" s="171" t="s">
        <v>450</v>
      </c>
      <c r="M141" s="172">
        <v>6910</v>
      </c>
      <c r="N141" s="172" t="s">
        <v>3487</v>
      </c>
      <c r="O141" s="172"/>
      <c r="P141" s="173"/>
      <c r="Q141" s="174" t="s">
        <v>324</v>
      </c>
      <c r="R141" s="173">
        <v>2069100</v>
      </c>
      <c r="S141" s="175"/>
      <c r="T141" s="176">
        <v>10206266.865</v>
      </c>
      <c r="U141" s="177">
        <v>2915.93</v>
      </c>
      <c r="V141" s="178">
        <v>26536.295999999998</v>
      </c>
    </row>
    <row r="142" spans="1:22" ht="23.25">
      <c r="A142" s="249">
        <v>2069097</v>
      </c>
      <c r="B142" s="162" t="s">
        <v>3535</v>
      </c>
      <c r="C142" s="163"/>
      <c r="D142" s="164">
        <v>202201</v>
      </c>
      <c r="E142" s="165">
        <v>202206</v>
      </c>
      <c r="F142" s="166" t="s">
        <v>3477</v>
      </c>
      <c r="G142" s="167">
        <v>1</v>
      </c>
      <c r="H142" s="167">
        <v>6</v>
      </c>
      <c r="I142" s="168" t="s">
        <v>398</v>
      </c>
      <c r="J142" s="169">
        <v>391666.66</v>
      </c>
      <c r="K142" s="170">
        <v>0.1</v>
      </c>
      <c r="L142" s="171" t="s">
        <v>450</v>
      </c>
      <c r="M142" s="172">
        <v>6920</v>
      </c>
      <c r="N142" s="172" t="s">
        <v>3487</v>
      </c>
      <c r="O142" s="172"/>
      <c r="P142" s="173"/>
      <c r="Q142" s="174" t="s">
        <v>324</v>
      </c>
      <c r="R142" s="173">
        <v>1415408</v>
      </c>
      <c r="S142" s="175"/>
      <c r="T142" s="176">
        <v>234999.99600000001</v>
      </c>
      <c r="U142" s="177">
        <v>67.138999999999996</v>
      </c>
      <c r="V142" s="178">
        <v>610.99800000000005</v>
      </c>
    </row>
    <row r="143" spans="1:22" ht="23.25">
      <c r="A143" s="249">
        <v>2069098</v>
      </c>
      <c r="B143" s="162" t="s">
        <v>3535</v>
      </c>
      <c r="C143" s="163"/>
      <c r="D143" s="164">
        <v>202102</v>
      </c>
      <c r="E143" s="165">
        <v>202112</v>
      </c>
      <c r="F143" s="166" t="s">
        <v>3477</v>
      </c>
      <c r="G143" s="167">
        <v>1</v>
      </c>
      <c r="H143" s="167">
        <v>12</v>
      </c>
      <c r="I143" s="168" t="s">
        <v>398</v>
      </c>
      <c r="J143" s="169">
        <v>1341557.108</v>
      </c>
      <c r="K143" s="170">
        <v>0.2</v>
      </c>
      <c r="L143" s="171" t="s">
        <v>450</v>
      </c>
      <c r="M143" s="172">
        <v>6920</v>
      </c>
      <c r="N143" s="172" t="s">
        <v>3487</v>
      </c>
      <c r="O143" s="172"/>
      <c r="P143" s="173"/>
      <c r="Q143" s="174" t="s">
        <v>324</v>
      </c>
      <c r="R143" s="173">
        <v>2069098</v>
      </c>
      <c r="S143" s="175"/>
      <c r="T143" s="176">
        <v>3219737.06</v>
      </c>
      <c r="U143" s="177">
        <v>919.87900000000002</v>
      </c>
      <c r="V143" s="178">
        <v>8371.32</v>
      </c>
    </row>
    <row r="144" spans="1:22" ht="23.25">
      <c r="A144" s="249">
        <v>2069095</v>
      </c>
      <c r="B144" s="162" t="s">
        <v>3536</v>
      </c>
      <c r="C144" s="163"/>
      <c r="D144" s="164">
        <v>202201</v>
      </c>
      <c r="E144" s="165">
        <v>202206</v>
      </c>
      <c r="F144" s="166" t="s">
        <v>3477</v>
      </c>
      <c r="G144" s="167">
        <v>1</v>
      </c>
      <c r="H144" s="167">
        <v>6</v>
      </c>
      <c r="I144" s="168" t="s">
        <v>398</v>
      </c>
      <c r="J144" s="169">
        <v>1225039.0060000001</v>
      </c>
      <c r="K144" s="170">
        <v>0.1</v>
      </c>
      <c r="L144" s="171" t="s">
        <v>450</v>
      </c>
      <c r="M144" s="172">
        <v>6930</v>
      </c>
      <c r="N144" s="172" t="s">
        <v>3487</v>
      </c>
      <c r="O144" s="172"/>
      <c r="P144" s="173"/>
      <c r="Q144" s="174" t="s">
        <v>324</v>
      </c>
      <c r="R144" s="173">
        <v>1415407</v>
      </c>
      <c r="S144" s="175"/>
      <c r="T144" s="176">
        <v>735023.40399999998</v>
      </c>
      <c r="U144" s="177">
        <v>209.99600000000001</v>
      </c>
      <c r="V144" s="178">
        <v>1911.06</v>
      </c>
    </row>
    <row r="145" spans="1:22">
      <c r="A145" s="249">
        <v>2069093</v>
      </c>
      <c r="B145" s="162" t="s">
        <v>3537</v>
      </c>
      <c r="C145" s="163"/>
      <c r="D145" s="164">
        <v>202201</v>
      </c>
      <c r="E145" s="165">
        <v>202206</v>
      </c>
      <c r="F145" s="166" t="s">
        <v>3477</v>
      </c>
      <c r="G145" s="167">
        <v>1</v>
      </c>
      <c r="H145" s="167">
        <v>6</v>
      </c>
      <c r="I145" s="168" t="s">
        <v>398</v>
      </c>
      <c r="J145" s="169">
        <v>480000</v>
      </c>
      <c r="K145" s="170">
        <v>0.1</v>
      </c>
      <c r="L145" s="171" t="s">
        <v>450</v>
      </c>
      <c r="M145" s="172">
        <v>6950</v>
      </c>
      <c r="N145" s="172" t="s">
        <v>3487</v>
      </c>
      <c r="O145" s="172"/>
      <c r="P145" s="173"/>
      <c r="Q145" s="174" t="s">
        <v>324</v>
      </c>
      <c r="R145" s="173">
        <v>1415406</v>
      </c>
      <c r="S145" s="175"/>
      <c r="T145" s="176">
        <v>288000</v>
      </c>
      <c r="U145" s="177">
        <v>82.281999999999996</v>
      </c>
      <c r="V145" s="178">
        <v>748.8</v>
      </c>
    </row>
    <row r="146" spans="1:22">
      <c r="A146" s="249">
        <v>2069094</v>
      </c>
      <c r="B146" s="162" t="s">
        <v>3537</v>
      </c>
      <c r="C146" s="163"/>
      <c r="D146" s="164">
        <v>202102</v>
      </c>
      <c r="E146" s="165">
        <v>202112</v>
      </c>
      <c r="F146" s="166" t="s">
        <v>3477</v>
      </c>
      <c r="G146" s="167">
        <v>1</v>
      </c>
      <c r="H146" s="167">
        <v>12</v>
      </c>
      <c r="I146" s="168" t="s">
        <v>398</v>
      </c>
      <c r="J146" s="169">
        <v>590247.73899999994</v>
      </c>
      <c r="K146" s="170">
        <v>0.2</v>
      </c>
      <c r="L146" s="171" t="s">
        <v>450</v>
      </c>
      <c r="M146" s="172">
        <v>6950</v>
      </c>
      <c r="N146" s="172" t="s">
        <v>3487</v>
      </c>
      <c r="O146" s="172"/>
      <c r="P146" s="173"/>
      <c r="Q146" s="174" t="s">
        <v>324</v>
      </c>
      <c r="R146" s="173">
        <v>2069094</v>
      </c>
      <c r="S146" s="175"/>
      <c r="T146" s="176">
        <v>1416594.575</v>
      </c>
      <c r="U146" s="177">
        <v>404.721</v>
      </c>
      <c r="V146" s="178">
        <v>3683.1480000000001</v>
      </c>
    </row>
    <row r="147" spans="1:22" ht="23.25">
      <c r="A147" s="249">
        <v>2069091</v>
      </c>
      <c r="B147" s="162" t="s">
        <v>3538</v>
      </c>
      <c r="C147" s="163"/>
      <c r="D147" s="164">
        <v>202201</v>
      </c>
      <c r="E147" s="165">
        <v>202206</v>
      </c>
      <c r="F147" s="166" t="s">
        <v>3477</v>
      </c>
      <c r="G147" s="167">
        <v>1</v>
      </c>
      <c r="H147" s="167">
        <v>6</v>
      </c>
      <c r="I147" s="168" t="s">
        <v>398</v>
      </c>
      <c r="J147" s="169">
        <v>610000</v>
      </c>
      <c r="K147" s="170">
        <v>0.1</v>
      </c>
      <c r="L147" s="171" t="s">
        <v>450</v>
      </c>
      <c r="M147" s="172">
        <v>6960</v>
      </c>
      <c r="N147" s="172" t="s">
        <v>3487</v>
      </c>
      <c r="O147" s="172"/>
      <c r="P147" s="173"/>
      <c r="Q147" s="174" t="s">
        <v>324</v>
      </c>
      <c r="R147" s="173">
        <v>1415405</v>
      </c>
      <c r="S147" s="175"/>
      <c r="T147" s="176">
        <v>366000</v>
      </c>
      <c r="U147" s="177">
        <v>104.566</v>
      </c>
      <c r="V147" s="178">
        <v>951.6</v>
      </c>
    </row>
    <row r="148" spans="1:22" ht="23.25">
      <c r="A148" s="249">
        <v>2069092</v>
      </c>
      <c r="B148" s="162" t="s">
        <v>3538</v>
      </c>
      <c r="C148" s="163"/>
      <c r="D148" s="164">
        <v>202102</v>
      </c>
      <c r="E148" s="165">
        <v>202112</v>
      </c>
      <c r="F148" s="166" t="s">
        <v>3477</v>
      </c>
      <c r="G148" s="167">
        <v>1</v>
      </c>
      <c r="H148" s="167">
        <v>12</v>
      </c>
      <c r="I148" s="168" t="s">
        <v>398</v>
      </c>
      <c r="J148" s="169">
        <v>1504301.798</v>
      </c>
      <c r="K148" s="170">
        <v>0.2</v>
      </c>
      <c r="L148" s="171" t="s">
        <v>450</v>
      </c>
      <c r="M148" s="172">
        <v>6960</v>
      </c>
      <c r="N148" s="172" t="s">
        <v>3487</v>
      </c>
      <c r="O148" s="172"/>
      <c r="P148" s="173"/>
      <c r="Q148" s="174" t="s">
        <v>324</v>
      </c>
      <c r="R148" s="173">
        <v>2069092</v>
      </c>
      <c r="S148" s="175"/>
      <c r="T148" s="176">
        <v>3610324.3149999999</v>
      </c>
      <c r="U148" s="177">
        <v>1031.47</v>
      </c>
      <c r="V148" s="178">
        <v>9386.8439999999991</v>
      </c>
    </row>
    <row r="149" spans="1:22" ht="23.25">
      <c r="A149" s="249">
        <v>2069089</v>
      </c>
      <c r="B149" s="162" t="s">
        <v>3539</v>
      </c>
      <c r="C149" s="163"/>
      <c r="D149" s="164">
        <v>202201</v>
      </c>
      <c r="E149" s="165">
        <v>202206</v>
      </c>
      <c r="F149" s="166" t="s">
        <v>3477</v>
      </c>
      <c r="G149" s="167">
        <v>1</v>
      </c>
      <c r="H149" s="167">
        <v>6</v>
      </c>
      <c r="I149" s="168" t="s">
        <v>398</v>
      </c>
      <c r="J149" s="169">
        <v>966666.66</v>
      </c>
      <c r="K149" s="170">
        <v>0.1</v>
      </c>
      <c r="L149" s="171" t="s">
        <v>450</v>
      </c>
      <c r="M149" s="172">
        <v>7000</v>
      </c>
      <c r="N149" s="172" t="s">
        <v>3487</v>
      </c>
      <c r="O149" s="172"/>
      <c r="P149" s="173"/>
      <c r="Q149" s="174" t="s">
        <v>324</v>
      </c>
      <c r="R149" s="173">
        <v>1415404</v>
      </c>
      <c r="S149" s="175"/>
      <c r="T149" s="176">
        <v>579999.99600000004</v>
      </c>
      <c r="U149" s="177">
        <v>165.70599999999999</v>
      </c>
      <c r="V149" s="178">
        <v>1507.998</v>
      </c>
    </row>
    <row r="150" spans="1:22" ht="23.25">
      <c r="A150" s="249">
        <v>2069087</v>
      </c>
      <c r="B150" s="162" t="s">
        <v>3540</v>
      </c>
      <c r="C150" s="163"/>
      <c r="D150" s="164">
        <v>202201</v>
      </c>
      <c r="E150" s="165">
        <v>202206</v>
      </c>
      <c r="F150" s="166" t="s">
        <v>3477</v>
      </c>
      <c r="G150" s="167">
        <v>1</v>
      </c>
      <c r="H150" s="167">
        <v>6</v>
      </c>
      <c r="I150" s="168" t="s">
        <v>398</v>
      </c>
      <c r="J150" s="169">
        <v>4190930.5</v>
      </c>
      <c r="K150" s="170">
        <v>0.1</v>
      </c>
      <c r="L150" s="171" t="s">
        <v>450</v>
      </c>
      <c r="M150" s="172">
        <v>7020</v>
      </c>
      <c r="N150" s="172" t="s">
        <v>3462</v>
      </c>
      <c r="O150" s="172"/>
      <c r="P150" s="173"/>
      <c r="Q150" s="174" t="s">
        <v>324</v>
      </c>
      <c r="R150" s="173">
        <v>1415403</v>
      </c>
      <c r="S150" s="175"/>
      <c r="T150" s="176">
        <v>2514558.2999999998</v>
      </c>
      <c r="U150" s="177">
        <v>718.40899999999999</v>
      </c>
      <c r="V150" s="178">
        <v>6537.8519999999999</v>
      </c>
    </row>
    <row r="151" spans="1:22" ht="23.25">
      <c r="A151" s="249">
        <v>2069088</v>
      </c>
      <c r="B151" s="162" t="s">
        <v>3540</v>
      </c>
      <c r="C151" s="163"/>
      <c r="D151" s="164">
        <v>202102</v>
      </c>
      <c r="E151" s="165">
        <v>202112</v>
      </c>
      <c r="F151" s="166" t="s">
        <v>3477</v>
      </c>
      <c r="G151" s="167">
        <v>1</v>
      </c>
      <c r="H151" s="167">
        <v>12</v>
      </c>
      <c r="I151" s="168" t="s">
        <v>398</v>
      </c>
      <c r="J151" s="169">
        <v>350191.78100000002</v>
      </c>
      <c r="K151" s="170">
        <v>0.1</v>
      </c>
      <c r="L151" s="171" t="s">
        <v>450</v>
      </c>
      <c r="M151" s="172">
        <v>7020</v>
      </c>
      <c r="N151" s="172" t="s">
        <v>3462</v>
      </c>
      <c r="O151" s="172"/>
      <c r="P151" s="173"/>
      <c r="Q151" s="174" t="s">
        <v>324</v>
      </c>
      <c r="R151" s="173">
        <v>2069088</v>
      </c>
      <c r="S151" s="175"/>
      <c r="T151" s="176">
        <v>420230.13699999999</v>
      </c>
      <c r="U151" s="177">
        <v>120.06</v>
      </c>
      <c r="V151" s="178">
        <v>1092.5999999999999</v>
      </c>
    </row>
    <row r="152" spans="1:22" ht="23.25">
      <c r="A152" s="249">
        <v>2069086</v>
      </c>
      <c r="B152" s="162" t="s">
        <v>3541</v>
      </c>
      <c r="C152" s="163"/>
      <c r="D152" s="164">
        <v>202102</v>
      </c>
      <c r="E152" s="165">
        <v>202112</v>
      </c>
      <c r="F152" s="166" t="s">
        <v>3477</v>
      </c>
      <c r="G152" s="167">
        <v>1</v>
      </c>
      <c r="H152" s="167">
        <v>1</v>
      </c>
      <c r="I152" s="168" t="s">
        <v>398</v>
      </c>
      <c r="J152" s="169">
        <v>3422832.4959999998</v>
      </c>
      <c r="K152" s="170">
        <v>0.2</v>
      </c>
      <c r="L152" s="171" t="s">
        <v>450</v>
      </c>
      <c r="M152" s="172">
        <v>7040</v>
      </c>
      <c r="N152" s="172" t="s">
        <v>3462</v>
      </c>
      <c r="O152" s="172"/>
      <c r="P152" s="173"/>
      <c r="Q152" s="174" t="s">
        <v>324</v>
      </c>
      <c r="R152" s="173">
        <v>2069086</v>
      </c>
      <c r="S152" s="175"/>
      <c r="T152" s="176">
        <v>684566.49899999995</v>
      </c>
      <c r="U152" s="177">
        <v>195.58099999999999</v>
      </c>
      <c r="V152" s="178">
        <v>1779.876</v>
      </c>
    </row>
    <row r="153" spans="1:22" ht="34.5">
      <c r="A153" s="249">
        <v>2069083</v>
      </c>
      <c r="B153" s="162" t="s">
        <v>3542</v>
      </c>
      <c r="C153" s="163"/>
      <c r="D153" s="164">
        <v>202201</v>
      </c>
      <c r="E153" s="165">
        <v>202206</v>
      </c>
      <c r="F153" s="166" t="s">
        <v>3477</v>
      </c>
      <c r="G153" s="167">
        <v>1</v>
      </c>
      <c r="H153" s="167">
        <v>6</v>
      </c>
      <c r="I153" s="168" t="s">
        <v>398</v>
      </c>
      <c r="J153" s="169">
        <v>10494953.889</v>
      </c>
      <c r="K153" s="170">
        <v>0.1</v>
      </c>
      <c r="L153" s="171" t="s">
        <v>450</v>
      </c>
      <c r="M153" s="172">
        <v>7140</v>
      </c>
      <c r="N153" s="172" t="s">
        <v>3487</v>
      </c>
      <c r="O153" s="172"/>
      <c r="P153" s="173"/>
      <c r="Q153" s="174" t="s">
        <v>324</v>
      </c>
      <c r="R153" s="173">
        <v>1415400</v>
      </c>
      <c r="S153" s="175"/>
      <c r="T153" s="176">
        <v>6296972.3329999996</v>
      </c>
      <c r="U153" s="177">
        <v>1799.0450000000001</v>
      </c>
      <c r="V153" s="178">
        <v>16372.128000000001</v>
      </c>
    </row>
    <row r="154" spans="1:22" ht="34.5">
      <c r="A154" s="249">
        <v>2069084</v>
      </c>
      <c r="B154" s="162" t="s">
        <v>3542</v>
      </c>
      <c r="C154" s="163"/>
      <c r="D154" s="164">
        <v>202102</v>
      </c>
      <c r="E154" s="165">
        <v>202112</v>
      </c>
      <c r="F154" s="166" t="s">
        <v>3477</v>
      </c>
      <c r="G154" s="167">
        <v>1</v>
      </c>
      <c r="H154" s="167">
        <v>12</v>
      </c>
      <c r="I154" s="168" t="s">
        <v>398</v>
      </c>
      <c r="J154" s="169">
        <v>7543183.1940000001</v>
      </c>
      <c r="K154" s="170">
        <v>0.2</v>
      </c>
      <c r="L154" s="171" t="s">
        <v>450</v>
      </c>
      <c r="M154" s="172">
        <v>7140</v>
      </c>
      <c r="N154" s="172" t="s">
        <v>3487</v>
      </c>
      <c r="O154" s="172"/>
      <c r="P154" s="173"/>
      <c r="Q154" s="174" t="s">
        <v>324</v>
      </c>
      <c r="R154" s="173">
        <v>2069084</v>
      </c>
      <c r="S154" s="175"/>
      <c r="T154" s="176">
        <v>18103639.666000001</v>
      </c>
      <c r="U154" s="177">
        <v>5172.21</v>
      </c>
      <c r="V154" s="178">
        <v>47069.46</v>
      </c>
    </row>
    <row r="155" spans="1:22" ht="23.25">
      <c r="A155" s="249">
        <v>2265775</v>
      </c>
      <c r="B155" s="162" t="s">
        <v>3543</v>
      </c>
      <c r="C155" s="163" t="s">
        <v>3476</v>
      </c>
      <c r="D155" s="164">
        <v>202201</v>
      </c>
      <c r="E155" s="165">
        <v>202206</v>
      </c>
      <c r="F155" s="166" t="s">
        <v>3477</v>
      </c>
      <c r="G155" s="167">
        <v>1</v>
      </c>
      <c r="H155" s="167">
        <v>5</v>
      </c>
      <c r="I155" s="168" t="s">
        <v>398</v>
      </c>
      <c r="J155" s="169">
        <v>2000000</v>
      </c>
      <c r="K155" s="170">
        <v>1</v>
      </c>
      <c r="L155" s="171" t="s">
        <v>396</v>
      </c>
      <c r="M155" s="172">
        <v>7140</v>
      </c>
      <c r="N155" s="172" t="s">
        <v>326</v>
      </c>
      <c r="O155" s="172"/>
      <c r="P155" s="173">
        <v>901</v>
      </c>
      <c r="Q155" s="174" t="s">
        <v>326</v>
      </c>
      <c r="R155" s="173">
        <v>2265775</v>
      </c>
      <c r="S155" s="175"/>
      <c r="T155" s="176">
        <v>10000000</v>
      </c>
      <c r="U155" s="177">
        <v>2857</v>
      </c>
      <c r="V155" s="178">
        <v>25999.998</v>
      </c>
    </row>
    <row r="156" spans="1:22" ht="23.25">
      <c r="A156" s="249">
        <v>2265776</v>
      </c>
      <c r="B156" s="162" t="s">
        <v>3543</v>
      </c>
      <c r="C156" s="163" t="s">
        <v>3476</v>
      </c>
      <c r="D156" s="164">
        <v>202103</v>
      </c>
      <c r="E156" s="165">
        <v>202112</v>
      </c>
      <c r="F156" s="166" t="s">
        <v>3477</v>
      </c>
      <c r="G156" s="167">
        <v>1</v>
      </c>
      <c r="H156" s="167">
        <v>5</v>
      </c>
      <c r="I156" s="168" t="s">
        <v>398</v>
      </c>
      <c r="J156" s="169">
        <v>4238704.9349999996</v>
      </c>
      <c r="K156" s="170">
        <v>1</v>
      </c>
      <c r="L156" s="171" t="s">
        <v>396</v>
      </c>
      <c r="M156" s="172">
        <v>7140</v>
      </c>
      <c r="N156" s="172" t="s">
        <v>326</v>
      </c>
      <c r="O156" s="172"/>
      <c r="P156" s="173">
        <v>901</v>
      </c>
      <c r="Q156" s="174" t="s">
        <v>326</v>
      </c>
      <c r="R156" s="173">
        <v>2265776</v>
      </c>
      <c r="S156" s="175"/>
      <c r="T156" s="176">
        <v>21193524.675999999</v>
      </c>
      <c r="U156" s="177">
        <v>6054.99</v>
      </c>
      <c r="V156" s="178">
        <v>55103.16</v>
      </c>
    </row>
    <row r="157" spans="1:22" ht="23.25">
      <c r="A157" s="249">
        <v>2630507</v>
      </c>
      <c r="B157" s="162" t="s">
        <v>4078</v>
      </c>
      <c r="C157" s="163"/>
      <c r="D157" s="164">
        <v>202201</v>
      </c>
      <c r="E157" s="165">
        <v>202206</v>
      </c>
      <c r="F157" s="166" t="s">
        <v>3455</v>
      </c>
      <c r="G157" s="167">
        <v>20</v>
      </c>
      <c r="H157" s="167">
        <v>1</v>
      </c>
      <c r="I157" s="168" t="s">
        <v>398</v>
      </c>
      <c r="J157" s="169">
        <v>1000000</v>
      </c>
      <c r="K157" s="170">
        <v>1</v>
      </c>
      <c r="L157" s="171" t="s">
        <v>396</v>
      </c>
      <c r="M157" s="172">
        <v>7140</v>
      </c>
      <c r="N157" s="172" t="s">
        <v>3456</v>
      </c>
      <c r="O157" s="172"/>
      <c r="P157" s="173"/>
      <c r="Q157" s="174" t="s">
        <v>56</v>
      </c>
      <c r="R157" s="173">
        <v>2630507</v>
      </c>
      <c r="S157" s="175"/>
      <c r="T157" s="176">
        <v>20000000</v>
      </c>
      <c r="U157" s="177">
        <v>5714</v>
      </c>
      <c r="V157" s="178">
        <v>52000.002</v>
      </c>
    </row>
    <row r="158" spans="1:22" ht="23.25">
      <c r="A158" s="249">
        <v>2069082</v>
      </c>
      <c r="B158" s="162" t="s">
        <v>3544</v>
      </c>
      <c r="C158" s="163"/>
      <c r="D158" s="164">
        <v>202102</v>
      </c>
      <c r="E158" s="165">
        <v>202112</v>
      </c>
      <c r="F158" s="166" t="s">
        <v>3477</v>
      </c>
      <c r="G158" s="167">
        <v>1</v>
      </c>
      <c r="H158" s="167">
        <v>2</v>
      </c>
      <c r="I158" s="168" t="s">
        <v>398</v>
      </c>
      <c r="J158" s="169">
        <v>35814848</v>
      </c>
      <c r="K158" s="170">
        <v>0.1</v>
      </c>
      <c r="L158" s="171" t="s">
        <v>450</v>
      </c>
      <c r="M158" s="172">
        <v>7330</v>
      </c>
      <c r="N158" s="172" t="s">
        <v>3462</v>
      </c>
      <c r="O158" s="172"/>
      <c r="P158" s="173"/>
      <c r="Q158" s="174" t="s">
        <v>324</v>
      </c>
      <c r="R158" s="173">
        <v>2069082</v>
      </c>
      <c r="S158" s="175"/>
      <c r="T158" s="176">
        <v>7162969.5999999996</v>
      </c>
      <c r="U158" s="177">
        <v>2046.46</v>
      </c>
      <c r="V158" s="178">
        <v>18623.723999999998</v>
      </c>
    </row>
    <row r="159" spans="1:22" ht="34.5">
      <c r="A159" s="249">
        <v>2069079</v>
      </c>
      <c r="B159" s="162" t="s">
        <v>3545</v>
      </c>
      <c r="C159" s="163"/>
      <c r="D159" s="164">
        <v>202201</v>
      </c>
      <c r="E159" s="165">
        <v>202206</v>
      </c>
      <c r="F159" s="166" t="s">
        <v>3477</v>
      </c>
      <c r="G159" s="167">
        <v>1</v>
      </c>
      <c r="H159" s="167">
        <v>6</v>
      </c>
      <c r="I159" s="168" t="s">
        <v>398</v>
      </c>
      <c r="J159" s="169">
        <v>4613042.4689999996</v>
      </c>
      <c r="K159" s="170">
        <v>0.1</v>
      </c>
      <c r="L159" s="171" t="s">
        <v>450</v>
      </c>
      <c r="M159" s="172">
        <v>8170</v>
      </c>
      <c r="N159" s="172" t="s">
        <v>3499</v>
      </c>
      <c r="O159" s="172"/>
      <c r="P159" s="173"/>
      <c r="Q159" s="174" t="s">
        <v>324</v>
      </c>
      <c r="R159" s="173">
        <v>1415397</v>
      </c>
      <c r="S159" s="175"/>
      <c r="T159" s="176">
        <v>2767825.4810000001</v>
      </c>
      <c r="U159" s="177">
        <v>790.76800000000003</v>
      </c>
      <c r="V159" s="178">
        <v>7196.3459999999995</v>
      </c>
    </row>
    <row r="160" spans="1:22" ht="34.5">
      <c r="A160" s="249">
        <v>2069080</v>
      </c>
      <c r="B160" s="162" t="s">
        <v>3545</v>
      </c>
      <c r="C160" s="163"/>
      <c r="D160" s="164">
        <v>202102</v>
      </c>
      <c r="E160" s="165">
        <v>202112</v>
      </c>
      <c r="F160" s="166" t="s">
        <v>3477</v>
      </c>
      <c r="G160" s="167">
        <v>1</v>
      </c>
      <c r="H160" s="167">
        <v>12</v>
      </c>
      <c r="I160" s="168" t="s">
        <v>398</v>
      </c>
      <c r="J160" s="169">
        <v>29337445.228999998</v>
      </c>
      <c r="K160" s="170">
        <v>0.1</v>
      </c>
      <c r="L160" s="171" t="s">
        <v>450</v>
      </c>
      <c r="M160" s="172">
        <v>8170</v>
      </c>
      <c r="N160" s="172" t="s">
        <v>3499</v>
      </c>
      <c r="O160" s="172"/>
      <c r="P160" s="173"/>
      <c r="Q160" s="174" t="s">
        <v>324</v>
      </c>
      <c r="R160" s="173">
        <v>2069080</v>
      </c>
      <c r="S160" s="175"/>
      <c r="T160" s="176">
        <v>35204934.274999999</v>
      </c>
      <c r="U160" s="177">
        <v>10058.049999999999</v>
      </c>
      <c r="V160" s="178">
        <v>91532.831999999995</v>
      </c>
    </row>
  </sheetData>
  <conditionalFormatting sqref="T2:V160">
    <cfRule type="expression" dxfId="2" priority="3">
      <formula>#REF!</formula>
    </cfRule>
  </conditionalFormatting>
  <conditionalFormatting sqref="L2:L160">
    <cfRule type="expression" dxfId="1" priority="2">
      <formula>#REF!</formula>
    </cfRule>
  </conditionalFormatting>
  <conditionalFormatting sqref="A2:A160">
    <cfRule type="expression" dxfId="0" priority="1">
      <formula>COUNTIF(#REF!,A2)&gt;0</formula>
    </cfRule>
  </conditionalFormatting>
  <dataValidations disablePrompts="1" count="4">
    <dataValidation type="list" allowBlank="1" showInputMessage="1" showErrorMessage="1" sqref="F2:F160">
      <formula1>UnitName</formula1>
    </dataValidation>
    <dataValidation type="decimal" operator="greaterThan" allowBlank="1" showInputMessage="1" showErrorMessage="1" sqref="G2:H160 J2:J160">
      <formula1>0</formula1>
    </dataValidation>
    <dataValidation type="decimal" allowBlank="1" showInputMessage="1" showErrorMessage="1" sqref="K2:K160">
      <formula1>0</formula1>
      <formula2>1</formula2>
    </dataValidation>
    <dataValidation type="custom" operator="equal" allowBlank="1" showInputMessage="1" showErrorMessage="1" sqref="D2:E160">
      <formula1>AND(ISNUMBER(D2),LEN(D2)=6)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D14" sqref="D14"/>
    </sheetView>
  </sheetViews>
  <sheetFormatPr baseColWidth="10" defaultColWidth="9.140625" defaultRowHeight="15"/>
  <cols>
    <col min="4" max="4" width="12.28515625" bestFit="1" customWidth="1"/>
  </cols>
  <sheetData>
    <row r="1" spans="1:4" ht="39">
      <c r="A1" s="476" t="s">
        <v>4094</v>
      </c>
      <c r="B1" s="476" t="s">
        <v>4095</v>
      </c>
      <c r="C1" s="476" t="s">
        <v>4096</v>
      </c>
      <c r="D1" s="477" t="s">
        <v>4097</v>
      </c>
    </row>
    <row r="2" spans="1:4">
      <c r="A2" s="478">
        <v>125909</v>
      </c>
      <c r="B2" s="478" t="s">
        <v>4098</v>
      </c>
      <c r="C2">
        <v>1</v>
      </c>
      <c r="D2" s="479">
        <v>139114.57999999999</v>
      </c>
    </row>
    <row r="3" spans="1:4">
      <c r="A3" s="478">
        <v>125909</v>
      </c>
      <c r="B3" s="478" t="s">
        <v>4098</v>
      </c>
      <c r="C3">
        <v>2</v>
      </c>
      <c r="D3" s="479">
        <v>136607.97999999998</v>
      </c>
    </row>
    <row r="4" spans="1:4">
      <c r="A4" s="478">
        <v>125909</v>
      </c>
      <c r="B4" s="478" t="s">
        <v>4098</v>
      </c>
      <c r="C4">
        <v>3</v>
      </c>
      <c r="D4" s="479">
        <v>16271.179999999989</v>
      </c>
    </row>
    <row r="5" spans="1:4">
      <c r="A5" s="478">
        <v>125909</v>
      </c>
      <c r="B5" s="478" t="s">
        <v>4098</v>
      </c>
      <c r="C5">
        <v>4</v>
      </c>
      <c r="D5" s="479">
        <v>51420.999999999985</v>
      </c>
    </row>
    <row r="6" spans="1:4">
      <c r="A6" s="478">
        <v>125909</v>
      </c>
      <c r="B6" s="478" t="s">
        <v>4098</v>
      </c>
      <c r="C6">
        <v>5</v>
      </c>
      <c r="D6" s="479">
        <v>23131.110000000015</v>
      </c>
    </row>
    <row r="7" spans="1:4">
      <c r="A7" s="478">
        <v>125909</v>
      </c>
      <c r="B7" s="478" t="s">
        <v>4098</v>
      </c>
      <c r="C7">
        <v>6</v>
      </c>
      <c r="D7" s="479">
        <v>192218.93000000011</v>
      </c>
    </row>
    <row r="8" spans="1:4">
      <c r="A8" s="478">
        <v>125909</v>
      </c>
      <c r="B8" s="478" t="s">
        <v>4098</v>
      </c>
      <c r="C8">
        <v>7</v>
      </c>
      <c r="D8" s="479">
        <v>76042.650000000081</v>
      </c>
    </row>
    <row r="9" spans="1:4">
      <c r="A9" s="478">
        <v>125909</v>
      </c>
      <c r="B9" s="478" t="s">
        <v>4098</v>
      </c>
      <c r="C9">
        <v>8</v>
      </c>
      <c r="D9" s="479">
        <v>33943.19</v>
      </c>
    </row>
    <row r="10" spans="1:4">
      <c r="A10" s="478">
        <v>125909</v>
      </c>
      <c r="B10" s="478" t="s">
        <v>4098</v>
      </c>
      <c r="C10">
        <v>9</v>
      </c>
      <c r="D10" s="479">
        <v>0</v>
      </c>
    </row>
    <row r="11" spans="1:4">
      <c r="A11" s="478">
        <v>125909</v>
      </c>
      <c r="B11" s="478" t="s">
        <v>4098</v>
      </c>
      <c r="C11">
        <v>10</v>
      </c>
      <c r="D11" s="479">
        <v>0</v>
      </c>
    </row>
    <row r="12" spans="1:4">
      <c r="A12" s="478">
        <v>125909</v>
      </c>
      <c r="B12" s="478" t="s">
        <v>4098</v>
      </c>
      <c r="C12">
        <v>11</v>
      </c>
      <c r="D12" s="479">
        <v>0</v>
      </c>
    </row>
    <row r="14" spans="1:4">
      <c r="D14" s="447">
        <f>SUM(D2:D13)</f>
        <v>668750.62000000011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baseColWidth="10" defaultColWidth="8.7109375" defaultRowHeight="15"/>
  <sheetData>
    <row r="1" spans="1:2">
      <c r="A1" s="64" t="s">
        <v>3546</v>
      </c>
      <c r="B1" s="65" t="s">
        <v>3547</v>
      </c>
    </row>
    <row r="2" spans="1:2">
      <c r="A2" s="66" t="s">
        <v>3548</v>
      </c>
      <c r="B2" s="67" t="s">
        <v>3549</v>
      </c>
    </row>
    <row r="3" spans="1:2">
      <c r="A3" s="66" t="s">
        <v>3550</v>
      </c>
      <c r="B3" s="67" t="s">
        <v>3551</v>
      </c>
    </row>
    <row r="4" spans="1:2">
      <c r="A4" s="66" t="s">
        <v>3552</v>
      </c>
      <c r="B4" s="67" t="s">
        <v>3553</v>
      </c>
    </row>
    <row r="5" spans="1:2">
      <c r="A5" s="66" t="s">
        <v>3554</v>
      </c>
      <c r="B5" s="67" t="s">
        <v>3555</v>
      </c>
    </row>
    <row r="6" spans="1:2">
      <c r="A6" s="66" t="s">
        <v>3556</v>
      </c>
      <c r="B6" s="67" t="s">
        <v>3557</v>
      </c>
    </row>
    <row r="7" spans="1:2">
      <c r="A7" s="66" t="s">
        <v>3558</v>
      </c>
      <c r="B7" s="67" t="s">
        <v>3559</v>
      </c>
    </row>
    <row r="8" spans="1:2">
      <c r="A8" s="66" t="s">
        <v>3560</v>
      </c>
      <c r="B8" s="67" t="s">
        <v>3561</v>
      </c>
    </row>
    <row r="9" spans="1:2">
      <c r="A9" s="66" t="s">
        <v>3562</v>
      </c>
      <c r="B9" s="67" t="s">
        <v>3563</v>
      </c>
    </row>
    <row r="10" spans="1:2">
      <c r="A10" s="66" t="s">
        <v>3564</v>
      </c>
      <c r="B10" s="67" t="s">
        <v>3565</v>
      </c>
    </row>
    <row r="11" spans="1:2">
      <c r="A11" s="66" t="s">
        <v>3566</v>
      </c>
      <c r="B11" s="67" t="s">
        <v>3567</v>
      </c>
    </row>
    <row r="12" spans="1:2">
      <c r="A12" s="66" t="s">
        <v>3568</v>
      </c>
      <c r="B12" s="67" t="s">
        <v>3569</v>
      </c>
    </row>
    <row r="13" spans="1:2">
      <c r="A13" s="66" t="s">
        <v>3570</v>
      </c>
      <c r="B13" s="67" t="s">
        <v>3571</v>
      </c>
    </row>
    <row r="14" spans="1:2">
      <c r="A14" s="66" t="s">
        <v>3572</v>
      </c>
      <c r="B14" s="67" t="s">
        <v>3573</v>
      </c>
    </row>
    <row r="15" spans="1:2">
      <c r="A15" s="66" t="s">
        <v>3574</v>
      </c>
      <c r="B15" s="67" t="s">
        <v>3575</v>
      </c>
    </row>
    <row r="16" spans="1:2">
      <c r="A16" s="66" t="s">
        <v>3576</v>
      </c>
      <c r="B16" s="67" t="s">
        <v>3577</v>
      </c>
    </row>
    <row r="17" spans="1:2">
      <c r="A17" s="66" t="s">
        <v>3578</v>
      </c>
      <c r="B17" s="67" t="s">
        <v>3579</v>
      </c>
    </row>
    <row r="18" spans="1:2">
      <c r="A18" s="66" t="s">
        <v>3580</v>
      </c>
      <c r="B18" s="67" t="s">
        <v>3581</v>
      </c>
    </row>
    <row r="19" spans="1:2">
      <c r="A19" s="66" t="s">
        <v>3582</v>
      </c>
      <c r="B19" s="67" t="s">
        <v>3583</v>
      </c>
    </row>
    <row r="20" spans="1:2">
      <c r="A20" s="66" t="s">
        <v>3584</v>
      </c>
      <c r="B20" s="67" t="s">
        <v>3585</v>
      </c>
    </row>
    <row r="21" spans="1:2">
      <c r="A21" s="66" t="s">
        <v>3586</v>
      </c>
      <c r="B21" s="67" t="s">
        <v>3587</v>
      </c>
    </row>
    <row r="22" spans="1:2">
      <c r="A22" s="66" t="s">
        <v>3588</v>
      </c>
      <c r="B22" s="67" t="s">
        <v>3589</v>
      </c>
    </row>
    <row r="23" spans="1:2">
      <c r="A23" s="66" t="s">
        <v>3590</v>
      </c>
      <c r="B23" s="67" t="s">
        <v>3591</v>
      </c>
    </row>
    <row r="24" spans="1:2">
      <c r="A24" s="66" t="s">
        <v>3592</v>
      </c>
      <c r="B24" s="67" t="s">
        <v>3593</v>
      </c>
    </row>
    <row r="25" spans="1:2">
      <c r="A25" s="66" t="s">
        <v>3594</v>
      </c>
      <c r="B25" s="67" t="s">
        <v>3595</v>
      </c>
    </row>
    <row r="26" spans="1:2">
      <c r="A26" s="66" t="s">
        <v>3596</v>
      </c>
      <c r="B26" s="67" t="s">
        <v>3597</v>
      </c>
    </row>
    <row r="27" spans="1:2">
      <c r="A27" s="66" t="s">
        <v>3598</v>
      </c>
      <c r="B27" s="67" t="s">
        <v>3599</v>
      </c>
    </row>
    <row r="28" spans="1:2">
      <c r="A28" s="66" t="s">
        <v>3600</v>
      </c>
      <c r="B28" s="67" t="s">
        <v>3601</v>
      </c>
    </row>
    <row r="29" spans="1:2">
      <c r="A29" s="66" t="s">
        <v>3602</v>
      </c>
      <c r="B29" s="67" t="s">
        <v>3603</v>
      </c>
    </row>
    <row r="30" spans="1:2">
      <c r="A30" s="66" t="s">
        <v>3604</v>
      </c>
      <c r="B30" s="67" t="s">
        <v>3605</v>
      </c>
    </row>
    <row r="31" spans="1:2">
      <c r="A31" s="66" t="s">
        <v>3606</v>
      </c>
      <c r="B31" s="67" t="s">
        <v>3607</v>
      </c>
    </row>
    <row r="32" spans="1:2">
      <c r="A32" s="66" t="s">
        <v>3608</v>
      </c>
      <c r="B32" s="67" t="s">
        <v>3609</v>
      </c>
    </row>
    <row r="33" spans="1:2">
      <c r="A33" s="66" t="s">
        <v>3610</v>
      </c>
      <c r="B33" s="67" t="s">
        <v>3611</v>
      </c>
    </row>
    <row r="34" spans="1:2">
      <c r="A34" s="66" t="s">
        <v>3612</v>
      </c>
      <c r="B34" s="67" t="s">
        <v>3613</v>
      </c>
    </row>
    <row r="35" spans="1:2">
      <c r="A35" s="66" t="s">
        <v>3614</v>
      </c>
      <c r="B35" s="67" t="s">
        <v>3615</v>
      </c>
    </row>
    <row r="36" spans="1:2">
      <c r="A36" s="66" t="s">
        <v>3616</v>
      </c>
      <c r="B36" s="67" t="s">
        <v>3617</v>
      </c>
    </row>
    <row r="37" spans="1:2">
      <c r="A37" s="66" t="s">
        <v>3618</v>
      </c>
      <c r="B37" s="67" t="s">
        <v>3619</v>
      </c>
    </row>
    <row r="38" spans="1:2">
      <c r="A38" s="66" t="s">
        <v>3620</v>
      </c>
      <c r="B38" s="67" t="s">
        <v>3621</v>
      </c>
    </row>
    <row r="39" spans="1:2">
      <c r="A39" s="66" t="s">
        <v>3622</v>
      </c>
      <c r="B39" s="67" t="s">
        <v>3623</v>
      </c>
    </row>
    <row r="40" spans="1:2">
      <c r="A40" s="66" t="s">
        <v>3624</v>
      </c>
      <c r="B40" s="67" t="s">
        <v>3625</v>
      </c>
    </row>
    <row r="41" spans="1:2">
      <c r="A41" s="66" t="s">
        <v>3626</v>
      </c>
      <c r="B41" s="67" t="s">
        <v>3627</v>
      </c>
    </row>
    <row r="42" spans="1:2">
      <c r="A42" s="66" t="s">
        <v>3628</v>
      </c>
      <c r="B42" s="67" t="s">
        <v>3629</v>
      </c>
    </row>
    <row r="43" spans="1:2">
      <c r="A43" s="66" t="s">
        <v>3630</v>
      </c>
      <c r="B43" s="67" t="s">
        <v>3631</v>
      </c>
    </row>
    <row r="44" spans="1:2">
      <c r="A44" s="66" t="s">
        <v>3632</v>
      </c>
      <c r="B44" s="67" t="s">
        <v>3633</v>
      </c>
    </row>
    <row r="45" spans="1:2">
      <c r="A45" s="66" t="s">
        <v>3634</v>
      </c>
      <c r="B45" s="67" t="s">
        <v>3635</v>
      </c>
    </row>
    <row r="46" spans="1:2">
      <c r="A46" s="66" t="s">
        <v>3636</v>
      </c>
      <c r="B46" s="67" t="s">
        <v>3637</v>
      </c>
    </row>
    <row r="47" spans="1:2">
      <c r="A47" s="66" t="s">
        <v>3638</v>
      </c>
      <c r="B47" s="67" t="s">
        <v>3639</v>
      </c>
    </row>
    <row r="48" spans="1:2">
      <c r="A48" s="66" t="s">
        <v>3640</v>
      </c>
      <c r="B48" s="67" t="s">
        <v>3641</v>
      </c>
    </row>
    <row r="49" spans="1:2">
      <c r="A49" s="66" t="s">
        <v>3642</v>
      </c>
      <c r="B49" s="67" t="s">
        <v>3643</v>
      </c>
    </row>
    <row r="50" spans="1:2">
      <c r="A50" s="66" t="s">
        <v>3644</v>
      </c>
      <c r="B50" s="67" t="s">
        <v>3645</v>
      </c>
    </row>
    <row r="51" spans="1:2">
      <c r="A51" s="66" t="s">
        <v>3646</v>
      </c>
      <c r="B51" s="67" t="s">
        <v>3647</v>
      </c>
    </row>
    <row r="52" spans="1:2">
      <c r="A52" s="66" t="s">
        <v>3648</v>
      </c>
      <c r="B52" s="67" t="s">
        <v>3649</v>
      </c>
    </row>
    <row r="53" spans="1:2">
      <c r="A53" s="66" t="s">
        <v>3650</v>
      </c>
      <c r="B53" s="67" t="s">
        <v>3651</v>
      </c>
    </row>
    <row r="54" spans="1:2">
      <c r="A54" s="66" t="s">
        <v>3652</v>
      </c>
      <c r="B54" s="67" t="s">
        <v>3653</v>
      </c>
    </row>
    <row r="55" spans="1:2">
      <c r="A55" s="66" t="s">
        <v>3654</v>
      </c>
      <c r="B55" s="67" t="s">
        <v>3655</v>
      </c>
    </row>
    <row r="56" spans="1:2">
      <c r="A56" s="66" t="s">
        <v>3656</v>
      </c>
      <c r="B56" s="67" t="s">
        <v>3657</v>
      </c>
    </row>
    <row r="57" spans="1:2">
      <c r="A57" s="66" t="s">
        <v>3658</v>
      </c>
      <c r="B57" s="67" t="s">
        <v>3659</v>
      </c>
    </row>
    <row r="58" spans="1:2">
      <c r="A58" s="66" t="s">
        <v>3660</v>
      </c>
      <c r="B58" s="67" t="s">
        <v>3661</v>
      </c>
    </row>
    <row r="59" spans="1:2">
      <c r="A59" s="66" t="s">
        <v>3662</v>
      </c>
      <c r="B59" s="67" t="s">
        <v>3663</v>
      </c>
    </row>
    <row r="60" spans="1:2">
      <c r="A60" s="66" t="s">
        <v>3664</v>
      </c>
      <c r="B60" s="67" t="s">
        <v>3665</v>
      </c>
    </row>
    <row r="61" spans="1:2">
      <c r="A61" s="66" t="s">
        <v>3666</v>
      </c>
      <c r="B61" s="67" t="s">
        <v>3667</v>
      </c>
    </row>
    <row r="62" spans="1:2">
      <c r="A62" s="66" t="s">
        <v>3668</v>
      </c>
      <c r="B62" s="67" t="s">
        <v>3669</v>
      </c>
    </row>
    <row r="63" spans="1:2">
      <c r="A63" s="66" t="s">
        <v>3670</v>
      </c>
      <c r="B63" s="67" t="s">
        <v>3671</v>
      </c>
    </row>
    <row r="64" spans="1:2">
      <c r="A64" s="66" t="s">
        <v>3672</v>
      </c>
      <c r="B64" s="67" t="s">
        <v>3673</v>
      </c>
    </row>
    <row r="65" spans="1:2">
      <c r="A65" s="66" t="s">
        <v>3674</v>
      </c>
      <c r="B65" s="67" t="s">
        <v>3675</v>
      </c>
    </row>
    <row r="66" spans="1:2">
      <c r="A66" s="66" t="s">
        <v>3676</v>
      </c>
      <c r="B66" s="67" t="s">
        <v>3677</v>
      </c>
    </row>
    <row r="67" spans="1:2">
      <c r="A67" s="66" t="s">
        <v>3678</v>
      </c>
      <c r="B67" s="67" t="s">
        <v>3679</v>
      </c>
    </row>
    <row r="68" spans="1:2">
      <c r="A68" s="66" t="s">
        <v>3680</v>
      </c>
      <c r="B68" s="67" t="s">
        <v>3681</v>
      </c>
    </row>
    <row r="69" spans="1:2">
      <c r="A69" s="66" t="s">
        <v>3682</v>
      </c>
      <c r="B69" s="67" t="s">
        <v>3683</v>
      </c>
    </row>
    <row r="70" spans="1:2">
      <c r="A70" s="66" t="s">
        <v>3684</v>
      </c>
      <c r="B70" s="67" t="s">
        <v>3685</v>
      </c>
    </row>
    <row r="71" spans="1:2">
      <c r="A71" s="66" t="s">
        <v>3686</v>
      </c>
      <c r="B71" s="67" t="s">
        <v>3687</v>
      </c>
    </row>
    <row r="72" spans="1:2">
      <c r="A72" s="66" t="s">
        <v>3688</v>
      </c>
      <c r="B72" s="67" t="s">
        <v>3689</v>
      </c>
    </row>
    <row r="73" spans="1:2">
      <c r="A73" s="66" t="s">
        <v>3690</v>
      </c>
      <c r="B73" s="67" t="s">
        <v>3691</v>
      </c>
    </row>
    <row r="74" spans="1:2">
      <c r="A74" s="66" t="s">
        <v>3692</v>
      </c>
      <c r="B74" s="67" t="s">
        <v>3693</v>
      </c>
    </row>
    <row r="75" spans="1:2">
      <c r="A75" s="66" t="s">
        <v>3694</v>
      </c>
      <c r="B75" s="68" t="s">
        <v>3695</v>
      </c>
    </row>
    <row r="76" spans="1:2">
      <c r="A76" s="66" t="s">
        <v>3696</v>
      </c>
      <c r="B76" s="68" t="s">
        <v>3697</v>
      </c>
    </row>
    <row r="77" spans="1:2">
      <c r="A77" s="66" t="s">
        <v>3698</v>
      </c>
      <c r="B77" s="68" t="s">
        <v>3699</v>
      </c>
    </row>
    <row r="78" spans="1:2">
      <c r="A78" s="66" t="s">
        <v>3700</v>
      </c>
      <c r="B78" s="68" t="s">
        <v>3701</v>
      </c>
    </row>
    <row r="79" spans="1:2">
      <c r="A79" s="66" t="s">
        <v>3702</v>
      </c>
      <c r="B79" s="68" t="s">
        <v>3703</v>
      </c>
    </row>
    <row r="80" spans="1:2">
      <c r="A80" s="66" t="s">
        <v>3704</v>
      </c>
      <c r="B80" s="68" t="s">
        <v>3705</v>
      </c>
    </row>
    <row r="81" spans="1:2">
      <c r="A81" s="66" t="s">
        <v>3706</v>
      </c>
      <c r="B81" s="68" t="s">
        <v>3707</v>
      </c>
    </row>
    <row r="82" spans="1:2">
      <c r="A82" s="66" t="s">
        <v>3708</v>
      </c>
      <c r="B82" s="68" t="s">
        <v>3709</v>
      </c>
    </row>
    <row r="83" spans="1:2">
      <c r="A83" s="66" t="s">
        <v>3710</v>
      </c>
      <c r="B83" s="68" t="s">
        <v>3711</v>
      </c>
    </row>
    <row r="84" spans="1:2">
      <c r="A84" s="66" t="s">
        <v>3712</v>
      </c>
      <c r="B84" s="68" t="s">
        <v>3713</v>
      </c>
    </row>
    <row r="85" spans="1:2">
      <c r="A85" s="66" t="s">
        <v>3714</v>
      </c>
      <c r="B85" s="68" t="s">
        <v>3715</v>
      </c>
    </row>
    <row r="86" spans="1:2">
      <c r="A86" s="66" t="s">
        <v>3716</v>
      </c>
      <c r="B86" s="68" t="s">
        <v>3717</v>
      </c>
    </row>
    <row r="87" spans="1:2">
      <c r="A87" s="66" t="s">
        <v>3718</v>
      </c>
      <c r="B87" s="68" t="s">
        <v>3719</v>
      </c>
    </row>
    <row r="88" spans="1:2">
      <c r="A88" s="66" t="s">
        <v>3720</v>
      </c>
      <c r="B88" s="68" t="s">
        <v>3721</v>
      </c>
    </row>
    <row r="89" spans="1:2">
      <c r="A89" s="66" t="s">
        <v>3722</v>
      </c>
      <c r="B89" s="68" t="s">
        <v>3723</v>
      </c>
    </row>
    <row r="90" spans="1:2">
      <c r="A90" s="66" t="s">
        <v>3724</v>
      </c>
      <c r="B90" s="68" t="s">
        <v>3725</v>
      </c>
    </row>
    <row r="91" spans="1:2">
      <c r="A91" s="66" t="s">
        <v>3726</v>
      </c>
      <c r="B91" s="68" t="s">
        <v>3727</v>
      </c>
    </row>
    <row r="92" spans="1:2">
      <c r="A92" s="66" t="s">
        <v>3728</v>
      </c>
      <c r="B92" s="68" t="s">
        <v>3729</v>
      </c>
    </row>
    <row r="93" spans="1:2">
      <c r="A93" s="66" t="s">
        <v>3730</v>
      </c>
      <c r="B93" s="68" t="s">
        <v>3731</v>
      </c>
    </row>
    <row r="94" spans="1:2">
      <c r="A94" s="66" t="s">
        <v>3732</v>
      </c>
      <c r="B94" s="68" t="s">
        <v>3733</v>
      </c>
    </row>
    <row r="95" spans="1:2">
      <c r="A95" s="66" t="s">
        <v>3734</v>
      </c>
      <c r="B95" s="68" t="s">
        <v>3735</v>
      </c>
    </row>
    <row r="96" spans="1:2">
      <c r="A96" s="66" t="s">
        <v>3736</v>
      </c>
      <c r="B96" s="68" t="s">
        <v>3737</v>
      </c>
    </row>
    <row r="97" spans="1:2">
      <c r="A97" s="66" t="s">
        <v>3738</v>
      </c>
      <c r="B97" s="68" t="s">
        <v>3739</v>
      </c>
    </row>
    <row r="98" spans="1:2">
      <c r="A98" s="66" t="s">
        <v>3740</v>
      </c>
      <c r="B98" s="68" t="s">
        <v>3741</v>
      </c>
    </row>
    <row r="99" spans="1:2">
      <c r="A99" s="66" t="s">
        <v>3742</v>
      </c>
      <c r="B99" s="68" t="s">
        <v>3743</v>
      </c>
    </row>
    <row r="100" spans="1:2">
      <c r="A100" s="66" t="s">
        <v>3744</v>
      </c>
      <c r="B100" s="68" t="s">
        <v>3745</v>
      </c>
    </row>
    <row r="101" spans="1:2">
      <c r="A101" s="66" t="s">
        <v>3746</v>
      </c>
      <c r="B101" s="68" t="s">
        <v>3747</v>
      </c>
    </row>
    <row r="102" spans="1:2">
      <c r="A102" s="66" t="s">
        <v>3748</v>
      </c>
      <c r="B102" s="68" t="s">
        <v>3749</v>
      </c>
    </row>
    <row r="103" spans="1:2">
      <c r="A103" s="66" t="s">
        <v>3750</v>
      </c>
      <c r="B103" s="68" t="s">
        <v>3751</v>
      </c>
    </row>
    <row r="104" spans="1:2">
      <c r="A104" s="66" t="s">
        <v>3752</v>
      </c>
      <c r="B104" s="68" t="s">
        <v>3753</v>
      </c>
    </row>
    <row r="105" spans="1:2">
      <c r="A105" s="66" t="s">
        <v>3754</v>
      </c>
      <c r="B105" s="68" t="s">
        <v>3755</v>
      </c>
    </row>
    <row r="106" spans="1:2">
      <c r="A106" s="66" t="s">
        <v>3756</v>
      </c>
      <c r="B106" s="68" t="s">
        <v>3757</v>
      </c>
    </row>
    <row r="107" spans="1:2">
      <c r="A107" s="66" t="s">
        <v>3758</v>
      </c>
      <c r="B107" s="68" t="s">
        <v>3759</v>
      </c>
    </row>
    <row r="108" spans="1:2">
      <c r="A108" s="66" t="s">
        <v>3760</v>
      </c>
      <c r="B108" s="68" t="s">
        <v>3761</v>
      </c>
    </row>
    <row r="109" spans="1:2">
      <c r="A109" s="66" t="s">
        <v>3762</v>
      </c>
      <c r="B109" s="68" t="s">
        <v>3763</v>
      </c>
    </row>
    <row r="110" spans="1:2">
      <c r="A110" s="66" t="s">
        <v>3764</v>
      </c>
      <c r="B110" s="68" t="s">
        <v>3765</v>
      </c>
    </row>
    <row r="111" spans="1:2">
      <c r="A111" s="66" t="s">
        <v>3766</v>
      </c>
      <c r="B111" s="68" t="s">
        <v>3767</v>
      </c>
    </row>
    <row r="112" spans="1:2">
      <c r="A112" s="66" t="s">
        <v>3768</v>
      </c>
      <c r="B112" s="68" t="s">
        <v>3769</v>
      </c>
    </row>
    <row r="113" spans="1:2">
      <c r="A113" s="66" t="s">
        <v>3770</v>
      </c>
      <c r="B113" s="68" t="s">
        <v>3771</v>
      </c>
    </row>
    <row r="114" spans="1:2">
      <c r="A114" s="66" t="s">
        <v>3772</v>
      </c>
      <c r="B114" s="68" t="s">
        <v>3773</v>
      </c>
    </row>
    <row r="115" spans="1:2">
      <c r="A115" s="66" t="s">
        <v>3774</v>
      </c>
      <c r="B115" s="68" t="s">
        <v>3775</v>
      </c>
    </row>
    <row r="116" spans="1:2">
      <c r="A116" s="66" t="s">
        <v>3776</v>
      </c>
      <c r="B116" s="68" t="s">
        <v>3777</v>
      </c>
    </row>
    <row r="117" spans="1:2">
      <c r="A117" s="66" t="s">
        <v>3778</v>
      </c>
      <c r="B117" s="68" t="s">
        <v>3779</v>
      </c>
    </row>
    <row r="118" spans="1:2">
      <c r="A118" s="66" t="s">
        <v>3780</v>
      </c>
      <c r="B118" s="68" t="s">
        <v>3781</v>
      </c>
    </row>
    <row r="119" spans="1:2">
      <c r="A119" s="66" t="s">
        <v>3782</v>
      </c>
      <c r="B119" s="68" t="s">
        <v>3783</v>
      </c>
    </row>
    <row r="120" spans="1:2">
      <c r="A120" s="66" t="s">
        <v>3784</v>
      </c>
      <c r="B120" s="68" t="s">
        <v>3785</v>
      </c>
    </row>
    <row r="121" spans="1:2">
      <c r="A121" s="66" t="s">
        <v>3786</v>
      </c>
      <c r="B121" s="68" t="s">
        <v>3787</v>
      </c>
    </row>
    <row r="122" spans="1:2">
      <c r="A122" s="66" t="s">
        <v>3788</v>
      </c>
      <c r="B122" s="68" t="s">
        <v>3789</v>
      </c>
    </row>
    <row r="123" spans="1:2">
      <c r="A123" s="66" t="s">
        <v>3790</v>
      </c>
      <c r="B123" s="68" t="s">
        <v>3791</v>
      </c>
    </row>
    <row r="124" spans="1:2">
      <c r="A124" s="66" t="s">
        <v>3792</v>
      </c>
      <c r="B124" s="68" t="s">
        <v>3793</v>
      </c>
    </row>
    <row r="125" spans="1:2">
      <c r="A125" s="66" t="s">
        <v>3794</v>
      </c>
      <c r="B125" s="68" t="s">
        <v>3795</v>
      </c>
    </row>
    <row r="126" spans="1:2">
      <c r="A126" s="66" t="s">
        <v>3796</v>
      </c>
      <c r="B126" s="68" t="s">
        <v>3797</v>
      </c>
    </row>
    <row r="127" spans="1:2">
      <c r="A127" s="66" t="s">
        <v>3798</v>
      </c>
      <c r="B127" s="68" t="s">
        <v>3799</v>
      </c>
    </row>
    <row r="128" spans="1:2">
      <c r="A128" s="66" t="s">
        <v>3800</v>
      </c>
      <c r="B128" s="68" t="s">
        <v>3801</v>
      </c>
    </row>
    <row r="129" spans="1:2">
      <c r="A129" s="66" t="s">
        <v>3802</v>
      </c>
      <c r="B129" s="68" t="s">
        <v>3803</v>
      </c>
    </row>
    <row r="130" spans="1:2">
      <c r="A130" s="66" t="s">
        <v>3804</v>
      </c>
      <c r="B130" s="68" t="s">
        <v>3805</v>
      </c>
    </row>
    <row r="131" spans="1:2">
      <c r="A131" s="66" t="s">
        <v>3806</v>
      </c>
      <c r="B131" s="68" t="s">
        <v>3807</v>
      </c>
    </row>
    <row r="132" spans="1:2">
      <c r="A132" s="66" t="s">
        <v>3808</v>
      </c>
      <c r="B132" s="68" t="s">
        <v>3809</v>
      </c>
    </row>
    <row r="133" spans="1:2">
      <c r="A133" s="66" t="s">
        <v>3810</v>
      </c>
      <c r="B133" s="68" t="s">
        <v>3811</v>
      </c>
    </row>
    <row r="134" spans="1:2">
      <c r="A134" s="66" t="s">
        <v>3812</v>
      </c>
      <c r="B134" s="68" t="s">
        <v>3813</v>
      </c>
    </row>
    <row r="135" spans="1:2">
      <c r="A135" s="66" t="s">
        <v>3814</v>
      </c>
      <c r="B135" s="68" t="s">
        <v>3815</v>
      </c>
    </row>
    <row r="136" spans="1:2">
      <c r="A136" s="66" t="s">
        <v>3816</v>
      </c>
      <c r="B136" s="68" t="s">
        <v>3817</v>
      </c>
    </row>
    <row r="137" spans="1:2">
      <c r="A137" s="66" t="s">
        <v>3818</v>
      </c>
      <c r="B137" s="68" t="s">
        <v>3819</v>
      </c>
    </row>
    <row r="138" spans="1:2">
      <c r="A138" s="66" t="s">
        <v>3820</v>
      </c>
      <c r="B138" s="68" t="s">
        <v>3821</v>
      </c>
    </row>
    <row r="139" spans="1:2">
      <c r="A139" s="66" t="s">
        <v>3822</v>
      </c>
      <c r="B139" s="68" t="s">
        <v>3823</v>
      </c>
    </row>
    <row r="140" spans="1:2">
      <c r="A140" s="66" t="s">
        <v>3824</v>
      </c>
      <c r="B140" s="68" t="s">
        <v>3825</v>
      </c>
    </row>
    <row r="141" spans="1:2">
      <c r="A141" s="66" t="s">
        <v>3826</v>
      </c>
      <c r="B141" s="68" t="s">
        <v>3827</v>
      </c>
    </row>
    <row r="142" spans="1:2">
      <c r="A142" s="66" t="s">
        <v>3828</v>
      </c>
      <c r="B142" s="68" t="s">
        <v>3829</v>
      </c>
    </row>
    <row r="143" spans="1:2">
      <c r="A143" s="66" t="s">
        <v>3830</v>
      </c>
      <c r="B143" s="68" t="s">
        <v>3831</v>
      </c>
    </row>
    <row r="144" spans="1:2">
      <c r="A144" s="66" t="s">
        <v>3832</v>
      </c>
      <c r="B144" s="68" t="s">
        <v>3833</v>
      </c>
    </row>
    <row r="145" spans="1:2">
      <c r="A145" s="66" t="s">
        <v>3834</v>
      </c>
      <c r="B145" s="68" t="s">
        <v>3835</v>
      </c>
    </row>
    <row r="146" spans="1:2">
      <c r="A146" s="66" t="s">
        <v>3836</v>
      </c>
      <c r="B146" s="68" t="s">
        <v>3837</v>
      </c>
    </row>
    <row r="147" spans="1:2">
      <c r="A147" s="66" t="s">
        <v>3838</v>
      </c>
      <c r="B147" s="68" t="s">
        <v>3839</v>
      </c>
    </row>
    <row r="148" spans="1:2">
      <c r="A148" s="66" t="s">
        <v>3840</v>
      </c>
      <c r="B148" s="68" t="s">
        <v>3841</v>
      </c>
    </row>
    <row r="149" spans="1:2">
      <c r="A149" s="66" t="s">
        <v>3842</v>
      </c>
      <c r="B149" s="68" t="s">
        <v>3843</v>
      </c>
    </row>
    <row r="150" spans="1:2">
      <c r="A150" s="66" t="s">
        <v>3844</v>
      </c>
      <c r="B150" s="68" t="s">
        <v>3845</v>
      </c>
    </row>
    <row r="151" spans="1:2">
      <c r="A151" s="66" t="s">
        <v>3846</v>
      </c>
      <c r="B151" s="68" t="s">
        <v>3847</v>
      </c>
    </row>
    <row r="152" spans="1:2">
      <c r="A152" s="66" t="s">
        <v>3848</v>
      </c>
      <c r="B152" s="68" t="s">
        <v>3849</v>
      </c>
    </row>
    <row r="153" spans="1:2">
      <c r="A153" s="66" t="s">
        <v>3850</v>
      </c>
      <c r="B153" s="68" t="s">
        <v>3851</v>
      </c>
    </row>
    <row r="154" spans="1:2">
      <c r="A154" s="66" t="s">
        <v>3852</v>
      </c>
      <c r="B154" s="68" t="s">
        <v>3853</v>
      </c>
    </row>
    <row r="155" spans="1:2">
      <c r="A155" s="66" t="s">
        <v>3854</v>
      </c>
      <c r="B155" s="68" t="s">
        <v>3855</v>
      </c>
    </row>
    <row r="156" spans="1:2">
      <c r="A156" s="66" t="s">
        <v>3856</v>
      </c>
      <c r="B156" s="68" t="s">
        <v>3857</v>
      </c>
    </row>
    <row r="157" spans="1:2">
      <c r="A157" s="66" t="s">
        <v>3858</v>
      </c>
      <c r="B157" s="68" t="s">
        <v>3859</v>
      </c>
    </row>
    <row r="158" spans="1:2">
      <c r="A158" s="66" t="s">
        <v>3860</v>
      </c>
      <c r="B158" s="68" t="s">
        <v>3861</v>
      </c>
    </row>
    <row r="159" spans="1:2">
      <c r="A159" s="66" t="s">
        <v>3862</v>
      </c>
      <c r="B159" s="68" t="s">
        <v>3863</v>
      </c>
    </row>
    <row r="160" spans="1:2">
      <c r="A160" s="66" t="s">
        <v>3864</v>
      </c>
      <c r="B160" s="68" t="s">
        <v>3865</v>
      </c>
    </row>
    <row r="161" spans="1:2">
      <c r="A161" s="66" t="s">
        <v>3866</v>
      </c>
      <c r="B161" s="68" t="s">
        <v>3867</v>
      </c>
    </row>
    <row r="162" spans="1:2">
      <c r="A162" s="66" t="s">
        <v>3868</v>
      </c>
      <c r="B162" s="68" t="s">
        <v>3869</v>
      </c>
    </row>
    <row r="163" spans="1:2">
      <c r="A163" s="66" t="s">
        <v>3870</v>
      </c>
      <c r="B163" s="68" t="s">
        <v>3871</v>
      </c>
    </row>
    <row r="164" spans="1:2">
      <c r="A164" s="66" t="s">
        <v>3872</v>
      </c>
      <c r="B164" s="68" t="s">
        <v>3873</v>
      </c>
    </row>
    <row r="165" spans="1:2">
      <c r="A165" s="66" t="s">
        <v>3874</v>
      </c>
      <c r="B165" s="68" t="s">
        <v>3875</v>
      </c>
    </row>
    <row r="166" spans="1:2">
      <c r="A166" s="66" t="s">
        <v>3876</v>
      </c>
      <c r="B166" s="68" t="s">
        <v>3877</v>
      </c>
    </row>
    <row r="167" spans="1:2">
      <c r="A167" s="66" t="s">
        <v>3878</v>
      </c>
      <c r="B167" s="68" t="s">
        <v>3879</v>
      </c>
    </row>
    <row r="168" spans="1:2">
      <c r="A168" s="66" t="s">
        <v>3880</v>
      </c>
      <c r="B168" s="68" t="s">
        <v>3881</v>
      </c>
    </row>
    <row r="169" spans="1:2">
      <c r="A169" s="66" t="s">
        <v>3882</v>
      </c>
      <c r="B169" s="68" t="s">
        <v>3883</v>
      </c>
    </row>
    <row r="170" spans="1:2">
      <c r="A170" s="66" t="s">
        <v>3884</v>
      </c>
      <c r="B170" s="68" t="s">
        <v>3885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239"/>
  <sheetViews>
    <sheetView showGridLines="0" showZeros="0" tabSelected="1" zoomScale="60" zoomScaleNormal="60" workbookViewId="0">
      <selection activeCell="D68" sqref="D68"/>
    </sheetView>
  </sheetViews>
  <sheetFormatPr baseColWidth="10" defaultColWidth="9.28515625" defaultRowHeight="15"/>
  <cols>
    <col min="1" max="1" width="9.28515625" style="395"/>
    <col min="2" max="2" width="30.7109375" style="29" customWidth="1"/>
    <col min="3" max="3" width="62.42578125" style="29" customWidth="1"/>
    <col min="4" max="4" width="35.7109375" style="29" customWidth="1"/>
    <col min="5" max="6" width="23.28515625" style="29" customWidth="1"/>
    <col min="7" max="7" width="20" style="29" bestFit="1" customWidth="1"/>
    <col min="8" max="8" width="31.42578125" style="29" customWidth="1"/>
    <col min="9" max="9" width="28.28515625" style="120" customWidth="1"/>
    <col min="10" max="10" width="70.42578125" style="120" customWidth="1"/>
    <col min="11" max="11" width="31.42578125" style="29" customWidth="1"/>
    <col min="12" max="12" width="20.7109375" style="29" bestFit="1" customWidth="1"/>
    <col min="13" max="13" width="17.85546875" style="29" bestFit="1" customWidth="1"/>
    <col min="14" max="14" width="17.7109375" style="402" customWidth="1"/>
    <col min="15" max="15" width="26.42578125" style="454" customWidth="1"/>
    <col min="16" max="16" width="22.42578125" style="29" customWidth="1"/>
    <col min="17" max="17" width="29.7109375" style="29" customWidth="1"/>
    <col min="18" max="18" width="23.42578125" style="29" customWidth="1"/>
    <col min="19" max="19" width="18.42578125" style="29" customWidth="1"/>
    <col min="20" max="20" width="17.42578125" style="29" customWidth="1"/>
    <col min="21" max="21" width="25.28515625" style="29" customWidth="1"/>
    <col min="22" max="16384" width="9.28515625" style="29"/>
  </cols>
  <sheetData>
    <row r="1" spans="1:14" ht="30" customHeight="1">
      <c r="B1" s="482" t="s">
        <v>3</v>
      </c>
      <c r="C1" s="482"/>
      <c r="D1" s="482"/>
      <c r="E1" s="482"/>
      <c r="F1" s="27"/>
      <c r="G1" s="27"/>
      <c r="H1" s="28"/>
      <c r="I1" s="124"/>
      <c r="J1" s="124"/>
      <c r="K1" s="28"/>
    </row>
    <row r="2" spans="1:14" ht="15.75">
      <c r="B2" s="115" t="s">
        <v>1</v>
      </c>
    </row>
    <row r="3" spans="1:14" ht="18.75">
      <c r="B3" s="497" t="s">
        <v>4</v>
      </c>
      <c r="C3" s="497"/>
      <c r="D3" s="497"/>
      <c r="E3" s="497"/>
    </row>
    <row r="4" spans="1:14" ht="18.75">
      <c r="B4" s="243"/>
      <c r="C4" s="243"/>
      <c r="D4" s="243"/>
      <c r="E4" s="243"/>
    </row>
    <row r="5" spans="1:14" ht="99.75" customHeight="1">
      <c r="B5" s="130" t="s">
        <v>5</v>
      </c>
      <c r="C5" s="130" t="s">
        <v>6</v>
      </c>
      <c r="D5" s="135" t="s">
        <v>7</v>
      </c>
      <c r="E5" s="130" t="s">
        <v>8</v>
      </c>
      <c r="F5" s="130" t="s">
        <v>9</v>
      </c>
      <c r="G5" s="130" t="s">
        <v>10</v>
      </c>
      <c r="H5" s="130" t="s">
        <v>11</v>
      </c>
      <c r="I5" s="130" t="s">
        <v>12</v>
      </c>
      <c r="J5" s="130" t="s">
        <v>13</v>
      </c>
      <c r="K5" s="130" t="s">
        <v>14</v>
      </c>
      <c r="L5" s="130" t="s">
        <v>4052</v>
      </c>
      <c r="M5" s="130" t="s">
        <v>4051</v>
      </c>
    </row>
    <row r="6" spans="1:14" ht="51" customHeight="1">
      <c r="B6" s="81" t="s">
        <v>15</v>
      </c>
      <c r="C6" s="495" t="s">
        <v>16</v>
      </c>
      <c r="D6" s="495"/>
      <c r="E6" s="495"/>
      <c r="F6" s="495"/>
      <c r="G6" s="495"/>
      <c r="H6" s="495"/>
      <c r="I6" s="488"/>
      <c r="J6" s="488"/>
      <c r="K6" s="495"/>
      <c r="L6" s="13"/>
    </row>
    <row r="7" spans="1:14" ht="51" customHeight="1">
      <c r="B7" s="81" t="s">
        <v>17</v>
      </c>
      <c r="C7" s="496" t="s">
        <v>18</v>
      </c>
      <c r="D7" s="496"/>
      <c r="E7" s="496"/>
      <c r="F7" s="496"/>
      <c r="G7" s="496"/>
      <c r="H7" s="496"/>
      <c r="I7" s="490"/>
      <c r="J7" s="490"/>
      <c r="K7" s="496"/>
      <c r="L7" s="35"/>
    </row>
    <row r="8" spans="1:14" ht="52.15" customHeight="1">
      <c r="A8" s="395" t="s">
        <v>19</v>
      </c>
      <c r="B8" s="181" t="s">
        <v>19</v>
      </c>
      <c r="C8" s="136" t="s">
        <v>20</v>
      </c>
      <c r="D8" s="182">
        <v>55272.718697074182</v>
      </c>
      <c r="E8" s="182"/>
      <c r="F8" s="182"/>
      <c r="G8" s="183">
        <f>D8</f>
        <v>55272.718697074182</v>
      </c>
      <c r="H8" s="184">
        <v>0.27</v>
      </c>
      <c r="I8" s="182">
        <f>+SUMIFS('GL NRC'!$X:$X,'GL NRC'!$AC:$AC,'1) Budget Tables'!A8)</f>
        <v>30915.03</v>
      </c>
      <c r="J8" s="185" t="s">
        <v>21</v>
      </c>
      <c r="K8" s="186"/>
      <c r="L8" s="182">
        <f>+I8*H8</f>
        <v>8347.0581000000002</v>
      </c>
      <c r="M8" s="182">
        <f>+I8</f>
        <v>30915.03</v>
      </c>
    </row>
    <row r="9" spans="1:14" ht="52.15" customHeight="1">
      <c r="A9" s="395" t="s">
        <v>22</v>
      </c>
      <c r="B9" s="181" t="s">
        <v>22</v>
      </c>
      <c r="C9" s="136" t="s">
        <v>23</v>
      </c>
      <c r="D9" s="182">
        <v>30272.718697074182</v>
      </c>
      <c r="E9" s="182"/>
      <c r="F9" s="182"/>
      <c r="G9" s="183">
        <f t="shared" ref="G9:G15" si="0">D9</f>
        <v>30272.718697074182</v>
      </c>
      <c r="H9" s="184">
        <v>0.4</v>
      </c>
      <c r="I9" s="182">
        <f>+SUMIFS('GL NRC'!$X:$X,'GL NRC'!$AC:$AC,'1) Budget Tables'!A9)</f>
        <v>12546.18</v>
      </c>
      <c r="J9" s="185" t="s">
        <v>24</v>
      </c>
      <c r="K9" s="186"/>
      <c r="L9" s="182">
        <f t="shared" ref="L9:L10" si="1">+I9*H9</f>
        <v>5018.4720000000007</v>
      </c>
      <c r="M9" s="182">
        <f>+I9</f>
        <v>12546.18</v>
      </c>
    </row>
    <row r="10" spans="1:14" ht="66.75" customHeight="1">
      <c r="A10" s="395" t="s">
        <v>25</v>
      </c>
      <c r="B10" s="181" t="s">
        <v>25</v>
      </c>
      <c r="C10" s="136" t="s">
        <v>26</v>
      </c>
      <c r="D10" s="182">
        <v>17272.718697074182</v>
      </c>
      <c r="E10" s="182"/>
      <c r="F10" s="182"/>
      <c r="G10" s="183">
        <f t="shared" si="0"/>
        <v>17272.718697074182</v>
      </c>
      <c r="H10" s="184">
        <v>0.5</v>
      </c>
      <c r="I10" s="182">
        <f>+SUMIFS('GL NRC'!$X:$X,'GL NRC'!$AC:$AC,'1) Budget Tables'!A10)</f>
        <v>17363.969999999998</v>
      </c>
      <c r="J10" s="185" t="s">
        <v>27</v>
      </c>
      <c r="K10" s="186"/>
      <c r="L10" s="182">
        <f t="shared" si="1"/>
        <v>8681.9849999999988</v>
      </c>
      <c r="M10" s="182">
        <f>+I10</f>
        <v>17363.969999999998</v>
      </c>
    </row>
    <row r="11" spans="1:14" ht="15.75" hidden="1">
      <c r="B11" s="181" t="s">
        <v>28</v>
      </c>
      <c r="C11" s="136"/>
      <c r="D11" s="182"/>
      <c r="E11" s="182"/>
      <c r="F11" s="182"/>
      <c r="G11" s="183">
        <f t="shared" si="0"/>
        <v>0</v>
      </c>
      <c r="H11" s="184"/>
      <c r="I11" s="182"/>
      <c r="J11" s="188"/>
      <c r="K11" s="186"/>
      <c r="L11" s="182"/>
      <c r="M11" s="182"/>
    </row>
    <row r="12" spans="1:14" ht="15.75" hidden="1">
      <c r="B12" s="181" t="s">
        <v>29</v>
      </c>
      <c r="C12" s="136"/>
      <c r="D12" s="182"/>
      <c r="E12" s="182"/>
      <c r="F12" s="182"/>
      <c r="G12" s="183">
        <f t="shared" si="0"/>
        <v>0</v>
      </c>
      <c r="H12" s="184"/>
      <c r="I12" s="182"/>
      <c r="J12" s="188"/>
      <c r="K12" s="186"/>
      <c r="L12" s="182"/>
      <c r="M12" s="182"/>
    </row>
    <row r="13" spans="1:14" ht="15.75" hidden="1">
      <c r="B13" s="181" t="s">
        <v>30</v>
      </c>
      <c r="C13" s="136"/>
      <c r="D13" s="182"/>
      <c r="E13" s="182"/>
      <c r="F13" s="182"/>
      <c r="G13" s="183">
        <f t="shared" si="0"/>
        <v>0</v>
      </c>
      <c r="H13" s="184"/>
      <c r="I13" s="182"/>
      <c r="J13" s="188"/>
      <c r="K13" s="186"/>
      <c r="L13" s="182"/>
      <c r="M13" s="182"/>
    </row>
    <row r="14" spans="1:14" ht="15.75" hidden="1">
      <c r="B14" s="181" t="s">
        <v>31</v>
      </c>
      <c r="C14" s="242"/>
      <c r="D14" s="188"/>
      <c r="E14" s="188"/>
      <c r="F14" s="188"/>
      <c r="G14" s="183">
        <f t="shared" si="0"/>
        <v>0</v>
      </c>
      <c r="H14" s="189"/>
      <c r="I14" s="188"/>
      <c r="J14" s="188"/>
      <c r="K14" s="190"/>
      <c r="L14" s="188"/>
      <c r="M14" s="188"/>
    </row>
    <row r="15" spans="1:14" ht="15.75" hidden="1">
      <c r="A15" s="396"/>
      <c r="B15" s="181" t="s">
        <v>32</v>
      </c>
      <c r="C15" s="242"/>
      <c r="D15" s="188"/>
      <c r="E15" s="188"/>
      <c r="F15" s="188"/>
      <c r="G15" s="183">
        <f t="shared" si="0"/>
        <v>0</v>
      </c>
      <c r="H15" s="189"/>
      <c r="I15" s="188"/>
      <c r="J15" s="188"/>
      <c r="K15" s="190"/>
      <c r="L15" s="188"/>
      <c r="M15" s="188"/>
    </row>
    <row r="16" spans="1:14" ht="15.75">
      <c r="A16" s="396"/>
      <c r="C16" s="81" t="s">
        <v>33</v>
      </c>
      <c r="D16" s="14">
        <f>SUM(D8:D15)</f>
        <v>102818.15609122254</v>
      </c>
      <c r="E16" s="14">
        <f>SUM(E8:E15)</f>
        <v>0</v>
      </c>
      <c r="F16" s="14">
        <f>SUM(F8:F15)</f>
        <v>0</v>
      </c>
      <c r="G16" s="14">
        <f>SUM(G8:G15)</f>
        <v>102818.15609122254</v>
      </c>
      <c r="H16" s="14">
        <f>(H8*G8)+(H9*G9)+(H10*G10)+(H11*G11)+(H12*G12)+(H13*G13)+(H14*G14)+(H15*G15)</f>
        <v>35669.080875576794</v>
      </c>
      <c r="I16" s="14">
        <f>SUM(I8:I15)</f>
        <v>60825.179999999993</v>
      </c>
      <c r="J16" s="131"/>
      <c r="K16" s="190"/>
      <c r="L16" s="14"/>
      <c r="M16" s="14"/>
      <c r="N16" s="187"/>
    </row>
    <row r="17" spans="1:15" ht="51" customHeight="1">
      <c r="A17" s="396"/>
      <c r="B17" s="81" t="s">
        <v>34</v>
      </c>
      <c r="C17" s="489" t="s">
        <v>35</v>
      </c>
      <c r="D17" s="489"/>
      <c r="E17" s="489"/>
      <c r="F17" s="489"/>
      <c r="G17" s="489"/>
      <c r="H17" s="489"/>
      <c r="I17" s="490"/>
      <c r="J17" s="490"/>
      <c r="K17" s="489"/>
      <c r="L17" s="182"/>
      <c r="M17" s="182"/>
    </row>
    <row r="18" spans="1:15" ht="92.65" customHeight="1">
      <c r="A18" s="396" t="s">
        <v>36</v>
      </c>
      <c r="B18" s="181" t="s">
        <v>37</v>
      </c>
      <c r="C18" s="136" t="s">
        <v>38</v>
      </c>
      <c r="D18" s="137">
        <v>63716.196958502755</v>
      </c>
      <c r="E18" s="182"/>
      <c r="F18" s="182"/>
      <c r="G18" s="183">
        <f>D18</f>
        <v>63716.196958502755</v>
      </c>
      <c r="H18" s="138">
        <v>0.25</v>
      </c>
      <c r="I18" s="182">
        <f>+SUMIFS('GL NRC'!$X:$X,'GL NRC'!$AC:$AC,'1) Budget Tables'!A18)</f>
        <v>69609.870000000024</v>
      </c>
      <c r="J18" s="185" t="s">
        <v>39</v>
      </c>
      <c r="K18" s="186"/>
      <c r="L18" s="462">
        <f>+I18*H18</f>
        <v>17402.467500000006</v>
      </c>
      <c r="M18" s="462">
        <f>+I18</f>
        <v>69609.870000000024</v>
      </c>
      <c r="N18" s="404"/>
    </row>
    <row r="19" spans="1:15" ht="92.65" customHeight="1">
      <c r="A19" s="396" t="s">
        <v>40</v>
      </c>
      <c r="B19" s="181" t="s">
        <v>41</v>
      </c>
      <c r="C19" s="136" t="s">
        <v>42</v>
      </c>
      <c r="D19" s="137">
        <v>63216.196958502755</v>
      </c>
      <c r="E19" s="182"/>
      <c r="F19" s="182"/>
      <c r="G19" s="183">
        <f t="shared" ref="G19:G25" si="2">D19</f>
        <v>63216.196958502755</v>
      </c>
      <c r="H19" s="138">
        <v>0.5</v>
      </c>
      <c r="I19" s="182">
        <f>+SUMIFS('GL NRC'!$X:$X,'GL NRC'!$AC:$AC,'1) Budget Tables'!A19)</f>
        <v>22012.210000000003</v>
      </c>
      <c r="J19" s="180" t="s">
        <v>43</v>
      </c>
      <c r="K19" s="186"/>
      <c r="L19" s="462">
        <f t="shared" ref="L19:L20" si="3">+I19*H19</f>
        <v>11006.105000000001</v>
      </c>
      <c r="M19" s="462">
        <f>+I19</f>
        <v>22012.210000000003</v>
      </c>
    </row>
    <row r="20" spans="1:15" ht="15.75" hidden="1">
      <c r="A20" s="396"/>
      <c r="B20" s="181" t="s">
        <v>44</v>
      </c>
      <c r="C20" s="136"/>
      <c r="D20" s="182"/>
      <c r="E20" s="182"/>
      <c r="F20" s="182"/>
      <c r="G20" s="183">
        <f t="shared" si="2"/>
        <v>0</v>
      </c>
      <c r="H20" s="184"/>
      <c r="I20" s="182"/>
      <c r="J20" s="182"/>
      <c r="K20" s="186"/>
      <c r="L20" s="462">
        <f t="shared" si="3"/>
        <v>0</v>
      </c>
      <c r="M20" s="462"/>
    </row>
    <row r="21" spans="1:15" ht="15.75" hidden="1">
      <c r="A21" s="396"/>
      <c r="B21" s="181" t="s">
        <v>45</v>
      </c>
      <c r="C21" s="136"/>
      <c r="D21" s="182"/>
      <c r="E21" s="182"/>
      <c r="F21" s="182"/>
      <c r="G21" s="183">
        <f t="shared" si="2"/>
        <v>0</v>
      </c>
      <c r="H21" s="184"/>
      <c r="I21" s="182"/>
      <c r="J21" s="182"/>
      <c r="K21" s="186"/>
      <c r="L21" s="462"/>
      <c r="M21" s="462"/>
    </row>
    <row r="22" spans="1:15" ht="15.75" hidden="1">
      <c r="A22" s="396"/>
      <c r="B22" s="181" t="s">
        <v>46</v>
      </c>
      <c r="C22" s="136"/>
      <c r="D22" s="182"/>
      <c r="E22" s="182"/>
      <c r="F22" s="182"/>
      <c r="G22" s="183">
        <f t="shared" si="2"/>
        <v>0</v>
      </c>
      <c r="H22" s="184"/>
      <c r="I22" s="182"/>
      <c r="J22" s="182"/>
      <c r="K22" s="186"/>
      <c r="L22" s="462"/>
      <c r="M22" s="462"/>
    </row>
    <row r="23" spans="1:15" ht="15.75" hidden="1">
      <c r="A23" s="396"/>
      <c r="B23" s="181" t="s">
        <v>47</v>
      </c>
      <c r="C23" s="136"/>
      <c r="D23" s="182"/>
      <c r="E23" s="182"/>
      <c r="F23" s="182"/>
      <c r="G23" s="183">
        <f t="shared" si="2"/>
        <v>0</v>
      </c>
      <c r="H23" s="184"/>
      <c r="I23" s="182"/>
      <c r="J23" s="182"/>
      <c r="K23" s="186"/>
      <c r="L23" s="462"/>
      <c r="M23" s="462"/>
    </row>
    <row r="24" spans="1:15" ht="15.75" hidden="1">
      <c r="A24" s="396"/>
      <c r="B24" s="181" t="s">
        <v>48</v>
      </c>
      <c r="C24" s="242"/>
      <c r="D24" s="188"/>
      <c r="E24" s="188"/>
      <c r="F24" s="188"/>
      <c r="G24" s="183">
        <f t="shared" si="2"/>
        <v>0</v>
      </c>
      <c r="H24" s="189"/>
      <c r="I24" s="188"/>
      <c r="J24" s="188"/>
      <c r="K24" s="190"/>
      <c r="L24" s="463"/>
      <c r="M24" s="463"/>
    </row>
    <row r="25" spans="1:15" ht="15.75" hidden="1">
      <c r="A25" s="396"/>
      <c r="B25" s="181" t="s">
        <v>49</v>
      </c>
      <c r="C25" s="242"/>
      <c r="D25" s="188"/>
      <c r="E25" s="188"/>
      <c r="F25" s="188"/>
      <c r="G25" s="183">
        <f t="shared" si="2"/>
        <v>0</v>
      </c>
      <c r="H25" s="189"/>
      <c r="I25" s="188"/>
      <c r="J25" s="188"/>
      <c r="K25" s="190"/>
      <c r="L25" s="463"/>
      <c r="M25" s="463"/>
    </row>
    <row r="26" spans="1:15" ht="15.75">
      <c r="A26" s="396"/>
      <c r="C26" s="81" t="s">
        <v>33</v>
      </c>
      <c r="D26" s="17">
        <f>SUM(D18:D25)</f>
        <v>126932.39391700551</v>
      </c>
      <c r="E26" s="17">
        <f>SUM(E18:E25)</f>
        <v>0</v>
      </c>
      <c r="F26" s="17">
        <f>SUM(F18:F25)</f>
        <v>0</v>
      </c>
      <c r="G26" s="17">
        <f>SUM(G18:G25)</f>
        <v>126932.39391700551</v>
      </c>
      <c r="H26" s="14">
        <f>(H18*G18)+(H19*G19)+(H20*G20)+(H21*G21)+(H22*G22)+(H23*G23)+(H24*G24)+(H25*G25)</f>
        <v>47537.147718877066</v>
      </c>
      <c r="I26" s="14">
        <f>SUM(I18:I25)</f>
        <v>91622.080000000031</v>
      </c>
      <c r="J26" s="131"/>
      <c r="K26" s="190"/>
      <c r="L26" s="463"/>
      <c r="M26" s="464"/>
      <c r="N26" s="187"/>
    </row>
    <row r="27" spans="1:15" ht="51" customHeight="1">
      <c r="A27" s="396"/>
      <c r="B27" s="81" t="s">
        <v>50</v>
      </c>
      <c r="C27" s="489" t="s">
        <v>51</v>
      </c>
      <c r="D27" s="489"/>
      <c r="E27" s="489"/>
      <c r="F27" s="489"/>
      <c r="G27" s="489"/>
      <c r="H27" s="489"/>
      <c r="I27" s="490"/>
      <c r="J27" s="490"/>
      <c r="K27" s="489"/>
      <c r="L27" s="187"/>
      <c r="M27" s="454"/>
    </row>
    <row r="28" spans="1:15" ht="52.9" customHeight="1">
      <c r="A28" s="396" t="s">
        <v>52</v>
      </c>
      <c r="B28" s="181" t="s">
        <v>53</v>
      </c>
      <c r="C28" s="136" t="s">
        <v>54</v>
      </c>
      <c r="D28" s="182">
        <v>62716.196958502755</v>
      </c>
      <c r="E28" s="182"/>
      <c r="F28" s="182"/>
      <c r="G28" s="183">
        <f>D28</f>
        <v>62716.196958502755</v>
      </c>
      <c r="H28" s="184">
        <v>0.41</v>
      </c>
      <c r="I28" s="182">
        <f>+SUMIFS('GL NRC'!$X:$X,'GL NRC'!$AC:$AC,'1) Budget Tables'!A28)</f>
        <v>635.21</v>
      </c>
      <c r="J28" s="180" t="s">
        <v>55</v>
      </c>
      <c r="K28" s="186"/>
      <c r="L28" s="462">
        <f>+I28*H28</f>
        <v>260.43610000000001</v>
      </c>
      <c r="M28" s="462">
        <f>+I28</f>
        <v>635.21</v>
      </c>
    </row>
    <row r="29" spans="1:15" ht="43.15" customHeight="1">
      <c r="A29" s="396" t="s">
        <v>56</v>
      </c>
      <c r="B29" s="181" t="s">
        <v>57</v>
      </c>
      <c r="C29" s="136" t="s">
        <v>58</v>
      </c>
      <c r="D29" s="182">
        <v>133716.19695850275</v>
      </c>
      <c r="E29" s="182"/>
      <c r="F29" s="182"/>
      <c r="G29" s="183">
        <f t="shared" ref="G29:G35" si="4">D29</f>
        <v>133716.19695850275</v>
      </c>
      <c r="H29" s="184">
        <v>0.3</v>
      </c>
      <c r="I29" s="182">
        <f>+SUMIFS('GL NRC'!$X:$X,'GL NRC'!$AC:$AC,'1) Budget Tables'!A29)</f>
        <v>50693.599999999991</v>
      </c>
      <c r="J29" s="180" t="s">
        <v>59</v>
      </c>
      <c r="K29" s="186"/>
      <c r="L29" s="462">
        <f t="shared" ref="L29:L30" si="5">+I29*H29</f>
        <v>15208.079999999996</v>
      </c>
      <c r="M29" s="462">
        <f>+I29</f>
        <v>50693.599999999991</v>
      </c>
    </row>
    <row r="30" spans="1:15" ht="15.75" hidden="1">
      <c r="A30" s="396"/>
      <c r="B30" s="181" t="s">
        <v>60</v>
      </c>
      <c r="C30" s="136"/>
      <c r="D30" s="182"/>
      <c r="E30" s="182"/>
      <c r="F30" s="182"/>
      <c r="G30" s="183">
        <f t="shared" si="4"/>
        <v>0</v>
      </c>
      <c r="H30" s="184"/>
      <c r="I30" s="182"/>
      <c r="J30" s="182"/>
      <c r="K30" s="186"/>
      <c r="L30" s="462">
        <f t="shared" si="5"/>
        <v>0</v>
      </c>
      <c r="M30" s="462"/>
    </row>
    <row r="31" spans="1:15" ht="15.75" hidden="1">
      <c r="A31" s="396"/>
      <c r="B31" s="181" t="s">
        <v>61</v>
      </c>
      <c r="C31" s="136"/>
      <c r="D31" s="182"/>
      <c r="E31" s="182"/>
      <c r="F31" s="182"/>
      <c r="G31" s="183">
        <f t="shared" si="4"/>
        <v>0</v>
      </c>
      <c r="H31" s="184"/>
      <c r="I31" s="182"/>
      <c r="J31" s="182"/>
      <c r="K31" s="186"/>
      <c r="L31" s="462"/>
      <c r="M31" s="462"/>
    </row>
    <row r="32" spans="1:15" s="30" customFormat="1" ht="15.75" hidden="1">
      <c r="A32" s="396"/>
      <c r="B32" s="181" t="s">
        <v>62</v>
      </c>
      <c r="C32" s="136"/>
      <c r="D32" s="182"/>
      <c r="E32" s="182"/>
      <c r="F32" s="182"/>
      <c r="G32" s="183">
        <f t="shared" si="4"/>
        <v>0</v>
      </c>
      <c r="H32" s="184"/>
      <c r="I32" s="182"/>
      <c r="J32" s="182"/>
      <c r="K32" s="186"/>
      <c r="L32" s="462"/>
      <c r="M32" s="462"/>
      <c r="N32" s="403"/>
      <c r="O32" s="454"/>
    </row>
    <row r="33" spans="1:18" s="30" customFormat="1" ht="15.75" hidden="1">
      <c r="A33" s="396"/>
      <c r="B33" s="181" t="s">
        <v>63</v>
      </c>
      <c r="C33" s="136"/>
      <c r="D33" s="182"/>
      <c r="E33" s="182"/>
      <c r="F33" s="182"/>
      <c r="G33" s="183">
        <f t="shared" si="4"/>
        <v>0</v>
      </c>
      <c r="H33" s="184"/>
      <c r="I33" s="182"/>
      <c r="J33" s="182"/>
      <c r="K33" s="186"/>
      <c r="L33" s="462"/>
      <c r="M33" s="462"/>
      <c r="N33" s="403"/>
      <c r="O33" s="454"/>
    </row>
    <row r="34" spans="1:18" s="30" customFormat="1" ht="15.75" hidden="1">
      <c r="A34" s="395"/>
      <c r="B34" s="181" t="s">
        <v>64</v>
      </c>
      <c r="C34" s="242"/>
      <c r="D34" s="188"/>
      <c r="E34" s="188"/>
      <c r="F34" s="188"/>
      <c r="G34" s="183">
        <f t="shared" si="4"/>
        <v>0</v>
      </c>
      <c r="H34" s="189"/>
      <c r="I34" s="188"/>
      <c r="J34" s="188"/>
      <c r="K34" s="190"/>
      <c r="L34" s="463"/>
      <c r="M34" s="463"/>
      <c r="N34" s="403"/>
      <c r="O34" s="454"/>
    </row>
    <row r="35" spans="1:18" ht="15.75" hidden="1">
      <c r="B35" s="181" t="s">
        <v>65</v>
      </c>
      <c r="C35" s="242"/>
      <c r="D35" s="188"/>
      <c r="E35" s="188"/>
      <c r="F35" s="188"/>
      <c r="G35" s="183">
        <f t="shared" si="4"/>
        <v>0</v>
      </c>
      <c r="H35" s="189"/>
      <c r="I35" s="188"/>
      <c r="J35" s="188"/>
      <c r="K35" s="190"/>
      <c r="L35" s="463"/>
      <c r="M35" s="463"/>
    </row>
    <row r="36" spans="1:18" ht="30">
      <c r="C36" s="81" t="s">
        <v>33</v>
      </c>
      <c r="D36" s="17">
        <f>SUM(D28:D35)</f>
        <v>196432.39391700551</v>
      </c>
      <c r="E36" s="17">
        <f>SUM(E28:E35)</f>
        <v>0</v>
      </c>
      <c r="F36" s="17">
        <f>SUM(F28:F35)</f>
        <v>0</v>
      </c>
      <c r="G36" s="17">
        <f>SUM(G28:G35)</f>
        <v>196432.39391700551</v>
      </c>
      <c r="H36" s="14">
        <f>(H28*G28)+(H29*G29)+(H30*G30)+(H31*G31)+(H32*G32)+(H33*G33)+(H34*G34)+(H35*G35)</f>
        <v>65828.499840536955</v>
      </c>
      <c r="I36" s="14">
        <f>SUM(I28:I35)</f>
        <v>51328.80999999999</v>
      </c>
      <c r="J36" s="131"/>
      <c r="K36" s="190"/>
      <c r="L36" s="463"/>
      <c r="M36" s="463"/>
      <c r="N36" s="36"/>
      <c r="P36" s="446">
        <v>73756</v>
      </c>
      <c r="Q36" s="448">
        <f>+O36-P36</f>
        <v>-73756</v>
      </c>
      <c r="R36" s="449" t="s">
        <v>66</v>
      </c>
    </row>
    <row r="37" spans="1:18" ht="51" hidden="1" customHeight="1">
      <c r="B37" s="81" t="s">
        <v>67</v>
      </c>
      <c r="C37" s="489"/>
      <c r="D37" s="489"/>
      <c r="E37" s="489"/>
      <c r="F37" s="489"/>
      <c r="G37" s="489"/>
      <c r="H37" s="489"/>
      <c r="I37" s="490"/>
      <c r="J37" s="490"/>
      <c r="K37" s="489"/>
      <c r="L37" s="462"/>
      <c r="M37" s="462"/>
    </row>
    <row r="38" spans="1:18" ht="15.75" hidden="1">
      <c r="B38" s="181" t="s">
        <v>68</v>
      </c>
      <c r="C38" s="136"/>
      <c r="D38" s="182"/>
      <c r="E38" s="182"/>
      <c r="F38" s="182"/>
      <c r="G38" s="183">
        <f>D38</f>
        <v>0</v>
      </c>
      <c r="H38" s="184"/>
      <c r="I38" s="182"/>
      <c r="J38" s="182"/>
      <c r="K38" s="186"/>
      <c r="L38" s="462"/>
      <c r="M38" s="462"/>
    </row>
    <row r="39" spans="1:18" ht="15.75" hidden="1">
      <c r="B39" s="181" t="s">
        <v>69</v>
      </c>
      <c r="C39" s="136"/>
      <c r="D39" s="182"/>
      <c r="E39" s="182"/>
      <c r="F39" s="182"/>
      <c r="G39" s="183">
        <f t="shared" ref="G39:G45" si="6">D39</f>
        <v>0</v>
      </c>
      <c r="H39" s="184"/>
      <c r="I39" s="182"/>
      <c r="J39" s="182"/>
      <c r="K39" s="186"/>
      <c r="L39" s="462"/>
      <c r="M39" s="462"/>
    </row>
    <row r="40" spans="1:18" ht="15.75" hidden="1">
      <c r="B40" s="181" t="s">
        <v>70</v>
      </c>
      <c r="C40" s="136"/>
      <c r="D40" s="182"/>
      <c r="E40" s="182"/>
      <c r="F40" s="182"/>
      <c r="G40" s="183">
        <f t="shared" si="6"/>
        <v>0</v>
      </c>
      <c r="H40" s="184"/>
      <c r="I40" s="182"/>
      <c r="J40" s="182"/>
      <c r="K40" s="186"/>
      <c r="L40" s="462"/>
      <c r="M40" s="462"/>
    </row>
    <row r="41" spans="1:18" ht="15.75" hidden="1">
      <c r="B41" s="181" t="s">
        <v>71</v>
      </c>
      <c r="C41" s="136"/>
      <c r="D41" s="182"/>
      <c r="E41" s="182"/>
      <c r="F41" s="182"/>
      <c r="G41" s="183">
        <f t="shared" si="6"/>
        <v>0</v>
      </c>
      <c r="H41" s="184"/>
      <c r="I41" s="182"/>
      <c r="J41" s="182"/>
      <c r="K41" s="186"/>
      <c r="L41" s="462"/>
      <c r="M41" s="462"/>
    </row>
    <row r="42" spans="1:18" ht="15.75" hidden="1">
      <c r="B42" s="181" t="s">
        <v>72</v>
      </c>
      <c r="C42" s="136"/>
      <c r="D42" s="182"/>
      <c r="E42" s="182"/>
      <c r="F42" s="182"/>
      <c r="G42" s="183">
        <f t="shared" si="6"/>
        <v>0</v>
      </c>
      <c r="H42" s="184"/>
      <c r="I42" s="182"/>
      <c r="J42" s="182"/>
      <c r="K42" s="186"/>
      <c r="L42" s="462"/>
      <c r="M42" s="462"/>
    </row>
    <row r="43" spans="1:18" ht="15.75" hidden="1">
      <c r="A43" s="396"/>
      <c r="B43" s="181" t="s">
        <v>73</v>
      </c>
      <c r="C43" s="136"/>
      <c r="D43" s="182"/>
      <c r="E43" s="182"/>
      <c r="F43" s="182"/>
      <c r="G43" s="183">
        <f t="shared" si="6"/>
        <v>0</v>
      </c>
      <c r="H43" s="184"/>
      <c r="I43" s="182"/>
      <c r="J43" s="182"/>
      <c r="K43" s="186"/>
      <c r="L43" s="463"/>
      <c r="M43" s="463"/>
    </row>
    <row r="44" spans="1:18" s="30" customFormat="1" ht="15.75" hidden="1">
      <c r="A44" s="395"/>
      <c r="B44" s="181" t="s">
        <v>74</v>
      </c>
      <c r="C44" s="242"/>
      <c r="D44" s="188"/>
      <c r="E44" s="188"/>
      <c r="F44" s="188"/>
      <c r="G44" s="183">
        <f t="shared" si="6"/>
        <v>0</v>
      </c>
      <c r="H44" s="189"/>
      <c r="I44" s="188"/>
      <c r="J44" s="188"/>
      <c r="K44" s="190"/>
      <c r="L44" s="463"/>
      <c r="M44" s="463"/>
      <c r="N44" s="403"/>
      <c r="O44" s="454"/>
    </row>
    <row r="45" spans="1:18" ht="15.75" hidden="1">
      <c r="B45" s="181" t="s">
        <v>75</v>
      </c>
      <c r="C45" s="242"/>
      <c r="D45" s="188"/>
      <c r="E45" s="188"/>
      <c r="F45" s="188"/>
      <c r="G45" s="183">
        <f t="shared" si="6"/>
        <v>0</v>
      </c>
      <c r="H45" s="189"/>
      <c r="I45" s="188"/>
      <c r="J45" s="188"/>
      <c r="K45" s="190"/>
      <c r="L45" s="463"/>
      <c r="M45" s="463"/>
    </row>
    <row r="46" spans="1:18" ht="15.75" hidden="1">
      <c r="C46" s="81" t="s">
        <v>33</v>
      </c>
      <c r="D46" s="14">
        <f>SUM(D38:D45)</f>
        <v>0</v>
      </c>
      <c r="E46" s="14">
        <f>SUM(E38:E45)</f>
        <v>0</v>
      </c>
      <c r="F46" s="14">
        <f>SUM(F38:F45)</f>
        <v>0</v>
      </c>
      <c r="G46" s="14">
        <f>SUM(G38:G45)</f>
        <v>0</v>
      </c>
      <c r="H46" s="14">
        <f>(H38*G38)+(H39*G39)+(H40*G40)+(H41*G41)+(H42*G42)+(H43*G43)+(H44*G44)+(H45*G45)</f>
        <v>0</v>
      </c>
      <c r="I46" s="14">
        <f>SUM(I38:I45)</f>
        <v>0</v>
      </c>
      <c r="J46" s="131"/>
      <c r="K46" s="190"/>
      <c r="L46" s="462"/>
      <c r="M46" s="462"/>
    </row>
    <row r="47" spans="1:18" ht="15.75">
      <c r="B47" s="191"/>
      <c r="C47" s="192"/>
      <c r="D47" s="193"/>
      <c r="E47" s="193"/>
      <c r="F47" s="193"/>
      <c r="G47" s="193"/>
      <c r="H47" s="193"/>
      <c r="I47" s="193"/>
      <c r="J47" s="193"/>
      <c r="K47" s="193"/>
      <c r="L47" s="462"/>
      <c r="M47" s="462"/>
    </row>
    <row r="48" spans="1:18" ht="51" customHeight="1">
      <c r="B48" s="81" t="s">
        <v>76</v>
      </c>
      <c r="C48" s="487" t="s">
        <v>77</v>
      </c>
      <c r="D48" s="487"/>
      <c r="E48" s="487"/>
      <c r="F48" s="487"/>
      <c r="G48" s="487"/>
      <c r="H48" s="487"/>
      <c r="I48" s="488"/>
      <c r="J48" s="488"/>
      <c r="K48" s="487"/>
      <c r="L48" s="465"/>
      <c r="M48" s="466"/>
    </row>
    <row r="49" spans="1:15" ht="51" customHeight="1">
      <c r="B49" s="81" t="s">
        <v>78</v>
      </c>
      <c r="C49" s="489" t="s">
        <v>79</v>
      </c>
      <c r="D49" s="489"/>
      <c r="E49" s="489"/>
      <c r="F49" s="489"/>
      <c r="G49" s="489"/>
      <c r="H49" s="489"/>
      <c r="I49" s="490"/>
      <c r="J49" s="490"/>
      <c r="K49" s="489"/>
      <c r="L49" s="467"/>
      <c r="M49" s="466"/>
    </row>
    <row r="50" spans="1:15" ht="47.25">
      <c r="A50" s="395" t="s">
        <v>80</v>
      </c>
      <c r="B50" s="181" t="s">
        <v>80</v>
      </c>
      <c r="C50" s="136" t="s">
        <v>81</v>
      </c>
      <c r="D50" s="182">
        <v>9340</v>
      </c>
      <c r="E50" s="182"/>
      <c r="F50" s="182"/>
      <c r="G50" s="183">
        <f>D50</f>
        <v>9340</v>
      </c>
      <c r="H50" s="184">
        <v>1</v>
      </c>
      <c r="I50" s="182">
        <f>+SUMIFS('ACONC '!$J:$J,'ACONC '!$C:$C,'1) Budget Tables'!A50)/'ACONC '!$R$2</f>
        <v>10367.499999999989</v>
      </c>
      <c r="J50" s="498" t="s">
        <v>82</v>
      </c>
      <c r="K50" s="186"/>
      <c r="L50" s="468">
        <f t="shared" ref="L50:L54" si="7">+I50*H50</f>
        <v>10367.499999999989</v>
      </c>
      <c r="M50" s="466"/>
    </row>
    <row r="51" spans="1:15" ht="47.25" customHeight="1">
      <c r="A51" s="395" t="s">
        <v>83</v>
      </c>
      <c r="B51" s="181" t="s">
        <v>83</v>
      </c>
      <c r="C51" s="136" t="s">
        <v>84</v>
      </c>
      <c r="D51" s="182">
        <v>15054.285714285716</v>
      </c>
      <c r="E51" s="182"/>
      <c r="F51" s="182"/>
      <c r="G51" s="183">
        <f t="shared" ref="G51:G57" si="8">D51</f>
        <v>15054.285714285716</v>
      </c>
      <c r="H51" s="184">
        <v>1</v>
      </c>
      <c r="I51" s="182">
        <f>+SUMIFS('ACONC '!$J:$J,'ACONC '!$C:$C,'1) Budget Tables'!A51)/'ACONC '!$R$2</f>
        <v>0</v>
      </c>
      <c r="J51" s="499"/>
      <c r="K51" s="186"/>
      <c r="L51" s="468">
        <f t="shared" si="7"/>
        <v>0</v>
      </c>
      <c r="M51" s="466"/>
    </row>
    <row r="52" spans="1:15" ht="47.25" customHeight="1">
      <c r="A52" s="395" t="s">
        <v>85</v>
      </c>
      <c r="B52" s="181" t="s">
        <v>85</v>
      </c>
      <c r="C52" s="136" t="s">
        <v>86</v>
      </c>
      <c r="D52" s="182">
        <v>4340.0000000000009</v>
      </c>
      <c r="E52" s="182"/>
      <c r="F52" s="182"/>
      <c r="G52" s="183">
        <f t="shared" si="8"/>
        <v>4340.0000000000009</v>
      </c>
      <c r="H52" s="184">
        <v>1</v>
      </c>
      <c r="I52" s="182">
        <f>+SUMIFS('ACONC '!$J:$J,'ACONC '!$C:$C,'1) Budget Tables'!A52)/'ACONC '!$R$2</f>
        <v>0</v>
      </c>
      <c r="J52" s="499"/>
      <c r="K52" s="186"/>
      <c r="L52" s="468">
        <f t="shared" si="7"/>
        <v>0</v>
      </c>
      <c r="M52" s="466"/>
    </row>
    <row r="53" spans="1:15" ht="47.25" customHeight="1">
      <c r="A53" s="395" t="s">
        <v>87</v>
      </c>
      <c r="B53" s="181" t="s">
        <v>87</v>
      </c>
      <c r="C53" s="136" t="s">
        <v>88</v>
      </c>
      <c r="D53" s="182">
        <v>4482.8571428571431</v>
      </c>
      <c r="E53" s="182"/>
      <c r="F53" s="182"/>
      <c r="G53" s="183">
        <f t="shared" si="8"/>
        <v>4482.8571428571431</v>
      </c>
      <c r="H53" s="184">
        <v>1</v>
      </c>
      <c r="I53" s="182">
        <f>+SUMIFS('ACONC '!$J:$J,'ACONC '!$C:$C,'1) Budget Tables'!A53)/'ACONC '!$R$2</f>
        <v>585.62157499999944</v>
      </c>
      <c r="J53" s="499"/>
      <c r="K53" s="186"/>
      <c r="L53" s="468">
        <f t="shared" si="7"/>
        <v>585.62157499999944</v>
      </c>
      <c r="M53" s="466"/>
    </row>
    <row r="54" spans="1:15" ht="47.25" customHeight="1">
      <c r="A54" s="395" t="s">
        <v>89</v>
      </c>
      <c r="B54" s="181" t="s">
        <v>89</v>
      </c>
      <c r="C54" s="136" t="s">
        <v>90</v>
      </c>
      <c r="D54" s="182">
        <v>12197.142857142857</v>
      </c>
      <c r="E54" s="182"/>
      <c r="F54" s="182"/>
      <c r="G54" s="183">
        <f t="shared" si="8"/>
        <v>12197.142857142857</v>
      </c>
      <c r="H54" s="184">
        <v>1</v>
      </c>
      <c r="I54" s="182">
        <f>+SUMIFS('ACONC '!$J:$J,'ACONC '!$C:$C,'1) Budget Tables'!A54)/'ACONC '!$R$2</f>
        <v>0</v>
      </c>
      <c r="J54" s="500"/>
      <c r="K54" s="186"/>
      <c r="L54" s="468">
        <f t="shared" si="7"/>
        <v>0</v>
      </c>
      <c r="M54" s="466"/>
    </row>
    <row r="55" spans="1:15" ht="15.75" hidden="1">
      <c r="B55" s="181" t="s">
        <v>91</v>
      </c>
      <c r="C55" s="136"/>
      <c r="D55" s="182"/>
      <c r="E55" s="182"/>
      <c r="F55" s="182"/>
      <c r="G55" s="183">
        <f t="shared" si="8"/>
        <v>0</v>
      </c>
      <c r="H55" s="184"/>
      <c r="I55" s="182"/>
      <c r="J55" s="182"/>
      <c r="K55" s="186"/>
      <c r="L55" s="468"/>
      <c r="M55" s="466"/>
    </row>
    <row r="56" spans="1:15" ht="15.75" hidden="1">
      <c r="A56" s="396"/>
      <c r="B56" s="181" t="s">
        <v>92</v>
      </c>
      <c r="C56" s="242"/>
      <c r="D56" s="188"/>
      <c r="E56" s="188"/>
      <c r="F56" s="188"/>
      <c r="G56" s="183">
        <f t="shared" si="8"/>
        <v>0</v>
      </c>
      <c r="H56" s="189"/>
      <c r="I56" s="188"/>
      <c r="J56" s="188"/>
      <c r="K56" s="190"/>
      <c r="L56" s="468"/>
      <c r="M56" s="466"/>
    </row>
    <row r="57" spans="1:15" s="30" customFormat="1" ht="15.75" hidden="1">
      <c r="A57" s="396"/>
      <c r="B57" s="181" t="s">
        <v>93</v>
      </c>
      <c r="C57" s="242"/>
      <c r="D57" s="188"/>
      <c r="E57" s="188"/>
      <c r="F57" s="188"/>
      <c r="G57" s="183">
        <f t="shared" si="8"/>
        <v>0</v>
      </c>
      <c r="H57" s="189"/>
      <c r="I57" s="188"/>
      <c r="J57" s="188"/>
      <c r="K57" s="190"/>
      <c r="L57" s="468"/>
      <c r="M57" s="469"/>
      <c r="N57" s="403"/>
      <c r="O57" s="454"/>
    </row>
    <row r="58" spans="1:15" s="30" customFormat="1" ht="15.75">
      <c r="A58" s="395"/>
      <c r="B58" s="29"/>
      <c r="C58" s="81" t="s">
        <v>33</v>
      </c>
      <c r="D58" s="14">
        <f>SUM(D50:D57)</f>
        <v>45414.285714285717</v>
      </c>
      <c r="E58" s="14">
        <f>SUM(E50:E57)</f>
        <v>0</v>
      </c>
      <c r="F58" s="14">
        <f>SUM(F50:F57)</f>
        <v>0</v>
      </c>
      <c r="G58" s="17">
        <f>SUM(G50:G57)</f>
        <v>45414.285714285717</v>
      </c>
      <c r="H58" s="14">
        <f>(H50*G50)+(H51*G51)+(H52*G52)+(H53*G53)+(H54*G54)+(H55*G55)+(H56*G56)+(H57*G57)</f>
        <v>45414.285714285717</v>
      </c>
      <c r="I58" s="14">
        <f>SUM(I50:I57)</f>
        <v>10953.121574999988</v>
      </c>
      <c r="J58" s="131"/>
      <c r="K58" s="190"/>
      <c r="L58" s="470"/>
      <c r="M58" s="469"/>
      <c r="N58" s="403"/>
      <c r="O58" s="454"/>
    </row>
    <row r="59" spans="1:15" ht="51" customHeight="1">
      <c r="B59" s="81" t="s">
        <v>94</v>
      </c>
      <c r="C59" s="489" t="s">
        <v>95</v>
      </c>
      <c r="D59" s="489"/>
      <c r="E59" s="489"/>
      <c r="F59" s="489"/>
      <c r="G59" s="489"/>
      <c r="H59" s="489"/>
      <c r="I59" s="490"/>
      <c r="J59" s="490"/>
      <c r="K59" s="489"/>
      <c r="L59" s="467"/>
      <c r="M59" s="466"/>
    </row>
    <row r="60" spans="1:15" ht="47.25">
      <c r="A60" s="395" t="s">
        <v>96</v>
      </c>
      <c r="B60" s="181" t="s">
        <v>97</v>
      </c>
      <c r="C60" s="136" t="s">
        <v>98</v>
      </c>
      <c r="D60" s="182">
        <v>7108.7912087912091</v>
      </c>
      <c r="E60" s="182"/>
      <c r="F60" s="182"/>
      <c r="G60" s="183">
        <f t="shared" ref="G60:G72" si="9">D60</f>
        <v>7108.7912087912091</v>
      </c>
      <c r="H60" s="184">
        <v>1</v>
      </c>
      <c r="I60" s="182">
        <f>+SUMIFS('ACONC '!$J:$J,'ACONC '!$C:$C,'1) Budget Tables'!A60)/'ACONC '!$R$2</f>
        <v>9184.9999999999909</v>
      </c>
      <c r="J60" s="498" t="s">
        <v>99</v>
      </c>
      <c r="K60" s="186"/>
      <c r="L60" s="468">
        <f t="shared" ref="L60:L78" si="10">+I60*H60</f>
        <v>9184.9999999999909</v>
      </c>
      <c r="M60" s="466"/>
    </row>
    <row r="61" spans="1:15" ht="47.25" customHeight="1">
      <c r="A61" s="395" t="s">
        <v>100</v>
      </c>
      <c r="B61" s="181" t="s">
        <v>101</v>
      </c>
      <c r="C61" s="136" t="s">
        <v>102</v>
      </c>
      <c r="D61" s="182">
        <v>12823.076923076924</v>
      </c>
      <c r="E61" s="182"/>
      <c r="F61" s="182"/>
      <c r="G61" s="183">
        <f t="shared" si="9"/>
        <v>12823.076923076924</v>
      </c>
      <c r="H61" s="184">
        <v>1</v>
      </c>
      <c r="I61" s="182">
        <f>+SUMIFS('ACONC '!$J:$J,'ACONC '!$C:$C,'1) Budget Tables'!A61)/'ACONC '!$R$2</f>
        <v>6145.6999999999935</v>
      </c>
      <c r="J61" s="499"/>
      <c r="K61" s="186"/>
      <c r="L61" s="468">
        <f t="shared" si="10"/>
        <v>6145.6999999999935</v>
      </c>
      <c r="M61" s="466"/>
    </row>
    <row r="62" spans="1:15" ht="47.25" customHeight="1">
      <c r="A62" s="395" t="s">
        <v>103</v>
      </c>
      <c r="B62" s="181" t="s">
        <v>104</v>
      </c>
      <c r="C62" s="136" t="s">
        <v>105</v>
      </c>
      <c r="D62" s="182">
        <v>2108.7912087912091</v>
      </c>
      <c r="E62" s="182"/>
      <c r="F62" s="182"/>
      <c r="G62" s="183">
        <f t="shared" si="9"/>
        <v>2108.7912087912091</v>
      </c>
      <c r="H62" s="184">
        <v>1</v>
      </c>
      <c r="I62" s="182">
        <f>+SUMIFS('ACONC '!$J:$J,'ACONC '!$C:$C,'1) Budget Tables'!A62)/'ACONC '!$R$2</f>
        <v>0</v>
      </c>
      <c r="J62" s="499"/>
      <c r="K62" s="186"/>
      <c r="L62" s="468">
        <f t="shared" si="10"/>
        <v>0</v>
      </c>
      <c r="M62" s="466"/>
    </row>
    <row r="63" spans="1:15" ht="47.25" customHeight="1">
      <c r="A63" s="395" t="s">
        <v>106</v>
      </c>
      <c r="B63" s="181" t="s">
        <v>107</v>
      </c>
      <c r="C63" s="136" t="s">
        <v>108</v>
      </c>
      <c r="D63" s="182">
        <v>2251.6483516483518</v>
      </c>
      <c r="E63" s="182"/>
      <c r="F63" s="182"/>
      <c r="G63" s="183">
        <f t="shared" si="9"/>
        <v>2251.6483516483518</v>
      </c>
      <c r="H63" s="184">
        <v>1</v>
      </c>
      <c r="I63" s="182">
        <f>+SUMIFS('ACONC '!$J:$J,'ACONC '!$C:$C,'1) Budget Tables'!A63)/'ACONC '!$R$2</f>
        <v>412.49999999999955</v>
      </c>
      <c r="J63" s="499"/>
      <c r="K63" s="186"/>
      <c r="L63" s="468">
        <f t="shared" si="10"/>
        <v>412.49999999999955</v>
      </c>
      <c r="M63" s="466"/>
    </row>
    <row r="64" spans="1:15" ht="47.25" customHeight="1">
      <c r="A64" s="395" t="s">
        <v>109</v>
      </c>
      <c r="B64" s="181" t="s">
        <v>110</v>
      </c>
      <c r="C64" s="136" t="s">
        <v>111</v>
      </c>
      <c r="D64" s="182">
        <v>9965.9340659340651</v>
      </c>
      <c r="E64" s="182"/>
      <c r="F64" s="182"/>
      <c r="G64" s="183">
        <f t="shared" si="9"/>
        <v>9965.9340659340651</v>
      </c>
      <c r="H64" s="184">
        <v>1</v>
      </c>
      <c r="I64" s="182">
        <f>+SUMIFS('ACONC '!$J:$J,'ACONC '!$C:$C,'1) Budget Tables'!A64)/'ACONC '!$R$2</f>
        <v>0</v>
      </c>
      <c r="J64" s="500"/>
      <c r="K64" s="186"/>
      <c r="L64" s="468">
        <f t="shared" si="10"/>
        <v>0</v>
      </c>
      <c r="M64" s="466"/>
    </row>
    <row r="65" spans="1:13" ht="47.25" customHeight="1">
      <c r="A65" s="395" t="s">
        <v>112</v>
      </c>
      <c r="B65" s="181" t="s">
        <v>113</v>
      </c>
      <c r="C65" s="136" t="s">
        <v>114</v>
      </c>
      <c r="D65" s="182">
        <v>2108.7912087912091</v>
      </c>
      <c r="E65" s="182"/>
      <c r="F65" s="182"/>
      <c r="G65" s="183">
        <f t="shared" si="9"/>
        <v>2108.7912087912091</v>
      </c>
      <c r="H65" s="184">
        <v>1</v>
      </c>
      <c r="I65" s="182">
        <f>+SUMIFS('ACONC '!$J:$J,'ACONC '!$C:$C,'1) Budget Tables'!A65)/'ACONC '!$R$2</f>
        <v>577.49999999999943</v>
      </c>
      <c r="J65" s="498" t="s">
        <v>115</v>
      </c>
      <c r="K65" s="186"/>
      <c r="L65" s="468">
        <f t="shared" si="10"/>
        <v>577.49999999999943</v>
      </c>
      <c r="M65" s="466"/>
    </row>
    <row r="66" spans="1:13" ht="31.5">
      <c r="A66" s="395" t="s">
        <v>116</v>
      </c>
      <c r="B66" s="181" t="s">
        <v>117</v>
      </c>
      <c r="C66" s="242" t="s">
        <v>118</v>
      </c>
      <c r="D66" s="188">
        <v>2394.5054945054944</v>
      </c>
      <c r="E66" s="188"/>
      <c r="F66" s="188"/>
      <c r="G66" s="183">
        <f t="shared" si="9"/>
        <v>2394.5054945054944</v>
      </c>
      <c r="H66" s="189">
        <v>1</v>
      </c>
      <c r="I66" s="182">
        <f>+SUMIFS('ACONC '!$J:$J,'ACONC '!$C:$C,'1) Budget Tables'!A66)/'ACONC '!$R$2</f>
        <v>0</v>
      </c>
      <c r="J66" s="499"/>
      <c r="K66" s="190"/>
      <c r="L66" s="468">
        <f t="shared" si="10"/>
        <v>0</v>
      </c>
      <c r="M66" s="466"/>
    </row>
    <row r="67" spans="1:13" ht="31.5">
      <c r="A67" s="395" t="s">
        <v>119</v>
      </c>
      <c r="B67" s="181" t="s">
        <v>120</v>
      </c>
      <c r="C67" s="242" t="s">
        <v>121</v>
      </c>
      <c r="D67" s="188">
        <v>1965.934065934066</v>
      </c>
      <c r="E67" s="188"/>
      <c r="F67" s="188"/>
      <c r="G67" s="183">
        <f t="shared" si="9"/>
        <v>1965.934065934066</v>
      </c>
      <c r="H67" s="189">
        <v>1</v>
      </c>
      <c r="I67" s="182">
        <f>+SUMIFS('ACONC '!$J:$J,'ACONC '!$C:$C,'1) Budget Tables'!A67)/'ACONC '!$R$2</f>
        <v>0</v>
      </c>
      <c r="J67" s="499"/>
      <c r="K67" s="190"/>
      <c r="L67" s="468">
        <f t="shared" si="10"/>
        <v>0</v>
      </c>
      <c r="M67" s="466"/>
    </row>
    <row r="68" spans="1:13" ht="31.5">
      <c r="A68" s="395" t="s">
        <v>122</v>
      </c>
      <c r="B68" s="181" t="s">
        <v>123</v>
      </c>
      <c r="C68" s="242" t="s">
        <v>124</v>
      </c>
      <c r="D68" s="188">
        <v>1680.2197802197804</v>
      </c>
      <c r="E68" s="188"/>
      <c r="F68" s="188"/>
      <c r="G68" s="183">
        <f t="shared" si="9"/>
        <v>1680.2197802197804</v>
      </c>
      <c r="H68" s="189">
        <v>1</v>
      </c>
      <c r="I68" s="182">
        <f>+SUMIFS('ACONC '!$J:$J,'ACONC '!$C:$C,'1) Budget Tables'!A68)/'ACONC '!$R$2</f>
        <v>0</v>
      </c>
      <c r="J68" s="499"/>
      <c r="K68" s="190"/>
      <c r="L68" s="468">
        <f t="shared" si="10"/>
        <v>0</v>
      </c>
      <c r="M68" s="466"/>
    </row>
    <row r="69" spans="1:13" ht="31.5">
      <c r="A69" s="395" t="s">
        <v>125</v>
      </c>
      <c r="B69" s="181" t="s">
        <v>126</v>
      </c>
      <c r="C69" s="242" t="s">
        <v>127</v>
      </c>
      <c r="D69" s="188">
        <v>2537.3626373626375</v>
      </c>
      <c r="E69" s="188"/>
      <c r="F69" s="188"/>
      <c r="G69" s="183">
        <f t="shared" si="9"/>
        <v>2537.3626373626375</v>
      </c>
      <c r="H69" s="189">
        <v>1</v>
      </c>
      <c r="I69" s="182">
        <f>+SUMIFS('ACONC '!$J:$J,'ACONC '!$C:$C,'1) Budget Tables'!A69)/'ACONC '!$R$2</f>
        <v>0</v>
      </c>
      <c r="J69" s="499"/>
      <c r="K69" s="190"/>
      <c r="L69" s="468">
        <f t="shared" si="10"/>
        <v>0</v>
      </c>
      <c r="M69" s="466"/>
    </row>
    <row r="70" spans="1:13" ht="31.5">
      <c r="A70" s="395" t="s">
        <v>128</v>
      </c>
      <c r="B70" s="181" t="s">
        <v>129</v>
      </c>
      <c r="C70" s="242" t="s">
        <v>130</v>
      </c>
      <c r="D70" s="188">
        <v>2251.6483516483518</v>
      </c>
      <c r="E70" s="188"/>
      <c r="F70" s="188"/>
      <c r="G70" s="183">
        <f t="shared" si="9"/>
        <v>2251.6483516483518</v>
      </c>
      <c r="H70" s="189">
        <v>1</v>
      </c>
      <c r="I70" s="182">
        <f>+SUMIFS('ACONC '!$J:$J,'ACONC '!$C:$C,'1) Budget Tables'!A70)/'ACONC '!$R$2</f>
        <v>0</v>
      </c>
      <c r="J70" s="499"/>
      <c r="K70" s="190"/>
      <c r="L70" s="468">
        <f t="shared" si="10"/>
        <v>0</v>
      </c>
      <c r="M70" s="466"/>
    </row>
    <row r="71" spans="1:13" ht="31.5" customHeight="1">
      <c r="A71" s="395" t="s">
        <v>131</v>
      </c>
      <c r="B71" s="181" t="s">
        <v>132</v>
      </c>
      <c r="C71" s="242" t="s">
        <v>133</v>
      </c>
      <c r="D71" s="188">
        <v>2108.7912087912091</v>
      </c>
      <c r="E71" s="188"/>
      <c r="F71" s="188"/>
      <c r="G71" s="183">
        <f t="shared" si="9"/>
        <v>2108.7912087912091</v>
      </c>
      <c r="H71" s="189">
        <v>1</v>
      </c>
      <c r="I71" s="182">
        <f>+SUMIFS('ACONC '!$J:$J,'ACONC '!$C:$C,'1) Budget Tables'!A71)/'ACONC '!$R$2</f>
        <v>0</v>
      </c>
      <c r="J71" s="499"/>
      <c r="K71" s="190"/>
      <c r="L71" s="468">
        <f t="shared" si="10"/>
        <v>0</v>
      </c>
      <c r="M71" s="466"/>
    </row>
    <row r="72" spans="1:13" ht="31.5">
      <c r="A72" s="395" t="s">
        <v>134</v>
      </c>
      <c r="B72" s="181" t="s">
        <v>135</v>
      </c>
      <c r="C72" s="242" t="s">
        <v>136</v>
      </c>
      <c r="D72" s="188">
        <v>12823.076923076924</v>
      </c>
      <c r="E72" s="188"/>
      <c r="F72" s="188"/>
      <c r="G72" s="183">
        <f t="shared" si="9"/>
        <v>12823.076923076924</v>
      </c>
      <c r="H72" s="189">
        <v>1</v>
      </c>
      <c r="I72" s="182">
        <f>+SUMIFS('ACONC '!$J:$J,'ACONC '!$C:$C,'1) Budget Tables'!A72)/'ACONC '!$R$2</f>
        <v>0</v>
      </c>
      <c r="J72" s="499"/>
      <c r="K72" s="190"/>
      <c r="L72" s="468">
        <f t="shared" si="10"/>
        <v>0</v>
      </c>
      <c r="M72" s="466"/>
    </row>
    <row r="73" spans="1:13" ht="63">
      <c r="A73" s="395" t="s">
        <v>137</v>
      </c>
      <c r="B73" s="181" t="s">
        <v>138</v>
      </c>
      <c r="C73" s="242" t="s">
        <v>139</v>
      </c>
      <c r="D73" s="188">
        <v>12735.714285714286</v>
      </c>
      <c r="E73" s="188"/>
      <c r="F73" s="188"/>
      <c r="G73" s="183">
        <f t="shared" ref="G73:G78" si="11">D73</f>
        <v>12735.714285714286</v>
      </c>
      <c r="H73" s="189">
        <v>1</v>
      </c>
      <c r="I73" s="182">
        <f>+SUMIFS('ACONC '!$J:$J,'ACONC '!$C:$C,'1) Budget Tables'!A73)/'ACONC '!$R$2</f>
        <v>4694.2499999999955</v>
      </c>
      <c r="J73" s="501" t="s">
        <v>140</v>
      </c>
      <c r="K73" s="240"/>
      <c r="L73" s="468">
        <f t="shared" si="10"/>
        <v>4694.2499999999955</v>
      </c>
      <c r="M73" s="466"/>
    </row>
    <row r="74" spans="1:13" ht="47.25" customHeight="1">
      <c r="A74" s="395" t="s">
        <v>141</v>
      </c>
      <c r="B74" s="181" t="s">
        <v>142</v>
      </c>
      <c r="C74" s="242" t="s">
        <v>143</v>
      </c>
      <c r="D74" s="188">
        <v>22450</v>
      </c>
      <c r="E74" s="188"/>
      <c r="F74" s="188"/>
      <c r="G74" s="183">
        <f t="shared" si="11"/>
        <v>22450</v>
      </c>
      <c r="H74" s="189">
        <v>1</v>
      </c>
      <c r="I74" s="182">
        <f>+SUMIFS('ACONC '!$J:$J,'ACONC '!$C:$C,'1) Budget Tables'!A74)/'ACONC '!$R$2</f>
        <v>0</v>
      </c>
      <c r="J74" s="501"/>
      <c r="K74" s="240"/>
      <c r="L74" s="468">
        <f t="shared" si="10"/>
        <v>0</v>
      </c>
      <c r="M74" s="466"/>
    </row>
    <row r="75" spans="1:13" ht="47.25" customHeight="1">
      <c r="A75" s="395" t="s">
        <v>144</v>
      </c>
      <c r="B75" s="181" t="s">
        <v>145</v>
      </c>
      <c r="C75" s="242" t="s">
        <v>105</v>
      </c>
      <c r="D75" s="188">
        <v>3735.7142857142862</v>
      </c>
      <c r="E75" s="188"/>
      <c r="F75" s="188"/>
      <c r="G75" s="183">
        <f t="shared" si="11"/>
        <v>3735.7142857142862</v>
      </c>
      <c r="H75" s="189">
        <v>1</v>
      </c>
      <c r="I75" s="182">
        <f>+SUMIFS('ACONC '!$J:$J,'ACONC '!$C:$C,'1) Budget Tables'!A75)/'ACONC '!$R$2</f>
        <v>0</v>
      </c>
      <c r="J75" s="501"/>
      <c r="K75" s="240"/>
      <c r="L75" s="468">
        <f t="shared" si="10"/>
        <v>0</v>
      </c>
      <c r="M75" s="466"/>
    </row>
    <row r="76" spans="1:13" ht="47.25" customHeight="1">
      <c r="A76" s="395" t="s">
        <v>146</v>
      </c>
      <c r="B76" s="181" t="s">
        <v>147</v>
      </c>
      <c r="C76" s="242" t="s">
        <v>88</v>
      </c>
      <c r="D76" s="188">
        <v>3878.5714285714294</v>
      </c>
      <c r="E76" s="188"/>
      <c r="F76" s="188"/>
      <c r="G76" s="183">
        <f t="shared" si="11"/>
        <v>3878.5714285714294</v>
      </c>
      <c r="H76" s="189">
        <v>1</v>
      </c>
      <c r="I76" s="182">
        <f>+SUMIFS('ACONC '!$J:$J,'ACONC '!$C:$C,'1) Budget Tables'!A76)/'ACONC '!$R$2</f>
        <v>824.99999999999909</v>
      </c>
      <c r="J76" s="501"/>
      <c r="K76" s="240"/>
      <c r="L76" s="468">
        <f t="shared" si="10"/>
        <v>824.99999999999909</v>
      </c>
      <c r="M76" s="466"/>
    </row>
    <row r="77" spans="1:13" ht="31.5">
      <c r="A77" s="395" t="s">
        <v>148</v>
      </c>
      <c r="B77" s="181" t="s">
        <v>149</v>
      </c>
      <c r="C77" s="242" t="s">
        <v>150</v>
      </c>
      <c r="D77" s="188">
        <v>7307.1428571428569</v>
      </c>
      <c r="E77" s="188"/>
      <c r="F77" s="188"/>
      <c r="G77" s="183">
        <f t="shared" si="11"/>
        <v>7307.1428571428569</v>
      </c>
      <c r="H77" s="189">
        <v>1</v>
      </c>
      <c r="I77" s="182">
        <f>+SUMIFS('ACONC '!$J:$J,'ACONC '!$C:$C,'1) Budget Tables'!A77)/'ACONC '!$R$2</f>
        <v>0</v>
      </c>
      <c r="J77" s="244" t="s">
        <v>151</v>
      </c>
      <c r="K77" s="190"/>
      <c r="L77" s="468">
        <f t="shared" si="10"/>
        <v>0</v>
      </c>
      <c r="M77" s="466"/>
    </row>
    <row r="78" spans="1:13" ht="47.25">
      <c r="A78" s="395" t="s">
        <v>152</v>
      </c>
      <c r="B78" s="181" t="s">
        <v>153</v>
      </c>
      <c r="C78" s="242" t="s">
        <v>154</v>
      </c>
      <c r="D78" s="188">
        <v>6621.4285714285725</v>
      </c>
      <c r="E78" s="188"/>
      <c r="F78" s="188"/>
      <c r="G78" s="183">
        <f t="shared" si="11"/>
        <v>6621.4285714285725</v>
      </c>
      <c r="H78" s="189">
        <v>1</v>
      </c>
      <c r="I78" s="182">
        <f>+SUMIFS('ACONC '!$J:$J,'ACONC '!$C:$C,'1) Budget Tables'!A78)/'ACONC '!$R$2</f>
        <v>1242.9999999999986</v>
      </c>
      <c r="J78" s="239" t="s">
        <v>155</v>
      </c>
      <c r="K78" s="190"/>
      <c r="L78" s="468">
        <f t="shared" si="10"/>
        <v>1242.9999999999986</v>
      </c>
      <c r="M78" s="466"/>
    </row>
    <row r="79" spans="1:13" ht="15.75" hidden="1">
      <c r="B79" s="181" t="s">
        <v>156</v>
      </c>
      <c r="C79" s="242"/>
      <c r="D79" s="188"/>
      <c r="E79" s="188"/>
      <c r="F79" s="188"/>
      <c r="G79" s="183"/>
      <c r="H79" s="189"/>
      <c r="I79" s="188"/>
      <c r="J79" s="180"/>
      <c r="K79" s="190"/>
      <c r="L79" s="468"/>
      <c r="M79" s="466"/>
    </row>
    <row r="80" spans="1:13" ht="31.5" hidden="1">
      <c r="B80" s="181" t="s">
        <v>157</v>
      </c>
      <c r="C80" s="242"/>
      <c r="D80" s="188"/>
      <c r="E80" s="188"/>
      <c r="F80" s="188"/>
      <c r="G80" s="183">
        <f>D80</f>
        <v>0</v>
      </c>
      <c r="H80" s="189"/>
      <c r="I80" s="188"/>
      <c r="J80" s="180" t="s">
        <v>158</v>
      </c>
      <c r="K80" s="190"/>
      <c r="L80" s="468"/>
      <c r="M80" s="466"/>
    </row>
    <row r="81" spans="1:13" ht="15.75">
      <c r="C81" s="81" t="s">
        <v>33</v>
      </c>
      <c r="D81" s="17">
        <f>SUM(D60:D80)</f>
        <v>118857.14285714287</v>
      </c>
      <c r="E81" s="17">
        <f>SUM(E60:E80)</f>
        <v>0</v>
      </c>
      <c r="F81" s="17">
        <f>SUM(F60:F80)</f>
        <v>0</v>
      </c>
      <c r="G81" s="17">
        <f>SUM(G60:G80)</f>
        <v>118857.14285714287</v>
      </c>
      <c r="H81" s="14">
        <f>(H60*G60)+(H61*G61)+(H62*G62)+(H63*G63)+(H64*G64)+(H65*G65)+(H66*G66)+(H67*G67)+(H68*G68)+(H69*G69)+(H70*G70)+(H71*G71)+(H72*G72)+(H73*G73)+(H74*G74)+(H75*G75)+(H76*G76)+(H77*G77)+H78*G78</f>
        <v>118857.14285714287</v>
      </c>
      <c r="I81" s="14">
        <f>SUM(I60:I80)</f>
        <v>23082.949999999979</v>
      </c>
      <c r="J81" s="131"/>
      <c r="K81" s="190"/>
      <c r="L81" s="470"/>
      <c r="M81" s="466"/>
    </row>
    <row r="82" spans="1:13" ht="51" customHeight="1">
      <c r="B82" s="81" t="s">
        <v>159</v>
      </c>
      <c r="C82" s="489" t="s">
        <v>160</v>
      </c>
      <c r="D82" s="489"/>
      <c r="E82" s="489"/>
      <c r="F82" s="489"/>
      <c r="G82" s="489"/>
      <c r="H82" s="489"/>
      <c r="I82" s="490"/>
      <c r="J82" s="490"/>
      <c r="K82" s="489"/>
      <c r="L82" s="467"/>
      <c r="M82" s="466"/>
    </row>
    <row r="83" spans="1:13" ht="31.5">
      <c r="A83" s="395" t="s">
        <v>161</v>
      </c>
      <c r="B83" s="181" t="s">
        <v>162</v>
      </c>
      <c r="C83" s="242" t="s">
        <v>163</v>
      </c>
      <c r="D83" s="188">
        <v>167797.1428571429</v>
      </c>
      <c r="E83" s="188"/>
      <c r="F83" s="188"/>
      <c r="G83" s="183">
        <f>D83</f>
        <v>167797.1428571429</v>
      </c>
      <c r="H83" s="189">
        <v>1</v>
      </c>
      <c r="I83" s="188">
        <f>+SUMIFS('ACONC '!$J:$J,'ACONC '!$C:$C,'1) Budget Tables'!A83)/'ACONC '!$R$2</f>
        <v>73159.624999999927</v>
      </c>
      <c r="J83" s="180" t="s">
        <v>164</v>
      </c>
      <c r="K83" s="190"/>
      <c r="L83" s="468">
        <f t="shared" ref="L83:L87" si="12">+I83*H83</f>
        <v>73159.624999999927</v>
      </c>
      <c r="M83" s="466"/>
    </row>
    <row r="84" spans="1:13" ht="63">
      <c r="A84" s="395" t="s">
        <v>165</v>
      </c>
      <c r="B84" s="181" t="s">
        <v>166</v>
      </c>
      <c r="C84" s="136" t="s">
        <v>167</v>
      </c>
      <c r="D84" s="188">
        <v>10482.857142857143</v>
      </c>
      <c r="E84" s="188"/>
      <c r="F84" s="188"/>
      <c r="G84" s="183">
        <f t="shared" ref="G84:G92" si="13">D84</f>
        <v>10482.857142857143</v>
      </c>
      <c r="H84" s="189">
        <v>1</v>
      </c>
      <c r="I84" s="188">
        <f>+SUMIFS('ACONC '!$J:$J,'ACONC '!$C:$C,'1) Budget Tables'!A84)/'ACONC '!$R$2</f>
        <v>0</v>
      </c>
      <c r="J84" s="239" t="s">
        <v>168</v>
      </c>
      <c r="K84" s="190"/>
      <c r="L84" s="468">
        <f t="shared" si="12"/>
        <v>0</v>
      </c>
      <c r="M84" s="466"/>
    </row>
    <row r="85" spans="1:13" ht="47.25">
      <c r="A85" s="395" t="s">
        <v>169</v>
      </c>
      <c r="B85" s="181" t="s">
        <v>170</v>
      </c>
      <c r="C85" s="242" t="s">
        <v>171</v>
      </c>
      <c r="D85" s="188">
        <v>7054.2857142857147</v>
      </c>
      <c r="E85" s="188"/>
      <c r="F85" s="188"/>
      <c r="G85" s="183">
        <f t="shared" si="13"/>
        <v>7054.2857142857147</v>
      </c>
      <c r="H85" s="189">
        <v>1</v>
      </c>
      <c r="I85" s="188">
        <f>+SUMIFS('ACONC '!$J:$J,'ACONC '!$C:$C,'1) Budget Tables'!A85)/'ACONC '!$R$2</f>
        <v>673.74999999999932</v>
      </c>
      <c r="J85" s="180" t="s">
        <v>172</v>
      </c>
      <c r="K85" s="190"/>
      <c r="L85" s="468">
        <f t="shared" si="12"/>
        <v>673.74999999999932</v>
      </c>
      <c r="M85" s="466"/>
    </row>
    <row r="86" spans="1:13" ht="31.5" customHeight="1">
      <c r="A86" s="395" t="s">
        <v>173</v>
      </c>
      <c r="B86" s="181" t="s">
        <v>174</v>
      </c>
      <c r="C86" s="242" t="s">
        <v>175</v>
      </c>
      <c r="D86" s="188">
        <v>3911.428571428572</v>
      </c>
      <c r="E86" s="188"/>
      <c r="F86" s="188"/>
      <c r="G86" s="183">
        <f t="shared" si="13"/>
        <v>3911.428571428572</v>
      </c>
      <c r="H86" s="189">
        <v>1</v>
      </c>
      <c r="I86" s="188">
        <f>+SUMIFS('ACONC '!$J:$J,'ACONC '!$C:$C,'1) Budget Tables'!A86)/'ACONC '!$R$2</f>
        <v>3528.5829039999967</v>
      </c>
      <c r="J86" s="498" t="s">
        <v>176</v>
      </c>
      <c r="K86" s="190"/>
      <c r="L86" s="468">
        <f t="shared" si="12"/>
        <v>3528.5829039999967</v>
      </c>
      <c r="M86" s="466"/>
    </row>
    <row r="87" spans="1:13" ht="31.5">
      <c r="A87" s="395" t="s">
        <v>177</v>
      </c>
      <c r="B87" s="181" t="s">
        <v>178</v>
      </c>
      <c r="C87" s="242" t="s">
        <v>179</v>
      </c>
      <c r="D87" s="188">
        <v>6482.8571428571431</v>
      </c>
      <c r="E87" s="188"/>
      <c r="F87" s="188"/>
      <c r="G87" s="183">
        <f t="shared" si="13"/>
        <v>6482.8571428571431</v>
      </c>
      <c r="H87" s="189">
        <v>1</v>
      </c>
      <c r="I87" s="188">
        <f>+SUMIFS('ACONC '!$J:$J,'ACONC '!$C:$C,'1) Budget Tables'!A87)/'ACONC '!$R$2</f>
        <v>0</v>
      </c>
      <c r="J87" s="500"/>
      <c r="K87" s="190"/>
      <c r="L87" s="468">
        <f t="shared" si="12"/>
        <v>0</v>
      </c>
      <c r="M87" s="466"/>
    </row>
    <row r="88" spans="1:13" ht="15.75" hidden="1">
      <c r="B88" s="181" t="s">
        <v>180</v>
      </c>
      <c r="C88" s="242"/>
      <c r="D88" s="188"/>
      <c r="E88" s="188"/>
      <c r="F88" s="188"/>
      <c r="G88" s="183">
        <f t="shared" si="13"/>
        <v>0</v>
      </c>
      <c r="H88" s="189"/>
      <c r="I88" s="188"/>
      <c r="J88" s="188"/>
      <c r="K88" s="190"/>
      <c r="L88" s="468"/>
      <c r="M88" s="466"/>
    </row>
    <row r="89" spans="1:13" ht="15.75" hidden="1">
      <c r="B89" s="181" t="s">
        <v>181</v>
      </c>
      <c r="C89" s="242"/>
      <c r="D89" s="188"/>
      <c r="E89" s="188"/>
      <c r="F89" s="188"/>
      <c r="G89" s="183">
        <f t="shared" si="13"/>
        <v>0</v>
      </c>
      <c r="H89" s="189"/>
      <c r="I89" s="188"/>
      <c r="J89" s="188"/>
      <c r="K89" s="190"/>
      <c r="L89" s="468"/>
      <c r="M89" s="466"/>
    </row>
    <row r="90" spans="1:13" ht="15.75" hidden="1">
      <c r="B90" s="181" t="s">
        <v>182</v>
      </c>
      <c r="C90" s="242"/>
      <c r="D90" s="188"/>
      <c r="E90" s="188"/>
      <c r="F90" s="188"/>
      <c r="G90" s="183">
        <f t="shared" si="13"/>
        <v>0</v>
      </c>
      <c r="H90" s="189"/>
      <c r="I90" s="188"/>
      <c r="J90" s="188"/>
      <c r="K90" s="190"/>
      <c r="L90" s="468"/>
      <c r="M90" s="466"/>
    </row>
    <row r="91" spans="1:13" ht="15.75" hidden="1">
      <c r="B91" s="181" t="s">
        <v>183</v>
      </c>
      <c r="C91" s="242"/>
      <c r="D91" s="188"/>
      <c r="E91" s="188"/>
      <c r="F91" s="188"/>
      <c r="G91" s="183">
        <f t="shared" si="13"/>
        <v>0</v>
      </c>
      <c r="H91" s="189"/>
      <c r="I91" s="188"/>
      <c r="J91" s="188"/>
      <c r="K91" s="190"/>
      <c r="L91" s="468"/>
      <c r="M91" s="466"/>
    </row>
    <row r="92" spans="1:13" ht="15.75" hidden="1">
      <c r="B92" s="181" t="s">
        <v>184</v>
      </c>
      <c r="C92" s="242"/>
      <c r="D92" s="188"/>
      <c r="E92" s="188"/>
      <c r="F92" s="188"/>
      <c r="G92" s="183">
        <f t="shared" si="13"/>
        <v>0</v>
      </c>
      <c r="H92" s="189"/>
      <c r="I92" s="188"/>
      <c r="J92" s="188"/>
      <c r="K92" s="190"/>
      <c r="L92" s="468"/>
      <c r="M92" s="466"/>
    </row>
    <row r="93" spans="1:13" ht="15.75" hidden="1">
      <c r="B93" s="181" t="s">
        <v>185</v>
      </c>
      <c r="C93" s="242"/>
      <c r="D93" s="188"/>
      <c r="E93" s="188"/>
      <c r="F93" s="188"/>
      <c r="G93" s="183">
        <f>D93</f>
        <v>0</v>
      </c>
      <c r="H93" s="189"/>
      <c r="I93" s="188"/>
      <c r="J93" s="188"/>
      <c r="K93" s="190"/>
      <c r="L93" s="468"/>
      <c r="M93" s="466"/>
    </row>
    <row r="94" spans="1:13" ht="15.75">
      <c r="C94" s="81" t="s">
        <v>33</v>
      </c>
      <c r="D94" s="17">
        <f>SUM(D83:D93)</f>
        <v>195728.57142857145</v>
      </c>
      <c r="E94" s="17">
        <f>SUM(E83:E93)</f>
        <v>0</v>
      </c>
      <c r="F94" s="17">
        <f>SUM(F83:F93)</f>
        <v>0</v>
      </c>
      <c r="G94" s="17">
        <f>SUM(G83:G93)</f>
        <v>195728.57142857145</v>
      </c>
      <c r="H94" s="14">
        <f>+(H83*G83)+(H93*G93)+(H84*G84)+(H85*G85)+(H86*G86)+(H87*G87)</f>
        <v>195728.57142857145</v>
      </c>
      <c r="I94" s="14">
        <f>SUM(I83:I93)</f>
        <v>77361.957903999923</v>
      </c>
      <c r="J94" s="131"/>
      <c r="K94" s="190"/>
      <c r="L94" s="470"/>
      <c r="M94" s="466"/>
    </row>
    <row r="95" spans="1:13" ht="51" hidden="1" customHeight="1">
      <c r="B95" s="81" t="s">
        <v>186</v>
      </c>
      <c r="C95" s="489"/>
      <c r="D95" s="489"/>
      <c r="E95" s="489"/>
      <c r="F95" s="489"/>
      <c r="G95" s="489"/>
      <c r="H95" s="489"/>
      <c r="I95" s="490"/>
      <c r="J95" s="490"/>
      <c r="K95" s="489"/>
      <c r="L95" s="35"/>
    </row>
    <row r="96" spans="1:13" ht="15.75" hidden="1">
      <c r="B96" s="181" t="s">
        <v>187</v>
      </c>
      <c r="C96" s="136"/>
      <c r="D96" s="182"/>
      <c r="E96" s="182"/>
      <c r="F96" s="182"/>
      <c r="G96" s="183">
        <f>D96</f>
        <v>0</v>
      </c>
      <c r="H96" s="184"/>
      <c r="I96" s="182"/>
      <c r="J96" s="182"/>
      <c r="K96" s="186"/>
      <c r="L96" s="187"/>
    </row>
    <row r="97" spans="1:13" ht="15.75" hidden="1">
      <c r="B97" s="181" t="s">
        <v>188</v>
      </c>
      <c r="C97" s="136"/>
      <c r="D97" s="182"/>
      <c r="E97" s="182"/>
      <c r="F97" s="182"/>
      <c r="G97" s="183">
        <f t="shared" ref="G97:G103" si="14">D97</f>
        <v>0</v>
      </c>
      <c r="H97" s="184"/>
      <c r="I97" s="182"/>
      <c r="J97" s="182"/>
      <c r="K97" s="186"/>
      <c r="L97" s="187"/>
    </row>
    <row r="98" spans="1:13" ht="15.75" hidden="1">
      <c r="B98" s="181" t="s">
        <v>189</v>
      </c>
      <c r="C98" s="136"/>
      <c r="D98" s="182"/>
      <c r="E98" s="182"/>
      <c r="F98" s="182"/>
      <c r="G98" s="183">
        <f t="shared" si="14"/>
        <v>0</v>
      </c>
      <c r="H98" s="184"/>
      <c r="I98" s="182"/>
      <c r="J98" s="182"/>
      <c r="K98" s="186"/>
      <c r="L98" s="187"/>
    </row>
    <row r="99" spans="1:13" ht="15.75" hidden="1">
      <c r="B99" s="181" t="s">
        <v>190</v>
      </c>
      <c r="C99" s="136"/>
      <c r="D99" s="182"/>
      <c r="E99" s="182"/>
      <c r="F99" s="182"/>
      <c r="G99" s="183">
        <f t="shared" si="14"/>
        <v>0</v>
      </c>
      <c r="H99" s="184"/>
      <c r="I99" s="182"/>
      <c r="J99" s="182"/>
      <c r="K99" s="186"/>
      <c r="L99" s="187"/>
    </row>
    <row r="100" spans="1:13" ht="15.75" hidden="1">
      <c r="B100" s="181" t="s">
        <v>191</v>
      </c>
      <c r="C100" s="136"/>
      <c r="D100" s="182"/>
      <c r="E100" s="182"/>
      <c r="F100" s="182"/>
      <c r="G100" s="183">
        <f t="shared" si="14"/>
        <v>0</v>
      </c>
      <c r="H100" s="184"/>
      <c r="I100" s="182"/>
      <c r="J100" s="182"/>
      <c r="K100" s="186"/>
      <c r="L100" s="187"/>
    </row>
    <row r="101" spans="1:13" ht="15.75" hidden="1">
      <c r="B101" s="181" t="s">
        <v>192</v>
      </c>
      <c r="C101" s="136"/>
      <c r="D101" s="182"/>
      <c r="E101" s="182"/>
      <c r="F101" s="182"/>
      <c r="G101" s="183">
        <f t="shared" si="14"/>
        <v>0</v>
      </c>
      <c r="H101" s="184"/>
      <c r="I101" s="182"/>
      <c r="J101" s="182"/>
      <c r="K101" s="186"/>
      <c r="L101" s="187"/>
    </row>
    <row r="102" spans="1:13" ht="15.75" hidden="1">
      <c r="B102" s="181" t="s">
        <v>193</v>
      </c>
      <c r="C102" s="242"/>
      <c r="D102" s="188"/>
      <c r="E102" s="188"/>
      <c r="F102" s="188"/>
      <c r="G102" s="183">
        <f t="shared" si="14"/>
        <v>0</v>
      </c>
      <c r="H102" s="189"/>
      <c r="I102" s="188"/>
      <c r="J102" s="188"/>
      <c r="K102" s="190"/>
      <c r="L102" s="187"/>
    </row>
    <row r="103" spans="1:13" ht="15.75" hidden="1">
      <c r="B103" s="181" t="s">
        <v>194</v>
      </c>
      <c r="C103" s="242"/>
      <c r="D103" s="188"/>
      <c r="E103" s="188"/>
      <c r="F103" s="188"/>
      <c r="G103" s="183">
        <f t="shared" si="14"/>
        <v>0</v>
      </c>
      <c r="H103" s="189"/>
      <c r="I103" s="188"/>
      <c r="J103" s="188"/>
      <c r="K103" s="190"/>
      <c r="L103" s="187"/>
    </row>
    <row r="104" spans="1:13" ht="15.75" hidden="1">
      <c r="C104" s="81" t="s">
        <v>33</v>
      </c>
      <c r="D104" s="14">
        <f>SUM(D96:D103)</f>
        <v>0</v>
      </c>
      <c r="E104" s="14">
        <f>SUM(E96:E103)</f>
        <v>0</v>
      </c>
      <c r="F104" s="14">
        <f>SUM(F96:F103)</f>
        <v>0</v>
      </c>
      <c r="G104" s="14">
        <f>SUM(G96:G103)</f>
        <v>0</v>
      </c>
      <c r="H104" s="14">
        <f>(H96*G96)+(H97*G97)+(H98*G98)+(H99*G99)+(H100*G100)+(H101*G101)+(H102*G102)+(H103*G103)</f>
        <v>0</v>
      </c>
      <c r="I104" s="14">
        <f>SUM(I96:I103)</f>
        <v>0</v>
      </c>
      <c r="J104" s="131"/>
      <c r="K104" s="190"/>
      <c r="L104" s="36"/>
    </row>
    <row r="105" spans="1:13" ht="15.75" customHeight="1">
      <c r="B105" s="4"/>
      <c r="C105" s="191"/>
      <c r="D105" s="194"/>
      <c r="E105" s="194"/>
      <c r="F105" s="194"/>
      <c r="G105" s="194"/>
      <c r="H105" s="194"/>
      <c r="I105" s="194"/>
      <c r="J105" s="194"/>
      <c r="K105" s="191"/>
      <c r="L105" s="2"/>
    </row>
    <row r="106" spans="1:13" ht="48.6" customHeight="1">
      <c r="B106" s="81" t="s">
        <v>195</v>
      </c>
      <c r="C106" s="487" t="s">
        <v>196</v>
      </c>
      <c r="D106" s="487"/>
      <c r="E106" s="487"/>
      <c r="F106" s="487"/>
      <c r="G106" s="487"/>
      <c r="H106" s="487"/>
      <c r="I106" s="488"/>
      <c r="J106" s="488"/>
      <c r="K106" s="487"/>
      <c r="L106" s="465"/>
      <c r="M106" s="466"/>
    </row>
    <row r="107" spans="1:13" ht="58.9" customHeight="1">
      <c r="B107" s="81" t="s">
        <v>197</v>
      </c>
      <c r="C107" s="489" t="s">
        <v>198</v>
      </c>
      <c r="D107" s="489"/>
      <c r="E107" s="489"/>
      <c r="F107" s="489"/>
      <c r="G107" s="489"/>
      <c r="H107" s="489"/>
      <c r="I107" s="490"/>
      <c r="J107" s="490"/>
      <c r="K107" s="489"/>
      <c r="L107" s="467"/>
      <c r="M107" s="466"/>
    </row>
    <row r="108" spans="1:13" ht="31.5">
      <c r="A108" s="395" t="s">
        <v>199</v>
      </c>
      <c r="B108" s="181" t="s">
        <v>200</v>
      </c>
      <c r="C108" s="136" t="s">
        <v>201</v>
      </c>
      <c r="D108" s="182">
        <v>7283</v>
      </c>
      <c r="E108" s="182"/>
      <c r="F108" s="182"/>
      <c r="G108" s="183">
        <f>D108</f>
        <v>7283</v>
      </c>
      <c r="H108" s="184">
        <v>0.4</v>
      </c>
      <c r="I108" s="445">
        <f>+SUMIFS(PACIFISTA!$J:$J,PACIFISTA!$C:$C,'1) Budget Tables'!A108)/PACIFISTA!$R$1</f>
        <v>7190.7758100000074</v>
      </c>
      <c r="J108" s="180" t="s">
        <v>202</v>
      </c>
      <c r="K108" s="186"/>
      <c r="L108" s="468">
        <f>+I108*H108</f>
        <v>2876.3103240000032</v>
      </c>
      <c r="M108" s="466"/>
    </row>
    <row r="109" spans="1:13" ht="97.5" customHeight="1">
      <c r="A109" s="395" t="s">
        <v>203</v>
      </c>
      <c r="B109" s="181" t="s">
        <v>204</v>
      </c>
      <c r="C109" s="136" t="s">
        <v>205</v>
      </c>
      <c r="D109" s="182">
        <v>9104</v>
      </c>
      <c r="E109" s="182"/>
      <c r="F109" s="182"/>
      <c r="G109" s="183">
        <f t="shared" ref="G109:G115" si="15">D109</f>
        <v>9104</v>
      </c>
      <c r="H109" s="184">
        <v>0.6</v>
      </c>
      <c r="I109" s="445">
        <f>+SUMIFS(PACIFISTA!$J:$J,PACIFISTA!$C:$C,'1) Budget Tables'!A109)/PACIFISTA!$R$1</f>
        <v>1116.0000000000011</v>
      </c>
      <c r="J109" s="195" t="s">
        <v>206</v>
      </c>
      <c r="K109" s="186"/>
      <c r="L109" s="468">
        <f t="shared" ref="L109:L112" si="16">+I109*H109</f>
        <v>669.6000000000007</v>
      </c>
      <c r="M109" s="466"/>
    </row>
    <row r="110" spans="1:13" ht="47.25">
      <c r="A110" s="395" t="s">
        <v>207</v>
      </c>
      <c r="B110" s="181" t="s">
        <v>208</v>
      </c>
      <c r="C110" s="136" t="s">
        <v>209</v>
      </c>
      <c r="D110" s="182">
        <v>22759</v>
      </c>
      <c r="E110" s="182"/>
      <c r="F110" s="182"/>
      <c r="G110" s="183">
        <f t="shared" si="15"/>
        <v>22759</v>
      </c>
      <c r="H110" s="184">
        <v>0.2</v>
      </c>
      <c r="I110" s="445">
        <f>+SUMIFS(PACIFISTA!$J:$J,PACIFISTA!$C:$C,'1) Budget Tables'!A110)/PACIFISTA!$R$1</f>
        <v>0</v>
      </c>
      <c r="J110" s="180" t="s">
        <v>210</v>
      </c>
      <c r="K110" s="186"/>
      <c r="L110" s="468">
        <f t="shared" si="16"/>
        <v>0</v>
      </c>
      <c r="M110" s="466"/>
    </row>
    <row r="111" spans="1:13" ht="47.25">
      <c r="A111" s="395" t="s">
        <v>211</v>
      </c>
      <c r="B111" s="181" t="s">
        <v>212</v>
      </c>
      <c r="C111" s="136" t="s">
        <v>213</v>
      </c>
      <c r="D111" s="182">
        <v>45519</v>
      </c>
      <c r="E111" s="182"/>
      <c r="F111" s="182"/>
      <c r="G111" s="183">
        <f t="shared" si="15"/>
        <v>45519</v>
      </c>
      <c r="H111" s="184">
        <v>0.6</v>
      </c>
      <c r="I111" s="445">
        <f>+SUMIFS(PACIFISTA!$J:$J,PACIFISTA!$C:$C,'1) Budget Tables'!A111)/PACIFISTA!$R$1</f>
        <v>45713.104587000045</v>
      </c>
      <c r="J111" s="180" t="s">
        <v>214</v>
      </c>
      <c r="K111" s="186"/>
      <c r="L111" s="468">
        <f t="shared" si="16"/>
        <v>27427.862752200028</v>
      </c>
      <c r="M111" s="466"/>
    </row>
    <row r="112" spans="1:13" ht="63">
      <c r="A112" s="395" t="s">
        <v>215</v>
      </c>
      <c r="B112" s="181" t="s">
        <v>216</v>
      </c>
      <c r="C112" s="136" t="s">
        <v>217</v>
      </c>
      <c r="D112" s="182">
        <v>6373</v>
      </c>
      <c r="E112" s="182"/>
      <c r="F112" s="182"/>
      <c r="G112" s="183">
        <f t="shared" si="15"/>
        <v>6373</v>
      </c>
      <c r="H112" s="184">
        <v>0.5</v>
      </c>
      <c r="I112" s="445">
        <f>+SUMIFS(PACIFISTA!$J:$J,PACIFISTA!$C:$C,'1) Budget Tables'!A112)/PACIFISTA!$R$1</f>
        <v>3774.9239558100039</v>
      </c>
      <c r="J112" s="195" t="s">
        <v>218</v>
      </c>
      <c r="K112" s="186"/>
      <c r="L112" s="468">
        <f t="shared" si="16"/>
        <v>1887.461977905002</v>
      </c>
      <c r="M112" s="466"/>
    </row>
    <row r="113" spans="1:13" ht="15.75" hidden="1">
      <c r="B113" s="181" t="s">
        <v>219</v>
      </c>
      <c r="C113" s="136"/>
      <c r="D113" s="182"/>
      <c r="E113" s="182"/>
      <c r="F113" s="182"/>
      <c r="G113" s="183">
        <f t="shared" si="15"/>
        <v>0</v>
      </c>
      <c r="H113" s="184"/>
      <c r="I113" s="182"/>
      <c r="J113" s="182"/>
      <c r="K113" s="186"/>
      <c r="L113" s="468"/>
      <c r="M113" s="466"/>
    </row>
    <row r="114" spans="1:13" ht="15.75" hidden="1">
      <c r="B114" s="181" t="s">
        <v>220</v>
      </c>
      <c r="C114" s="242"/>
      <c r="D114" s="188"/>
      <c r="E114" s="188"/>
      <c r="F114" s="188"/>
      <c r="G114" s="183">
        <f t="shared" si="15"/>
        <v>0</v>
      </c>
      <c r="H114" s="189"/>
      <c r="I114" s="188"/>
      <c r="J114" s="188"/>
      <c r="K114" s="190"/>
      <c r="L114" s="468"/>
      <c r="M114" s="466"/>
    </row>
    <row r="115" spans="1:13" ht="15.75" hidden="1">
      <c r="B115" s="181" t="s">
        <v>221</v>
      </c>
      <c r="C115" s="242"/>
      <c r="D115" s="188"/>
      <c r="E115" s="188"/>
      <c r="F115" s="188"/>
      <c r="G115" s="183">
        <f t="shared" si="15"/>
        <v>0</v>
      </c>
      <c r="H115" s="189"/>
      <c r="I115" s="188"/>
      <c r="J115" s="188"/>
      <c r="K115" s="190"/>
      <c r="L115" s="468"/>
      <c r="M115" s="466"/>
    </row>
    <row r="116" spans="1:13" ht="15.75">
      <c r="C116" s="81" t="s">
        <v>33</v>
      </c>
      <c r="D116" s="14">
        <f>SUM(D108:D115)</f>
        <v>91038</v>
      </c>
      <c r="E116" s="14">
        <f>SUM(E108:E115)</f>
        <v>0</v>
      </c>
      <c r="F116" s="14">
        <f>SUM(F108:F115)</f>
        <v>0</v>
      </c>
      <c r="G116" s="17">
        <f>SUM(G108:G115)</f>
        <v>91038</v>
      </c>
      <c r="H116" s="14">
        <f>(H108*G108)+(H109*G109)+(H110*G110)+(H111*G111)+(H112*G112)+(H113*G113)+(H114*G114)+(H115*G115)</f>
        <v>43425.3</v>
      </c>
      <c r="I116" s="14">
        <f>SUM(I108:I115)</f>
        <v>57794.804352810053</v>
      </c>
      <c r="J116" s="131"/>
      <c r="K116" s="190"/>
      <c r="L116" s="470"/>
      <c r="M116" s="466"/>
    </row>
    <row r="117" spans="1:13" ht="51" customHeight="1">
      <c r="B117" s="81" t="s">
        <v>222</v>
      </c>
      <c r="C117" s="489" t="s">
        <v>223</v>
      </c>
      <c r="D117" s="489"/>
      <c r="E117" s="489"/>
      <c r="F117" s="489"/>
      <c r="G117" s="489"/>
      <c r="H117" s="489"/>
      <c r="I117" s="490"/>
      <c r="J117" s="490"/>
      <c r="K117" s="489"/>
      <c r="L117" s="467"/>
      <c r="M117" s="466"/>
    </row>
    <row r="118" spans="1:13" ht="78.75">
      <c r="A118" s="395" t="s">
        <v>224</v>
      </c>
      <c r="B118" s="181" t="s">
        <v>225</v>
      </c>
      <c r="C118" s="136" t="s">
        <v>226</v>
      </c>
      <c r="D118" s="182">
        <v>16981</v>
      </c>
      <c r="E118" s="182"/>
      <c r="F118" s="182"/>
      <c r="G118" s="183">
        <f>D118</f>
        <v>16981</v>
      </c>
      <c r="H118" s="184">
        <v>0.6</v>
      </c>
      <c r="I118" s="182">
        <f>+SUMIFS(PACIFISTA!$J:$J,PACIFISTA!$C:$C,'1) Budget Tables'!A118)/PACIFISTA!$R$1</f>
        <v>820.58810400000084</v>
      </c>
      <c r="J118" s="195" t="s">
        <v>227</v>
      </c>
      <c r="K118" s="186"/>
      <c r="L118" s="468">
        <f t="shared" ref="L118:L122" si="17">+I118*H118</f>
        <v>492.3528624000005</v>
      </c>
      <c r="M118" s="466"/>
    </row>
    <row r="119" spans="1:13" ht="31.5">
      <c r="A119" s="395" t="s">
        <v>228</v>
      </c>
      <c r="B119" s="181" t="s">
        <v>229</v>
      </c>
      <c r="C119" s="136" t="s">
        <v>230</v>
      </c>
      <c r="D119" s="182">
        <v>7278</v>
      </c>
      <c r="E119" s="182"/>
      <c r="F119" s="182"/>
      <c r="G119" s="183">
        <f t="shared" ref="G119:G125" si="18">D119</f>
        <v>7278</v>
      </c>
      <c r="H119" s="184">
        <v>0.1</v>
      </c>
      <c r="I119" s="182">
        <f>+SUMIFS(PACIFISTA!$J:$J,PACIFISTA!$C:$C,'1) Budget Tables'!A119)/PACIFISTA!$R$1</f>
        <v>0</v>
      </c>
      <c r="J119" s="180" t="s">
        <v>231</v>
      </c>
      <c r="K119" s="186"/>
      <c r="L119" s="468">
        <f t="shared" si="17"/>
        <v>0</v>
      </c>
      <c r="M119" s="466"/>
    </row>
    <row r="120" spans="1:13" ht="63">
      <c r="A120" s="395" t="s">
        <v>232</v>
      </c>
      <c r="B120" s="181" t="s">
        <v>233</v>
      </c>
      <c r="C120" s="136" t="s">
        <v>234</v>
      </c>
      <c r="D120" s="182">
        <v>12129</v>
      </c>
      <c r="E120" s="182"/>
      <c r="F120" s="182"/>
      <c r="G120" s="183">
        <f t="shared" si="18"/>
        <v>12129</v>
      </c>
      <c r="H120" s="184">
        <v>0.6</v>
      </c>
      <c r="I120" s="182">
        <f>+SUMIFS(PACIFISTA!$J:$J,PACIFISTA!$C:$C,'1) Budget Tables'!A120)/PACIFISTA!$R$1</f>
        <v>0</v>
      </c>
      <c r="J120" s="195" t="s">
        <v>235</v>
      </c>
      <c r="K120" s="186"/>
      <c r="L120" s="468">
        <f t="shared" si="17"/>
        <v>0</v>
      </c>
      <c r="M120" s="466"/>
    </row>
    <row r="121" spans="1:13" ht="47.25">
      <c r="A121" s="395" t="s">
        <v>236</v>
      </c>
      <c r="B121" s="181" t="s">
        <v>237</v>
      </c>
      <c r="C121" s="136" t="s">
        <v>238</v>
      </c>
      <c r="D121" s="182">
        <v>24259</v>
      </c>
      <c r="E121" s="182"/>
      <c r="F121" s="182"/>
      <c r="G121" s="183">
        <f t="shared" si="18"/>
        <v>24259</v>
      </c>
      <c r="H121" s="184">
        <v>0.5</v>
      </c>
      <c r="I121" s="182">
        <f>+SUMIFS(PACIFISTA!$J:$J,PACIFISTA!$C:$C,'1) Budget Tables'!A121)/PACIFISTA!$R$1</f>
        <v>4404.1115340000042</v>
      </c>
      <c r="J121" s="180" t="s">
        <v>239</v>
      </c>
      <c r="K121" s="186"/>
      <c r="L121" s="468">
        <f t="shared" si="17"/>
        <v>2202.0557670000021</v>
      </c>
      <c r="M121" s="466"/>
    </row>
    <row r="122" spans="1:13" ht="47.25">
      <c r="A122" s="395" t="s">
        <v>240</v>
      </c>
      <c r="B122" s="181" t="s">
        <v>241</v>
      </c>
      <c r="C122" s="136" t="s">
        <v>242</v>
      </c>
      <c r="D122" s="182">
        <v>20216</v>
      </c>
      <c r="E122" s="182"/>
      <c r="F122" s="182"/>
      <c r="G122" s="183">
        <f t="shared" si="18"/>
        <v>20216</v>
      </c>
      <c r="H122" s="184">
        <v>0.4</v>
      </c>
      <c r="I122" s="182">
        <f>+SUMIFS(PACIFISTA!$J:$J,PACIFISTA!$C:$C,'1) Budget Tables'!A122)/PACIFISTA!$R$1</f>
        <v>3668.8500000000035</v>
      </c>
      <c r="J122" s="180" t="s">
        <v>243</v>
      </c>
      <c r="K122" s="186"/>
      <c r="L122" s="468">
        <f t="shared" si="17"/>
        <v>1467.5400000000016</v>
      </c>
      <c r="M122" s="466"/>
    </row>
    <row r="123" spans="1:13" ht="15.75" hidden="1">
      <c r="A123" s="395" t="s">
        <v>244</v>
      </c>
      <c r="B123" s="181" t="s">
        <v>245</v>
      </c>
      <c r="C123" s="136"/>
      <c r="D123" s="182"/>
      <c r="E123" s="182"/>
      <c r="F123" s="182"/>
      <c r="G123" s="183">
        <f t="shared" si="18"/>
        <v>0</v>
      </c>
      <c r="H123" s="184"/>
      <c r="I123" s="182"/>
      <c r="J123" s="182"/>
      <c r="K123" s="186"/>
      <c r="L123" s="468"/>
      <c r="M123" s="466"/>
    </row>
    <row r="124" spans="1:13" ht="15.75" hidden="1">
      <c r="A124" s="395" t="s">
        <v>246</v>
      </c>
      <c r="B124" s="181" t="s">
        <v>247</v>
      </c>
      <c r="C124" s="242"/>
      <c r="D124" s="188"/>
      <c r="E124" s="188"/>
      <c r="F124" s="188"/>
      <c r="G124" s="183">
        <f t="shared" si="18"/>
        <v>0</v>
      </c>
      <c r="H124" s="189"/>
      <c r="I124" s="182"/>
      <c r="J124" s="188"/>
      <c r="K124" s="190"/>
      <c r="L124" s="468"/>
      <c r="M124" s="466"/>
    </row>
    <row r="125" spans="1:13" ht="15.75" hidden="1">
      <c r="A125" s="395" t="s">
        <v>248</v>
      </c>
      <c r="B125" s="181" t="s">
        <v>249</v>
      </c>
      <c r="C125" s="242"/>
      <c r="D125" s="188"/>
      <c r="E125" s="188"/>
      <c r="F125" s="188"/>
      <c r="G125" s="183">
        <f t="shared" si="18"/>
        <v>0</v>
      </c>
      <c r="H125" s="189"/>
      <c r="I125" s="182"/>
      <c r="J125" s="188"/>
      <c r="K125" s="190"/>
      <c r="L125" s="468"/>
      <c r="M125" s="466"/>
    </row>
    <row r="126" spans="1:13" ht="15.75">
      <c r="C126" s="81" t="s">
        <v>33</v>
      </c>
      <c r="D126" s="17">
        <f>SUM(D118:D125)</f>
        <v>80863</v>
      </c>
      <c r="E126" s="17">
        <f>SUM(E118:E125)</f>
        <v>0</v>
      </c>
      <c r="F126" s="17">
        <f>SUM(F118:F125)</f>
        <v>0</v>
      </c>
      <c r="G126" s="17">
        <f>SUM(G118:G125)</f>
        <v>80863</v>
      </c>
      <c r="H126" s="14">
        <f>(H118*G118)+(H119*G119)+(H120*G120)+(H121*G121)+(H122*G122)+(H123*G123)+(H124*G124)+(H125*G125)</f>
        <v>38409.699999999997</v>
      </c>
      <c r="I126" s="14">
        <f>SUM(I118:I125)</f>
        <v>8893.5496380000095</v>
      </c>
      <c r="J126" s="131"/>
      <c r="K126" s="190"/>
      <c r="L126" s="470"/>
      <c r="M126" s="466"/>
    </row>
    <row r="127" spans="1:13" ht="51" customHeight="1">
      <c r="B127" s="81" t="s">
        <v>250</v>
      </c>
      <c r="C127" s="489" t="s">
        <v>251</v>
      </c>
      <c r="D127" s="489"/>
      <c r="E127" s="489"/>
      <c r="F127" s="489"/>
      <c r="G127" s="489"/>
      <c r="H127" s="489"/>
      <c r="I127" s="490"/>
      <c r="J127" s="490"/>
      <c r="K127" s="489"/>
      <c r="L127" s="467"/>
      <c r="M127" s="466"/>
    </row>
    <row r="128" spans="1:13" ht="78.75">
      <c r="A128" s="395" t="s">
        <v>252</v>
      </c>
      <c r="B128" s="181" t="s">
        <v>253</v>
      </c>
      <c r="C128" s="136" t="s">
        <v>254</v>
      </c>
      <c r="D128" s="182">
        <v>6809</v>
      </c>
      <c r="E128" s="182"/>
      <c r="F128" s="182"/>
      <c r="G128" s="183">
        <f>D128</f>
        <v>6809</v>
      </c>
      <c r="H128" s="184">
        <v>0.3</v>
      </c>
      <c r="I128" s="182">
        <f>+SUMIFS(PACIFISTA!$J:$J,PACIFISTA!$C:$C,'1) Budget Tables'!A128)/PACIFISTA!$R$1</f>
        <v>0</v>
      </c>
      <c r="J128" s="195" t="s">
        <v>255</v>
      </c>
      <c r="K128" s="186"/>
      <c r="L128" s="468">
        <f t="shared" ref="L128:L132" si="19">+I128*H128</f>
        <v>0</v>
      </c>
      <c r="M128" s="466"/>
    </row>
    <row r="129" spans="1:13" ht="78.75">
      <c r="A129" s="395" t="s">
        <v>256</v>
      </c>
      <c r="B129" s="181" t="s">
        <v>257</v>
      </c>
      <c r="C129" s="136" t="s">
        <v>258</v>
      </c>
      <c r="D129" s="182">
        <v>13620</v>
      </c>
      <c r="E129" s="182"/>
      <c r="F129" s="182"/>
      <c r="G129" s="183">
        <f t="shared" ref="G129:G135" si="20">D129</f>
        <v>13620</v>
      </c>
      <c r="H129" s="184">
        <v>0.6</v>
      </c>
      <c r="I129" s="182">
        <f>+SUMIFS(PACIFISTA!$J:$J,PACIFISTA!$C:$C,'1) Budget Tables'!A129)/PACIFISTA!$R$1</f>
        <v>0</v>
      </c>
      <c r="J129" s="195" t="s">
        <v>259</v>
      </c>
      <c r="K129" s="186"/>
      <c r="L129" s="468">
        <f t="shared" si="19"/>
        <v>0</v>
      </c>
      <c r="M129" s="466"/>
    </row>
    <row r="130" spans="1:13" ht="63">
      <c r="A130" s="395" t="s">
        <v>260</v>
      </c>
      <c r="B130" s="181" t="s">
        <v>261</v>
      </c>
      <c r="C130" s="136" t="s">
        <v>262</v>
      </c>
      <c r="D130" s="182">
        <v>20430</v>
      </c>
      <c r="E130" s="182"/>
      <c r="F130" s="182"/>
      <c r="G130" s="183">
        <f t="shared" si="20"/>
        <v>20430</v>
      </c>
      <c r="H130" s="184">
        <v>0.5</v>
      </c>
      <c r="I130" s="182">
        <f>+SUMIFS(PACIFISTA!$J:$J,PACIFISTA!$C:$C,'1) Budget Tables'!A130)/PACIFISTA!$R$1</f>
        <v>2790.0000000000027</v>
      </c>
      <c r="J130" s="195" t="s">
        <v>263</v>
      </c>
      <c r="K130" s="186"/>
      <c r="L130" s="468">
        <f t="shared" si="19"/>
        <v>1395.0000000000014</v>
      </c>
      <c r="M130" s="466"/>
    </row>
    <row r="131" spans="1:13" ht="63">
      <c r="A131" s="395" t="s">
        <v>264</v>
      </c>
      <c r="B131" s="181" t="s">
        <v>265</v>
      </c>
      <c r="C131" s="136" t="s">
        <v>266</v>
      </c>
      <c r="D131" s="182">
        <v>10896</v>
      </c>
      <c r="E131" s="182"/>
      <c r="F131" s="182"/>
      <c r="G131" s="183">
        <f t="shared" si="20"/>
        <v>10896</v>
      </c>
      <c r="H131" s="184">
        <v>0.3</v>
      </c>
      <c r="I131" s="182">
        <f>+SUMIFS(PACIFISTA!$J:$J,PACIFISTA!$C:$C,'1) Budget Tables'!A131)/PACIFISTA!$R$1</f>
        <v>8125.9009470000083</v>
      </c>
      <c r="J131" s="195" t="s">
        <v>267</v>
      </c>
      <c r="K131" s="186"/>
      <c r="L131" s="468">
        <f t="shared" si="19"/>
        <v>2437.7702841000023</v>
      </c>
      <c r="M131" s="466"/>
    </row>
    <row r="132" spans="1:13" ht="78.75">
      <c r="A132" s="395" t="s">
        <v>268</v>
      </c>
      <c r="B132" s="181" t="s">
        <v>269</v>
      </c>
      <c r="C132" s="136" t="s">
        <v>270</v>
      </c>
      <c r="D132" s="182">
        <v>16344</v>
      </c>
      <c r="E132" s="182"/>
      <c r="F132" s="182"/>
      <c r="G132" s="183">
        <f t="shared" si="20"/>
        <v>16344</v>
      </c>
      <c r="H132" s="184">
        <v>0.5</v>
      </c>
      <c r="I132" s="182">
        <f>+SUMIFS(PACIFISTA!$J:$J,PACIFISTA!$C:$C,'1) Budget Tables'!A132)/PACIFISTA!$R$1</f>
        <v>3216.8700000000031</v>
      </c>
      <c r="J132" s="195" t="s">
        <v>271</v>
      </c>
      <c r="K132" s="186"/>
      <c r="L132" s="468">
        <f t="shared" si="19"/>
        <v>1608.4350000000015</v>
      </c>
      <c r="M132" s="466"/>
    </row>
    <row r="133" spans="1:13" ht="15.75" hidden="1">
      <c r="B133" s="181" t="s">
        <v>272</v>
      </c>
      <c r="C133" s="136"/>
      <c r="D133" s="182"/>
      <c r="E133" s="182"/>
      <c r="F133" s="182"/>
      <c r="G133" s="183">
        <f t="shared" si="20"/>
        <v>0</v>
      </c>
      <c r="H133" s="184"/>
      <c r="I133" s="182"/>
      <c r="J133" s="182"/>
      <c r="K133" s="186"/>
      <c r="L133" s="468"/>
      <c r="M133" s="466"/>
    </row>
    <row r="134" spans="1:13" ht="15.75" hidden="1">
      <c r="B134" s="181" t="s">
        <v>273</v>
      </c>
      <c r="C134" s="242"/>
      <c r="D134" s="188"/>
      <c r="E134" s="188"/>
      <c r="F134" s="188"/>
      <c r="G134" s="183">
        <f t="shared" si="20"/>
        <v>0</v>
      </c>
      <c r="H134" s="189"/>
      <c r="I134" s="188"/>
      <c r="J134" s="188"/>
      <c r="K134" s="190"/>
      <c r="L134" s="468"/>
      <c r="M134" s="466"/>
    </row>
    <row r="135" spans="1:13" ht="15.75" hidden="1">
      <c r="B135" s="181" t="s">
        <v>274</v>
      </c>
      <c r="C135" s="242"/>
      <c r="D135" s="188"/>
      <c r="E135" s="188"/>
      <c r="F135" s="188"/>
      <c r="G135" s="183">
        <f t="shared" si="20"/>
        <v>0</v>
      </c>
      <c r="H135" s="189"/>
      <c r="I135" s="188"/>
      <c r="J135" s="188"/>
      <c r="K135" s="190"/>
      <c r="L135" s="468"/>
      <c r="M135" s="466"/>
    </row>
    <row r="136" spans="1:13" ht="15.75">
      <c r="C136" s="81" t="s">
        <v>33</v>
      </c>
      <c r="D136" s="17">
        <f>SUM(D128:D135)</f>
        <v>68099</v>
      </c>
      <c r="E136" s="17">
        <f>SUM(E128:E135)</f>
        <v>0</v>
      </c>
      <c r="F136" s="17">
        <f>SUM(F128:F135)</f>
        <v>0</v>
      </c>
      <c r="G136" s="17">
        <f>SUM(G128:G135)</f>
        <v>68099</v>
      </c>
      <c r="H136" s="14">
        <f>(H128*G128)+(H129*G129)+(H130*G130)+(H131*G131)+(H132*G132)+(H133*G133)+(H134*G134)+(H135*G135)</f>
        <v>31870.5</v>
      </c>
      <c r="I136" s="14">
        <f>SUM(I128:I135)</f>
        <v>14132.770947000014</v>
      </c>
      <c r="J136" s="131"/>
      <c r="K136" s="190"/>
      <c r="L136" s="470"/>
      <c r="M136" s="466"/>
    </row>
    <row r="137" spans="1:13" ht="51" hidden="1" customHeight="1">
      <c r="B137" s="81" t="s">
        <v>275</v>
      </c>
      <c r="C137" s="489"/>
      <c r="D137" s="489"/>
      <c r="E137" s="489"/>
      <c r="F137" s="489"/>
      <c r="G137" s="489"/>
      <c r="H137" s="489"/>
      <c r="I137" s="490"/>
      <c r="J137" s="490"/>
      <c r="K137" s="489"/>
      <c r="L137" s="35"/>
    </row>
    <row r="138" spans="1:13" ht="15.75" hidden="1">
      <c r="B138" s="181" t="s">
        <v>276</v>
      </c>
      <c r="C138" s="136"/>
      <c r="D138" s="182"/>
      <c r="E138" s="182"/>
      <c r="F138" s="182"/>
      <c r="G138" s="183">
        <f>D138</f>
        <v>0</v>
      </c>
      <c r="H138" s="184"/>
      <c r="I138" s="182"/>
      <c r="J138" s="182"/>
      <c r="K138" s="186"/>
      <c r="L138" s="187"/>
    </row>
    <row r="139" spans="1:13" ht="15.75" hidden="1">
      <c r="B139" s="181" t="s">
        <v>277</v>
      </c>
      <c r="C139" s="136"/>
      <c r="D139" s="182"/>
      <c r="E139" s="182"/>
      <c r="F139" s="182"/>
      <c r="G139" s="183">
        <f t="shared" ref="G139:G145" si="21">D139</f>
        <v>0</v>
      </c>
      <c r="H139" s="184"/>
      <c r="I139" s="182"/>
      <c r="J139" s="182"/>
      <c r="K139" s="186"/>
      <c r="L139" s="187"/>
    </row>
    <row r="140" spans="1:13" ht="15.75" hidden="1">
      <c r="B140" s="181" t="s">
        <v>278</v>
      </c>
      <c r="C140" s="136"/>
      <c r="D140" s="182"/>
      <c r="E140" s="182"/>
      <c r="F140" s="182"/>
      <c r="G140" s="183">
        <f t="shared" si="21"/>
        <v>0</v>
      </c>
      <c r="H140" s="184"/>
      <c r="I140" s="182"/>
      <c r="J140" s="182"/>
      <c r="K140" s="186"/>
      <c r="L140" s="187"/>
    </row>
    <row r="141" spans="1:13" ht="15.75" hidden="1">
      <c r="B141" s="181" t="s">
        <v>279</v>
      </c>
      <c r="C141" s="136"/>
      <c r="D141" s="182"/>
      <c r="E141" s="182"/>
      <c r="F141" s="182"/>
      <c r="G141" s="183">
        <f t="shared" si="21"/>
        <v>0</v>
      </c>
      <c r="H141" s="184"/>
      <c r="I141" s="182"/>
      <c r="J141" s="182"/>
      <c r="K141" s="186"/>
      <c r="L141" s="187"/>
    </row>
    <row r="142" spans="1:13" ht="15.75" hidden="1">
      <c r="B142" s="181" t="s">
        <v>280</v>
      </c>
      <c r="C142" s="136"/>
      <c r="D142" s="182"/>
      <c r="E142" s="182"/>
      <c r="F142" s="182"/>
      <c r="G142" s="183">
        <f t="shared" si="21"/>
        <v>0</v>
      </c>
      <c r="H142" s="184"/>
      <c r="I142" s="182"/>
      <c r="J142" s="182"/>
      <c r="K142" s="186"/>
      <c r="L142" s="187"/>
    </row>
    <row r="143" spans="1:13" ht="15.75" hidden="1">
      <c r="B143" s="181" t="s">
        <v>281</v>
      </c>
      <c r="C143" s="136"/>
      <c r="D143" s="182"/>
      <c r="E143" s="182"/>
      <c r="F143" s="182"/>
      <c r="G143" s="183">
        <f t="shared" si="21"/>
        <v>0</v>
      </c>
      <c r="H143" s="184"/>
      <c r="I143" s="182"/>
      <c r="J143" s="182"/>
      <c r="K143" s="186"/>
      <c r="L143" s="187"/>
    </row>
    <row r="144" spans="1:13" ht="15.75" hidden="1">
      <c r="B144" s="181" t="s">
        <v>282</v>
      </c>
      <c r="C144" s="242"/>
      <c r="D144" s="188"/>
      <c r="E144" s="188"/>
      <c r="F144" s="188"/>
      <c r="G144" s="183">
        <f t="shared" si="21"/>
        <v>0</v>
      </c>
      <c r="H144" s="189"/>
      <c r="I144" s="188"/>
      <c r="J144" s="188"/>
      <c r="K144" s="190"/>
      <c r="L144" s="187"/>
    </row>
    <row r="145" spans="2:12" ht="15.75" hidden="1">
      <c r="B145" s="181" t="s">
        <v>283</v>
      </c>
      <c r="C145" s="242"/>
      <c r="D145" s="188"/>
      <c r="E145" s="188"/>
      <c r="F145" s="188"/>
      <c r="G145" s="183">
        <f t="shared" si="21"/>
        <v>0</v>
      </c>
      <c r="H145" s="189"/>
      <c r="I145" s="188"/>
      <c r="J145" s="188"/>
      <c r="K145" s="190"/>
      <c r="L145" s="187"/>
    </row>
    <row r="146" spans="2:12" ht="15.75" hidden="1">
      <c r="C146" s="81" t="s">
        <v>33</v>
      </c>
      <c r="D146" s="14">
        <f>SUM(D138:D145)</f>
        <v>0</v>
      </c>
      <c r="E146" s="14">
        <f>SUM(E138:E145)</f>
        <v>0</v>
      </c>
      <c r="F146" s="14">
        <f>SUM(F138:F145)</f>
        <v>0</v>
      </c>
      <c r="G146" s="14">
        <f>SUM(G138:G145)</f>
        <v>0</v>
      </c>
      <c r="H146" s="14">
        <f>(H138*G138)+(H139*G139)+(H140*G140)+(H141*G141)+(H142*G142)+(H143*G143)+(H144*G144)+(H145*G145)</f>
        <v>0</v>
      </c>
      <c r="I146" s="14">
        <f>SUM(I138:I145)</f>
        <v>0</v>
      </c>
      <c r="J146" s="131"/>
      <c r="K146" s="190"/>
      <c r="L146" s="36"/>
    </row>
    <row r="147" spans="2:12" ht="15.75" hidden="1" customHeight="1">
      <c r="B147" s="4"/>
      <c r="C147" s="191"/>
      <c r="D147" s="194"/>
      <c r="E147" s="194"/>
      <c r="F147" s="194"/>
      <c r="G147" s="194"/>
      <c r="H147" s="194"/>
      <c r="I147" s="194"/>
      <c r="J147" s="194"/>
      <c r="K147" s="196"/>
      <c r="L147" s="2"/>
    </row>
    <row r="148" spans="2:12" ht="51" hidden="1" customHeight="1">
      <c r="B148" s="81" t="s">
        <v>284</v>
      </c>
      <c r="C148" s="487"/>
      <c r="D148" s="487"/>
      <c r="E148" s="487"/>
      <c r="F148" s="487"/>
      <c r="G148" s="487"/>
      <c r="H148" s="487"/>
      <c r="I148" s="488"/>
      <c r="J148" s="488"/>
      <c r="K148" s="487"/>
      <c r="L148" s="13"/>
    </row>
    <row r="149" spans="2:12" ht="51" hidden="1" customHeight="1">
      <c r="B149" s="81" t="s">
        <v>285</v>
      </c>
      <c r="C149" s="489"/>
      <c r="D149" s="489"/>
      <c r="E149" s="489"/>
      <c r="F149" s="489"/>
      <c r="G149" s="489"/>
      <c r="H149" s="489"/>
      <c r="I149" s="490"/>
      <c r="J149" s="490"/>
      <c r="K149" s="489"/>
      <c r="L149" s="35"/>
    </row>
    <row r="150" spans="2:12" ht="15.75" hidden="1">
      <c r="B150" s="181" t="s">
        <v>286</v>
      </c>
      <c r="C150" s="136"/>
      <c r="D150" s="182"/>
      <c r="E150" s="182"/>
      <c r="F150" s="182"/>
      <c r="G150" s="183">
        <f>D150</f>
        <v>0</v>
      </c>
      <c r="H150" s="184"/>
      <c r="I150" s="182"/>
      <c r="J150" s="182"/>
      <c r="K150" s="186"/>
      <c r="L150" s="187"/>
    </row>
    <row r="151" spans="2:12" ht="15.75" hidden="1">
      <c r="B151" s="181" t="s">
        <v>287</v>
      </c>
      <c r="C151" s="136"/>
      <c r="D151" s="182"/>
      <c r="E151" s="182"/>
      <c r="F151" s="182"/>
      <c r="G151" s="183">
        <f t="shared" ref="G151:G157" si="22">D151</f>
        <v>0</v>
      </c>
      <c r="H151" s="184"/>
      <c r="I151" s="182"/>
      <c r="J151" s="182"/>
      <c r="K151" s="186"/>
      <c r="L151" s="187"/>
    </row>
    <row r="152" spans="2:12" ht="15.75" hidden="1">
      <c r="B152" s="181" t="s">
        <v>288</v>
      </c>
      <c r="C152" s="136"/>
      <c r="D152" s="182"/>
      <c r="E152" s="182"/>
      <c r="F152" s="182"/>
      <c r="G152" s="183">
        <f t="shared" si="22"/>
        <v>0</v>
      </c>
      <c r="H152" s="184"/>
      <c r="I152" s="182"/>
      <c r="J152" s="182"/>
      <c r="K152" s="186"/>
      <c r="L152" s="187"/>
    </row>
    <row r="153" spans="2:12" ht="15.75" hidden="1">
      <c r="B153" s="181" t="s">
        <v>289</v>
      </c>
      <c r="C153" s="136"/>
      <c r="D153" s="182"/>
      <c r="E153" s="182"/>
      <c r="F153" s="182"/>
      <c r="G153" s="183">
        <f t="shared" si="22"/>
        <v>0</v>
      </c>
      <c r="H153" s="184"/>
      <c r="I153" s="182"/>
      <c r="J153" s="182"/>
      <c r="K153" s="186"/>
      <c r="L153" s="187"/>
    </row>
    <row r="154" spans="2:12" ht="15.75" hidden="1">
      <c r="B154" s="181" t="s">
        <v>290</v>
      </c>
      <c r="C154" s="136"/>
      <c r="D154" s="182"/>
      <c r="E154" s="182"/>
      <c r="F154" s="182"/>
      <c r="G154" s="183">
        <f t="shared" si="22"/>
        <v>0</v>
      </c>
      <c r="H154" s="184"/>
      <c r="I154" s="182"/>
      <c r="J154" s="182"/>
      <c r="K154" s="186"/>
      <c r="L154" s="187"/>
    </row>
    <row r="155" spans="2:12" ht="15.75" hidden="1">
      <c r="B155" s="181" t="s">
        <v>291</v>
      </c>
      <c r="C155" s="136"/>
      <c r="D155" s="182"/>
      <c r="E155" s="182"/>
      <c r="F155" s="182"/>
      <c r="G155" s="183">
        <f t="shared" si="22"/>
        <v>0</v>
      </c>
      <c r="H155" s="184"/>
      <c r="I155" s="182"/>
      <c r="J155" s="182"/>
      <c r="K155" s="186"/>
      <c r="L155" s="187"/>
    </row>
    <row r="156" spans="2:12" ht="15.75" hidden="1">
      <c r="B156" s="181" t="s">
        <v>292</v>
      </c>
      <c r="C156" s="242"/>
      <c r="D156" s="188"/>
      <c r="E156" s="188"/>
      <c r="F156" s="188"/>
      <c r="G156" s="183">
        <f t="shared" si="22"/>
        <v>0</v>
      </c>
      <c r="H156" s="189"/>
      <c r="I156" s="188"/>
      <c r="J156" s="188"/>
      <c r="K156" s="190"/>
      <c r="L156" s="187"/>
    </row>
    <row r="157" spans="2:12" ht="15.75" hidden="1">
      <c r="B157" s="181" t="s">
        <v>293</v>
      </c>
      <c r="C157" s="242"/>
      <c r="D157" s="188"/>
      <c r="E157" s="188"/>
      <c r="F157" s="188"/>
      <c r="G157" s="183">
        <f t="shared" si="22"/>
        <v>0</v>
      </c>
      <c r="H157" s="189"/>
      <c r="I157" s="188"/>
      <c r="J157" s="188"/>
      <c r="K157" s="190"/>
      <c r="L157" s="187"/>
    </row>
    <row r="158" spans="2:12" ht="15.75" hidden="1">
      <c r="C158" s="81" t="s">
        <v>33</v>
      </c>
      <c r="D158" s="14">
        <f>SUM(D150:D157)</f>
        <v>0</v>
      </c>
      <c r="E158" s="14">
        <f>SUM(E150:E157)</f>
        <v>0</v>
      </c>
      <c r="F158" s="14">
        <f>SUM(F150:F157)</f>
        <v>0</v>
      </c>
      <c r="G158" s="17">
        <f>SUM(G150:G157)</f>
        <v>0</v>
      </c>
      <c r="H158" s="14">
        <f>(H150*G150)+(H151*G151)+(H152*G152)+(H153*G153)+(H154*G154)+(H155*G155)+(H156*G156)+(H157*G157)</f>
        <v>0</v>
      </c>
      <c r="I158" s="14">
        <f>SUM(I150:I157)</f>
        <v>0</v>
      </c>
      <c r="J158" s="131"/>
      <c r="K158" s="190"/>
      <c r="L158" s="36"/>
    </row>
    <row r="159" spans="2:12" ht="51" hidden="1" customHeight="1">
      <c r="B159" s="81" t="s">
        <v>294</v>
      </c>
      <c r="C159" s="489"/>
      <c r="D159" s="489"/>
      <c r="E159" s="489"/>
      <c r="F159" s="489"/>
      <c r="G159" s="489"/>
      <c r="H159" s="489"/>
      <c r="I159" s="490"/>
      <c r="J159" s="490"/>
      <c r="K159" s="489"/>
      <c r="L159" s="35"/>
    </row>
    <row r="160" spans="2:12" ht="15.75" hidden="1">
      <c r="B160" s="181" t="s">
        <v>295</v>
      </c>
      <c r="C160" s="136"/>
      <c r="D160" s="182"/>
      <c r="E160" s="182"/>
      <c r="F160" s="182"/>
      <c r="G160" s="183">
        <f>D160</f>
        <v>0</v>
      </c>
      <c r="H160" s="184"/>
      <c r="I160" s="182"/>
      <c r="J160" s="182"/>
      <c r="K160" s="186"/>
      <c r="L160" s="187"/>
    </row>
    <row r="161" spans="2:12" ht="15.75" hidden="1">
      <c r="B161" s="181" t="s">
        <v>296</v>
      </c>
      <c r="C161" s="136"/>
      <c r="D161" s="182"/>
      <c r="E161" s="182"/>
      <c r="F161" s="182"/>
      <c r="G161" s="183">
        <f t="shared" ref="G161:G167" si="23">D161</f>
        <v>0</v>
      </c>
      <c r="H161" s="184"/>
      <c r="I161" s="182"/>
      <c r="J161" s="182"/>
      <c r="K161" s="186"/>
      <c r="L161" s="187"/>
    </row>
    <row r="162" spans="2:12" ht="15.75" hidden="1">
      <c r="B162" s="181" t="s">
        <v>297</v>
      </c>
      <c r="C162" s="136"/>
      <c r="D162" s="182"/>
      <c r="E162" s="182"/>
      <c r="F162" s="182"/>
      <c r="G162" s="183">
        <f t="shared" si="23"/>
        <v>0</v>
      </c>
      <c r="H162" s="184"/>
      <c r="I162" s="182"/>
      <c r="J162" s="182"/>
      <c r="K162" s="186"/>
      <c r="L162" s="187"/>
    </row>
    <row r="163" spans="2:12" ht="15.75" hidden="1">
      <c r="B163" s="181" t="s">
        <v>298</v>
      </c>
      <c r="C163" s="136"/>
      <c r="D163" s="182"/>
      <c r="E163" s="182"/>
      <c r="F163" s="182"/>
      <c r="G163" s="183">
        <f t="shared" si="23"/>
        <v>0</v>
      </c>
      <c r="H163" s="184"/>
      <c r="I163" s="182"/>
      <c r="J163" s="182"/>
      <c r="K163" s="186"/>
      <c r="L163" s="187"/>
    </row>
    <row r="164" spans="2:12" ht="15.75" hidden="1">
      <c r="B164" s="181" t="s">
        <v>299</v>
      </c>
      <c r="C164" s="136"/>
      <c r="D164" s="182"/>
      <c r="E164" s="182"/>
      <c r="F164" s="182"/>
      <c r="G164" s="183">
        <f t="shared" si="23"/>
        <v>0</v>
      </c>
      <c r="H164" s="184"/>
      <c r="I164" s="182"/>
      <c r="J164" s="182"/>
      <c r="K164" s="186"/>
      <c r="L164" s="187"/>
    </row>
    <row r="165" spans="2:12" ht="15.75" hidden="1">
      <c r="B165" s="181" t="s">
        <v>300</v>
      </c>
      <c r="C165" s="136"/>
      <c r="D165" s="182"/>
      <c r="E165" s="182"/>
      <c r="F165" s="182"/>
      <c r="G165" s="183">
        <f t="shared" si="23"/>
        <v>0</v>
      </c>
      <c r="H165" s="184"/>
      <c r="I165" s="182"/>
      <c r="J165" s="182"/>
      <c r="K165" s="186"/>
      <c r="L165" s="187"/>
    </row>
    <row r="166" spans="2:12" ht="15.75" hidden="1">
      <c r="B166" s="181" t="s">
        <v>301</v>
      </c>
      <c r="C166" s="242"/>
      <c r="D166" s="188"/>
      <c r="E166" s="188"/>
      <c r="F166" s="188"/>
      <c r="G166" s="183">
        <f t="shared" si="23"/>
        <v>0</v>
      </c>
      <c r="H166" s="189"/>
      <c r="I166" s="188"/>
      <c r="J166" s="188"/>
      <c r="K166" s="190"/>
      <c r="L166" s="187"/>
    </row>
    <row r="167" spans="2:12" ht="15.75" hidden="1">
      <c r="B167" s="181" t="s">
        <v>302</v>
      </c>
      <c r="C167" s="242"/>
      <c r="D167" s="188"/>
      <c r="E167" s="188"/>
      <c r="F167" s="188"/>
      <c r="G167" s="183">
        <f t="shared" si="23"/>
        <v>0</v>
      </c>
      <c r="H167" s="189"/>
      <c r="I167" s="188"/>
      <c r="J167" s="188"/>
      <c r="K167" s="190"/>
      <c r="L167" s="187"/>
    </row>
    <row r="168" spans="2:12" ht="15.75" hidden="1">
      <c r="C168" s="81" t="s">
        <v>33</v>
      </c>
      <c r="D168" s="17">
        <f>SUM(D160:D167)</f>
        <v>0</v>
      </c>
      <c r="E168" s="17">
        <f>SUM(E160:E167)</f>
        <v>0</v>
      </c>
      <c r="F168" s="17">
        <f>SUM(F160:F167)</f>
        <v>0</v>
      </c>
      <c r="G168" s="17">
        <f>SUM(G160:G167)</f>
        <v>0</v>
      </c>
      <c r="H168" s="14">
        <f>(H160*G160)+(H161*G161)+(H162*G162)+(H163*G163)+(H164*G164)+(H165*G165)+(H166*G166)+(H167*G167)</f>
        <v>0</v>
      </c>
      <c r="I168" s="14">
        <f>SUM(I160:I167)</f>
        <v>0</v>
      </c>
      <c r="J168" s="131"/>
      <c r="K168" s="190"/>
      <c r="L168" s="36"/>
    </row>
    <row r="169" spans="2:12" ht="51" hidden="1" customHeight="1">
      <c r="B169" s="81" t="s">
        <v>303</v>
      </c>
      <c r="C169" s="489"/>
      <c r="D169" s="489"/>
      <c r="E169" s="489"/>
      <c r="F169" s="489"/>
      <c r="G169" s="489"/>
      <c r="H169" s="489"/>
      <c r="I169" s="490"/>
      <c r="J169" s="490"/>
      <c r="K169" s="489"/>
      <c r="L169" s="35"/>
    </row>
    <row r="170" spans="2:12" ht="15.75" hidden="1">
      <c r="B170" s="181" t="s">
        <v>304</v>
      </c>
      <c r="C170" s="136"/>
      <c r="D170" s="182"/>
      <c r="E170" s="182"/>
      <c r="F170" s="182"/>
      <c r="G170" s="183">
        <f>D170</f>
        <v>0</v>
      </c>
      <c r="H170" s="184"/>
      <c r="I170" s="182"/>
      <c r="J170" s="182"/>
      <c r="K170" s="186"/>
      <c r="L170" s="187"/>
    </row>
    <row r="171" spans="2:12" ht="15.75" hidden="1">
      <c r="B171" s="181" t="s">
        <v>305</v>
      </c>
      <c r="C171" s="136"/>
      <c r="D171" s="182"/>
      <c r="E171" s="182"/>
      <c r="F171" s="182"/>
      <c r="G171" s="183">
        <f t="shared" ref="G171:G177" si="24">D171</f>
        <v>0</v>
      </c>
      <c r="H171" s="184"/>
      <c r="I171" s="182"/>
      <c r="J171" s="182"/>
      <c r="K171" s="186"/>
      <c r="L171" s="187"/>
    </row>
    <row r="172" spans="2:12" ht="15.75" hidden="1">
      <c r="B172" s="181" t="s">
        <v>306</v>
      </c>
      <c r="C172" s="136"/>
      <c r="D172" s="182"/>
      <c r="E172" s="182"/>
      <c r="F172" s="182"/>
      <c r="G172" s="183">
        <f t="shared" si="24"/>
        <v>0</v>
      </c>
      <c r="H172" s="184"/>
      <c r="I172" s="182"/>
      <c r="J172" s="182"/>
      <c r="K172" s="186"/>
      <c r="L172" s="187"/>
    </row>
    <row r="173" spans="2:12" ht="15.75" hidden="1">
      <c r="B173" s="181" t="s">
        <v>307</v>
      </c>
      <c r="C173" s="136"/>
      <c r="D173" s="182"/>
      <c r="E173" s="182"/>
      <c r="F173" s="182"/>
      <c r="G173" s="183">
        <f t="shared" si="24"/>
        <v>0</v>
      </c>
      <c r="H173" s="184"/>
      <c r="I173" s="182"/>
      <c r="J173" s="182"/>
      <c r="K173" s="186"/>
      <c r="L173" s="187"/>
    </row>
    <row r="174" spans="2:12" ht="15.75" hidden="1">
      <c r="B174" s="181" t="s">
        <v>308</v>
      </c>
      <c r="C174" s="136"/>
      <c r="D174" s="182"/>
      <c r="E174" s="182"/>
      <c r="F174" s="182"/>
      <c r="G174" s="183">
        <f t="shared" si="24"/>
        <v>0</v>
      </c>
      <c r="H174" s="184"/>
      <c r="I174" s="182"/>
      <c r="J174" s="182"/>
      <c r="K174" s="186"/>
      <c r="L174" s="187"/>
    </row>
    <row r="175" spans="2:12" ht="15.75" hidden="1">
      <c r="B175" s="181" t="s">
        <v>309</v>
      </c>
      <c r="C175" s="136"/>
      <c r="D175" s="182"/>
      <c r="E175" s="182"/>
      <c r="F175" s="182"/>
      <c r="G175" s="183">
        <f t="shared" si="24"/>
        <v>0</v>
      </c>
      <c r="H175" s="184"/>
      <c r="I175" s="182"/>
      <c r="J175" s="182"/>
      <c r="K175" s="186"/>
      <c r="L175" s="187"/>
    </row>
    <row r="176" spans="2:12" ht="15.75" hidden="1">
      <c r="B176" s="181" t="s">
        <v>310</v>
      </c>
      <c r="C176" s="242"/>
      <c r="D176" s="188"/>
      <c r="E176" s="188"/>
      <c r="F176" s="188"/>
      <c r="G176" s="183">
        <f t="shared" si="24"/>
        <v>0</v>
      </c>
      <c r="H176" s="189"/>
      <c r="I176" s="188"/>
      <c r="J176" s="188"/>
      <c r="K176" s="190"/>
      <c r="L176" s="187"/>
    </row>
    <row r="177" spans="1:13" ht="15.75" hidden="1">
      <c r="B177" s="181" t="s">
        <v>311</v>
      </c>
      <c r="C177" s="242"/>
      <c r="D177" s="188"/>
      <c r="E177" s="188"/>
      <c r="F177" s="188"/>
      <c r="G177" s="183">
        <f t="shared" si="24"/>
        <v>0</v>
      </c>
      <c r="H177" s="189"/>
      <c r="I177" s="188"/>
      <c r="J177" s="188"/>
      <c r="K177" s="190"/>
      <c r="L177" s="187"/>
    </row>
    <row r="178" spans="1:13" ht="15.75" hidden="1">
      <c r="C178" s="81" t="s">
        <v>33</v>
      </c>
      <c r="D178" s="17">
        <f>SUM(D170:D177)</f>
        <v>0</v>
      </c>
      <c r="E178" s="17">
        <f>SUM(E170:E177)</f>
        <v>0</v>
      </c>
      <c r="F178" s="17">
        <f>SUM(F170:F177)</f>
        <v>0</v>
      </c>
      <c r="G178" s="17">
        <f>SUM(G170:G177)</f>
        <v>0</v>
      </c>
      <c r="H178" s="14">
        <f>(H170*G170)+(H171*G171)+(H172*G172)+(H173*G173)+(H174*G174)+(H175*G175)+(H176*G176)+(H177*G177)</f>
        <v>0</v>
      </c>
      <c r="I178" s="14">
        <f>SUM(I170:I177)</f>
        <v>0</v>
      </c>
      <c r="J178" s="131"/>
      <c r="K178" s="190"/>
      <c r="L178" s="36"/>
    </row>
    <row r="179" spans="1:13" ht="51" hidden="1" customHeight="1">
      <c r="B179" s="81" t="s">
        <v>312</v>
      </c>
      <c r="C179" s="489"/>
      <c r="D179" s="489"/>
      <c r="E179" s="489"/>
      <c r="F179" s="489"/>
      <c r="G179" s="489"/>
      <c r="H179" s="489"/>
      <c r="I179" s="490"/>
      <c r="J179" s="490"/>
      <c r="K179" s="489"/>
      <c r="L179" s="35"/>
    </row>
    <row r="180" spans="1:13" ht="15.75" hidden="1">
      <c r="B180" s="181" t="s">
        <v>313</v>
      </c>
      <c r="C180" s="136"/>
      <c r="D180" s="182"/>
      <c r="E180" s="182"/>
      <c r="F180" s="182"/>
      <c r="G180" s="183">
        <f>D180</f>
        <v>0</v>
      </c>
      <c r="H180" s="184"/>
      <c r="I180" s="182"/>
      <c r="J180" s="182"/>
      <c r="K180" s="186"/>
      <c r="L180" s="187"/>
    </row>
    <row r="181" spans="1:13" ht="15.75" hidden="1">
      <c r="B181" s="181" t="s">
        <v>314</v>
      </c>
      <c r="C181" s="136"/>
      <c r="D181" s="182"/>
      <c r="E181" s="182"/>
      <c r="F181" s="182"/>
      <c r="G181" s="183">
        <f t="shared" ref="G181:G187" si="25">D181</f>
        <v>0</v>
      </c>
      <c r="H181" s="184"/>
      <c r="I181" s="182"/>
      <c r="J181" s="182"/>
      <c r="K181" s="186"/>
      <c r="L181" s="187"/>
    </row>
    <row r="182" spans="1:13" ht="15.75" hidden="1">
      <c r="B182" s="181" t="s">
        <v>315</v>
      </c>
      <c r="C182" s="136"/>
      <c r="D182" s="182"/>
      <c r="E182" s="182"/>
      <c r="F182" s="182"/>
      <c r="G182" s="183">
        <f t="shared" si="25"/>
        <v>0</v>
      </c>
      <c r="H182" s="184"/>
      <c r="I182" s="182"/>
      <c r="J182" s="182"/>
      <c r="K182" s="186"/>
      <c r="L182" s="187"/>
    </row>
    <row r="183" spans="1:13" ht="15.75" hidden="1">
      <c r="B183" s="181" t="s">
        <v>316</v>
      </c>
      <c r="C183" s="136"/>
      <c r="D183" s="182"/>
      <c r="E183" s="182"/>
      <c r="F183" s="182"/>
      <c r="G183" s="183">
        <f t="shared" si="25"/>
        <v>0</v>
      </c>
      <c r="H183" s="184"/>
      <c r="I183" s="182"/>
      <c r="J183" s="182"/>
      <c r="K183" s="186"/>
      <c r="L183" s="187"/>
    </row>
    <row r="184" spans="1:13" ht="15.75" hidden="1">
      <c r="B184" s="181" t="s">
        <v>317</v>
      </c>
      <c r="C184" s="136"/>
      <c r="D184" s="182"/>
      <c r="E184" s="182"/>
      <c r="F184" s="182"/>
      <c r="G184" s="183">
        <f t="shared" si="25"/>
        <v>0</v>
      </c>
      <c r="H184" s="184"/>
      <c r="I184" s="182"/>
      <c r="J184" s="182"/>
      <c r="K184" s="186"/>
      <c r="L184" s="187"/>
    </row>
    <row r="185" spans="1:13" ht="15.75" hidden="1">
      <c r="B185" s="181" t="s">
        <v>318</v>
      </c>
      <c r="C185" s="136"/>
      <c r="D185" s="182"/>
      <c r="E185" s="182"/>
      <c r="F185" s="182"/>
      <c r="G185" s="183">
        <f t="shared" si="25"/>
        <v>0</v>
      </c>
      <c r="H185" s="184"/>
      <c r="I185" s="182"/>
      <c r="J185" s="182"/>
      <c r="K185" s="186"/>
      <c r="L185" s="187"/>
    </row>
    <row r="186" spans="1:13" ht="15.75" hidden="1">
      <c r="B186" s="181" t="s">
        <v>319</v>
      </c>
      <c r="C186" s="242"/>
      <c r="D186" s="188"/>
      <c r="E186" s="188"/>
      <c r="F186" s="188"/>
      <c r="G186" s="183">
        <f t="shared" si="25"/>
        <v>0</v>
      </c>
      <c r="H186" s="189"/>
      <c r="I186" s="188"/>
      <c r="J186" s="188"/>
      <c r="K186" s="190"/>
      <c r="L186" s="187"/>
    </row>
    <row r="187" spans="1:13" ht="15.75" hidden="1">
      <c r="B187" s="181" t="s">
        <v>320</v>
      </c>
      <c r="C187" s="242"/>
      <c r="D187" s="188"/>
      <c r="E187" s="188"/>
      <c r="F187" s="188"/>
      <c r="G187" s="183">
        <f t="shared" si="25"/>
        <v>0</v>
      </c>
      <c r="H187" s="189"/>
      <c r="I187" s="188"/>
      <c r="J187" s="188"/>
      <c r="K187" s="190"/>
      <c r="L187" s="187"/>
    </row>
    <row r="188" spans="1:13" ht="15.75" hidden="1">
      <c r="C188" s="81" t="s">
        <v>33</v>
      </c>
      <c r="D188" s="14">
        <f>SUM(D180:D187)</f>
        <v>0</v>
      </c>
      <c r="E188" s="14">
        <f>SUM(E180:E187)</f>
        <v>0</v>
      </c>
      <c r="F188" s="14">
        <f>SUM(F180:F187)</f>
        <v>0</v>
      </c>
      <c r="G188" s="14">
        <f>SUM(G180:G187)</f>
        <v>0</v>
      </c>
      <c r="H188" s="14">
        <f>(H180*G180)+(H181*G181)+(H182*G182)+(H183*G183)+(H184*G184)+(H185*G185)+(H186*G186)+(H187*G187)</f>
        <v>0</v>
      </c>
      <c r="I188" s="14">
        <f>SUM(I180:I187)</f>
        <v>0</v>
      </c>
      <c r="J188" s="131"/>
      <c r="K188" s="190"/>
      <c r="L188" s="36"/>
    </row>
    <row r="189" spans="1:13" ht="15.75" customHeight="1">
      <c r="B189" s="4"/>
      <c r="C189" s="191"/>
      <c r="D189" s="194"/>
      <c r="E189" s="194"/>
      <c r="F189" s="194"/>
      <c r="G189" s="194"/>
      <c r="H189" s="194"/>
      <c r="I189" s="194"/>
      <c r="J189" s="194"/>
      <c r="K189" s="191"/>
      <c r="L189" s="2"/>
    </row>
    <row r="190" spans="1:13" ht="15.75" customHeight="1">
      <c r="B190" s="4"/>
      <c r="C190" s="191"/>
      <c r="D190" s="194"/>
      <c r="E190" s="194"/>
      <c r="F190" s="194"/>
      <c r="G190" s="194"/>
      <c r="H190" s="194"/>
      <c r="I190" s="194"/>
      <c r="J190" s="194"/>
      <c r="K190" s="191"/>
      <c r="L190" s="460"/>
    </row>
    <row r="191" spans="1:13" ht="63.75" customHeight="1">
      <c r="A191" s="395" t="s">
        <v>321</v>
      </c>
      <c r="B191" s="81" t="s">
        <v>322</v>
      </c>
      <c r="C191" s="197" t="s">
        <v>323</v>
      </c>
      <c r="D191" s="198">
        <f>188298.254-26312</f>
        <v>161986.25399999999</v>
      </c>
      <c r="E191" s="198"/>
      <c r="G191" s="199">
        <f>D191</f>
        <v>161986.25399999999</v>
      </c>
      <c r="H191" s="200"/>
      <c r="I191" s="198">
        <f>+SUMIFS('GL NRC'!$X:$X,'GL NRC'!$AC:$AC,'1) Budget Tables'!A191)</f>
        <v>109899.44000000002</v>
      </c>
      <c r="J191" s="198"/>
      <c r="K191" s="201"/>
      <c r="L191" s="470"/>
      <c r="M191" s="471">
        <f>+I191</f>
        <v>109899.44000000002</v>
      </c>
    </row>
    <row r="192" spans="1:13" ht="69.75" customHeight="1">
      <c r="A192" s="395" t="s">
        <v>324</v>
      </c>
      <c r="B192" s="81" t="s">
        <v>325</v>
      </c>
      <c r="C192" s="197" t="s">
        <v>323</v>
      </c>
      <c r="D192" s="198">
        <f>101137.577+26312</f>
        <v>127449.577</v>
      </c>
      <c r="E192" s="198"/>
      <c r="F192" s="198"/>
      <c r="G192" s="199">
        <f>D192</f>
        <v>127449.577</v>
      </c>
      <c r="H192" s="200"/>
      <c r="I192" s="198">
        <f>+SUMIFS('GL NRC'!$X:$X,'GL NRC'!$AC:$AC,'1) Budget Tables'!A192)</f>
        <v>96131.300000000105</v>
      </c>
      <c r="J192" s="198"/>
      <c r="K192" s="201"/>
      <c r="L192" s="472"/>
      <c r="M192" s="471">
        <f>+I192</f>
        <v>96131.300000000105</v>
      </c>
    </row>
    <row r="193" spans="1:15" ht="57" customHeight="1">
      <c r="A193" s="395" t="s">
        <v>326</v>
      </c>
      <c r="B193" s="81" t="s">
        <v>327</v>
      </c>
      <c r="C193" s="202" t="s">
        <v>328</v>
      </c>
      <c r="D193" s="198">
        <f>66429</f>
        <v>66429</v>
      </c>
      <c r="E193" s="198"/>
      <c r="F193" s="198"/>
      <c r="G193" s="199">
        <f>D193</f>
        <v>66429</v>
      </c>
      <c r="H193" s="200"/>
      <c r="I193" s="198">
        <f>+SUMIFS('GL NRC'!$X:$X,'GL NRC'!$AC:$AC,'1) Budget Tables'!A193)</f>
        <v>32781.690000000017</v>
      </c>
      <c r="J193" s="198"/>
      <c r="K193" s="201"/>
      <c r="L193" s="470"/>
      <c r="M193" s="471">
        <f>+I193</f>
        <v>32781.690000000017</v>
      </c>
    </row>
    <row r="194" spans="1:15" ht="65.25" customHeight="1">
      <c r="B194" s="93" t="s">
        <v>329</v>
      </c>
      <c r="C194" s="197"/>
      <c r="D194" s="198">
        <v>8571</v>
      </c>
      <c r="E194" s="198"/>
      <c r="F194" s="198"/>
      <c r="G194" s="199">
        <f>D194</f>
        <v>8571</v>
      </c>
      <c r="H194" s="200"/>
      <c r="I194" s="198"/>
      <c r="J194" s="198"/>
      <c r="K194" s="201"/>
      <c r="L194" s="470"/>
      <c r="M194" s="466"/>
    </row>
    <row r="195" spans="1:15" ht="65.25" customHeight="1">
      <c r="A195" s="395" t="s">
        <v>4079</v>
      </c>
      <c r="B195" s="81" t="s">
        <v>330</v>
      </c>
      <c r="C195" s="197" t="s">
        <v>331</v>
      </c>
      <c r="D195" s="198">
        <v>11250</v>
      </c>
      <c r="E195" s="198"/>
      <c r="F195" s="198"/>
      <c r="G195" s="199">
        <f>D195</f>
        <v>11250</v>
      </c>
      <c r="H195" s="200"/>
      <c r="I195" s="198"/>
      <c r="J195" s="198"/>
      <c r="K195" s="201"/>
      <c r="L195" s="470"/>
      <c r="M195" s="466"/>
    </row>
    <row r="196" spans="1:15" ht="21.75" customHeight="1">
      <c r="B196" s="4"/>
      <c r="C196" s="94" t="s">
        <v>332</v>
      </c>
      <c r="D196" s="97">
        <f>SUM(D191:D195)</f>
        <v>375685.83100000001</v>
      </c>
      <c r="E196" s="97">
        <f>SUM(E191:E194)</f>
        <v>0</v>
      </c>
      <c r="F196" s="97">
        <f>SUM(F191:F194)</f>
        <v>0</v>
      </c>
      <c r="G196" s="97">
        <f>SUM(G191:G195)</f>
        <v>375685.83100000001</v>
      </c>
      <c r="H196" s="14">
        <f>(H191*G191)+(H192*G192)+(H193*G193)+(H194*G194)+(H195*G195)</f>
        <v>0</v>
      </c>
      <c r="I196" s="14">
        <f>SUM(I191:I195)</f>
        <v>238812.43000000011</v>
      </c>
      <c r="J196" s="131"/>
      <c r="K196" s="197"/>
      <c r="L196" s="473"/>
      <c r="M196" s="466"/>
    </row>
    <row r="197" spans="1:15" ht="15.75" customHeight="1">
      <c r="B197" s="4"/>
      <c r="C197" s="191"/>
      <c r="D197" s="194"/>
      <c r="E197" s="194"/>
      <c r="F197" s="194"/>
      <c r="G197" s="194"/>
      <c r="H197" s="194"/>
      <c r="I197" s="194"/>
      <c r="J197" s="194"/>
      <c r="K197" s="191"/>
      <c r="L197" s="12"/>
    </row>
    <row r="198" spans="1:15" s="395" customFormat="1" ht="15.75" customHeight="1">
      <c r="B198" s="450"/>
      <c r="C198" s="451"/>
      <c r="D198" s="250"/>
      <c r="E198" s="250"/>
      <c r="F198" s="250"/>
      <c r="G198" s="250"/>
      <c r="H198" s="250"/>
      <c r="I198" s="250"/>
      <c r="J198" s="250"/>
      <c r="K198" s="451"/>
      <c r="L198" s="474"/>
      <c r="M198" s="455"/>
      <c r="N198" s="453"/>
      <c r="O198" s="455"/>
    </row>
    <row r="199" spans="1:15" s="396" customFormat="1" ht="15.75" customHeight="1">
      <c r="B199" s="450"/>
      <c r="C199" s="451"/>
      <c r="D199" s="250"/>
      <c r="E199" s="250"/>
      <c r="F199" s="250"/>
      <c r="G199" s="250"/>
      <c r="H199" s="250"/>
      <c r="I199" s="250"/>
      <c r="J199" s="250"/>
      <c r="K199" s="451"/>
      <c r="L199" s="475"/>
      <c r="M199" s="456"/>
      <c r="N199" s="453"/>
      <c r="O199" s="456"/>
    </row>
    <row r="200" spans="1:15" s="395" customFormat="1" ht="15.75" customHeight="1">
      <c r="B200" s="450"/>
      <c r="C200" s="451"/>
      <c r="D200" s="250"/>
      <c r="E200" s="250"/>
      <c r="F200" s="250"/>
      <c r="G200" s="250"/>
      <c r="H200" s="250"/>
      <c r="I200" s="250"/>
      <c r="J200" s="250"/>
      <c r="K200" s="451"/>
      <c r="L200" s="452"/>
      <c r="M200" s="455"/>
      <c r="N200" s="453"/>
      <c r="O200" s="455"/>
    </row>
    <row r="201" spans="1:15" s="395" customFormat="1" ht="15.75" customHeight="1">
      <c r="B201" s="450"/>
      <c r="C201" s="451"/>
      <c r="D201" s="250"/>
      <c r="E201" s="250"/>
      <c r="F201" s="250"/>
      <c r="G201" s="250"/>
      <c r="H201" s="250"/>
      <c r="I201" s="250"/>
      <c r="J201" s="250"/>
      <c r="K201" s="451"/>
      <c r="L201" s="452"/>
      <c r="M201" s="455"/>
      <c r="N201" s="453"/>
      <c r="O201" s="455"/>
    </row>
    <row r="202" spans="1:15" ht="15.75" customHeight="1">
      <c r="B202" s="4"/>
      <c r="C202" s="191"/>
      <c r="D202" s="194"/>
      <c r="E202" s="194"/>
      <c r="F202" s="194"/>
      <c r="G202" s="194"/>
      <c r="H202" s="194"/>
      <c r="I202" s="194"/>
      <c r="J202" s="194"/>
      <c r="K202" s="191"/>
      <c r="L202" s="12"/>
      <c r="M202" s="454"/>
    </row>
    <row r="203" spans="1:15" ht="15.75" customHeight="1" thickBot="1">
      <c r="B203" s="4"/>
      <c r="C203" s="191"/>
      <c r="D203" s="194"/>
      <c r="E203" s="194"/>
      <c r="F203" s="194"/>
      <c r="G203" s="194"/>
      <c r="H203" s="194"/>
      <c r="I203" s="194"/>
      <c r="J203" s="194"/>
      <c r="K203" s="191"/>
      <c r="L203" s="12"/>
      <c r="M203" s="454"/>
    </row>
    <row r="204" spans="1:15" ht="15.75">
      <c r="B204" s="4"/>
      <c r="C204" s="491" t="s">
        <v>333</v>
      </c>
      <c r="D204" s="492"/>
      <c r="E204" s="101"/>
      <c r="F204" s="101"/>
      <c r="G204" s="101"/>
      <c r="H204" s="12"/>
      <c r="I204" s="119"/>
      <c r="J204" s="119"/>
      <c r="K204" s="12"/>
      <c r="M204" s="454"/>
    </row>
    <row r="205" spans="1:15" ht="40.5" customHeight="1">
      <c r="B205" s="4"/>
      <c r="C205" s="483"/>
      <c r="D205" s="493" t="str">
        <f>D5</f>
        <v>Recipient Organization</v>
      </c>
      <c r="E205" s="102" t="s">
        <v>334</v>
      </c>
      <c r="F205" s="14" t="s">
        <v>335</v>
      </c>
      <c r="G205" s="485" t="s">
        <v>10</v>
      </c>
      <c r="H205" s="191"/>
      <c r="I205" s="194"/>
      <c r="J205" s="194"/>
      <c r="K205" s="12"/>
      <c r="M205" s="454"/>
    </row>
    <row r="206" spans="1:15" ht="24.75" customHeight="1">
      <c r="B206" s="4"/>
      <c r="C206" s="484"/>
      <c r="D206" s="494"/>
      <c r="E206" s="103"/>
      <c r="F206" s="98"/>
      <c r="G206" s="486"/>
      <c r="H206" s="191"/>
      <c r="I206" s="194"/>
      <c r="J206" s="194"/>
      <c r="K206" s="12"/>
    </row>
    <row r="207" spans="1:15" ht="41.25" customHeight="1">
      <c r="B207" s="203"/>
      <c r="C207" s="204" t="s">
        <v>336</v>
      </c>
      <c r="D207" s="205">
        <f>SUM(D16,D26,D36,D46,D58,D81,D94,D104,D116,D126,D136,D146,D158,D168,D178,D188,D191,D192,D193,D194,D195)</f>
        <v>1401868.7749252338</v>
      </c>
      <c r="E207" s="206">
        <f>SUM(E16,E26,E36,E46,E58,E81,E94,E104,E116,E126,E136,E146,E158,E168,E178,E188,E191,E192,E193)</f>
        <v>0</v>
      </c>
      <c r="F207" s="207">
        <f>SUM(F16,F26,F36,F46,F58,F81,F94,F104,F116,F126,F136,F146,F158,F168,F178,F188,F191,F192,F193)</f>
        <v>0</v>
      </c>
      <c r="G207" s="208">
        <f>SUM(D207:F207)</f>
        <v>1401868.7749252338</v>
      </c>
      <c r="H207" s="191"/>
      <c r="I207" s="194"/>
      <c r="J207" s="194"/>
      <c r="K207" s="203"/>
    </row>
    <row r="208" spans="1:15" ht="51.75" customHeight="1">
      <c r="B208" s="209"/>
      <c r="C208" s="204" t="s">
        <v>337</v>
      </c>
      <c r="D208" s="205">
        <f>D207*0.07</f>
        <v>98130.81424476637</v>
      </c>
      <c r="E208" s="206">
        <f>E207*0.07</f>
        <v>0</v>
      </c>
      <c r="F208" s="207">
        <f>F207*0.07</f>
        <v>0</v>
      </c>
      <c r="G208" s="208">
        <f>G207*0.07</f>
        <v>98130.81424476637</v>
      </c>
      <c r="H208" s="209"/>
      <c r="I208" s="210"/>
      <c r="J208" s="210"/>
      <c r="K208" s="211"/>
    </row>
    <row r="209" spans="1:15" ht="51.75" customHeight="1" thickBot="1">
      <c r="B209" s="209"/>
      <c r="C209" s="11" t="s">
        <v>10</v>
      </c>
      <c r="D209" s="139">
        <f>SUM(D207:D208)</f>
        <v>1499999.5891700001</v>
      </c>
      <c r="E209" s="104">
        <f>SUM(E207:E208)</f>
        <v>0</v>
      </c>
      <c r="F209" s="83">
        <f>SUM(F207:F208)</f>
        <v>0</v>
      </c>
      <c r="G209" s="140">
        <f>SUM(G207:G208)</f>
        <v>1499999.5891700001</v>
      </c>
      <c r="H209" s="209"/>
      <c r="I209" s="210"/>
      <c r="J209" s="210"/>
      <c r="K209" s="211"/>
    </row>
    <row r="210" spans="1:15" ht="42" customHeight="1">
      <c r="B210" s="209"/>
      <c r="K210" s="2"/>
      <c r="L210" s="211"/>
    </row>
    <row r="211" spans="1:15" s="30" customFormat="1" ht="29.25" customHeight="1" thickBot="1">
      <c r="A211" s="396"/>
      <c r="B211" s="191"/>
      <c r="C211" s="4"/>
      <c r="D211" s="25"/>
      <c r="E211" s="25"/>
      <c r="F211" s="25"/>
      <c r="G211" s="25"/>
      <c r="H211" s="25"/>
      <c r="I211" s="121"/>
      <c r="J211" s="121"/>
      <c r="K211" s="12"/>
      <c r="L211" s="203"/>
      <c r="N211" s="402"/>
      <c r="O211" s="457"/>
    </row>
    <row r="212" spans="1:15" ht="23.25" customHeight="1">
      <c r="B212" s="211"/>
      <c r="C212" s="509" t="s">
        <v>338</v>
      </c>
      <c r="D212" s="510"/>
      <c r="E212" s="511"/>
      <c r="F212" s="511"/>
      <c r="G212" s="511"/>
      <c r="H212" s="512"/>
      <c r="I212" s="122"/>
      <c r="J212" s="122"/>
      <c r="K212" s="211"/>
    </row>
    <row r="213" spans="1:15" ht="41.25" customHeight="1">
      <c r="B213" s="211"/>
      <c r="C213" s="21"/>
      <c r="D213" s="515" t="str">
        <f>D5</f>
        <v>Recipient Organization</v>
      </c>
      <c r="E213" s="19" t="s">
        <v>334</v>
      </c>
      <c r="F213" s="19" t="s">
        <v>335</v>
      </c>
      <c r="G213" s="502" t="s">
        <v>10</v>
      </c>
      <c r="H213" s="504" t="s">
        <v>339</v>
      </c>
      <c r="I213" s="122"/>
      <c r="J213" s="122"/>
      <c r="K213" s="211"/>
    </row>
    <row r="214" spans="1:15" ht="27.75" customHeight="1">
      <c r="B214" s="211"/>
      <c r="C214" s="21"/>
      <c r="D214" s="516"/>
      <c r="E214" s="19"/>
      <c r="F214" s="19"/>
      <c r="G214" s="503"/>
      <c r="H214" s="505"/>
      <c r="I214" s="122"/>
      <c r="J214" s="122"/>
      <c r="K214" s="211"/>
    </row>
    <row r="215" spans="1:15" ht="55.5" customHeight="1">
      <c r="B215" s="211"/>
      <c r="C215" s="20" t="s">
        <v>340</v>
      </c>
      <c r="D215" s="141">
        <f>D209*H215</f>
        <v>524999.85620949999</v>
      </c>
      <c r="E215" s="82">
        <f>SUM(E207:E208)*0.7</f>
        <v>0</v>
      </c>
      <c r="F215" s="82">
        <f>SUM(F207:F208)*0.7</f>
        <v>0</v>
      </c>
      <c r="G215" s="82"/>
      <c r="H215" s="116">
        <v>0.35</v>
      </c>
      <c r="I215" s="119"/>
      <c r="J215" s="119"/>
      <c r="K215" s="211"/>
    </row>
    <row r="216" spans="1:15" ht="57.75" customHeight="1">
      <c r="B216" s="508"/>
      <c r="C216" s="95" t="s">
        <v>341</v>
      </c>
      <c r="D216" s="142">
        <f>D209*H216</f>
        <v>524999.85620949999</v>
      </c>
      <c r="E216" s="96">
        <f>SUM(E207:E208)*0.3</f>
        <v>0</v>
      </c>
      <c r="F216" s="96">
        <f>SUM(F207:F208)*0.3</f>
        <v>0</v>
      </c>
      <c r="G216" s="96"/>
      <c r="H216" s="117">
        <v>0.35</v>
      </c>
      <c r="I216" s="119"/>
      <c r="J216" s="119"/>
    </row>
    <row r="217" spans="1:15" ht="57.75" customHeight="1">
      <c r="B217" s="508"/>
      <c r="C217" s="95" t="s">
        <v>342</v>
      </c>
      <c r="D217" s="142">
        <f>D209*H217</f>
        <v>449999.876751</v>
      </c>
      <c r="E217" s="96"/>
      <c r="F217" s="96"/>
      <c r="G217" s="96"/>
      <c r="H217" s="117">
        <v>0.3</v>
      </c>
      <c r="I217" s="119"/>
      <c r="J217" s="119"/>
    </row>
    <row r="218" spans="1:15" ht="38.25" customHeight="1" thickBot="1">
      <c r="B218" s="508"/>
      <c r="C218" s="11" t="s">
        <v>343</v>
      </c>
      <c r="D218" s="140">
        <f>SUM(D215:D217)</f>
        <v>1499999.5891700001</v>
      </c>
      <c r="E218" s="83">
        <f>SUM(E215:E216)</f>
        <v>0</v>
      </c>
      <c r="F218" s="83">
        <f>SUM(F215:F216)</f>
        <v>0</v>
      </c>
      <c r="G218" s="84"/>
      <c r="H218" s="85"/>
      <c r="I218" s="119"/>
      <c r="J218" s="119"/>
      <c r="K218" s="446"/>
    </row>
    <row r="219" spans="1:15" ht="21.75" customHeight="1" thickBot="1">
      <c r="B219" s="508"/>
      <c r="C219" s="1"/>
      <c r="D219" s="9"/>
      <c r="E219" s="9"/>
      <c r="F219" s="9"/>
      <c r="G219" s="9"/>
      <c r="H219" s="9"/>
      <c r="I219" s="119"/>
      <c r="J219" s="119" t="s">
        <v>4049</v>
      </c>
      <c r="K219" s="461" t="s">
        <v>4050</v>
      </c>
    </row>
    <row r="220" spans="1:15" ht="49.5" customHeight="1">
      <c r="B220" s="508"/>
      <c r="C220" s="86" t="s">
        <v>344</v>
      </c>
      <c r="D220" s="87">
        <f>SUM(H16,H26,H36,H46,H58,H81,H94,H104,H116,H126,H136,H146,H158,H168,H178,H188,H196)*1.07</f>
        <v>666332.04442544025</v>
      </c>
      <c r="E220" s="25"/>
      <c r="F220" s="25"/>
      <c r="G220" s="25"/>
      <c r="H220" s="125" t="s">
        <v>345</v>
      </c>
      <c r="I220" s="394">
        <f>SUM(I196,I188,I178,I168,I158,I146,I136,I126,I116,I104,I94,I81,I58,I46,I36,I26,I16)</f>
        <v>634807.65441681002</v>
      </c>
      <c r="J220" s="132">
        <v>33943.19</v>
      </c>
      <c r="K220" s="446">
        <f>+I220+J220</f>
        <v>668750.84441680997</v>
      </c>
    </row>
    <row r="221" spans="1:15" ht="28.5" customHeight="1" thickBot="1">
      <c r="B221" s="508"/>
      <c r="C221" s="88" t="s">
        <v>347</v>
      </c>
      <c r="D221" s="118">
        <f>D220/D209</f>
        <v>0.44422148461663519</v>
      </c>
      <c r="E221" s="31"/>
      <c r="F221" s="31"/>
      <c r="G221" s="31"/>
      <c r="H221" s="126" t="s">
        <v>348</v>
      </c>
      <c r="I221" s="127">
        <f>I220/D207</f>
        <v>0.45282958417464314</v>
      </c>
      <c r="J221" s="133"/>
      <c r="K221" s="404">
        <f>+K220/1500000</f>
        <v>0.44583389627787329</v>
      </c>
    </row>
    <row r="222" spans="1:15" ht="28.5" customHeight="1">
      <c r="B222" s="508"/>
      <c r="C222" s="506"/>
      <c r="D222" s="507"/>
      <c r="E222" s="32"/>
      <c r="F222" s="32"/>
      <c r="G222" s="32"/>
    </row>
    <row r="223" spans="1:15" ht="28.5" customHeight="1">
      <c r="B223" s="508"/>
      <c r="C223" s="88" t="s">
        <v>349</v>
      </c>
      <c r="D223" s="89">
        <f>SUM(D193:D194)*1.07</f>
        <v>80250</v>
      </c>
      <c r="E223" s="33"/>
      <c r="F223" s="33"/>
      <c r="G223" s="33"/>
      <c r="K223" s="459"/>
    </row>
    <row r="224" spans="1:15" ht="23.25" customHeight="1">
      <c r="B224" s="508"/>
      <c r="C224" s="88" t="s">
        <v>350</v>
      </c>
      <c r="D224" s="118">
        <f>D223/D209</f>
        <v>5.3500014652940679E-2</v>
      </c>
      <c r="E224" s="33"/>
      <c r="F224" s="33"/>
      <c r="G224" s="33"/>
    </row>
    <row r="225" spans="2:12" ht="68.25" customHeight="1" thickBot="1">
      <c r="B225" s="508"/>
      <c r="C225" s="513" t="s">
        <v>351</v>
      </c>
      <c r="D225" s="514"/>
      <c r="E225" s="26"/>
      <c r="F225" s="26"/>
      <c r="G225" s="26"/>
      <c r="I225" s="123">
        <f>434303+111398+80821</f>
        <v>626522</v>
      </c>
      <c r="J225" s="123"/>
    </row>
    <row r="226" spans="2:12" ht="55.5" customHeight="1">
      <c r="B226" s="508"/>
      <c r="G226" s="446"/>
      <c r="L226" s="30"/>
    </row>
    <row r="227" spans="2:12" ht="42.75" customHeight="1">
      <c r="B227" s="508"/>
      <c r="G227" s="446"/>
    </row>
    <row r="228" spans="2:12" ht="21.75" customHeight="1">
      <c r="B228" s="508"/>
    </row>
    <row r="229" spans="2:12" ht="21.75" customHeight="1">
      <c r="B229" s="508"/>
    </row>
    <row r="230" spans="2:12" ht="23.25" customHeight="1">
      <c r="B230" s="508"/>
    </row>
    <row r="231" spans="2:12" ht="23.25" customHeight="1"/>
    <row r="232" spans="2:12" ht="21.75" customHeight="1"/>
    <row r="233" spans="2:12" ht="16.5" customHeight="1"/>
    <row r="234" spans="2:12" ht="29.25" customHeight="1"/>
    <row r="235" spans="2:12" ht="24.75" customHeight="1"/>
    <row r="236" spans="2:12" ht="33" customHeight="1"/>
    <row r="238" spans="2:12" ht="15" customHeight="1"/>
    <row r="239" spans="2:12" ht="25.5" customHeight="1"/>
  </sheetData>
  <sheetProtection formatCells="0" formatColumns="0" formatRows="0"/>
  <mergeCells count="38">
    <mergeCell ref="G213:G214"/>
    <mergeCell ref="H213:H214"/>
    <mergeCell ref="C222:D222"/>
    <mergeCell ref="B216:B230"/>
    <mergeCell ref="C212:H212"/>
    <mergeCell ref="C225:D225"/>
    <mergeCell ref="D213:D214"/>
    <mergeCell ref="C48:K48"/>
    <mergeCell ref="C49:K49"/>
    <mergeCell ref="C59:K59"/>
    <mergeCell ref="C82:K82"/>
    <mergeCell ref="C95:K95"/>
    <mergeCell ref="J50:J54"/>
    <mergeCell ref="J60:J64"/>
    <mergeCell ref="J73:J76"/>
    <mergeCell ref="J86:J87"/>
    <mergeCell ref="J65:J72"/>
    <mergeCell ref="C106:K106"/>
    <mergeCell ref="C107:K107"/>
    <mergeCell ref="C117:K117"/>
    <mergeCell ref="C127:K127"/>
    <mergeCell ref="C137:K137"/>
    <mergeCell ref="C37:K37"/>
    <mergeCell ref="C6:K6"/>
    <mergeCell ref="B1:E1"/>
    <mergeCell ref="C17:K17"/>
    <mergeCell ref="C7:K7"/>
    <mergeCell ref="C27:K27"/>
    <mergeCell ref="B3:E3"/>
    <mergeCell ref="C205:C206"/>
    <mergeCell ref="G205:G206"/>
    <mergeCell ref="C148:K148"/>
    <mergeCell ref="C159:K159"/>
    <mergeCell ref="C149:K149"/>
    <mergeCell ref="C169:K169"/>
    <mergeCell ref="C204:D204"/>
    <mergeCell ref="C179:K179"/>
    <mergeCell ref="D205:D206"/>
  </mergeCells>
  <conditionalFormatting sqref="D221">
    <cfRule type="cellIs" dxfId="44" priority="47" operator="lessThan">
      <formula>0.15</formula>
    </cfRule>
  </conditionalFormatting>
  <conditionalFormatting sqref="D224">
    <cfRule type="cellIs" dxfId="43" priority="45" operator="lessThan">
      <formula>0.05</formula>
    </cfRule>
  </conditionalFormatting>
  <dataValidations xWindow="431" yWindow="475" count="6">
    <dataValidation allowBlank="1" showInputMessage="1" showErrorMessage="1" prompt="% Towards Gender Equality and Women's Empowerment Must be Higher than 15%_x000a_" sqref="D221:G221"/>
    <dataValidation allowBlank="1" showInputMessage="1" showErrorMessage="1" prompt="M&amp;E Budget Cannot be Less than 5%_x000a_" sqref="D224:G224"/>
    <dataValidation allowBlank="1" showInputMessage="1" showErrorMessage="1" prompt="Insert *text* description of Outcome here" sqref="C6:K6 C48:K48 C106:K106 C148:K148"/>
    <dataValidation allowBlank="1" showInputMessage="1" showErrorMessage="1" prompt="Insert *text* description of Output here" sqref="C7 C17 C27 C37 C49 C59 C82 C95 C107 C117 C127 C137 C149 C159 C169 C179"/>
    <dataValidation allowBlank="1" showInputMessage="1" showErrorMessage="1" prompt="Insert *text* description of Activity here" sqref="C8 C18 C28 C38 C50 C60 C96 C108 C118 C128 C138 C150 C160 C170 C180"/>
    <dataValidation allowBlank="1" showErrorMessage="1" prompt="% Towards Gender Equality and Women's Empowerment Must be Higher than 15%_x000a_" sqref="D223:G223"/>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D2578"/>
  <sheetViews>
    <sheetView topLeftCell="N2543" workbookViewId="0">
      <selection activeCell="AA2571" sqref="AA2571"/>
    </sheetView>
  </sheetViews>
  <sheetFormatPr baseColWidth="10" defaultColWidth="11.42578125" defaultRowHeight="15"/>
  <cols>
    <col min="9" max="9" width="11.42578125" style="400"/>
    <col min="23" max="23" width="20.5703125" style="393" customWidth="1"/>
    <col min="24" max="24" width="11.5703125" style="393" bestFit="1" customWidth="1"/>
    <col min="25" max="25" width="14.28515625" style="393" customWidth="1"/>
    <col min="26" max="26" width="17.42578125" style="393" customWidth="1"/>
    <col min="28" max="28" width="11.42578125" style="400"/>
    <col min="30" max="30" width="25.85546875" customWidth="1"/>
  </cols>
  <sheetData>
    <row r="1" spans="1:29">
      <c r="A1" s="384" t="s">
        <v>352</v>
      </c>
      <c r="B1" s="384" t="s">
        <v>353</v>
      </c>
      <c r="C1" s="384" t="s">
        <v>354</v>
      </c>
      <c r="D1" s="384" t="s">
        <v>355</v>
      </c>
      <c r="E1" s="384" t="s">
        <v>356</v>
      </c>
      <c r="F1" s="384" t="s">
        <v>357</v>
      </c>
      <c r="G1" s="384" t="s">
        <v>358</v>
      </c>
      <c r="H1" s="384" t="s">
        <v>359</v>
      </c>
      <c r="I1" s="399" t="s">
        <v>360</v>
      </c>
      <c r="J1" s="384" t="s">
        <v>361</v>
      </c>
      <c r="K1" s="384" t="s">
        <v>362</v>
      </c>
      <c r="L1" s="384" t="s">
        <v>363</v>
      </c>
      <c r="M1" s="384" t="s">
        <v>364</v>
      </c>
      <c r="N1" s="384" t="s">
        <v>365</v>
      </c>
      <c r="O1" s="384" t="s">
        <v>366</v>
      </c>
      <c r="P1" s="384" t="s">
        <v>367</v>
      </c>
      <c r="Q1" s="384" t="s">
        <v>368</v>
      </c>
      <c r="R1" s="384" t="s">
        <v>369</v>
      </c>
      <c r="S1" s="384" t="s">
        <v>370</v>
      </c>
      <c r="T1" s="384" t="s">
        <v>371</v>
      </c>
      <c r="U1" s="384" t="s">
        <v>372</v>
      </c>
      <c r="V1" s="384" t="s">
        <v>373</v>
      </c>
      <c r="W1" s="397" t="s">
        <v>374</v>
      </c>
      <c r="X1" s="397" t="s">
        <v>375</v>
      </c>
      <c r="Y1" s="397" t="s">
        <v>376</v>
      </c>
      <c r="Z1" s="397" t="s">
        <v>377</v>
      </c>
      <c r="AA1" s="384" t="s">
        <v>378</v>
      </c>
      <c r="AB1" s="399" t="s">
        <v>379</v>
      </c>
      <c r="AC1" s="384" t="s">
        <v>380</v>
      </c>
    </row>
    <row r="2" spans="1:29">
      <c r="A2" t="s">
        <v>382</v>
      </c>
      <c r="B2" t="s">
        <v>382</v>
      </c>
      <c r="C2" t="s">
        <v>388</v>
      </c>
      <c r="D2" t="s">
        <v>389</v>
      </c>
      <c r="E2" t="s">
        <v>390</v>
      </c>
      <c r="F2" t="s">
        <v>391</v>
      </c>
      <c r="G2">
        <v>6100680</v>
      </c>
      <c r="H2">
        <v>202104</v>
      </c>
      <c r="I2" s="400">
        <v>44313</v>
      </c>
      <c r="J2">
        <v>119010</v>
      </c>
      <c r="K2" t="s">
        <v>386</v>
      </c>
      <c r="L2" t="s">
        <v>392</v>
      </c>
      <c r="M2" t="s">
        <v>393</v>
      </c>
      <c r="O2" t="s">
        <v>394</v>
      </c>
      <c r="P2" t="s">
        <v>395</v>
      </c>
      <c r="Q2" t="s">
        <v>396</v>
      </c>
      <c r="R2">
        <v>2069148</v>
      </c>
      <c r="S2" t="s">
        <v>392</v>
      </c>
      <c r="U2" t="s">
        <v>397</v>
      </c>
      <c r="V2" t="s">
        <v>398</v>
      </c>
      <c r="W2" s="393">
        <v>1071563</v>
      </c>
      <c r="X2" s="393">
        <v>294.68</v>
      </c>
      <c r="Y2" s="393">
        <v>2441.02</v>
      </c>
      <c r="Z2" s="393">
        <v>1071563</v>
      </c>
      <c r="AA2">
        <v>0</v>
      </c>
      <c r="AB2" s="400">
        <v>44316.998394826391</v>
      </c>
    </row>
    <row r="3" spans="1:29">
      <c r="A3" t="s">
        <v>382</v>
      </c>
      <c r="B3" t="s">
        <v>382</v>
      </c>
      <c r="C3" t="s">
        <v>388</v>
      </c>
      <c r="D3" t="s">
        <v>389</v>
      </c>
      <c r="E3" t="s">
        <v>390</v>
      </c>
      <c r="F3" t="s">
        <v>391</v>
      </c>
      <c r="G3">
        <v>6101019</v>
      </c>
      <c r="H3">
        <v>202106</v>
      </c>
      <c r="I3" s="400">
        <v>44369</v>
      </c>
      <c r="J3">
        <v>119010</v>
      </c>
      <c r="K3" t="s">
        <v>386</v>
      </c>
      <c r="L3" t="s">
        <v>399</v>
      </c>
      <c r="M3" t="s">
        <v>400</v>
      </c>
      <c r="O3" t="s">
        <v>401</v>
      </c>
      <c r="P3" t="s">
        <v>402</v>
      </c>
      <c r="Q3" t="s">
        <v>396</v>
      </c>
      <c r="R3">
        <v>2069147</v>
      </c>
      <c r="S3" t="s">
        <v>403</v>
      </c>
      <c r="U3" t="s">
        <v>404</v>
      </c>
      <c r="V3" t="s">
        <v>398</v>
      </c>
      <c r="W3" s="393">
        <v>29000000</v>
      </c>
      <c r="X3" s="393">
        <v>8091</v>
      </c>
      <c r="Y3" s="393">
        <v>68527</v>
      </c>
      <c r="Z3" s="393">
        <v>29000000</v>
      </c>
      <c r="AA3">
        <v>0</v>
      </c>
      <c r="AB3" s="400">
        <v>44369.752420486111</v>
      </c>
    </row>
    <row r="4" spans="1:29">
      <c r="A4" t="s">
        <v>382</v>
      </c>
      <c r="B4" t="s">
        <v>382</v>
      </c>
      <c r="C4" t="s">
        <v>388</v>
      </c>
      <c r="D4" t="s">
        <v>389</v>
      </c>
      <c r="E4" t="s">
        <v>390</v>
      </c>
      <c r="F4" t="s">
        <v>391</v>
      </c>
      <c r="G4">
        <v>6101661</v>
      </c>
      <c r="H4">
        <v>202108</v>
      </c>
      <c r="I4" s="400">
        <v>44439</v>
      </c>
      <c r="J4">
        <v>119010</v>
      </c>
      <c r="K4" t="s">
        <v>386</v>
      </c>
      <c r="L4" t="s">
        <v>392</v>
      </c>
      <c r="M4" t="s">
        <v>393</v>
      </c>
      <c r="O4" t="s">
        <v>394</v>
      </c>
      <c r="P4" t="s">
        <v>395</v>
      </c>
      <c r="Q4" t="s">
        <v>396</v>
      </c>
      <c r="R4">
        <v>2069148</v>
      </c>
      <c r="S4" t="s">
        <v>392</v>
      </c>
      <c r="U4" t="s">
        <v>405</v>
      </c>
      <c r="V4" t="s">
        <v>398</v>
      </c>
      <c r="W4" s="393">
        <v>15864689</v>
      </c>
      <c r="X4" s="393">
        <v>4104.67</v>
      </c>
      <c r="Y4" s="393">
        <v>35745.050000000003</v>
      </c>
      <c r="Z4" s="393">
        <v>15864689</v>
      </c>
      <c r="AA4">
        <v>0</v>
      </c>
      <c r="AB4" s="400">
        <v>44441.916087071761</v>
      </c>
    </row>
    <row r="5" spans="1:29">
      <c r="A5" t="s">
        <v>382</v>
      </c>
      <c r="B5" t="s">
        <v>382</v>
      </c>
      <c r="C5" t="s">
        <v>388</v>
      </c>
      <c r="D5" t="s">
        <v>389</v>
      </c>
      <c r="E5" t="s">
        <v>390</v>
      </c>
      <c r="F5" t="s">
        <v>391</v>
      </c>
      <c r="G5">
        <v>6101502</v>
      </c>
      <c r="H5">
        <v>202108</v>
      </c>
      <c r="I5" s="400">
        <v>44421</v>
      </c>
      <c r="J5">
        <v>119010</v>
      </c>
      <c r="K5" t="s">
        <v>386</v>
      </c>
      <c r="L5" t="s">
        <v>399</v>
      </c>
      <c r="M5" t="s">
        <v>400</v>
      </c>
      <c r="O5" t="s">
        <v>401</v>
      </c>
      <c r="P5" t="s">
        <v>402</v>
      </c>
      <c r="Q5" t="s">
        <v>396</v>
      </c>
      <c r="R5">
        <v>2069147</v>
      </c>
      <c r="S5" t="s">
        <v>387</v>
      </c>
      <c r="U5" t="s">
        <v>406</v>
      </c>
      <c r="V5" t="s">
        <v>398</v>
      </c>
      <c r="W5" s="393">
        <v>29500000</v>
      </c>
      <c r="X5" s="393">
        <v>7552</v>
      </c>
      <c r="Y5" s="393">
        <v>65254</v>
      </c>
      <c r="Z5" s="393">
        <v>29500000</v>
      </c>
      <c r="AA5">
        <v>0</v>
      </c>
      <c r="AB5" s="400">
        <v>44421.755296261574</v>
      </c>
    </row>
    <row r="6" spans="1:29">
      <c r="A6" t="s">
        <v>382</v>
      </c>
      <c r="B6" t="s">
        <v>382</v>
      </c>
      <c r="C6" t="s">
        <v>388</v>
      </c>
      <c r="D6" t="s">
        <v>389</v>
      </c>
      <c r="E6" t="s">
        <v>390</v>
      </c>
      <c r="F6" t="s">
        <v>391</v>
      </c>
      <c r="G6">
        <v>6102147</v>
      </c>
      <c r="H6">
        <v>202109</v>
      </c>
      <c r="I6" s="400">
        <v>44469</v>
      </c>
      <c r="J6">
        <v>119010</v>
      </c>
      <c r="K6" t="s">
        <v>386</v>
      </c>
      <c r="L6" t="s">
        <v>399</v>
      </c>
      <c r="M6" t="s">
        <v>400</v>
      </c>
      <c r="O6" t="s">
        <v>401</v>
      </c>
      <c r="P6" t="s">
        <v>402</v>
      </c>
      <c r="Q6" t="s">
        <v>396</v>
      </c>
      <c r="R6">
        <v>2069147</v>
      </c>
      <c r="S6" t="s">
        <v>399</v>
      </c>
      <c r="U6" t="s">
        <v>407</v>
      </c>
      <c r="V6" t="s">
        <v>398</v>
      </c>
      <c r="W6" s="393">
        <v>20500000</v>
      </c>
      <c r="X6" s="393">
        <v>5345.99</v>
      </c>
      <c r="Y6" s="393">
        <v>46484.98</v>
      </c>
      <c r="Z6" s="393">
        <v>20500000</v>
      </c>
      <c r="AA6">
        <v>0</v>
      </c>
      <c r="AB6" s="400">
        <v>44473.659431944441</v>
      </c>
    </row>
    <row r="7" spans="1:29">
      <c r="A7" t="s">
        <v>382</v>
      </c>
      <c r="B7" t="s">
        <v>382</v>
      </c>
      <c r="C7" t="s">
        <v>388</v>
      </c>
      <c r="D7" t="s">
        <v>389</v>
      </c>
      <c r="E7" t="s">
        <v>390</v>
      </c>
      <c r="F7" t="s">
        <v>391</v>
      </c>
      <c r="G7">
        <v>6102011</v>
      </c>
      <c r="H7">
        <v>202109</v>
      </c>
      <c r="I7" s="400">
        <v>44460</v>
      </c>
      <c r="J7">
        <v>119010</v>
      </c>
      <c r="K7" t="s">
        <v>386</v>
      </c>
      <c r="L7" t="s">
        <v>399</v>
      </c>
      <c r="M7" t="s">
        <v>400</v>
      </c>
      <c r="O7" t="s">
        <v>401</v>
      </c>
      <c r="P7" t="s">
        <v>402</v>
      </c>
      <c r="Q7" t="s">
        <v>396</v>
      </c>
      <c r="R7">
        <v>2069147</v>
      </c>
      <c r="S7" t="s">
        <v>399</v>
      </c>
      <c r="U7" t="s">
        <v>408</v>
      </c>
      <c r="V7" t="s">
        <v>398</v>
      </c>
      <c r="W7" s="393">
        <v>20500000</v>
      </c>
      <c r="X7" s="393">
        <v>5358.91</v>
      </c>
      <c r="Y7" s="393">
        <v>46594.66</v>
      </c>
      <c r="Z7" s="393">
        <v>20500000</v>
      </c>
      <c r="AA7">
        <v>0</v>
      </c>
      <c r="AB7" s="400">
        <v>44460.79896122685</v>
      </c>
    </row>
    <row r="8" spans="1:29">
      <c r="A8" t="s">
        <v>382</v>
      </c>
      <c r="B8" t="s">
        <v>382</v>
      </c>
      <c r="C8" t="s">
        <v>409</v>
      </c>
      <c r="D8" t="s">
        <v>410</v>
      </c>
      <c r="E8" t="s">
        <v>390</v>
      </c>
      <c r="F8" t="s">
        <v>391</v>
      </c>
      <c r="G8">
        <v>6100680</v>
      </c>
      <c r="H8">
        <v>202104</v>
      </c>
      <c r="I8" s="400">
        <v>44313</v>
      </c>
      <c r="J8">
        <v>119010</v>
      </c>
      <c r="K8" t="s">
        <v>386</v>
      </c>
      <c r="L8" t="s">
        <v>392</v>
      </c>
      <c r="M8" t="s">
        <v>393</v>
      </c>
      <c r="O8" t="s">
        <v>394</v>
      </c>
      <c r="P8" t="s">
        <v>395</v>
      </c>
      <c r="Q8" t="s">
        <v>396</v>
      </c>
      <c r="R8">
        <v>2069144</v>
      </c>
      <c r="S8" t="s">
        <v>392</v>
      </c>
      <c r="U8" t="s">
        <v>411</v>
      </c>
      <c r="V8" t="s">
        <v>398</v>
      </c>
      <c r="W8" s="393">
        <v>5220</v>
      </c>
      <c r="X8" s="393">
        <v>1.44</v>
      </c>
      <c r="Y8" s="393">
        <v>11.89</v>
      </c>
      <c r="Z8" s="393">
        <v>5220</v>
      </c>
      <c r="AA8">
        <v>0</v>
      </c>
      <c r="AB8" s="400">
        <v>44316.998395023147</v>
      </c>
    </row>
    <row r="9" spans="1:29">
      <c r="A9" t="s">
        <v>382</v>
      </c>
      <c r="B9" t="s">
        <v>382</v>
      </c>
      <c r="C9" t="s">
        <v>409</v>
      </c>
      <c r="D9" t="s">
        <v>410</v>
      </c>
      <c r="E9" t="s">
        <v>390</v>
      </c>
      <c r="F9" t="s">
        <v>391</v>
      </c>
      <c r="G9">
        <v>6100853</v>
      </c>
      <c r="H9">
        <v>202105</v>
      </c>
      <c r="I9" s="400">
        <v>44334</v>
      </c>
      <c r="J9">
        <v>119010</v>
      </c>
      <c r="K9" t="s">
        <v>386</v>
      </c>
      <c r="L9" t="s">
        <v>399</v>
      </c>
      <c r="M9" t="s">
        <v>400</v>
      </c>
      <c r="O9" t="s">
        <v>401</v>
      </c>
      <c r="P9" t="s">
        <v>402</v>
      </c>
      <c r="Q9" t="s">
        <v>396</v>
      </c>
      <c r="R9">
        <v>2069143</v>
      </c>
      <c r="S9" t="s">
        <v>399</v>
      </c>
      <c r="U9" t="s">
        <v>412</v>
      </c>
      <c r="V9" t="s">
        <v>398</v>
      </c>
      <c r="W9" s="393">
        <v>281963.36</v>
      </c>
      <c r="X9" s="393">
        <v>73.31</v>
      </c>
      <c r="Y9" s="393">
        <v>601.42999999999995</v>
      </c>
      <c r="Z9" s="393">
        <v>281963.36</v>
      </c>
      <c r="AA9">
        <v>0</v>
      </c>
      <c r="AB9" s="400">
        <v>44337.642736805552</v>
      </c>
    </row>
    <row r="10" spans="1:29">
      <c r="A10" t="s">
        <v>382</v>
      </c>
      <c r="B10" t="s">
        <v>382</v>
      </c>
      <c r="C10" t="s">
        <v>409</v>
      </c>
      <c r="D10" t="s">
        <v>410</v>
      </c>
      <c r="E10" t="s">
        <v>390</v>
      </c>
      <c r="F10" t="s">
        <v>391</v>
      </c>
      <c r="G10">
        <v>6101019</v>
      </c>
      <c r="H10">
        <v>202106</v>
      </c>
      <c r="I10" s="400">
        <v>44369</v>
      </c>
      <c r="J10">
        <v>119010</v>
      </c>
      <c r="K10" t="s">
        <v>386</v>
      </c>
      <c r="L10" t="s">
        <v>399</v>
      </c>
      <c r="M10" t="s">
        <v>400</v>
      </c>
      <c r="O10" t="s">
        <v>401</v>
      </c>
      <c r="P10" t="s">
        <v>402</v>
      </c>
      <c r="Q10" t="s">
        <v>396</v>
      </c>
      <c r="R10">
        <v>2069143</v>
      </c>
      <c r="S10" t="s">
        <v>403</v>
      </c>
      <c r="U10" t="s">
        <v>413</v>
      </c>
      <c r="V10" t="s">
        <v>398</v>
      </c>
      <c r="W10" s="393">
        <v>228179.26</v>
      </c>
      <c r="X10" s="393">
        <v>63.66</v>
      </c>
      <c r="Y10" s="393">
        <v>539.19000000000005</v>
      </c>
      <c r="Z10" s="393">
        <v>228179.26</v>
      </c>
      <c r="AA10">
        <v>0</v>
      </c>
      <c r="AB10" s="400">
        <v>44369.752420486111</v>
      </c>
    </row>
    <row r="11" spans="1:29">
      <c r="A11" t="s">
        <v>382</v>
      </c>
      <c r="B11" t="s">
        <v>382</v>
      </c>
      <c r="C11" t="s">
        <v>409</v>
      </c>
      <c r="D11" t="s">
        <v>410</v>
      </c>
      <c r="E11" t="s">
        <v>390</v>
      </c>
      <c r="F11" t="s">
        <v>391</v>
      </c>
      <c r="G11">
        <v>6101661</v>
      </c>
      <c r="H11">
        <v>202108</v>
      </c>
      <c r="I11" s="400">
        <v>44439</v>
      </c>
      <c r="J11">
        <v>119010</v>
      </c>
      <c r="K11" t="s">
        <v>386</v>
      </c>
      <c r="L11" t="s">
        <v>392</v>
      </c>
      <c r="M11" t="s">
        <v>393</v>
      </c>
      <c r="O11" t="s">
        <v>394</v>
      </c>
      <c r="P11" t="s">
        <v>395</v>
      </c>
      <c r="Q11" t="s">
        <v>396</v>
      </c>
      <c r="R11">
        <v>2069144</v>
      </c>
      <c r="S11" t="s">
        <v>392</v>
      </c>
      <c r="U11" t="s">
        <v>414</v>
      </c>
      <c r="V11" t="s">
        <v>398</v>
      </c>
      <c r="W11" s="393">
        <v>371557.6</v>
      </c>
      <c r="X11" s="393">
        <v>96.13</v>
      </c>
      <c r="Y11" s="393">
        <v>837.16</v>
      </c>
      <c r="Z11" s="393">
        <v>371557.6</v>
      </c>
      <c r="AA11">
        <v>0</v>
      </c>
      <c r="AB11" s="400">
        <v>44441.916087071761</v>
      </c>
    </row>
    <row r="12" spans="1:29">
      <c r="A12" t="s">
        <v>382</v>
      </c>
      <c r="B12" t="s">
        <v>382</v>
      </c>
      <c r="C12" t="s">
        <v>409</v>
      </c>
      <c r="D12" t="s">
        <v>410</v>
      </c>
      <c r="E12" t="s">
        <v>390</v>
      </c>
      <c r="F12" t="s">
        <v>391</v>
      </c>
      <c r="G12">
        <v>6101502</v>
      </c>
      <c r="H12">
        <v>202108</v>
      </c>
      <c r="I12" s="400">
        <v>44421</v>
      </c>
      <c r="J12">
        <v>119010</v>
      </c>
      <c r="K12" t="s">
        <v>386</v>
      </c>
      <c r="L12" t="s">
        <v>399</v>
      </c>
      <c r="M12" t="s">
        <v>400</v>
      </c>
      <c r="O12" t="s">
        <v>401</v>
      </c>
      <c r="P12" t="s">
        <v>402</v>
      </c>
      <c r="Q12" t="s">
        <v>396</v>
      </c>
      <c r="R12">
        <v>2069143</v>
      </c>
      <c r="S12" t="s">
        <v>387</v>
      </c>
      <c r="U12" t="s">
        <v>415</v>
      </c>
      <c r="V12" t="s">
        <v>398</v>
      </c>
      <c r="W12" s="393">
        <v>150870.43</v>
      </c>
      <c r="X12" s="393">
        <v>38.619999999999997</v>
      </c>
      <c r="Y12" s="393">
        <v>333.73</v>
      </c>
      <c r="Z12" s="393">
        <v>150870.43</v>
      </c>
      <c r="AA12">
        <v>0</v>
      </c>
      <c r="AB12" s="400">
        <v>44421.75529641204</v>
      </c>
    </row>
    <row r="13" spans="1:29">
      <c r="A13" t="s">
        <v>382</v>
      </c>
      <c r="B13" t="s">
        <v>382</v>
      </c>
      <c r="C13" t="s">
        <v>409</v>
      </c>
      <c r="D13" t="s">
        <v>410</v>
      </c>
      <c r="E13" t="s">
        <v>390</v>
      </c>
      <c r="F13" t="s">
        <v>391</v>
      </c>
      <c r="G13">
        <v>6102011</v>
      </c>
      <c r="H13">
        <v>202109</v>
      </c>
      <c r="I13" s="400">
        <v>44460</v>
      </c>
      <c r="J13">
        <v>119010</v>
      </c>
      <c r="K13" t="s">
        <v>386</v>
      </c>
      <c r="L13" t="s">
        <v>399</v>
      </c>
      <c r="M13" t="s">
        <v>400</v>
      </c>
      <c r="O13" t="s">
        <v>401</v>
      </c>
      <c r="P13" t="s">
        <v>402</v>
      </c>
      <c r="Q13" t="s">
        <v>396</v>
      </c>
      <c r="R13">
        <v>2069143</v>
      </c>
      <c r="S13" t="s">
        <v>399</v>
      </c>
      <c r="U13" t="s">
        <v>416</v>
      </c>
      <c r="V13" t="s">
        <v>398</v>
      </c>
      <c r="W13" s="393">
        <v>407683.26</v>
      </c>
      <c r="X13" s="393">
        <v>106.57</v>
      </c>
      <c r="Y13" s="393">
        <v>926.63</v>
      </c>
      <c r="Z13" s="393">
        <v>407683.26</v>
      </c>
      <c r="AA13">
        <v>0</v>
      </c>
      <c r="AB13" s="400">
        <v>44460.79896122685</v>
      </c>
    </row>
    <row r="14" spans="1:29">
      <c r="A14" t="s">
        <v>382</v>
      </c>
      <c r="B14" t="s">
        <v>382</v>
      </c>
      <c r="C14" t="s">
        <v>409</v>
      </c>
      <c r="D14" t="s">
        <v>410</v>
      </c>
      <c r="E14" t="s">
        <v>390</v>
      </c>
      <c r="F14" t="s">
        <v>391</v>
      </c>
      <c r="G14">
        <v>6102147</v>
      </c>
      <c r="H14">
        <v>202109</v>
      </c>
      <c r="I14" s="400">
        <v>44469</v>
      </c>
      <c r="J14">
        <v>119010</v>
      </c>
      <c r="K14" t="s">
        <v>386</v>
      </c>
      <c r="L14" t="s">
        <v>399</v>
      </c>
      <c r="M14" t="s">
        <v>400</v>
      </c>
      <c r="O14" t="s">
        <v>401</v>
      </c>
      <c r="P14" t="s">
        <v>402</v>
      </c>
      <c r="Q14" t="s">
        <v>396</v>
      </c>
      <c r="R14">
        <v>2069143</v>
      </c>
      <c r="S14" t="s">
        <v>399</v>
      </c>
      <c r="U14" t="s">
        <v>417</v>
      </c>
      <c r="V14" t="s">
        <v>398</v>
      </c>
      <c r="W14" s="393">
        <v>300840.92</v>
      </c>
      <c r="X14" s="393">
        <v>78.45</v>
      </c>
      <c r="Y14" s="393">
        <v>682.17</v>
      </c>
      <c r="Z14" s="393">
        <v>300840.92</v>
      </c>
      <c r="AA14">
        <v>0</v>
      </c>
      <c r="AB14" s="400">
        <v>44473.659431944441</v>
      </c>
    </row>
    <row r="15" spans="1:29">
      <c r="A15" t="s">
        <v>382</v>
      </c>
      <c r="B15" t="s">
        <v>382</v>
      </c>
      <c r="C15" t="s">
        <v>418</v>
      </c>
      <c r="D15" t="s">
        <v>419</v>
      </c>
      <c r="E15" t="s">
        <v>390</v>
      </c>
      <c r="F15" t="s">
        <v>391</v>
      </c>
      <c r="G15">
        <v>6101661</v>
      </c>
      <c r="H15">
        <v>202108</v>
      </c>
      <c r="I15" s="400">
        <v>44439</v>
      </c>
      <c r="J15">
        <v>119010</v>
      </c>
      <c r="K15" t="s">
        <v>386</v>
      </c>
      <c r="L15" t="s">
        <v>392</v>
      </c>
      <c r="M15" t="s">
        <v>393</v>
      </c>
      <c r="O15" t="s">
        <v>394</v>
      </c>
      <c r="P15" t="s">
        <v>395</v>
      </c>
      <c r="Q15" t="s">
        <v>396</v>
      </c>
      <c r="R15">
        <v>2069140</v>
      </c>
      <c r="S15" t="s">
        <v>392</v>
      </c>
      <c r="U15" t="s">
        <v>420</v>
      </c>
      <c r="V15" t="s">
        <v>398</v>
      </c>
      <c r="W15" s="393">
        <v>6337980</v>
      </c>
      <c r="X15" s="393">
        <v>1639.83</v>
      </c>
      <c r="Y15" s="393">
        <v>14280.23</v>
      </c>
      <c r="Z15" s="393">
        <v>6337980</v>
      </c>
      <c r="AA15">
        <v>0</v>
      </c>
      <c r="AB15" s="400">
        <v>44441.916087268517</v>
      </c>
    </row>
    <row r="16" spans="1:29">
      <c r="A16" t="s">
        <v>382</v>
      </c>
      <c r="B16" t="s">
        <v>382</v>
      </c>
      <c r="C16" t="s">
        <v>421</v>
      </c>
      <c r="D16" t="s">
        <v>422</v>
      </c>
      <c r="E16" t="s">
        <v>390</v>
      </c>
      <c r="F16" t="s">
        <v>391</v>
      </c>
      <c r="G16">
        <v>6101502</v>
      </c>
      <c r="H16">
        <v>202108</v>
      </c>
      <c r="I16" s="400">
        <v>44421</v>
      </c>
      <c r="J16">
        <v>119010</v>
      </c>
      <c r="K16" t="s">
        <v>386</v>
      </c>
      <c r="L16" t="s">
        <v>399</v>
      </c>
      <c r="M16" t="s">
        <v>400</v>
      </c>
      <c r="O16" t="s">
        <v>401</v>
      </c>
      <c r="P16" t="s">
        <v>402</v>
      </c>
      <c r="Q16" t="s">
        <v>396</v>
      </c>
      <c r="R16">
        <v>2069136</v>
      </c>
      <c r="S16" t="s">
        <v>387</v>
      </c>
      <c r="U16" t="s">
        <v>423</v>
      </c>
      <c r="V16" t="s">
        <v>398</v>
      </c>
      <c r="W16" s="393">
        <v>8029533</v>
      </c>
      <c r="X16" s="393">
        <v>2055.56</v>
      </c>
      <c r="Y16" s="393">
        <v>17761.330000000002</v>
      </c>
      <c r="Z16" s="393">
        <v>8029533</v>
      </c>
      <c r="AA16">
        <v>0</v>
      </c>
      <c r="AB16" s="400">
        <v>44421.75529641204</v>
      </c>
    </row>
    <row r="17" spans="1:29">
      <c r="A17" t="s">
        <v>382</v>
      </c>
      <c r="B17" t="s">
        <v>382</v>
      </c>
      <c r="C17" t="s">
        <v>421</v>
      </c>
      <c r="D17" t="s">
        <v>422</v>
      </c>
      <c r="E17" t="s">
        <v>390</v>
      </c>
      <c r="F17" t="s">
        <v>391</v>
      </c>
      <c r="G17">
        <v>6102147</v>
      </c>
      <c r="H17">
        <v>202109</v>
      </c>
      <c r="I17" s="400">
        <v>44469</v>
      </c>
      <c r="J17">
        <v>119010</v>
      </c>
      <c r="K17" t="s">
        <v>386</v>
      </c>
      <c r="L17" t="s">
        <v>399</v>
      </c>
      <c r="M17" t="s">
        <v>400</v>
      </c>
      <c r="O17" t="s">
        <v>401</v>
      </c>
      <c r="P17" t="s">
        <v>402</v>
      </c>
      <c r="Q17" t="s">
        <v>396</v>
      </c>
      <c r="R17">
        <v>2069136</v>
      </c>
      <c r="S17" t="s">
        <v>399</v>
      </c>
      <c r="U17" t="s">
        <v>424</v>
      </c>
      <c r="V17" t="s">
        <v>398</v>
      </c>
      <c r="W17" s="393">
        <v>24000000</v>
      </c>
      <c r="X17" s="393">
        <v>6258.72</v>
      </c>
      <c r="Y17" s="393">
        <v>54421.440000000002</v>
      </c>
      <c r="Z17" s="393">
        <v>24000000</v>
      </c>
      <c r="AA17">
        <v>0</v>
      </c>
      <c r="AB17" s="400">
        <v>44473.659432141205</v>
      </c>
    </row>
    <row r="18" spans="1:29">
      <c r="A18" t="s">
        <v>382</v>
      </c>
      <c r="B18" t="s">
        <v>382</v>
      </c>
      <c r="C18" t="s">
        <v>425</v>
      </c>
      <c r="D18" t="s">
        <v>426</v>
      </c>
      <c r="E18" t="s">
        <v>427</v>
      </c>
      <c r="F18" t="s">
        <v>428</v>
      </c>
      <c r="G18">
        <v>1100445</v>
      </c>
      <c r="H18">
        <v>202103</v>
      </c>
      <c r="I18" s="400">
        <v>44279</v>
      </c>
      <c r="J18" t="s">
        <v>429</v>
      </c>
      <c r="K18" t="s">
        <v>386</v>
      </c>
      <c r="L18" t="s">
        <v>392</v>
      </c>
      <c r="M18" t="s">
        <v>393</v>
      </c>
      <c r="O18" t="s">
        <v>394</v>
      </c>
      <c r="P18" t="s">
        <v>395</v>
      </c>
      <c r="Q18" t="s">
        <v>396</v>
      </c>
      <c r="R18">
        <v>2244667</v>
      </c>
      <c r="S18" t="s">
        <v>430</v>
      </c>
      <c r="U18" t="s">
        <v>431</v>
      </c>
      <c r="V18" t="s">
        <v>398</v>
      </c>
      <c r="W18" s="393">
        <v>252000000</v>
      </c>
      <c r="X18" s="393">
        <v>70308</v>
      </c>
      <c r="Y18" s="393">
        <v>593460</v>
      </c>
      <c r="Z18" s="393">
        <v>252000000</v>
      </c>
      <c r="AA18">
        <v>0</v>
      </c>
      <c r="AB18" s="400">
        <v>44299.808214583332</v>
      </c>
    </row>
    <row r="19" spans="1:29">
      <c r="A19" t="s">
        <v>382</v>
      </c>
      <c r="B19" t="s">
        <v>382</v>
      </c>
      <c r="C19" t="s">
        <v>425</v>
      </c>
      <c r="D19" t="s">
        <v>426</v>
      </c>
      <c r="E19" t="s">
        <v>390</v>
      </c>
      <c r="F19" t="s">
        <v>391</v>
      </c>
      <c r="G19">
        <v>6100680</v>
      </c>
      <c r="H19">
        <v>202104</v>
      </c>
      <c r="I19" s="400">
        <v>44313</v>
      </c>
      <c r="J19">
        <v>119010</v>
      </c>
      <c r="K19" t="s">
        <v>386</v>
      </c>
      <c r="L19" t="s">
        <v>392</v>
      </c>
      <c r="M19" t="s">
        <v>393</v>
      </c>
      <c r="O19" t="s">
        <v>394</v>
      </c>
      <c r="P19" t="s">
        <v>395</v>
      </c>
      <c r="Q19" t="s">
        <v>396</v>
      </c>
      <c r="R19">
        <v>2244667</v>
      </c>
      <c r="S19" t="s">
        <v>392</v>
      </c>
      <c r="U19" t="s">
        <v>432</v>
      </c>
      <c r="V19" t="s">
        <v>398</v>
      </c>
      <c r="W19" s="393">
        <v>-1076783</v>
      </c>
      <c r="X19" s="393">
        <v>-296.12</v>
      </c>
      <c r="Y19" s="393">
        <v>-2452.91</v>
      </c>
      <c r="Z19" s="393">
        <v>-1076783</v>
      </c>
      <c r="AA19">
        <v>0</v>
      </c>
      <c r="AB19" s="400">
        <v>44316.998394826391</v>
      </c>
    </row>
    <row r="20" spans="1:29">
      <c r="A20" t="s">
        <v>382</v>
      </c>
      <c r="B20" t="s">
        <v>382</v>
      </c>
      <c r="C20" t="s">
        <v>425</v>
      </c>
      <c r="D20" t="s">
        <v>426</v>
      </c>
      <c r="E20" t="s">
        <v>427</v>
      </c>
      <c r="F20" t="s">
        <v>428</v>
      </c>
      <c r="G20">
        <v>1100564</v>
      </c>
      <c r="H20">
        <v>202104</v>
      </c>
      <c r="I20" s="400">
        <v>44295</v>
      </c>
      <c r="J20" t="s">
        <v>429</v>
      </c>
      <c r="K20" t="s">
        <v>386</v>
      </c>
      <c r="L20" t="s">
        <v>399</v>
      </c>
      <c r="M20" t="s">
        <v>400</v>
      </c>
      <c r="O20" t="s">
        <v>401</v>
      </c>
      <c r="P20" t="s">
        <v>402</v>
      </c>
      <c r="Q20" t="s">
        <v>396</v>
      </c>
      <c r="R20">
        <v>2244668</v>
      </c>
      <c r="S20" t="s">
        <v>403</v>
      </c>
      <c r="U20" t="s">
        <v>433</v>
      </c>
      <c r="V20" t="s">
        <v>398</v>
      </c>
      <c r="W20" s="393">
        <v>378000000</v>
      </c>
      <c r="X20" s="393">
        <v>103950</v>
      </c>
      <c r="Y20" s="393">
        <v>889434</v>
      </c>
      <c r="Z20" s="393">
        <v>378000000</v>
      </c>
      <c r="AA20">
        <v>0</v>
      </c>
      <c r="AB20" s="400">
        <v>44326.74515023148</v>
      </c>
    </row>
    <row r="21" spans="1:29">
      <c r="A21" t="s">
        <v>382</v>
      </c>
      <c r="B21" t="s">
        <v>382</v>
      </c>
      <c r="C21" t="s">
        <v>425</v>
      </c>
      <c r="D21" t="s">
        <v>426</v>
      </c>
      <c r="E21" t="s">
        <v>390</v>
      </c>
      <c r="F21" t="s">
        <v>391</v>
      </c>
      <c r="G21">
        <v>6100853</v>
      </c>
      <c r="H21">
        <v>202105</v>
      </c>
      <c r="I21" s="400">
        <v>44334</v>
      </c>
      <c r="J21">
        <v>119010</v>
      </c>
      <c r="K21" t="s">
        <v>386</v>
      </c>
      <c r="L21" t="s">
        <v>399</v>
      </c>
      <c r="M21" t="s">
        <v>400</v>
      </c>
      <c r="O21" t="s">
        <v>401</v>
      </c>
      <c r="P21" t="s">
        <v>402</v>
      </c>
      <c r="Q21" t="s">
        <v>396</v>
      </c>
      <c r="R21">
        <v>2244668</v>
      </c>
      <c r="S21" t="s">
        <v>399</v>
      </c>
      <c r="U21" t="s">
        <v>434</v>
      </c>
      <c r="V21" t="s">
        <v>398</v>
      </c>
      <c r="W21" s="393">
        <v>-281963.36</v>
      </c>
      <c r="X21" s="393">
        <v>-73.31</v>
      </c>
      <c r="Y21" s="393">
        <v>-601.42999999999995</v>
      </c>
      <c r="Z21" s="393">
        <v>-281963.36</v>
      </c>
      <c r="AA21">
        <v>0</v>
      </c>
      <c r="AB21" s="400">
        <v>44337.642736805552</v>
      </c>
    </row>
    <row r="22" spans="1:29">
      <c r="A22" t="s">
        <v>382</v>
      </c>
      <c r="B22" t="s">
        <v>382</v>
      </c>
      <c r="C22" t="s">
        <v>425</v>
      </c>
      <c r="D22" t="s">
        <v>426</v>
      </c>
      <c r="E22" t="s">
        <v>390</v>
      </c>
      <c r="F22" t="s">
        <v>391</v>
      </c>
      <c r="G22">
        <v>6101019</v>
      </c>
      <c r="H22">
        <v>202106</v>
      </c>
      <c r="I22" s="400">
        <v>44369</v>
      </c>
      <c r="J22">
        <v>119010</v>
      </c>
      <c r="K22" t="s">
        <v>386</v>
      </c>
      <c r="L22" t="s">
        <v>399</v>
      </c>
      <c r="M22" t="s">
        <v>400</v>
      </c>
      <c r="O22" t="s">
        <v>401</v>
      </c>
      <c r="P22" t="s">
        <v>402</v>
      </c>
      <c r="Q22" t="s">
        <v>396</v>
      </c>
      <c r="R22">
        <v>2244668</v>
      </c>
      <c r="S22" t="s">
        <v>399</v>
      </c>
      <c r="U22" t="s">
        <v>435</v>
      </c>
      <c r="V22" t="s">
        <v>398</v>
      </c>
      <c r="W22" s="393">
        <v>-29228179.260000002</v>
      </c>
      <c r="X22" s="393">
        <v>-8154.66</v>
      </c>
      <c r="Y22" s="393">
        <v>-69066.19</v>
      </c>
      <c r="Z22" s="393">
        <v>-29228179.260000002</v>
      </c>
      <c r="AA22">
        <v>0</v>
      </c>
      <c r="AB22" s="400">
        <v>44369.752420486111</v>
      </c>
    </row>
    <row r="23" spans="1:29">
      <c r="A23" t="s">
        <v>382</v>
      </c>
      <c r="B23" t="s">
        <v>382</v>
      </c>
      <c r="C23" t="s">
        <v>425</v>
      </c>
      <c r="D23" t="s">
        <v>426</v>
      </c>
      <c r="E23" t="s">
        <v>390</v>
      </c>
      <c r="F23" t="s">
        <v>391</v>
      </c>
      <c r="G23">
        <v>6101661</v>
      </c>
      <c r="H23">
        <v>202108</v>
      </c>
      <c r="I23" s="400">
        <v>44439</v>
      </c>
      <c r="J23">
        <v>119010</v>
      </c>
      <c r="K23" t="s">
        <v>386</v>
      </c>
      <c r="L23" t="s">
        <v>392</v>
      </c>
      <c r="M23" t="s">
        <v>393</v>
      </c>
      <c r="O23" t="s">
        <v>394</v>
      </c>
      <c r="P23" t="s">
        <v>395</v>
      </c>
      <c r="Q23" t="s">
        <v>396</v>
      </c>
      <c r="R23">
        <v>2244667</v>
      </c>
      <c r="S23" t="s">
        <v>392</v>
      </c>
      <c r="U23" t="s">
        <v>436</v>
      </c>
      <c r="V23" t="s">
        <v>398</v>
      </c>
      <c r="W23" s="393">
        <v>-22574226.600000001</v>
      </c>
      <c r="X23" s="393">
        <v>-5840.63</v>
      </c>
      <c r="Y23" s="393">
        <v>-50862.44</v>
      </c>
      <c r="Z23" s="393">
        <v>-22574226.600000001</v>
      </c>
      <c r="AA23">
        <v>0</v>
      </c>
      <c r="AB23" s="400">
        <v>44441.916087071761</v>
      </c>
    </row>
    <row r="24" spans="1:29">
      <c r="A24" t="s">
        <v>382</v>
      </c>
      <c r="B24" t="s">
        <v>382</v>
      </c>
      <c r="C24" t="s">
        <v>425</v>
      </c>
      <c r="D24" t="s">
        <v>426</v>
      </c>
      <c r="E24" t="s">
        <v>390</v>
      </c>
      <c r="F24" t="s">
        <v>391</v>
      </c>
      <c r="G24">
        <v>6101502</v>
      </c>
      <c r="H24">
        <v>202108</v>
      </c>
      <c r="I24" s="400">
        <v>44421</v>
      </c>
      <c r="J24">
        <v>119010</v>
      </c>
      <c r="K24" t="s">
        <v>386</v>
      </c>
      <c r="L24" t="s">
        <v>399</v>
      </c>
      <c r="M24" t="s">
        <v>400</v>
      </c>
      <c r="O24" t="s">
        <v>401</v>
      </c>
      <c r="P24" t="s">
        <v>402</v>
      </c>
      <c r="Q24" t="s">
        <v>396</v>
      </c>
      <c r="R24">
        <v>2069136</v>
      </c>
      <c r="S24" t="s">
        <v>399</v>
      </c>
      <c r="U24" t="s">
        <v>438</v>
      </c>
      <c r="V24" t="s">
        <v>398</v>
      </c>
      <c r="W24" s="393">
        <v>-37680403.43</v>
      </c>
      <c r="X24" s="393">
        <v>-9646.18</v>
      </c>
      <c r="Y24" s="393">
        <v>-83349.05</v>
      </c>
      <c r="Z24" s="393">
        <v>-37680403.43</v>
      </c>
      <c r="AA24">
        <v>0</v>
      </c>
      <c r="AB24" s="400">
        <v>44421.75529641204</v>
      </c>
    </row>
    <row r="25" spans="1:29">
      <c r="A25" t="s">
        <v>382</v>
      </c>
      <c r="B25" t="s">
        <v>440</v>
      </c>
      <c r="C25" t="s">
        <v>425</v>
      </c>
      <c r="D25" t="s">
        <v>426</v>
      </c>
      <c r="E25" t="s">
        <v>390</v>
      </c>
      <c r="F25" t="s">
        <v>391</v>
      </c>
      <c r="G25">
        <v>6101503</v>
      </c>
      <c r="H25">
        <v>202108</v>
      </c>
      <c r="I25" s="400">
        <v>44421</v>
      </c>
      <c r="J25">
        <v>119010</v>
      </c>
      <c r="K25" t="s">
        <v>386</v>
      </c>
      <c r="L25" t="s">
        <v>399</v>
      </c>
      <c r="M25" t="s">
        <v>400</v>
      </c>
      <c r="O25" t="s">
        <v>401</v>
      </c>
      <c r="P25" t="s">
        <v>402</v>
      </c>
      <c r="Q25" t="s">
        <v>396</v>
      </c>
      <c r="R25">
        <v>2069136</v>
      </c>
      <c r="S25" t="s">
        <v>399</v>
      </c>
      <c r="U25" t="s">
        <v>441</v>
      </c>
      <c r="V25" t="s">
        <v>398</v>
      </c>
      <c r="W25" s="393">
        <v>37680403.43</v>
      </c>
      <c r="X25" s="393">
        <v>9646.18</v>
      </c>
      <c r="Y25" s="393">
        <v>83349.05</v>
      </c>
      <c r="Z25" s="393">
        <v>37680403.43</v>
      </c>
      <c r="AA25">
        <v>0</v>
      </c>
      <c r="AB25" s="400">
        <v>44421.796445636573</v>
      </c>
    </row>
    <row r="26" spans="1:29">
      <c r="A26" t="s">
        <v>382</v>
      </c>
      <c r="B26" t="s">
        <v>440</v>
      </c>
      <c r="C26" t="s">
        <v>425</v>
      </c>
      <c r="D26" t="s">
        <v>426</v>
      </c>
      <c r="E26" t="s">
        <v>390</v>
      </c>
      <c r="F26" t="s">
        <v>391</v>
      </c>
      <c r="G26">
        <v>6101503</v>
      </c>
      <c r="H26">
        <v>202108</v>
      </c>
      <c r="I26" s="400">
        <v>44421</v>
      </c>
      <c r="J26">
        <v>119010</v>
      </c>
      <c r="K26" t="s">
        <v>386</v>
      </c>
      <c r="L26" t="s">
        <v>399</v>
      </c>
      <c r="M26" t="s">
        <v>400</v>
      </c>
      <c r="O26" t="s">
        <v>401</v>
      </c>
      <c r="P26" t="s">
        <v>402</v>
      </c>
      <c r="Q26" t="s">
        <v>396</v>
      </c>
      <c r="R26">
        <v>2244668</v>
      </c>
      <c r="S26" t="s">
        <v>399</v>
      </c>
      <c r="U26" t="s">
        <v>441</v>
      </c>
      <c r="V26" t="s">
        <v>398</v>
      </c>
      <c r="W26" s="393">
        <v>-37680403.43</v>
      </c>
      <c r="X26" s="393">
        <v>-9646.18</v>
      </c>
      <c r="Y26" s="393">
        <v>-83349.05</v>
      </c>
      <c r="Z26" s="393">
        <v>-37680403.43</v>
      </c>
      <c r="AA26">
        <v>0</v>
      </c>
      <c r="AB26" s="400">
        <v>44421.796445636573</v>
      </c>
    </row>
    <row r="27" spans="1:29">
      <c r="A27" t="s">
        <v>382</v>
      </c>
      <c r="B27" t="s">
        <v>382</v>
      </c>
      <c r="C27" t="s">
        <v>425</v>
      </c>
      <c r="D27" t="s">
        <v>426</v>
      </c>
      <c r="E27" t="s">
        <v>390</v>
      </c>
      <c r="F27" t="s">
        <v>391</v>
      </c>
      <c r="G27">
        <v>6102011</v>
      </c>
      <c r="H27">
        <v>202109</v>
      </c>
      <c r="I27" s="400">
        <v>44460</v>
      </c>
      <c r="J27">
        <v>119010</v>
      </c>
      <c r="K27" t="s">
        <v>386</v>
      </c>
      <c r="L27" t="s">
        <v>399</v>
      </c>
      <c r="M27" t="s">
        <v>400</v>
      </c>
      <c r="O27" t="s">
        <v>401</v>
      </c>
      <c r="P27" t="s">
        <v>402</v>
      </c>
      <c r="Q27" t="s">
        <v>396</v>
      </c>
      <c r="R27">
        <v>2244668</v>
      </c>
      <c r="S27" t="s">
        <v>399</v>
      </c>
      <c r="U27" t="s">
        <v>442</v>
      </c>
      <c r="V27" t="s">
        <v>398</v>
      </c>
      <c r="W27" s="393">
        <v>-20907683.260000002</v>
      </c>
      <c r="X27" s="393">
        <v>-5465.48</v>
      </c>
      <c r="Y27" s="393">
        <v>-47521.279999999999</v>
      </c>
      <c r="Z27" s="393">
        <v>-20907683.260000002</v>
      </c>
      <c r="AA27">
        <v>0</v>
      </c>
      <c r="AB27" s="400">
        <v>44460.79896122685</v>
      </c>
    </row>
    <row r="28" spans="1:29">
      <c r="A28" t="s">
        <v>382</v>
      </c>
      <c r="B28" t="s">
        <v>382</v>
      </c>
      <c r="C28" t="s">
        <v>425</v>
      </c>
      <c r="D28" t="s">
        <v>426</v>
      </c>
      <c r="E28" t="s">
        <v>390</v>
      </c>
      <c r="F28" t="s">
        <v>391</v>
      </c>
      <c r="G28">
        <v>6102147</v>
      </c>
      <c r="H28">
        <v>202109</v>
      </c>
      <c r="I28" s="400">
        <v>44469</v>
      </c>
      <c r="J28">
        <v>119010</v>
      </c>
      <c r="K28" t="s">
        <v>386</v>
      </c>
      <c r="L28" t="s">
        <v>399</v>
      </c>
      <c r="M28" t="s">
        <v>400</v>
      </c>
      <c r="O28" t="s">
        <v>401</v>
      </c>
      <c r="P28" t="s">
        <v>402</v>
      </c>
      <c r="Q28" t="s">
        <v>396</v>
      </c>
      <c r="R28">
        <v>2244668</v>
      </c>
      <c r="S28" t="s">
        <v>399</v>
      </c>
      <c r="U28" t="s">
        <v>443</v>
      </c>
      <c r="V28" t="s">
        <v>398</v>
      </c>
      <c r="W28" s="393">
        <v>-44800840.920000002</v>
      </c>
      <c r="X28" s="393">
        <v>-11683.16</v>
      </c>
      <c r="Y28" s="393">
        <v>-101588.59</v>
      </c>
      <c r="Z28" s="393">
        <v>-44800840.920000002</v>
      </c>
      <c r="AA28">
        <v>0</v>
      </c>
      <c r="AB28" s="400">
        <v>44473.659431944441</v>
      </c>
    </row>
    <row r="29" spans="1:29">
      <c r="A29" t="s">
        <v>382</v>
      </c>
      <c r="B29" t="s">
        <v>440</v>
      </c>
      <c r="C29" t="s">
        <v>444</v>
      </c>
      <c r="D29" t="s">
        <v>445</v>
      </c>
      <c r="E29" t="s">
        <v>390</v>
      </c>
      <c r="F29" t="s">
        <v>391</v>
      </c>
      <c r="G29">
        <v>6101841</v>
      </c>
      <c r="H29">
        <v>202108</v>
      </c>
      <c r="I29" s="400">
        <v>44438</v>
      </c>
      <c r="J29">
        <v>124932</v>
      </c>
      <c r="K29" t="s">
        <v>386</v>
      </c>
      <c r="L29" t="s">
        <v>446</v>
      </c>
      <c r="M29" t="s">
        <v>447</v>
      </c>
      <c r="O29" t="s">
        <v>448</v>
      </c>
      <c r="P29" t="s">
        <v>449</v>
      </c>
      <c r="Q29" t="s">
        <v>450</v>
      </c>
      <c r="R29">
        <v>2069135</v>
      </c>
      <c r="S29" t="s">
        <v>387</v>
      </c>
      <c r="U29" t="s">
        <v>451</v>
      </c>
      <c r="V29" t="s">
        <v>398</v>
      </c>
      <c r="W29" s="393">
        <v>-948100</v>
      </c>
      <c r="X29" s="393">
        <v>-242.4</v>
      </c>
      <c r="Y29" s="393">
        <v>-2093.9899999999998</v>
      </c>
      <c r="Z29" s="393">
        <v>-948100</v>
      </c>
      <c r="AA29">
        <v>0</v>
      </c>
      <c r="AB29" s="400">
        <v>44446.822882094908</v>
      </c>
      <c r="AC29" t="s">
        <v>324</v>
      </c>
    </row>
    <row r="30" spans="1:29">
      <c r="A30" t="s">
        <v>382</v>
      </c>
      <c r="B30" t="s">
        <v>440</v>
      </c>
      <c r="C30" t="s">
        <v>444</v>
      </c>
      <c r="D30" t="s">
        <v>445</v>
      </c>
      <c r="E30" t="s">
        <v>390</v>
      </c>
      <c r="F30" t="s">
        <v>391</v>
      </c>
      <c r="G30">
        <v>6101615</v>
      </c>
      <c r="H30">
        <v>202108</v>
      </c>
      <c r="I30" s="400">
        <v>44428</v>
      </c>
      <c r="J30" t="s">
        <v>452</v>
      </c>
      <c r="K30" t="s">
        <v>386</v>
      </c>
      <c r="L30" t="s">
        <v>446</v>
      </c>
      <c r="M30" t="s">
        <v>447</v>
      </c>
      <c r="O30" t="s">
        <v>448</v>
      </c>
      <c r="P30" t="s">
        <v>449</v>
      </c>
      <c r="Q30" t="s">
        <v>450</v>
      </c>
      <c r="R30">
        <v>2069135</v>
      </c>
      <c r="S30" t="s">
        <v>387</v>
      </c>
      <c r="U30" t="s">
        <v>453</v>
      </c>
      <c r="V30" t="s">
        <v>398</v>
      </c>
      <c r="W30" s="393">
        <v>948100</v>
      </c>
      <c r="X30" s="393">
        <v>242.4</v>
      </c>
      <c r="Y30" s="393">
        <v>2093.9899999999998</v>
      </c>
      <c r="Z30" s="393">
        <v>948100</v>
      </c>
      <c r="AA30">
        <v>0</v>
      </c>
      <c r="AB30" s="400">
        <v>44433.835121180557</v>
      </c>
      <c r="AC30" t="s">
        <v>324</v>
      </c>
    </row>
    <row r="31" spans="1:29">
      <c r="A31" t="s">
        <v>382</v>
      </c>
      <c r="B31" t="s">
        <v>440</v>
      </c>
      <c r="C31" t="s">
        <v>444</v>
      </c>
      <c r="D31" t="s">
        <v>445</v>
      </c>
      <c r="E31" t="s">
        <v>390</v>
      </c>
      <c r="F31" t="s">
        <v>391</v>
      </c>
      <c r="G31">
        <v>6101615</v>
      </c>
      <c r="H31">
        <v>202108</v>
      </c>
      <c r="I31" s="400">
        <v>44428</v>
      </c>
      <c r="J31" t="s">
        <v>452</v>
      </c>
      <c r="K31" t="s">
        <v>386</v>
      </c>
      <c r="L31" t="s">
        <v>454</v>
      </c>
      <c r="M31" t="s">
        <v>447</v>
      </c>
      <c r="O31" t="s">
        <v>448</v>
      </c>
      <c r="P31" t="s">
        <v>449</v>
      </c>
      <c r="Q31" t="s">
        <v>450</v>
      </c>
      <c r="R31">
        <v>2069135</v>
      </c>
      <c r="S31" t="s">
        <v>387</v>
      </c>
      <c r="U31" t="s">
        <v>455</v>
      </c>
      <c r="V31" t="s">
        <v>398</v>
      </c>
      <c r="W31" s="393">
        <v>948100</v>
      </c>
      <c r="X31" s="393">
        <v>242.4</v>
      </c>
      <c r="Y31" s="393">
        <v>2093.9899999999998</v>
      </c>
      <c r="Z31" s="393">
        <v>948100</v>
      </c>
      <c r="AA31">
        <v>0</v>
      </c>
      <c r="AB31" s="400">
        <v>44433.835121180557</v>
      </c>
      <c r="AC31" t="s">
        <v>324</v>
      </c>
    </row>
    <row r="32" spans="1:29">
      <c r="A32" t="s">
        <v>382</v>
      </c>
      <c r="B32" t="s">
        <v>440</v>
      </c>
      <c r="C32" t="s">
        <v>444</v>
      </c>
      <c r="D32" t="s">
        <v>445</v>
      </c>
      <c r="E32" t="s">
        <v>390</v>
      </c>
      <c r="F32" t="s">
        <v>391</v>
      </c>
      <c r="G32">
        <v>6101841</v>
      </c>
      <c r="H32">
        <v>202108</v>
      </c>
      <c r="I32" s="400">
        <v>44438</v>
      </c>
      <c r="J32">
        <v>124932</v>
      </c>
      <c r="K32" t="s">
        <v>386</v>
      </c>
      <c r="L32" t="s">
        <v>454</v>
      </c>
      <c r="M32" t="s">
        <v>447</v>
      </c>
      <c r="O32" t="s">
        <v>448</v>
      </c>
      <c r="P32" t="s">
        <v>449</v>
      </c>
      <c r="Q32" t="s">
        <v>450</v>
      </c>
      <c r="R32">
        <v>2069135</v>
      </c>
      <c r="S32" t="s">
        <v>387</v>
      </c>
      <c r="U32" t="s">
        <v>456</v>
      </c>
      <c r="V32" t="s">
        <v>398</v>
      </c>
      <c r="W32" s="393">
        <v>-948100</v>
      </c>
      <c r="X32" s="393">
        <v>-242.4</v>
      </c>
      <c r="Y32" s="393">
        <v>-2093.9899999999998</v>
      </c>
      <c r="Z32" s="393">
        <v>-948100</v>
      </c>
      <c r="AA32">
        <v>0</v>
      </c>
      <c r="AB32" s="400">
        <v>44446.822882094908</v>
      </c>
      <c r="AC32" t="s">
        <v>324</v>
      </c>
    </row>
    <row r="33" spans="1:29">
      <c r="A33" t="s">
        <v>382</v>
      </c>
      <c r="B33" t="s">
        <v>440</v>
      </c>
      <c r="C33" t="s">
        <v>444</v>
      </c>
      <c r="D33" t="s">
        <v>445</v>
      </c>
      <c r="E33" t="s">
        <v>390</v>
      </c>
      <c r="F33" t="s">
        <v>391</v>
      </c>
      <c r="G33">
        <v>6101841</v>
      </c>
      <c r="H33">
        <v>202108</v>
      </c>
      <c r="I33" s="400">
        <v>44438</v>
      </c>
      <c r="J33">
        <v>124932</v>
      </c>
      <c r="K33" t="s">
        <v>386</v>
      </c>
      <c r="L33" t="s">
        <v>457</v>
      </c>
      <c r="M33" t="s">
        <v>447</v>
      </c>
      <c r="O33" t="s">
        <v>448</v>
      </c>
      <c r="P33" t="s">
        <v>449</v>
      </c>
      <c r="Q33" t="s">
        <v>450</v>
      </c>
      <c r="R33">
        <v>2069135</v>
      </c>
      <c r="S33" t="s">
        <v>387</v>
      </c>
      <c r="U33" t="s">
        <v>458</v>
      </c>
      <c r="V33" t="s">
        <v>398</v>
      </c>
      <c r="W33" s="393">
        <v>-948100</v>
      </c>
      <c r="X33" s="393">
        <v>-242.4</v>
      </c>
      <c r="Y33" s="393">
        <v>-2093.9899999999998</v>
      </c>
      <c r="Z33" s="393">
        <v>-948100</v>
      </c>
      <c r="AA33">
        <v>0</v>
      </c>
      <c r="AB33" s="400">
        <v>44446.822882094908</v>
      </c>
      <c r="AC33" t="s">
        <v>324</v>
      </c>
    </row>
    <row r="34" spans="1:29">
      <c r="A34" t="s">
        <v>382</v>
      </c>
      <c r="B34" t="s">
        <v>440</v>
      </c>
      <c r="C34" t="s">
        <v>444</v>
      </c>
      <c r="D34" t="s">
        <v>445</v>
      </c>
      <c r="E34" t="s">
        <v>390</v>
      </c>
      <c r="F34" t="s">
        <v>391</v>
      </c>
      <c r="G34">
        <v>6101615</v>
      </c>
      <c r="H34">
        <v>202108</v>
      </c>
      <c r="I34" s="400">
        <v>44428</v>
      </c>
      <c r="J34" t="s">
        <v>452</v>
      </c>
      <c r="K34" t="s">
        <v>386</v>
      </c>
      <c r="L34" t="s">
        <v>457</v>
      </c>
      <c r="M34" t="s">
        <v>447</v>
      </c>
      <c r="O34" t="s">
        <v>448</v>
      </c>
      <c r="P34" t="s">
        <v>449</v>
      </c>
      <c r="Q34" t="s">
        <v>450</v>
      </c>
      <c r="R34">
        <v>2069135</v>
      </c>
      <c r="S34" t="s">
        <v>387</v>
      </c>
      <c r="U34" t="s">
        <v>459</v>
      </c>
      <c r="V34" t="s">
        <v>398</v>
      </c>
      <c r="W34" s="393">
        <v>948100</v>
      </c>
      <c r="X34" s="393">
        <v>242.4</v>
      </c>
      <c r="Y34" s="393">
        <v>2093.9899999999998</v>
      </c>
      <c r="Z34" s="393">
        <v>948100</v>
      </c>
      <c r="AA34">
        <v>0</v>
      </c>
      <c r="AB34" s="400">
        <v>44433.835121180557</v>
      </c>
      <c r="AC34" t="s">
        <v>324</v>
      </c>
    </row>
    <row r="35" spans="1:29">
      <c r="A35" t="s">
        <v>382</v>
      </c>
      <c r="B35" t="s">
        <v>440</v>
      </c>
      <c r="C35" t="s">
        <v>444</v>
      </c>
      <c r="D35" t="s">
        <v>445</v>
      </c>
      <c r="E35" t="s">
        <v>390</v>
      </c>
      <c r="F35" t="s">
        <v>391</v>
      </c>
      <c r="G35">
        <v>6101615</v>
      </c>
      <c r="H35">
        <v>202108</v>
      </c>
      <c r="I35" s="400">
        <v>44428</v>
      </c>
      <c r="J35" t="s">
        <v>452</v>
      </c>
      <c r="K35" t="s">
        <v>386</v>
      </c>
      <c r="L35" t="s">
        <v>460</v>
      </c>
      <c r="M35" t="s">
        <v>447</v>
      </c>
      <c r="O35" t="s">
        <v>448</v>
      </c>
      <c r="P35" t="s">
        <v>449</v>
      </c>
      <c r="Q35" t="s">
        <v>450</v>
      </c>
      <c r="R35">
        <v>2069135</v>
      </c>
      <c r="S35" t="s">
        <v>387</v>
      </c>
      <c r="U35" t="s">
        <v>461</v>
      </c>
      <c r="V35" t="s">
        <v>398</v>
      </c>
      <c r="W35" s="393">
        <v>948100</v>
      </c>
      <c r="X35" s="393">
        <v>242.4</v>
      </c>
      <c r="Y35" s="393">
        <v>2093.9899999999998</v>
      </c>
      <c r="Z35" s="393">
        <v>948100</v>
      </c>
      <c r="AA35">
        <v>0</v>
      </c>
      <c r="AB35" s="400">
        <v>44433.835121180557</v>
      </c>
      <c r="AC35" t="s">
        <v>324</v>
      </c>
    </row>
    <row r="36" spans="1:29">
      <c r="A36" t="s">
        <v>382</v>
      </c>
      <c r="B36" t="s">
        <v>440</v>
      </c>
      <c r="C36" t="s">
        <v>444</v>
      </c>
      <c r="D36" t="s">
        <v>445</v>
      </c>
      <c r="E36" t="s">
        <v>390</v>
      </c>
      <c r="F36" t="s">
        <v>391</v>
      </c>
      <c r="G36">
        <v>6101841</v>
      </c>
      <c r="H36">
        <v>202108</v>
      </c>
      <c r="I36" s="400">
        <v>44438</v>
      </c>
      <c r="J36">
        <v>124932</v>
      </c>
      <c r="K36" t="s">
        <v>386</v>
      </c>
      <c r="L36" t="s">
        <v>460</v>
      </c>
      <c r="M36" t="s">
        <v>447</v>
      </c>
      <c r="O36" t="s">
        <v>448</v>
      </c>
      <c r="P36" t="s">
        <v>449</v>
      </c>
      <c r="Q36" t="s">
        <v>450</v>
      </c>
      <c r="R36">
        <v>2069135</v>
      </c>
      <c r="S36" t="s">
        <v>387</v>
      </c>
      <c r="U36" t="s">
        <v>462</v>
      </c>
      <c r="V36" t="s">
        <v>398</v>
      </c>
      <c r="W36" s="393">
        <v>-948100</v>
      </c>
      <c r="X36" s="393">
        <v>-242.4</v>
      </c>
      <c r="Y36" s="393">
        <v>-2093.9899999999998</v>
      </c>
      <c r="Z36" s="393">
        <v>-948100</v>
      </c>
      <c r="AA36">
        <v>0</v>
      </c>
      <c r="AB36" s="400">
        <v>44446.822882094908</v>
      </c>
      <c r="AC36" t="s">
        <v>324</v>
      </c>
    </row>
    <row r="37" spans="1:29">
      <c r="A37" t="s">
        <v>382</v>
      </c>
      <c r="B37" t="s">
        <v>440</v>
      </c>
      <c r="C37" t="s">
        <v>444</v>
      </c>
      <c r="D37" t="s">
        <v>445</v>
      </c>
      <c r="E37" t="s">
        <v>390</v>
      </c>
      <c r="F37" t="s">
        <v>391</v>
      </c>
      <c r="G37">
        <v>6101841</v>
      </c>
      <c r="H37">
        <v>202108</v>
      </c>
      <c r="I37" s="400">
        <v>44438</v>
      </c>
      <c r="J37">
        <v>124932</v>
      </c>
      <c r="K37" t="s">
        <v>386</v>
      </c>
      <c r="L37" t="s">
        <v>463</v>
      </c>
      <c r="M37" t="s">
        <v>447</v>
      </c>
      <c r="O37" t="s">
        <v>448</v>
      </c>
      <c r="P37" t="s">
        <v>449</v>
      </c>
      <c r="Q37" t="s">
        <v>450</v>
      </c>
      <c r="R37">
        <v>2069135</v>
      </c>
      <c r="S37" t="s">
        <v>387</v>
      </c>
      <c r="U37" t="s">
        <v>464</v>
      </c>
      <c r="V37" t="s">
        <v>398</v>
      </c>
      <c r="W37" s="393">
        <v>-948100</v>
      </c>
      <c r="X37" s="393">
        <v>-242.4</v>
      </c>
      <c r="Y37" s="393">
        <v>-2093.9899999999998</v>
      </c>
      <c r="Z37" s="393">
        <v>-948100</v>
      </c>
      <c r="AA37">
        <v>0</v>
      </c>
      <c r="AB37" s="400">
        <v>44446.822882094908</v>
      </c>
      <c r="AC37" t="s">
        <v>324</v>
      </c>
    </row>
    <row r="38" spans="1:29">
      <c r="A38" t="s">
        <v>382</v>
      </c>
      <c r="B38" t="s">
        <v>440</v>
      </c>
      <c r="C38" t="s">
        <v>444</v>
      </c>
      <c r="D38" t="s">
        <v>445</v>
      </c>
      <c r="E38" t="s">
        <v>390</v>
      </c>
      <c r="F38" t="s">
        <v>391</v>
      </c>
      <c r="G38">
        <v>6101615</v>
      </c>
      <c r="H38">
        <v>202108</v>
      </c>
      <c r="I38" s="400">
        <v>44428</v>
      </c>
      <c r="J38" t="s">
        <v>452</v>
      </c>
      <c r="K38" t="s">
        <v>386</v>
      </c>
      <c r="L38" t="s">
        <v>463</v>
      </c>
      <c r="M38" t="s">
        <v>447</v>
      </c>
      <c r="O38" t="s">
        <v>448</v>
      </c>
      <c r="P38" t="s">
        <v>449</v>
      </c>
      <c r="Q38" t="s">
        <v>450</v>
      </c>
      <c r="R38">
        <v>2069135</v>
      </c>
      <c r="S38" t="s">
        <v>387</v>
      </c>
      <c r="U38" t="s">
        <v>465</v>
      </c>
      <c r="V38" t="s">
        <v>398</v>
      </c>
      <c r="W38" s="393">
        <v>948100</v>
      </c>
      <c r="X38" s="393">
        <v>242.4</v>
      </c>
      <c r="Y38" s="393">
        <v>2093.9899999999998</v>
      </c>
      <c r="Z38" s="393">
        <v>948100</v>
      </c>
      <c r="AA38">
        <v>0</v>
      </c>
      <c r="AB38" s="400">
        <v>44433.835121377313</v>
      </c>
      <c r="AC38" t="s">
        <v>324</v>
      </c>
    </row>
    <row r="39" spans="1:29">
      <c r="A39" t="s">
        <v>382</v>
      </c>
      <c r="B39" t="s">
        <v>440</v>
      </c>
      <c r="C39" t="s">
        <v>444</v>
      </c>
      <c r="D39" t="s">
        <v>445</v>
      </c>
      <c r="E39" t="s">
        <v>390</v>
      </c>
      <c r="F39" t="s">
        <v>391</v>
      </c>
      <c r="G39">
        <v>6101615</v>
      </c>
      <c r="H39">
        <v>202108</v>
      </c>
      <c r="I39" s="400">
        <v>44428</v>
      </c>
      <c r="J39" t="s">
        <v>452</v>
      </c>
      <c r="K39" t="s">
        <v>386</v>
      </c>
      <c r="L39" t="s">
        <v>466</v>
      </c>
      <c r="M39" t="s">
        <v>447</v>
      </c>
      <c r="O39" t="s">
        <v>448</v>
      </c>
      <c r="P39" t="s">
        <v>449</v>
      </c>
      <c r="Q39" t="s">
        <v>450</v>
      </c>
      <c r="R39">
        <v>2069135</v>
      </c>
      <c r="S39" t="s">
        <v>387</v>
      </c>
      <c r="U39" t="s">
        <v>467</v>
      </c>
      <c r="V39" t="s">
        <v>398</v>
      </c>
      <c r="W39" s="393">
        <v>948100</v>
      </c>
      <c r="X39" s="393">
        <v>242.4</v>
      </c>
      <c r="Y39" s="393">
        <v>2093.9899999999998</v>
      </c>
      <c r="Z39" s="393">
        <v>948100</v>
      </c>
      <c r="AA39">
        <v>0</v>
      </c>
      <c r="AB39" s="400">
        <v>44433.835121377313</v>
      </c>
      <c r="AC39" t="s">
        <v>324</v>
      </c>
    </row>
    <row r="40" spans="1:29">
      <c r="A40" t="s">
        <v>382</v>
      </c>
      <c r="B40" t="s">
        <v>440</v>
      </c>
      <c r="C40" t="s">
        <v>444</v>
      </c>
      <c r="D40" t="s">
        <v>445</v>
      </c>
      <c r="E40" t="s">
        <v>390</v>
      </c>
      <c r="F40" t="s">
        <v>391</v>
      </c>
      <c r="G40">
        <v>6101841</v>
      </c>
      <c r="H40">
        <v>202108</v>
      </c>
      <c r="I40" s="400">
        <v>44438</v>
      </c>
      <c r="J40">
        <v>124932</v>
      </c>
      <c r="K40" t="s">
        <v>386</v>
      </c>
      <c r="L40" t="s">
        <v>466</v>
      </c>
      <c r="M40" t="s">
        <v>447</v>
      </c>
      <c r="O40" t="s">
        <v>448</v>
      </c>
      <c r="P40" t="s">
        <v>449</v>
      </c>
      <c r="Q40" t="s">
        <v>450</v>
      </c>
      <c r="R40">
        <v>2069135</v>
      </c>
      <c r="S40" t="s">
        <v>387</v>
      </c>
      <c r="U40" t="s">
        <v>468</v>
      </c>
      <c r="V40" t="s">
        <v>398</v>
      </c>
      <c r="W40" s="393">
        <v>-948100</v>
      </c>
      <c r="X40" s="393">
        <v>-242.4</v>
      </c>
      <c r="Y40" s="393">
        <v>-2093.9899999999998</v>
      </c>
      <c r="Z40" s="393">
        <v>-948100</v>
      </c>
      <c r="AA40">
        <v>0</v>
      </c>
      <c r="AB40" s="400">
        <v>44446.822882094908</v>
      </c>
      <c r="AC40" t="s">
        <v>324</v>
      </c>
    </row>
    <row r="41" spans="1:29">
      <c r="A41" t="s">
        <v>382</v>
      </c>
      <c r="B41" t="s">
        <v>440</v>
      </c>
      <c r="C41" t="s">
        <v>469</v>
      </c>
      <c r="D41" t="s">
        <v>470</v>
      </c>
      <c r="E41" t="s">
        <v>390</v>
      </c>
      <c r="F41" t="s">
        <v>391</v>
      </c>
      <c r="G41">
        <v>6101841</v>
      </c>
      <c r="H41">
        <v>202108</v>
      </c>
      <c r="I41" s="400">
        <v>44438</v>
      </c>
      <c r="J41">
        <v>124932</v>
      </c>
      <c r="K41" t="s">
        <v>386</v>
      </c>
      <c r="L41" t="s">
        <v>446</v>
      </c>
      <c r="M41" t="s">
        <v>447</v>
      </c>
      <c r="O41" t="s">
        <v>448</v>
      </c>
      <c r="P41" t="s">
        <v>449</v>
      </c>
      <c r="Q41" t="s">
        <v>450</v>
      </c>
      <c r="R41">
        <v>2069135</v>
      </c>
      <c r="S41" t="s">
        <v>387</v>
      </c>
      <c r="U41" t="s">
        <v>451</v>
      </c>
      <c r="V41" t="s">
        <v>398</v>
      </c>
      <c r="W41" s="393">
        <v>948100</v>
      </c>
      <c r="X41" s="393">
        <v>242.4</v>
      </c>
      <c r="Y41" s="393">
        <v>2093.9899999999998</v>
      </c>
      <c r="Z41" s="393">
        <v>948100</v>
      </c>
      <c r="AA41">
        <v>0</v>
      </c>
      <c r="AB41" s="400">
        <v>44446.822882094908</v>
      </c>
      <c r="AC41" t="s">
        <v>324</v>
      </c>
    </row>
    <row r="42" spans="1:29">
      <c r="A42" t="s">
        <v>382</v>
      </c>
      <c r="B42" t="s">
        <v>440</v>
      </c>
      <c r="C42" t="s">
        <v>469</v>
      </c>
      <c r="D42" t="s">
        <v>470</v>
      </c>
      <c r="E42" t="s">
        <v>390</v>
      </c>
      <c r="F42" t="s">
        <v>391</v>
      </c>
      <c r="G42">
        <v>6101615</v>
      </c>
      <c r="H42">
        <v>202108</v>
      </c>
      <c r="I42" s="400">
        <v>44428</v>
      </c>
      <c r="J42" t="s">
        <v>452</v>
      </c>
      <c r="K42" t="s">
        <v>386</v>
      </c>
      <c r="L42" t="s">
        <v>446</v>
      </c>
      <c r="M42" t="s">
        <v>447</v>
      </c>
      <c r="O42" t="s">
        <v>448</v>
      </c>
      <c r="P42" t="s">
        <v>449</v>
      </c>
      <c r="Q42" t="s">
        <v>450</v>
      </c>
      <c r="R42">
        <v>2069135</v>
      </c>
      <c r="S42" t="s">
        <v>387</v>
      </c>
      <c r="U42" t="s">
        <v>471</v>
      </c>
      <c r="V42" t="s">
        <v>398</v>
      </c>
      <c r="W42" s="393">
        <v>41230</v>
      </c>
      <c r="X42" s="393">
        <v>10.54</v>
      </c>
      <c r="Y42" s="393">
        <v>91.06</v>
      </c>
      <c r="Z42" s="393">
        <v>41230</v>
      </c>
      <c r="AA42">
        <v>0</v>
      </c>
      <c r="AB42" s="400">
        <v>44433.83512207176</v>
      </c>
      <c r="AC42" t="s">
        <v>324</v>
      </c>
    </row>
    <row r="43" spans="1:29">
      <c r="A43" t="s">
        <v>382</v>
      </c>
      <c r="B43" t="s">
        <v>440</v>
      </c>
      <c r="C43" t="s">
        <v>469</v>
      </c>
      <c r="D43" t="s">
        <v>470</v>
      </c>
      <c r="E43" t="s">
        <v>390</v>
      </c>
      <c r="F43" t="s">
        <v>391</v>
      </c>
      <c r="G43">
        <v>6101615</v>
      </c>
      <c r="H43">
        <v>202108</v>
      </c>
      <c r="I43" s="400">
        <v>44428</v>
      </c>
      <c r="J43" t="s">
        <v>452</v>
      </c>
      <c r="K43" t="s">
        <v>386</v>
      </c>
      <c r="L43" t="s">
        <v>454</v>
      </c>
      <c r="M43" t="s">
        <v>447</v>
      </c>
      <c r="O43" t="s">
        <v>448</v>
      </c>
      <c r="P43" t="s">
        <v>449</v>
      </c>
      <c r="Q43" t="s">
        <v>450</v>
      </c>
      <c r="R43">
        <v>2069135</v>
      </c>
      <c r="S43" t="s">
        <v>387</v>
      </c>
      <c r="U43" t="s">
        <v>472</v>
      </c>
      <c r="V43" t="s">
        <v>398</v>
      </c>
      <c r="W43" s="393">
        <v>41230</v>
      </c>
      <c r="X43" s="393">
        <v>10.54</v>
      </c>
      <c r="Y43" s="393">
        <v>91.06</v>
      </c>
      <c r="Z43" s="393">
        <v>41230</v>
      </c>
      <c r="AA43">
        <v>0</v>
      </c>
      <c r="AB43" s="400">
        <v>44433.83512207176</v>
      </c>
      <c r="AC43" t="s">
        <v>324</v>
      </c>
    </row>
    <row r="44" spans="1:29">
      <c r="A44" t="s">
        <v>382</v>
      </c>
      <c r="B44" t="s">
        <v>440</v>
      </c>
      <c r="C44" t="s">
        <v>469</v>
      </c>
      <c r="D44" t="s">
        <v>470</v>
      </c>
      <c r="E44" t="s">
        <v>390</v>
      </c>
      <c r="F44" t="s">
        <v>391</v>
      </c>
      <c r="G44">
        <v>6101841</v>
      </c>
      <c r="H44">
        <v>202108</v>
      </c>
      <c r="I44" s="400">
        <v>44438</v>
      </c>
      <c r="J44">
        <v>124932</v>
      </c>
      <c r="K44" t="s">
        <v>386</v>
      </c>
      <c r="L44" t="s">
        <v>454</v>
      </c>
      <c r="M44" t="s">
        <v>447</v>
      </c>
      <c r="O44" t="s">
        <v>448</v>
      </c>
      <c r="P44" t="s">
        <v>449</v>
      </c>
      <c r="Q44" t="s">
        <v>450</v>
      </c>
      <c r="R44">
        <v>2069135</v>
      </c>
      <c r="S44" t="s">
        <v>387</v>
      </c>
      <c r="U44" t="s">
        <v>456</v>
      </c>
      <c r="V44" t="s">
        <v>398</v>
      </c>
      <c r="W44" s="393">
        <v>948100</v>
      </c>
      <c r="X44" s="393">
        <v>242.4</v>
      </c>
      <c r="Y44" s="393">
        <v>2093.9899999999998</v>
      </c>
      <c r="Z44" s="393">
        <v>948100</v>
      </c>
      <c r="AA44">
        <v>0</v>
      </c>
      <c r="AB44" s="400">
        <v>44446.822882094908</v>
      </c>
      <c r="AC44" t="s">
        <v>324</v>
      </c>
    </row>
    <row r="45" spans="1:29">
      <c r="A45" t="s">
        <v>382</v>
      </c>
      <c r="B45" t="s">
        <v>440</v>
      </c>
      <c r="C45" t="s">
        <v>469</v>
      </c>
      <c r="D45" t="s">
        <v>470</v>
      </c>
      <c r="E45" t="s">
        <v>390</v>
      </c>
      <c r="F45" t="s">
        <v>391</v>
      </c>
      <c r="G45">
        <v>6101841</v>
      </c>
      <c r="H45">
        <v>202108</v>
      </c>
      <c r="I45" s="400">
        <v>44438</v>
      </c>
      <c r="J45">
        <v>124932</v>
      </c>
      <c r="K45" t="s">
        <v>386</v>
      </c>
      <c r="L45" t="s">
        <v>457</v>
      </c>
      <c r="M45" t="s">
        <v>447</v>
      </c>
      <c r="O45" t="s">
        <v>448</v>
      </c>
      <c r="P45" t="s">
        <v>449</v>
      </c>
      <c r="Q45" t="s">
        <v>450</v>
      </c>
      <c r="R45">
        <v>2069135</v>
      </c>
      <c r="S45" t="s">
        <v>387</v>
      </c>
      <c r="U45" t="s">
        <v>458</v>
      </c>
      <c r="V45" t="s">
        <v>398</v>
      </c>
      <c r="W45" s="393">
        <v>948100</v>
      </c>
      <c r="X45" s="393">
        <v>242.4</v>
      </c>
      <c r="Y45" s="393">
        <v>2093.9899999999998</v>
      </c>
      <c r="Z45" s="393">
        <v>948100</v>
      </c>
      <c r="AA45">
        <v>0</v>
      </c>
      <c r="AB45" s="400">
        <v>44446.822882094908</v>
      </c>
      <c r="AC45" t="s">
        <v>324</v>
      </c>
    </row>
    <row r="46" spans="1:29">
      <c r="A46" t="s">
        <v>382</v>
      </c>
      <c r="B46" t="s">
        <v>440</v>
      </c>
      <c r="C46" t="s">
        <v>469</v>
      </c>
      <c r="D46" t="s">
        <v>470</v>
      </c>
      <c r="E46" t="s">
        <v>390</v>
      </c>
      <c r="F46" t="s">
        <v>391</v>
      </c>
      <c r="G46">
        <v>6101615</v>
      </c>
      <c r="H46">
        <v>202108</v>
      </c>
      <c r="I46" s="400">
        <v>44428</v>
      </c>
      <c r="J46" t="s">
        <v>452</v>
      </c>
      <c r="K46" t="s">
        <v>386</v>
      </c>
      <c r="L46" t="s">
        <v>457</v>
      </c>
      <c r="M46" t="s">
        <v>447</v>
      </c>
      <c r="O46" t="s">
        <v>448</v>
      </c>
      <c r="P46" t="s">
        <v>449</v>
      </c>
      <c r="Q46" t="s">
        <v>450</v>
      </c>
      <c r="R46">
        <v>2069135</v>
      </c>
      <c r="S46" t="s">
        <v>387</v>
      </c>
      <c r="U46" t="s">
        <v>473</v>
      </c>
      <c r="V46" t="s">
        <v>398</v>
      </c>
      <c r="W46" s="393">
        <v>41230</v>
      </c>
      <c r="X46" s="393">
        <v>10.54</v>
      </c>
      <c r="Y46" s="393">
        <v>91.06</v>
      </c>
      <c r="Z46" s="393">
        <v>41230</v>
      </c>
      <c r="AA46">
        <v>0</v>
      </c>
      <c r="AB46" s="400">
        <v>44433.835122256947</v>
      </c>
      <c r="AC46" t="s">
        <v>324</v>
      </c>
    </row>
    <row r="47" spans="1:29">
      <c r="A47" t="s">
        <v>382</v>
      </c>
      <c r="B47" t="s">
        <v>440</v>
      </c>
      <c r="C47" t="s">
        <v>469</v>
      </c>
      <c r="D47" t="s">
        <v>470</v>
      </c>
      <c r="E47" t="s">
        <v>390</v>
      </c>
      <c r="F47" t="s">
        <v>391</v>
      </c>
      <c r="G47">
        <v>6101615</v>
      </c>
      <c r="H47">
        <v>202108</v>
      </c>
      <c r="I47" s="400">
        <v>44428</v>
      </c>
      <c r="J47" t="s">
        <v>452</v>
      </c>
      <c r="K47" t="s">
        <v>386</v>
      </c>
      <c r="L47" t="s">
        <v>460</v>
      </c>
      <c r="M47" t="s">
        <v>447</v>
      </c>
      <c r="O47" t="s">
        <v>448</v>
      </c>
      <c r="P47" t="s">
        <v>449</v>
      </c>
      <c r="Q47" t="s">
        <v>450</v>
      </c>
      <c r="R47">
        <v>2069135</v>
      </c>
      <c r="S47" t="s">
        <v>387</v>
      </c>
      <c r="U47" t="s">
        <v>474</v>
      </c>
      <c r="V47" t="s">
        <v>398</v>
      </c>
      <c r="W47" s="393">
        <v>41230</v>
      </c>
      <c r="X47" s="393">
        <v>10.54</v>
      </c>
      <c r="Y47" s="393">
        <v>91.06</v>
      </c>
      <c r="Z47" s="393">
        <v>41230</v>
      </c>
      <c r="AA47">
        <v>0</v>
      </c>
      <c r="AB47" s="400">
        <v>44433.835122256947</v>
      </c>
      <c r="AC47" t="s">
        <v>324</v>
      </c>
    </row>
    <row r="48" spans="1:29">
      <c r="A48" t="s">
        <v>382</v>
      </c>
      <c r="B48" t="s">
        <v>440</v>
      </c>
      <c r="C48" t="s">
        <v>469</v>
      </c>
      <c r="D48" t="s">
        <v>470</v>
      </c>
      <c r="E48" t="s">
        <v>390</v>
      </c>
      <c r="F48" t="s">
        <v>391</v>
      </c>
      <c r="G48">
        <v>6101841</v>
      </c>
      <c r="H48">
        <v>202108</v>
      </c>
      <c r="I48" s="400">
        <v>44438</v>
      </c>
      <c r="J48">
        <v>124932</v>
      </c>
      <c r="K48" t="s">
        <v>386</v>
      </c>
      <c r="L48" t="s">
        <v>460</v>
      </c>
      <c r="M48" t="s">
        <v>447</v>
      </c>
      <c r="O48" t="s">
        <v>448</v>
      </c>
      <c r="P48" t="s">
        <v>449</v>
      </c>
      <c r="Q48" t="s">
        <v>450</v>
      </c>
      <c r="R48">
        <v>2069135</v>
      </c>
      <c r="S48" t="s">
        <v>387</v>
      </c>
      <c r="U48" t="s">
        <v>462</v>
      </c>
      <c r="V48" t="s">
        <v>398</v>
      </c>
      <c r="W48" s="393">
        <v>948100</v>
      </c>
      <c r="X48" s="393">
        <v>242.4</v>
      </c>
      <c r="Y48" s="393">
        <v>2093.9899999999998</v>
      </c>
      <c r="Z48" s="393">
        <v>948100</v>
      </c>
      <c r="AA48">
        <v>0</v>
      </c>
      <c r="AB48" s="400">
        <v>44446.822882094908</v>
      </c>
      <c r="AC48" t="s">
        <v>324</v>
      </c>
    </row>
    <row r="49" spans="1:29">
      <c r="A49" t="s">
        <v>382</v>
      </c>
      <c r="B49" t="s">
        <v>440</v>
      </c>
      <c r="C49" t="s">
        <v>469</v>
      </c>
      <c r="D49" t="s">
        <v>470</v>
      </c>
      <c r="E49" t="s">
        <v>390</v>
      </c>
      <c r="F49" t="s">
        <v>391</v>
      </c>
      <c r="G49">
        <v>6101841</v>
      </c>
      <c r="H49">
        <v>202108</v>
      </c>
      <c r="I49" s="400">
        <v>44438</v>
      </c>
      <c r="J49">
        <v>124932</v>
      </c>
      <c r="K49" t="s">
        <v>386</v>
      </c>
      <c r="L49" t="s">
        <v>463</v>
      </c>
      <c r="M49" t="s">
        <v>447</v>
      </c>
      <c r="O49" t="s">
        <v>448</v>
      </c>
      <c r="P49" t="s">
        <v>449</v>
      </c>
      <c r="Q49" t="s">
        <v>450</v>
      </c>
      <c r="R49">
        <v>2069135</v>
      </c>
      <c r="S49" t="s">
        <v>387</v>
      </c>
      <c r="U49" t="s">
        <v>464</v>
      </c>
      <c r="V49" t="s">
        <v>398</v>
      </c>
      <c r="W49" s="393">
        <v>948100</v>
      </c>
      <c r="X49" s="393">
        <v>242.4</v>
      </c>
      <c r="Y49" s="393">
        <v>2093.9899999999998</v>
      </c>
      <c r="Z49" s="393">
        <v>948100</v>
      </c>
      <c r="AA49">
        <v>0</v>
      </c>
      <c r="AB49" s="400">
        <v>44446.822882094908</v>
      </c>
      <c r="AC49" t="s">
        <v>324</v>
      </c>
    </row>
    <row r="50" spans="1:29">
      <c r="A50" t="s">
        <v>382</v>
      </c>
      <c r="B50" t="s">
        <v>440</v>
      </c>
      <c r="C50" t="s">
        <v>469</v>
      </c>
      <c r="D50" t="s">
        <v>470</v>
      </c>
      <c r="E50" t="s">
        <v>390</v>
      </c>
      <c r="F50" t="s">
        <v>391</v>
      </c>
      <c r="G50">
        <v>6101615</v>
      </c>
      <c r="H50">
        <v>202108</v>
      </c>
      <c r="I50" s="400">
        <v>44428</v>
      </c>
      <c r="J50" t="s">
        <v>452</v>
      </c>
      <c r="K50" t="s">
        <v>386</v>
      </c>
      <c r="L50" t="s">
        <v>463</v>
      </c>
      <c r="M50" t="s">
        <v>447</v>
      </c>
      <c r="O50" t="s">
        <v>448</v>
      </c>
      <c r="P50" t="s">
        <v>449</v>
      </c>
      <c r="Q50" t="s">
        <v>450</v>
      </c>
      <c r="R50">
        <v>2069135</v>
      </c>
      <c r="S50" t="s">
        <v>387</v>
      </c>
      <c r="U50" t="s">
        <v>475</v>
      </c>
      <c r="V50" t="s">
        <v>398</v>
      </c>
      <c r="W50" s="393">
        <v>41230</v>
      </c>
      <c r="X50" s="393">
        <v>10.54</v>
      </c>
      <c r="Y50" s="393">
        <v>91.06</v>
      </c>
      <c r="Z50" s="393">
        <v>41230</v>
      </c>
      <c r="AA50">
        <v>0</v>
      </c>
      <c r="AB50" s="400">
        <v>44433.835122256947</v>
      </c>
      <c r="AC50" t="s">
        <v>324</v>
      </c>
    </row>
    <row r="51" spans="1:29">
      <c r="A51" t="s">
        <v>382</v>
      </c>
      <c r="B51" t="s">
        <v>440</v>
      </c>
      <c r="C51" t="s">
        <v>469</v>
      </c>
      <c r="D51" t="s">
        <v>470</v>
      </c>
      <c r="E51" t="s">
        <v>390</v>
      </c>
      <c r="F51" t="s">
        <v>391</v>
      </c>
      <c r="G51">
        <v>6101615</v>
      </c>
      <c r="H51">
        <v>202108</v>
      </c>
      <c r="I51" s="400">
        <v>44428</v>
      </c>
      <c r="J51" t="s">
        <v>452</v>
      </c>
      <c r="K51" t="s">
        <v>386</v>
      </c>
      <c r="L51" t="s">
        <v>466</v>
      </c>
      <c r="M51" t="s">
        <v>447</v>
      </c>
      <c r="O51" t="s">
        <v>448</v>
      </c>
      <c r="P51" t="s">
        <v>449</v>
      </c>
      <c r="Q51" t="s">
        <v>450</v>
      </c>
      <c r="R51">
        <v>2069135</v>
      </c>
      <c r="S51" t="s">
        <v>387</v>
      </c>
      <c r="U51" t="s">
        <v>476</v>
      </c>
      <c r="V51" t="s">
        <v>398</v>
      </c>
      <c r="W51" s="393">
        <v>41230</v>
      </c>
      <c r="X51" s="393">
        <v>10.54</v>
      </c>
      <c r="Y51" s="393">
        <v>91.06</v>
      </c>
      <c r="Z51" s="393">
        <v>41230</v>
      </c>
      <c r="AA51">
        <v>0</v>
      </c>
      <c r="AB51" s="400">
        <v>44433.835122256947</v>
      </c>
      <c r="AC51" t="s">
        <v>324</v>
      </c>
    </row>
    <row r="52" spans="1:29">
      <c r="A52" t="s">
        <v>382</v>
      </c>
      <c r="B52" t="s">
        <v>440</v>
      </c>
      <c r="C52" t="s">
        <v>469</v>
      </c>
      <c r="D52" t="s">
        <v>470</v>
      </c>
      <c r="E52" t="s">
        <v>390</v>
      </c>
      <c r="F52" t="s">
        <v>391</v>
      </c>
      <c r="G52">
        <v>6101841</v>
      </c>
      <c r="H52">
        <v>202108</v>
      </c>
      <c r="I52" s="400">
        <v>44438</v>
      </c>
      <c r="J52">
        <v>124932</v>
      </c>
      <c r="K52" t="s">
        <v>386</v>
      </c>
      <c r="L52" t="s">
        <v>466</v>
      </c>
      <c r="M52" t="s">
        <v>447</v>
      </c>
      <c r="O52" t="s">
        <v>448</v>
      </c>
      <c r="P52" t="s">
        <v>449</v>
      </c>
      <c r="Q52" t="s">
        <v>450</v>
      </c>
      <c r="R52">
        <v>2069135</v>
      </c>
      <c r="S52" t="s">
        <v>387</v>
      </c>
      <c r="U52" t="s">
        <v>468</v>
      </c>
      <c r="V52" t="s">
        <v>398</v>
      </c>
      <c r="W52" s="393">
        <v>948100</v>
      </c>
      <c r="X52" s="393">
        <v>242.4</v>
      </c>
      <c r="Y52" s="393">
        <v>2093.9899999999998</v>
      </c>
      <c r="Z52" s="393">
        <v>948100</v>
      </c>
      <c r="AA52">
        <v>0</v>
      </c>
      <c r="AB52" s="400">
        <v>44446.822882094908</v>
      </c>
      <c r="AC52" t="s">
        <v>324</v>
      </c>
    </row>
    <row r="53" spans="1:29">
      <c r="A53" t="s">
        <v>382</v>
      </c>
      <c r="B53" t="s">
        <v>440</v>
      </c>
      <c r="C53" t="s">
        <v>469</v>
      </c>
      <c r="D53" t="s">
        <v>477</v>
      </c>
      <c r="E53" t="s">
        <v>390</v>
      </c>
      <c r="F53" t="s">
        <v>391</v>
      </c>
      <c r="G53">
        <v>6101615</v>
      </c>
      <c r="H53">
        <v>202108</v>
      </c>
      <c r="I53" s="400">
        <v>44428</v>
      </c>
      <c r="J53" t="s">
        <v>452</v>
      </c>
      <c r="K53" t="s">
        <v>386</v>
      </c>
      <c r="L53" t="s">
        <v>446</v>
      </c>
      <c r="M53" t="s">
        <v>447</v>
      </c>
      <c r="O53" t="s">
        <v>448</v>
      </c>
      <c r="P53" t="s">
        <v>449</v>
      </c>
      <c r="Q53" t="s">
        <v>450</v>
      </c>
      <c r="R53">
        <v>2069135</v>
      </c>
      <c r="S53" t="s">
        <v>387</v>
      </c>
      <c r="U53" t="s">
        <v>471</v>
      </c>
      <c r="V53" t="s">
        <v>398</v>
      </c>
      <c r="W53" s="393">
        <v>217000</v>
      </c>
      <c r="X53" s="393">
        <v>55.48</v>
      </c>
      <c r="Y53" s="393">
        <v>479.27</v>
      </c>
      <c r="Z53" s="393">
        <v>217000</v>
      </c>
      <c r="AA53">
        <v>613</v>
      </c>
      <c r="AB53" s="400">
        <v>44433.835120636577</v>
      </c>
      <c r="AC53" t="s">
        <v>324</v>
      </c>
    </row>
    <row r="54" spans="1:29">
      <c r="A54" t="s">
        <v>382</v>
      </c>
      <c r="B54" t="s">
        <v>440</v>
      </c>
      <c r="C54" t="s">
        <v>469</v>
      </c>
      <c r="D54" t="s">
        <v>477</v>
      </c>
      <c r="E54" t="s">
        <v>390</v>
      </c>
      <c r="F54" t="s">
        <v>391</v>
      </c>
      <c r="G54">
        <v>6101615</v>
      </c>
      <c r="H54">
        <v>202108</v>
      </c>
      <c r="I54" s="400">
        <v>44428</v>
      </c>
      <c r="J54" t="s">
        <v>452</v>
      </c>
      <c r="K54" t="s">
        <v>386</v>
      </c>
      <c r="L54" t="s">
        <v>446</v>
      </c>
      <c r="M54" t="s">
        <v>447</v>
      </c>
      <c r="O54" t="s">
        <v>448</v>
      </c>
      <c r="P54" t="s">
        <v>449</v>
      </c>
      <c r="Q54" t="s">
        <v>450</v>
      </c>
      <c r="R54">
        <v>2069135</v>
      </c>
      <c r="S54" t="s">
        <v>387</v>
      </c>
      <c r="U54" t="s">
        <v>453</v>
      </c>
      <c r="V54" t="s">
        <v>398</v>
      </c>
      <c r="W54" s="393">
        <v>4990000</v>
      </c>
      <c r="X54" s="393">
        <v>1275.79</v>
      </c>
      <c r="Y54" s="393">
        <v>11021.01</v>
      </c>
      <c r="Z54" s="393">
        <v>4990000</v>
      </c>
      <c r="AA54">
        <v>69</v>
      </c>
      <c r="AB54" s="400">
        <v>44433.83511990741</v>
      </c>
      <c r="AC54" t="s">
        <v>324</v>
      </c>
    </row>
    <row r="55" spans="1:29">
      <c r="A55" t="s">
        <v>382</v>
      </c>
      <c r="B55" t="s">
        <v>440</v>
      </c>
      <c r="C55" t="s">
        <v>469</v>
      </c>
      <c r="D55" t="s">
        <v>477</v>
      </c>
      <c r="E55" t="s">
        <v>390</v>
      </c>
      <c r="F55" t="s">
        <v>391</v>
      </c>
      <c r="G55">
        <v>6101615</v>
      </c>
      <c r="H55">
        <v>202108</v>
      </c>
      <c r="I55" s="400">
        <v>44428</v>
      </c>
      <c r="J55" t="s">
        <v>452</v>
      </c>
      <c r="K55" t="s">
        <v>386</v>
      </c>
      <c r="L55" t="s">
        <v>454</v>
      </c>
      <c r="M55" t="s">
        <v>447</v>
      </c>
      <c r="O55" t="s">
        <v>448</v>
      </c>
      <c r="P55" t="s">
        <v>449</v>
      </c>
      <c r="Q55" t="s">
        <v>450</v>
      </c>
      <c r="R55">
        <v>2069135</v>
      </c>
      <c r="S55" t="s">
        <v>387</v>
      </c>
      <c r="U55" t="s">
        <v>455</v>
      </c>
      <c r="V55" t="s">
        <v>398</v>
      </c>
      <c r="W55" s="393">
        <v>4990000</v>
      </c>
      <c r="X55" s="393">
        <v>1275.79</v>
      </c>
      <c r="Y55" s="393">
        <v>11021.01</v>
      </c>
      <c r="Z55" s="393">
        <v>4990000</v>
      </c>
      <c r="AA55">
        <v>69</v>
      </c>
      <c r="AB55" s="400">
        <v>44433.83511990741</v>
      </c>
      <c r="AC55" t="s">
        <v>324</v>
      </c>
    </row>
    <row r="56" spans="1:29">
      <c r="A56" t="s">
        <v>382</v>
      </c>
      <c r="B56" t="s">
        <v>440</v>
      </c>
      <c r="C56" t="s">
        <v>469</v>
      </c>
      <c r="D56" t="s">
        <v>477</v>
      </c>
      <c r="E56" t="s">
        <v>390</v>
      </c>
      <c r="F56" t="s">
        <v>391</v>
      </c>
      <c r="G56">
        <v>6101615</v>
      </c>
      <c r="H56">
        <v>202108</v>
      </c>
      <c r="I56" s="400">
        <v>44428</v>
      </c>
      <c r="J56" t="s">
        <v>452</v>
      </c>
      <c r="K56" t="s">
        <v>386</v>
      </c>
      <c r="L56" t="s">
        <v>454</v>
      </c>
      <c r="M56" t="s">
        <v>447</v>
      </c>
      <c r="O56" t="s">
        <v>448</v>
      </c>
      <c r="P56" t="s">
        <v>449</v>
      </c>
      <c r="Q56" t="s">
        <v>450</v>
      </c>
      <c r="R56">
        <v>2069135</v>
      </c>
      <c r="S56" t="s">
        <v>387</v>
      </c>
      <c r="U56" t="s">
        <v>472</v>
      </c>
      <c r="V56" t="s">
        <v>398</v>
      </c>
      <c r="W56" s="393">
        <v>217000</v>
      </c>
      <c r="X56" s="393">
        <v>55.48</v>
      </c>
      <c r="Y56" s="393">
        <v>479.27</v>
      </c>
      <c r="Z56" s="393">
        <v>217000</v>
      </c>
      <c r="AA56">
        <v>613</v>
      </c>
      <c r="AB56" s="400">
        <v>44433.835120636577</v>
      </c>
      <c r="AC56" t="s">
        <v>324</v>
      </c>
    </row>
    <row r="57" spans="1:29">
      <c r="A57" t="s">
        <v>382</v>
      </c>
      <c r="B57" t="s">
        <v>440</v>
      </c>
      <c r="C57" t="s">
        <v>469</v>
      </c>
      <c r="D57" t="s">
        <v>477</v>
      </c>
      <c r="E57" t="s">
        <v>390</v>
      </c>
      <c r="F57" t="s">
        <v>391</v>
      </c>
      <c r="G57">
        <v>6101615</v>
      </c>
      <c r="H57">
        <v>202108</v>
      </c>
      <c r="I57" s="400">
        <v>44428</v>
      </c>
      <c r="J57" t="s">
        <v>452</v>
      </c>
      <c r="K57" t="s">
        <v>386</v>
      </c>
      <c r="L57" t="s">
        <v>457</v>
      </c>
      <c r="M57" t="s">
        <v>447</v>
      </c>
      <c r="O57" t="s">
        <v>448</v>
      </c>
      <c r="P57" t="s">
        <v>449</v>
      </c>
      <c r="Q57" t="s">
        <v>450</v>
      </c>
      <c r="R57">
        <v>2069135</v>
      </c>
      <c r="S57" t="s">
        <v>387</v>
      </c>
      <c r="U57" t="s">
        <v>473</v>
      </c>
      <c r="V57" t="s">
        <v>398</v>
      </c>
      <c r="W57" s="393">
        <v>217000</v>
      </c>
      <c r="X57" s="393">
        <v>55.48</v>
      </c>
      <c r="Y57" s="393">
        <v>479.27</v>
      </c>
      <c r="Z57" s="393">
        <v>217000</v>
      </c>
      <c r="AA57">
        <v>613</v>
      </c>
      <c r="AB57" s="400">
        <v>44433.835120636577</v>
      </c>
      <c r="AC57" t="s">
        <v>324</v>
      </c>
    </row>
    <row r="58" spans="1:29">
      <c r="A58" t="s">
        <v>382</v>
      </c>
      <c r="B58" t="s">
        <v>440</v>
      </c>
      <c r="C58" t="s">
        <v>469</v>
      </c>
      <c r="D58" t="s">
        <v>477</v>
      </c>
      <c r="E58" t="s">
        <v>390</v>
      </c>
      <c r="F58" t="s">
        <v>391</v>
      </c>
      <c r="G58">
        <v>6101615</v>
      </c>
      <c r="H58">
        <v>202108</v>
      </c>
      <c r="I58" s="400">
        <v>44428</v>
      </c>
      <c r="J58" t="s">
        <v>452</v>
      </c>
      <c r="K58" t="s">
        <v>386</v>
      </c>
      <c r="L58" t="s">
        <v>457</v>
      </c>
      <c r="M58" t="s">
        <v>447</v>
      </c>
      <c r="O58" t="s">
        <v>448</v>
      </c>
      <c r="P58" t="s">
        <v>449</v>
      </c>
      <c r="Q58" t="s">
        <v>450</v>
      </c>
      <c r="R58">
        <v>2069135</v>
      </c>
      <c r="S58" t="s">
        <v>387</v>
      </c>
      <c r="U58" t="s">
        <v>459</v>
      </c>
      <c r="V58" t="s">
        <v>398</v>
      </c>
      <c r="W58" s="393">
        <v>4990000</v>
      </c>
      <c r="X58" s="393">
        <v>1275.79</v>
      </c>
      <c r="Y58" s="393">
        <v>11021.01</v>
      </c>
      <c r="Z58" s="393">
        <v>4990000</v>
      </c>
      <c r="AA58">
        <v>69</v>
      </c>
      <c r="AB58" s="400">
        <v>44433.83511990741</v>
      </c>
      <c r="AC58" t="s">
        <v>324</v>
      </c>
    </row>
    <row r="59" spans="1:29">
      <c r="A59" t="s">
        <v>382</v>
      </c>
      <c r="B59" t="s">
        <v>440</v>
      </c>
      <c r="C59" t="s">
        <v>469</v>
      </c>
      <c r="D59" t="s">
        <v>477</v>
      </c>
      <c r="E59" t="s">
        <v>390</v>
      </c>
      <c r="F59" t="s">
        <v>391</v>
      </c>
      <c r="G59">
        <v>6101615</v>
      </c>
      <c r="H59">
        <v>202108</v>
      </c>
      <c r="I59" s="400">
        <v>44428</v>
      </c>
      <c r="J59" t="s">
        <v>452</v>
      </c>
      <c r="K59" t="s">
        <v>386</v>
      </c>
      <c r="L59" t="s">
        <v>460</v>
      </c>
      <c r="M59" t="s">
        <v>447</v>
      </c>
      <c r="O59" t="s">
        <v>448</v>
      </c>
      <c r="P59" t="s">
        <v>449</v>
      </c>
      <c r="Q59" t="s">
        <v>450</v>
      </c>
      <c r="R59">
        <v>2069135</v>
      </c>
      <c r="S59" t="s">
        <v>387</v>
      </c>
      <c r="U59" t="s">
        <v>461</v>
      </c>
      <c r="V59" t="s">
        <v>398</v>
      </c>
      <c r="W59" s="393">
        <v>4990000</v>
      </c>
      <c r="X59" s="393">
        <v>1275.79</v>
      </c>
      <c r="Y59" s="393">
        <v>11021.01</v>
      </c>
      <c r="Z59" s="393">
        <v>4990000</v>
      </c>
      <c r="AA59">
        <v>69</v>
      </c>
      <c r="AB59" s="400">
        <v>44433.83511990741</v>
      </c>
      <c r="AC59" t="s">
        <v>324</v>
      </c>
    </row>
    <row r="60" spans="1:29">
      <c r="A60" t="s">
        <v>382</v>
      </c>
      <c r="B60" t="s">
        <v>440</v>
      </c>
      <c r="C60" t="s">
        <v>469</v>
      </c>
      <c r="D60" t="s">
        <v>477</v>
      </c>
      <c r="E60" t="s">
        <v>390</v>
      </c>
      <c r="F60" t="s">
        <v>391</v>
      </c>
      <c r="G60">
        <v>6101615</v>
      </c>
      <c r="H60">
        <v>202108</v>
      </c>
      <c r="I60" s="400">
        <v>44428</v>
      </c>
      <c r="J60" t="s">
        <v>452</v>
      </c>
      <c r="K60" t="s">
        <v>386</v>
      </c>
      <c r="L60" t="s">
        <v>460</v>
      </c>
      <c r="M60" t="s">
        <v>447</v>
      </c>
      <c r="O60" t="s">
        <v>448</v>
      </c>
      <c r="P60" t="s">
        <v>449</v>
      </c>
      <c r="Q60" t="s">
        <v>450</v>
      </c>
      <c r="R60">
        <v>2069135</v>
      </c>
      <c r="S60" t="s">
        <v>387</v>
      </c>
      <c r="U60" t="s">
        <v>474</v>
      </c>
      <c r="V60" t="s">
        <v>398</v>
      </c>
      <c r="W60" s="393">
        <v>217000</v>
      </c>
      <c r="X60" s="393">
        <v>55.48</v>
      </c>
      <c r="Y60" s="393">
        <v>479.27</v>
      </c>
      <c r="Z60" s="393">
        <v>217000</v>
      </c>
      <c r="AA60">
        <v>613</v>
      </c>
      <c r="AB60" s="400">
        <v>44433.835120636577</v>
      </c>
      <c r="AC60" t="s">
        <v>324</v>
      </c>
    </row>
    <row r="61" spans="1:29">
      <c r="A61" t="s">
        <v>382</v>
      </c>
      <c r="B61" t="s">
        <v>440</v>
      </c>
      <c r="C61" t="s">
        <v>469</v>
      </c>
      <c r="D61" t="s">
        <v>477</v>
      </c>
      <c r="E61" t="s">
        <v>390</v>
      </c>
      <c r="F61" t="s">
        <v>391</v>
      </c>
      <c r="G61">
        <v>6101615</v>
      </c>
      <c r="H61">
        <v>202108</v>
      </c>
      <c r="I61" s="400">
        <v>44428</v>
      </c>
      <c r="J61" t="s">
        <v>452</v>
      </c>
      <c r="K61" t="s">
        <v>386</v>
      </c>
      <c r="L61" t="s">
        <v>463</v>
      </c>
      <c r="M61" t="s">
        <v>447</v>
      </c>
      <c r="O61" t="s">
        <v>448</v>
      </c>
      <c r="P61" t="s">
        <v>449</v>
      </c>
      <c r="Q61" t="s">
        <v>450</v>
      </c>
      <c r="R61">
        <v>2069135</v>
      </c>
      <c r="S61" t="s">
        <v>387</v>
      </c>
      <c r="U61" t="s">
        <v>475</v>
      </c>
      <c r="V61" t="s">
        <v>398</v>
      </c>
      <c r="W61" s="393">
        <v>217000</v>
      </c>
      <c r="X61" s="393">
        <v>55.48</v>
      </c>
      <c r="Y61" s="393">
        <v>479.27</v>
      </c>
      <c r="Z61" s="393">
        <v>217000</v>
      </c>
      <c r="AA61">
        <v>613</v>
      </c>
      <c r="AB61" s="400">
        <v>44433.835120636577</v>
      </c>
      <c r="AC61" t="s">
        <v>324</v>
      </c>
    </row>
    <row r="62" spans="1:29">
      <c r="A62" t="s">
        <v>382</v>
      </c>
      <c r="B62" t="s">
        <v>440</v>
      </c>
      <c r="C62" t="s">
        <v>469</v>
      </c>
      <c r="D62" t="s">
        <v>477</v>
      </c>
      <c r="E62" t="s">
        <v>390</v>
      </c>
      <c r="F62" t="s">
        <v>391</v>
      </c>
      <c r="G62">
        <v>6101615</v>
      </c>
      <c r="H62">
        <v>202108</v>
      </c>
      <c r="I62" s="400">
        <v>44428</v>
      </c>
      <c r="J62" t="s">
        <v>452</v>
      </c>
      <c r="K62" t="s">
        <v>386</v>
      </c>
      <c r="L62" t="s">
        <v>463</v>
      </c>
      <c r="M62" t="s">
        <v>447</v>
      </c>
      <c r="O62" t="s">
        <v>448</v>
      </c>
      <c r="P62" t="s">
        <v>449</v>
      </c>
      <c r="Q62" t="s">
        <v>450</v>
      </c>
      <c r="R62">
        <v>2069135</v>
      </c>
      <c r="S62" t="s">
        <v>387</v>
      </c>
      <c r="U62" t="s">
        <v>465</v>
      </c>
      <c r="V62" t="s">
        <v>398</v>
      </c>
      <c r="W62" s="393">
        <v>4990000</v>
      </c>
      <c r="X62" s="393">
        <v>1275.79</v>
      </c>
      <c r="Y62" s="393">
        <v>11021.01</v>
      </c>
      <c r="Z62" s="393">
        <v>4990000</v>
      </c>
      <c r="AA62">
        <v>69</v>
      </c>
      <c r="AB62" s="400">
        <v>44433.83511990741</v>
      </c>
      <c r="AC62" t="s">
        <v>324</v>
      </c>
    </row>
    <row r="63" spans="1:29">
      <c r="A63" t="s">
        <v>382</v>
      </c>
      <c r="B63" t="s">
        <v>440</v>
      </c>
      <c r="C63" t="s">
        <v>469</v>
      </c>
      <c r="D63" t="s">
        <v>477</v>
      </c>
      <c r="E63" t="s">
        <v>390</v>
      </c>
      <c r="F63" t="s">
        <v>391</v>
      </c>
      <c r="G63">
        <v>6101615</v>
      </c>
      <c r="H63">
        <v>202108</v>
      </c>
      <c r="I63" s="400">
        <v>44428</v>
      </c>
      <c r="J63" t="s">
        <v>452</v>
      </c>
      <c r="K63" t="s">
        <v>386</v>
      </c>
      <c r="L63" t="s">
        <v>466</v>
      </c>
      <c r="M63" t="s">
        <v>447</v>
      </c>
      <c r="O63" t="s">
        <v>448</v>
      </c>
      <c r="P63" t="s">
        <v>449</v>
      </c>
      <c r="Q63" t="s">
        <v>450</v>
      </c>
      <c r="R63">
        <v>2069135</v>
      </c>
      <c r="S63" t="s">
        <v>387</v>
      </c>
      <c r="U63" t="s">
        <v>467</v>
      </c>
      <c r="V63" t="s">
        <v>398</v>
      </c>
      <c r="W63" s="393">
        <v>4990000</v>
      </c>
      <c r="X63" s="393">
        <v>1275.79</v>
      </c>
      <c r="Y63" s="393">
        <v>11021.01</v>
      </c>
      <c r="Z63" s="393">
        <v>4990000</v>
      </c>
      <c r="AA63">
        <v>69</v>
      </c>
      <c r="AB63" s="400">
        <v>44433.83511990741</v>
      </c>
      <c r="AC63" t="s">
        <v>324</v>
      </c>
    </row>
    <row r="64" spans="1:29">
      <c r="A64" t="s">
        <v>382</v>
      </c>
      <c r="B64" t="s">
        <v>440</v>
      </c>
      <c r="C64" t="s">
        <v>469</v>
      </c>
      <c r="D64" t="s">
        <v>477</v>
      </c>
      <c r="E64" t="s">
        <v>390</v>
      </c>
      <c r="F64" t="s">
        <v>391</v>
      </c>
      <c r="G64">
        <v>6101615</v>
      </c>
      <c r="H64">
        <v>202108</v>
      </c>
      <c r="I64" s="400">
        <v>44428</v>
      </c>
      <c r="J64" t="s">
        <v>452</v>
      </c>
      <c r="K64" t="s">
        <v>386</v>
      </c>
      <c r="L64" t="s">
        <v>466</v>
      </c>
      <c r="M64" t="s">
        <v>447</v>
      </c>
      <c r="O64" t="s">
        <v>448</v>
      </c>
      <c r="P64" t="s">
        <v>449</v>
      </c>
      <c r="Q64" t="s">
        <v>450</v>
      </c>
      <c r="R64">
        <v>2069135</v>
      </c>
      <c r="S64" t="s">
        <v>387</v>
      </c>
      <c r="U64" t="s">
        <v>476</v>
      </c>
      <c r="V64" t="s">
        <v>398</v>
      </c>
      <c r="W64" s="393">
        <v>217000</v>
      </c>
      <c r="X64" s="393">
        <v>55.48</v>
      </c>
      <c r="Y64" s="393">
        <v>479.27</v>
      </c>
      <c r="Z64" s="393">
        <v>217000</v>
      </c>
      <c r="AA64">
        <v>613</v>
      </c>
      <c r="AB64" s="400">
        <v>44433.835120636577</v>
      </c>
      <c r="AC64" t="s">
        <v>324</v>
      </c>
    </row>
    <row r="65" spans="1:29">
      <c r="A65" t="s">
        <v>382</v>
      </c>
      <c r="B65" t="s">
        <v>440</v>
      </c>
      <c r="C65" t="s">
        <v>478</v>
      </c>
      <c r="D65" t="s">
        <v>479</v>
      </c>
      <c r="E65" t="s">
        <v>390</v>
      </c>
      <c r="F65" t="s">
        <v>391</v>
      </c>
      <c r="G65">
        <v>6101840</v>
      </c>
      <c r="H65">
        <v>202108</v>
      </c>
      <c r="I65" s="400">
        <v>44439</v>
      </c>
      <c r="J65">
        <v>122536</v>
      </c>
      <c r="K65" t="s">
        <v>386</v>
      </c>
      <c r="M65" t="s">
        <v>387</v>
      </c>
      <c r="O65" t="s">
        <v>480</v>
      </c>
      <c r="P65" t="s">
        <v>481</v>
      </c>
      <c r="Q65" t="s">
        <v>450</v>
      </c>
      <c r="R65">
        <v>2069080</v>
      </c>
      <c r="S65" t="s">
        <v>387</v>
      </c>
      <c r="U65" t="s">
        <v>482</v>
      </c>
      <c r="V65" t="s">
        <v>398</v>
      </c>
      <c r="W65" s="393">
        <v>-23598</v>
      </c>
      <c r="X65" s="393">
        <v>-6.11</v>
      </c>
      <c r="Y65" s="393">
        <v>-53.17</v>
      </c>
      <c r="Z65" s="393">
        <v>-23598</v>
      </c>
      <c r="AA65">
        <v>0</v>
      </c>
      <c r="AB65" s="400">
        <v>44446.796669791664</v>
      </c>
      <c r="AC65" t="s">
        <v>324</v>
      </c>
    </row>
    <row r="66" spans="1:29">
      <c r="A66" t="s">
        <v>382</v>
      </c>
      <c r="B66" t="s">
        <v>440</v>
      </c>
      <c r="C66" t="s">
        <v>478</v>
      </c>
      <c r="D66" t="s">
        <v>479</v>
      </c>
      <c r="E66" t="s">
        <v>390</v>
      </c>
      <c r="F66" t="s">
        <v>391</v>
      </c>
      <c r="G66">
        <v>6101768</v>
      </c>
      <c r="H66">
        <v>202108</v>
      </c>
      <c r="I66" s="400">
        <v>44439</v>
      </c>
      <c r="J66">
        <v>122536</v>
      </c>
      <c r="K66" t="s">
        <v>386</v>
      </c>
      <c r="M66" t="s">
        <v>387</v>
      </c>
      <c r="O66" t="s">
        <v>480</v>
      </c>
      <c r="P66" t="s">
        <v>481</v>
      </c>
      <c r="Q66" t="s">
        <v>450</v>
      </c>
      <c r="R66">
        <v>2069080</v>
      </c>
      <c r="S66" t="s">
        <v>387</v>
      </c>
      <c r="U66" t="s">
        <v>483</v>
      </c>
      <c r="V66" t="s">
        <v>398</v>
      </c>
      <c r="W66" s="393">
        <v>23598</v>
      </c>
      <c r="X66" s="393">
        <v>6.11</v>
      </c>
      <c r="Y66" s="393">
        <v>53.17</v>
      </c>
      <c r="Z66" s="393">
        <v>23598</v>
      </c>
      <c r="AA66">
        <v>0</v>
      </c>
      <c r="AB66" s="400">
        <v>44445.791066666665</v>
      </c>
      <c r="AC66" t="s">
        <v>324</v>
      </c>
    </row>
    <row r="67" spans="1:29">
      <c r="A67" t="s">
        <v>382</v>
      </c>
      <c r="B67" t="s">
        <v>440</v>
      </c>
      <c r="C67" t="s">
        <v>478</v>
      </c>
      <c r="D67" t="s">
        <v>479</v>
      </c>
      <c r="E67" t="s">
        <v>390</v>
      </c>
      <c r="F67" t="s">
        <v>391</v>
      </c>
      <c r="G67">
        <v>6101771</v>
      </c>
      <c r="H67">
        <v>202108</v>
      </c>
      <c r="I67" s="400">
        <v>44438</v>
      </c>
      <c r="J67">
        <v>122536</v>
      </c>
      <c r="K67" t="s">
        <v>386</v>
      </c>
      <c r="M67" t="s">
        <v>387</v>
      </c>
      <c r="O67" t="s">
        <v>480</v>
      </c>
      <c r="P67" t="s">
        <v>481</v>
      </c>
      <c r="Q67" t="s">
        <v>450</v>
      </c>
      <c r="R67">
        <v>2069080</v>
      </c>
      <c r="S67" t="s">
        <v>387</v>
      </c>
      <c r="U67" t="s">
        <v>484</v>
      </c>
      <c r="V67" t="s">
        <v>398</v>
      </c>
      <c r="W67" s="393">
        <v>18791</v>
      </c>
      <c r="X67" s="393">
        <v>4.8600000000000003</v>
      </c>
      <c r="Y67" s="393">
        <v>42.34</v>
      </c>
      <c r="Z67" s="393">
        <v>18791</v>
      </c>
      <c r="AA67">
        <v>0</v>
      </c>
      <c r="AB67" s="400">
        <v>44445.814218402775</v>
      </c>
      <c r="AC67" t="s">
        <v>324</v>
      </c>
    </row>
    <row r="68" spans="1:29">
      <c r="A68" t="s">
        <v>382</v>
      </c>
      <c r="B68" t="s">
        <v>440</v>
      </c>
      <c r="C68" t="s">
        <v>478</v>
      </c>
      <c r="D68" t="s">
        <v>479</v>
      </c>
      <c r="E68" t="s">
        <v>390</v>
      </c>
      <c r="F68" t="s">
        <v>391</v>
      </c>
      <c r="G68">
        <v>6101840</v>
      </c>
      <c r="H68">
        <v>202108</v>
      </c>
      <c r="I68" s="400">
        <v>44439</v>
      </c>
      <c r="J68">
        <v>122536</v>
      </c>
      <c r="K68" t="s">
        <v>386</v>
      </c>
      <c r="M68" t="s">
        <v>387</v>
      </c>
      <c r="O68" t="s">
        <v>480</v>
      </c>
      <c r="P68" t="s">
        <v>481</v>
      </c>
      <c r="Q68" t="s">
        <v>450</v>
      </c>
      <c r="R68">
        <v>2069080</v>
      </c>
      <c r="S68" t="s">
        <v>387</v>
      </c>
      <c r="U68" t="s">
        <v>485</v>
      </c>
      <c r="V68" t="s">
        <v>398</v>
      </c>
      <c r="W68" s="393">
        <v>-18791</v>
      </c>
      <c r="X68" s="393">
        <v>-4.8600000000000003</v>
      </c>
      <c r="Y68" s="393">
        <v>-42.34</v>
      </c>
      <c r="Z68" s="393">
        <v>-18791</v>
      </c>
      <c r="AA68">
        <v>0</v>
      </c>
      <c r="AB68" s="400">
        <v>44446.796669791664</v>
      </c>
      <c r="AC68" t="s">
        <v>324</v>
      </c>
    </row>
    <row r="69" spans="1:29">
      <c r="A69" t="s">
        <v>382</v>
      </c>
      <c r="B69" t="s">
        <v>440</v>
      </c>
      <c r="C69" t="s">
        <v>486</v>
      </c>
      <c r="D69" t="s">
        <v>487</v>
      </c>
      <c r="E69" t="s">
        <v>390</v>
      </c>
      <c r="F69" t="s">
        <v>391</v>
      </c>
      <c r="G69">
        <v>6101293</v>
      </c>
      <c r="H69">
        <v>202107</v>
      </c>
      <c r="I69" s="400">
        <v>44396</v>
      </c>
      <c r="J69" t="s">
        <v>452</v>
      </c>
      <c r="K69" t="s">
        <v>386</v>
      </c>
      <c r="M69" t="s">
        <v>387</v>
      </c>
      <c r="O69" t="s">
        <v>488</v>
      </c>
      <c r="P69" t="s">
        <v>489</v>
      </c>
      <c r="Q69" t="s">
        <v>490</v>
      </c>
      <c r="R69">
        <v>2069125</v>
      </c>
      <c r="S69" t="s">
        <v>491</v>
      </c>
      <c r="U69" t="s">
        <v>492</v>
      </c>
      <c r="V69" t="s">
        <v>398</v>
      </c>
      <c r="W69" s="393">
        <v>1200000</v>
      </c>
      <c r="X69" s="393">
        <v>315.60000000000002</v>
      </c>
      <c r="Y69" s="393">
        <v>2716.8</v>
      </c>
      <c r="Z69" s="393">
        <v>1200000</v>
      </c>
      <c r="AA69">
        <v>312</v>
      </c>
      <c r="AB69" s="400">
        <v>44398.725051273148</v>
      </c>
      <c r="AC69" t="s">
        <v>25</v>
      </c>
    </row>
    <row r="70" spans="1:29">
      <c r="A70" t="s">
        <v>382</v>
      </c>
      <c r="B70" t="s">
        <v>440</v>
      </c>
      <c r="C70" t="s">
        <v>486</v>
      </c>
      <c r="D70" t="s">
        <v>487</v>
      </c>
      <c r="E70" t="s">
        <v>390</v>
      </c>
      <c r="F70" t="s">
        <v>391</v>
      </c>
      <c r="G70">
        <v>6101937</v>
      </c>
      <c r="H70">
        <v>202109</v>
      </c>
      <c r="I70" s="400">
        <v>44456</v>
      </c>
      <c r="J70">
        <v>122536</v>
      </c>
      <c r="K70" t="s">
        <v>386</v>
      </c>
      <c r="M70" t="s">
        <v>387</v>
      </c>
      <c r="O70" t="s">
        <v>493</v>
      </c>
      <c r="P70" t="s">
        <v>494</v>
      </c>
      <c r="Q70" t="s">
        <v>396</v>
      </c>
      <c r="R70">
        <v>2069126</v>
      </c>
      <c r="S70" t="s">
        <v>387</v>
      </c>
      <c r="U70" t="s">
        <v>495</v>
      </c>
      <c r="V70" t="s">
        <v>398</v>
      </c>
      <c r="W70" s="393">
        <v>600000</v>
      </c>
      <c r="X70" s="393">
        <v>157.22</v>
      </c>
      <c r="Y70" s="393">
        <v>1369.72</v>
      </c>
      <c r="Z70" s="393">
        <v>600000</v>
      </c>
      <c r="AA70">
        <v>301</v>
      </c>
      <c r="AB70" s="400">
        <v>44458.969458946762</v>
      </c>
      <c r="AC70" t="s">
        <v>36</v>
      </c>
    </row>
    <row r="71" spans="1:29">
      <c r="A71" t="s">
        <v>382</v>
      </c>
      <c r="B71" t="s">
        <v>440</v>
      </c>
      <c r="C71" t="s">
        <v>486</v>
      </c>
      <c r="D71" t="s">
        <v>487</v>
      </c>
      <c r="E71" t="s">
        <v>390</v>
      </c>
      <c r="F71" t="s">
        <v>391</v>
      </c>
      <c r="G71">
        <v>6101882</v>
      </c>
      <c r="H71">
        <v>202109</v>
      </c>
      <c r="I71" s="400">
        <v>44449</v>
      </c>
      <c r="J71">
        <v>122536</v>
      </c>
      <c r="K71" t="s">
        <v>386</v>
      </c>
      <c r="M71" t="s">
        <v>387</v>
      </c>
      <c r="O71" t="s">
        <v>496</v>
      </c>
      <c r="P71" t="s">
        <v>497</v>
      </c>
      <c r="Q71" t="s">
        <v>396</v>
      </c>
      <c r="R71">
        <v>2069126</v>
      </c>
      <c r="S71" t="s">
        <v>387</v>
      </c>
      <c r="U71" t="s">
        <v>498</v>
      </c>
      <c r="V71" t="s">
        <v>398</v>
      </c>
      <c r="W71" s="393">
        <v>900000</v>
      </c>
      <c r="X71" s="393">
        <v>235.84</v>
      </c>
      <c r="Y71" s="393">
        <v>2054.5700000000002</v>
      </c>
      <c r="Z71" s="393">
        <v>900000</v>
      </c>
      <c r="AA71">
        <v>301</v>
      </c>
      <c r="AB71" s="400">
        <v>44454.748639502315</v>
      </c>
      <c r="AC71" t="s">
        <v>36</v>
      </c>
    </row>
    <row r="72" spans="1:29">
      <c r="A72" t="s">
        <v>382</v>
      </c>
      <c r="B72" t="s">
        <v>440</v>
      </c>
      <c r="C72" t="s">
        <v>486</v>
      </c>
      <c r="D72" t="s">
        <v>487</v>
      </c>
      <c r="E72" t="s">
        <v>390</v>
      </c>
      <c r="F72" t="s">
        <v>391</v>
      </c>
      <c r="G72">
        <v>6101882</v>
      </c>
      <c r="H72">
        <v>202109</v>
      </c>
      <c r="I72" s="400">
        <v>44449</v>
      </c>
      <c r="J72">
        <v>122536</v>
      </c>
      <c r="K72" t="s">
        <v>386</v>
      </c>
      <c r="M72" t="s">
        <v>387</v>
      </c>
      <c r="O72" t="s">
        <v>499</v>
      </c>
      <c r="P72" t="s">
        <v>500</v>
      </c>
      <c r="Q72" t="s">
        <v>396</v>
      </c>
      <c r="R72">
        <v>2069126</v>
      </c>
      <c r="S72" t="s">
        <v>387</v>
      </c>
      <c r="U72" t="s">
        <v>501</v>
      </c>
      <c r="V72" t="s">
        <v>398</v>
      </c>
      <c r="W72" s="393">
        <v>900000</v>
      </c>
      <c r="X72" s="393">
        <v>235.84</v>
      </c>
      <c r="Y72" s="393">
        <v>2054.5700000000002</v>
      </c>
      <c r="Z72" s="393">
        <v>900000</v>
      </c>
      <c r="AA72">
        <v>301</v>
      </c>
      <c r="AB72" s="400">
        <v>44454.748639502315</v>
      </c>
      <c r="AC72" t="s">
        <v>36</v>
      </c>
    </row>
    <row r="73" spans="1:29">
      <c r="A73" t="s">
        <v>382</v>
      </c>
      <c r="B73" t="s">
        <v>440</v>
      </c>
      <c r="C73" t="s">
        <v>486</v>
      </c>
      <c r="D73" t="s">
        <v>487</v>
      </c>
      <c r="E73" t="s">
        <v>390</v>
      </c>
      <c r="F73" t="s">
        <v>391</v>
      </c>
      <c r="G73">
        <v>6101937</v>
      </c>
      <c r="H73">
        <v>202109</v>
      </c>
      <c r="I73" s="400">
        <v>44456</v>
      </c>
      <c r="J73">
        <v>122536</v>
      </c>
      <c r="K73" t="s">
        <v>386</v>
      </c>
      <c r="M73" t="s">
        <v>387</v>
      </c>
      <c r="O73" t="s">
        <v>502</v>
      </c>
      <c r="P73" t="s">
        <v>503</v>
      </c>
      <c r="Q73" t="s">
        <v>396</v>
      </c>
      <c r="R73">
        <v>2069126</v>
      </c>
      <c r="S73" t="s">
        <v>387</v>
      </c>
      <c r="U73" t="s">
        <v>504</v>
      </c>
      <c r="V73" t="s">
        <v>398</v>
      </c>
      <c r="W73" s="393">
        <v>2000000</v>
      </c>
      <c r="X73" s="393">
        <v>524.08000000000004</v>
      </c>
      <c r="Y73" s="393">
        <v>4565.72</v>
      </c>
      <c r="Z73" s="393">
        <v>2000000</v>
      </c>
      <c r="AA73">
        <v>301</v>
      </c>
      <c r="AB73" s="400">
        <v>44458.969458946762</v>
      </c>
      <c r="AC73" t="s">
        <v>36</v>
      </c>
    </row>
    <row r="74" spans="1:29">
      <c r="A74" t="s">
        <v>382</v>
      </c>
      <c r="B74" t="s">
        <v>440</v>
      </c>
      <c r="C74" t="s">
        <v>486</v>
      </c>
      <c r="D74" t="s">
        <v>487</v>
      </c>
      <c r="E74" t="s">
        <v>390</v>
      </c>
      <c r="F74" t="s">
        <v>391</v>
      </c>
      <c r="G74">
        <v>6101901</v>
      </c>
      <c r="H74">
        <v>202109</v>
      </c>
      <c r="I74" s="400">
        <v>44442</v>
      </c>
      <c r="J74">
        <v>124932</v>
      </c>
      <c r="K74" t="s">
        <v>386</v>
      </c>
      <c r="M74" t="s">
        <v>387</v>
      </c>
      <c r="O74" t="s">
        <v>505</v>
      </c>
      <c r="P74" t="s">
        <v>506</v>
      </c>
      <c r="Q74" t="s">
        <v>396</v>
      </c>
      <c r="R74">
        <v>2069126</v>
      </c>
      <c r="S74" t="s">
        <v>387</v>
      </c>
      <c r="U74" t="s">
        <v>507</v>
      </c>
      <c r="V74" t="s">
        <v>398</v>
      </c>
      <c r="W74" s="393">
        <v>900000</v>
      </c>
      <c r="X74" s="393">
        <v>239.79</v>
      </c>
      <c r="Y74" s="393">
        <v>2083.9</v>
      </c>
      <c r="Z74" s="393">
        <v>900000</v>
      </c>
      <c r="AA74">
        <v>301</v>
      </c>
      <c r="AB74" s="400">
        <v>44457.782853391203</v>
      </c>
      <c r="AC74" t="s">
        <v>36</v>
      </c>
    </row>
    <row r="75" spans="1:29">
      <c r="A75" t="s">
        <v>382</v>
      </c>
      <c r="B75" t="s">
        <v>440</v>
      </c>
      <c r="C75" t="s">
        <v>486</v>
      </c>
      <c r="D75" t="s">
        <v>508</v>
      </c>
      <c r="E75" t="s">
        <v>390</v>
      </c>
      <c r="F75" t="s">
        <v>391</v>
      </c>
      <c r="G75">
        <v>6100327</v>
      </c>
      <c r="H75">
        <v>202102</v>
      </c>
      <c r="I75" s="400">
        <v>44245</v>
      </c>
      <c r="J75">
        <v>122536</v>
      </c>
      <c r="K75" t="s">
        <v>386</v>
      </c>
      <c r="M75" t="s">
        <v>387</v>
      </c>
      <c r="O75" t="s">
        <v>509</v>
      </c>
      <c r="P75" t="s">
        <v>510</v>
      </c>
      <c r="Q75" t="s">
        <v>396</v>
      </c>
      <c r="R75">
        <v>2069125</v>
      </c>
      <c r="S75" t="s">
        <v>387</v>
      </c>
      <c r="U75" t="s">
        <v>511</v>
      </c>
      <c r="V75" t="s">
        <v>398</v>
      </c>
      <c r="W75" s="393">
        <v>8960</v>
      </c>
      <c r="X75" s="393">
        <v>2.52</v>
      </c>
      <c r="Y75" s="393">
        <v>21.5</v>
      </c>
      <c r="Z75" s="393">
        <v>8960</v>
      </c>
      <c r="AA75">
        <v>0</v>
      </c>
      <c r="AB75" s="400">
        <v>44260.044781631943</v>
      </c>
      <c r="AC75" t="s">
        <v>25</v>
      </c>
    </row>
    <row r="76" spans="1:29">
      <c r="A76" t="s">
        <v>382</v>
      </c>
      <c r="B76" t="s">
        <v>440</v>
      </c>
      <c r="C76" t="s">
        <v>486</v>
      </c>
      <c r="D76" t="s">
        <v>508</v>
      </c>
      <c r="E76" t="s">
        <v>390</v>
      </c>
      <c r="F76" t="s">
        <v>391</v>
      </c>
      <c r="G76">
        <v>6100327</v>
      </c>
      <c r="H76">
        <v>202102</v>
      </c>
      <c r="I76" s="400">
        <v>44245</v>
      </c>
      <c r="J76">
        <v>122536</v>
      </c>
      <c r="K76" t="s">
        <v>386</v>
      </c>
      <c r="M76" t="s">
        <v>387</v>
      </c>
      <c r="O76" t="s">
        <v>512</v>
      </c>
      <c r="P76" t="s">
        <v>513</v>
      </c>
      <c r="Q76" t="s">
        <v>396</v>
      </c>
      <c r="R76">
        <v>2069125</v>
      </c>
      <c r="S76" t="s">
        <v>387</v>
      </c>
      <c r="U76" t="s">
        <v>511</v>
      </c>
      <c r="V76" t="s">
        <v>398</v>
      </c>
      <c r="W76" s="393">
        <v>2875</v>
      </c>
      <c r="X76" s="393">
        <v>0.81</v>
      </c>
      <c r="Y76" s="393">
        <v>6.9</v>
      </c>
      <c r="Z76" s="393">
        <v>2875</v>
      </c>
      <c r="AA76">
        <v>0</v>
      </c>
      <c r="AB76" s="400">
        <v>44260.044781828707</v>
      </c>
      <c r="AC76" t="s">
        <v>25</v>
      </c>
    </row>
    <row r="77" spans="1:29">
      <c r="A77" t="s">
        <v>382</v>
      </c>
      <c r="B77" t="s">
        <v>440</v>
      </c>
      <c r="C77" t="s">
        <v>486</v>
      </c>
      <c r="D77" t="s">
        <v>508</v>
      </c>
      <c r="E77" t="s">
        <v>390</v>
      </c>
      <c r="F77" t="s">
        <v>391</v>
      </c>
      <c r="G77">
        <v>6100287</v>
      </c>
      <c r="H77">
        <v>202102</v>
      </c>
      <c r="I77" s="400">
        <v>44253</v>
      </c>
      <c r="J77" t="s">
        <v>452</v>
      </c>
      <c r="K77" t="s">
        <v>386</v>
      </c>
      <c r="M77" t="s">
        <v>387</v>
      </c>
      <c r="O77" t="s">
        <v>514</v>
      </c>
      <c r="P77" t="s">
        <v>515</v>
      </c>
      <c r="Q77" t="s">
        <v>396</v>
      </c>
      <c r="R77">
        <v>2069125</v>
      </c>
      <c r="S77" t="s">
        <v>516</v>
      </c>
      <c r="U77" t="s">
        <v>517</v>
      </c>
      <c r="V77" t="s">
        <v>398</v>
      </c>
      <c r="W77" s="393">
        <v>1429</v>
      </c>
      <c r="X77" s="393">
        <v>0.41</v>
      </c>
      <c r="Y77" s="393">
        <v>3.43</v>
      </c>
      <c r="Z77" s="393">
        <v>1429</v>
      </c>
      <c r="AA77">
        <v>0</v>
      </c>
      <c r="AB77" s="400">
        <v>44258.934763043981</v>
      </c>
      <c r="AC77" t="s">
        <v>25</v>
      </c>
    </row>
    <row r="78" spans="1:29">
      <c r="A78" t="s">
        <v>382</v>
      </c>
      <c r="B78" t="s">
        <v>382</v>
      </c>
      <c r="C78" t="s">
        <v>486</v>
      </c>
      <c r="D78" t="s">
        <v>508</v>
      </c>
      <c r="E78" t="s">
        <v>518</v>
      </c>
      <c r="F78" t="s">
        <v>519</v>
      </c>
      <c r="G78">
        <v>12100576</v>
      </c>
      <c r="H78">
        <v>202103</v>
      </c>
      <c r="I78" s="400">
        <v>44259</v>
      </c>
      <c r="J78" t="s">
        <v>520</v>
      </c>
      <c r="K78" t="s">
        <v>386</v>
      </c>
      <c r="M78" t="s">
        <v>387</v>
      </c>
      <c r="O78" t="s">
        <v>509</v>
      </c>
      <c r="P78" t="s">
        <v>510</v>
      </c>
      <c r="Q78" t="s">
        <v>490</v>
      </c>
      <c r="R78">
        <v>2069125</v>
      </c>
      <c r="S78" t="s">
        <v>521</v>
      </c>
      <c r="U78" t="s">
        <v>522</v>
      </c>
      <c r="V78" t="s">
        <v>398</v>
      </c>
      <c r="W78" s="393">
        <v>13650</v>
      </c>
      <c r="X78" s="393">
        <v>3.88</v>
      </c>
      <c r="Y78" s="393">
        <v>32.770000000000003</v>
      </c>
      <c r="Z78" s="393">
        <v>13650</v>
      </c>
      <c r="AA78">
        <v>0</v>
      </c>
      <c r="AB78" s="400">
        <v>44289.718629861112</v>
      </c>
      <c r="AC78" t="s">
        <v>25</v>
      </c>
    </row>
    <row r="79" spans="1:29">
      <c r="A79" t="s">
        <v>382</v>
      </c>
      <c r="B79" t="s">
        <v>382</v>
      </c>
      <c r="C79" t="s">
        <v>486</v>
      </c>
      <c r="D79" t="s">
        <v>508</v>
      </c>
      <c r="E79" t="s">
        <v>518</v>
      </c>
      <c r="F79" t="s">
        <v>519</v>
      </c>
      <c r="G79">
        <v>12100576</v>
      </c>
      <c r="H79">
        <v>202103</v>
      </c>
      <c r="I79" s="400">
        <v>44259</v>
      </c>
      <c r="J79" t="s">
        <v>520</v>
      </c>
      <c r="K79" t="s">
        <v>386</v>
      </c>
      <c r="M79" t="s">
        <v>387</v>
      </c>
      <c r="O79" t="s">
        <v>512</v>
      </c>
      <c r="P79" t="s">
        <v>513</v>
      </c>
      <c r="Q79" t="s">
        <v>490</v>
      </c>
      <c r="R79">
        <v>2069125</v>
      </c>
      <c r="S79" t="s">
        <v>521</v>
      </c>
      <c r="U79" t="s">
        <v>522</v>
      </c>
      <c r="V79" t="s">
        <v>398</v>
      </c>
      <c r="W79" s="393">
        <v>2875</v>
      </c>
      <c r="X79" s="393">
        <v>0.82</v>
      </c>
      <c r="Y79" s="393">
        <v>6.9</v>
      </c>
      <c r="Z79" s="393">
        <v>2875</v>
      </c>
      <c r="AA79">
        <v>0</v>
      </c>
      <c r="AB79" s="400">
        <v>44289.718629861112</v>
      </c>
      <c r="AC79" t="s">
        <v>25</v>
      </c>
    </row>
    <row r="80" spans="1:29">
      <c r="A80" t="s">
        <v>382</v>
      </c>
      <c r="B80" t="s">
        <v>440</v>
      </c>
      <c r="C80" t="s">
        <v>486</v>
      </c>
      <c r="D80" t="s">
        <v>508</v>
      </c>
      <c r="E80" t="s">
        <v>390</v>
      </c>
      <c r="F80" t="s">
        <v>391</v>
      </c>
      <c r="G80">
        <v>6100552</v>
      </c>
      <c r="H80">
        <v>202103</v>
      </c>
      <c r="I80" s="400">
        <v>44259</v>
      </c>
      <c r="J80">
        <v>122536</v>
      </c>
      <c r="K80" t="s">
        <v>386</v>
      </c>
      <c r="M80" t="s">
        <v>387</v>
      </c>
      <c r="O80" t="s">
        <v>509</v>
      </c>
      <c r="P80" t="s">
        <v>510</v>
      </c>
      <c r="Q80" t="s">
        <v>490</v>
      </c>
      <c r="R80">
        <v>2069125</v>
      </c>
      <c r="S80" t="s">
        <v>387</v>
      </c>
      <c r="U80" t="s">
        <v>523</v>
      </c>
      <c r="V80" t="s">
        <v>398</v>
      </c>
      <c r="W80" s="393">
        <v>13650</v>
      </c>
      <c r="X80" s="393">
        <v>3.88</v>
      </c>
      <c r="Y80" s="393">
        <v>32.770000000000003</v>
      </c>
      <c r="Z80" s="393">
        <v>13650</v>
      </c>
      <c r="AA80">
        <v>0</v>
      </c>
      <c r="AB80" s="400">
        <v>44292.612781944445</v>
      </c>
      <c r="AC80" t="s">
        <v>25</v>
      </c>
    </row>
    <row r="81" spans="1:29">
      <c r="A81" t="s">
        <v>382</v>
      </c>
      <c r="B81" t="s">
        <v>440</v>
      </c>
      <c r="C81" t="s">
        <v>486</v>
      </c>
      <c r="D81" t="s">
        <v>508</v>
      </c>
      <c r="E81" t="s">
        <v>390</v>
      </c>
      <c r="F81" t="s">
        <v>391</v>
      </c>
      <c r="G81">
        <v>6100552</v>
      </c>
      <c r="H81">
        <v>202103</v>
      </c>
      <c r="I81" s="400">
        <v>44259</v>
      </c>
      <c r="J81">
        <v>122536</v>
      </c>
      <c r="K81" t="s">
        <v>386</v>
      </c>
      <c r="M81" t="s">
        <v>387</v>
      </c>
      <c r="O81" t="s">
        <v>512</v>
      </c>
      <c r="P81" t="s">
        <v>513</v>
      </c>
      <c r="Q81" t="s">
        <v>490</v>
      </c>
      <c r="R81">
        <v>2069125</v>
      </c>
      <c r="S81" t="s">
        <v>387</v>
      </c>
      <c r="U81" t="s">
        <v>523</v>
      </c>
      <c r="V81" t="s">
        <v>398</v>
      </c>
      <c r="W81" s="393">
        <v>2875</v>
      </c>
      <c r="X81" s="393">
        <v>0.82</v>
      </c>
      <c r="Y81" s="393">
        <v>6.9</v>
      </c>
      <c r="Z81" s="393">
        <v>2875</v>
      </c>
      <c r="AA81">
        <v>0</v>
      </c>
      <c r="AB81" s="400">
        <v>44292.612781944445</v>
      </c>
      <c r="AC81" t="s">
        <v>25</v>
      </c>
    </row>
    <row r="82" spans="1:29">
      <c r="A82" t="s">
        <v>382</v>
      </c>
      <c r="B82" t="s">
        <v>440</v>
      </c>
      <c r="C82" t="s">
        <v>486</v>
      </c>
      <c r="D82" t="s">
        <v>508</v>
      </c>
      <c r="E82" t="s">
        <v>390</v>
      </c>
      <c r="F82" t="s">
        <v>391</v>
      </c>
      <c r="G82">
        <v>6100396</v>
      </c>
      <c r="H82">
        <v>202103</v>
      </c>
      <c r="I82" s="400">
        <v>44263</v>
      </c>
      <c r="J82">
        <v>122536</v>
      </c>
      <c r="K82" t="s">
        <v>386</v>
      </c>
      <c r="M82" t="s">
        <v>387</v>
      </c>
      <c r="O82" t="s">
        <v>509</v>
      </c>
      <c r="P82" t="s">
        <v>510</v>
      </c>
      <c r="Q82" t="s">
        <v>396</v>
      </c>
      <c r="R82">
        <v>2069125</v>
      </c>
      <c r="S82" t="s">
        <v>387</v>
      </c>
      <c r="U82" t="s">
        <v>524</v>
      </c>
      <c r="V82" t="s">
        <v>398</v>
      </c>
      <c r="W82" s="393">
        <v>4840</v>
      </c>
      <c r="X82" s="393">
        <v>1.37</v>
      </c>
      <c r="Y82" s="393">
        <v>11.62</v>
      </c>
      <c r="Z82" s="393">
        <v>4840</v>
      </c>
      <c r="AA82">
        <v>0</v>
      </c>
      <c r="AB82" s="400">
        <v>44272.633000694441</v>
      </c>
      <c r="AC82" t="s">
        <v>25</v>
      </c>
    </row>
    <row r="83" spans="1:29">
      <c r="A83" t="s">
        <v>382</v>
      </c>
      <c r="B83" t="s">
        <v>382</v>
      </c>
      <c r="C83" t="s">
        <v>486</v>
      </c>
      <c r="D83" t="s">
        <v>508</v>
      </c>
      <c r="E83" t="s">
        <v>518</v>
      </c>
      <c r="F83" t="s">
        <v>519</v>
      </c>
      <c r="G83">
        <v>12100996</v>
      </c>
      <c r="H83">
        <v>202104</v>
      </c>
      <c r="I83" s="400">
        <v>44287</v>
      </c>
      <c r="J83" t="s">
        <v>520</v>
      </c>
      <c r="K83" t="s">
        <v>386</v>
      </c>
      <c r="M83" t="s">
        <v>387</v>
      </c>
      <c r="O83" t="s">
        <v>509</v>
      </c>
      <c r="P83" t="s">
        <v>510</v>
      </c>
      <c r="Q83" t="s">
        <v>490</v>
      </c>
      <c r="R83">
        <v>2069125</v>
      </c>
      <c r="S83" t="s">
        <v>521</v>
      </c>
      <c r="U83" t="s">
        <v>525</v>
      </c>
      <c r="V83" t="s">
        <v>398</v>
      </c>
      <c r="W83" s="393">
        <v>-13650</v>
      </c>
      <c r="X83" s="393">
        <v>-3.88</v>
      </c>
      <c r="Y83" s="393">
        <v>-32.770000000000003</v>
      </c>
      <c r="Z83" s="393">
        <v>-13650</v>
      </c>
      <c r="AA83">
        <v>0</v>
      </c>
      <c r="AB83" s="400">
        <v>44319.85771971065</v>
      </c>
      <c r="AC83" t="s">
        <v>25</v>
      </c>
    </row>
    <row r="84" spans="1:29">
      <c r="A84" t="s">
        <v>382</v>
      </c>
      <c r="B84" t="s">
        <v>382</v>
      </c>
      <c r="C84" t="s">
        <v>486</v>
      </c>
      <c r="D84" t="s">
        <v>508</v>
      </c>
      <c r="E84" t="s">
        <v>518</v>
      </c>
      <c r="F84" t="s">
        <v>519</v>
      </c>
      <c r="G84">
        <v>12100996</v>
      </c>
      <c r="H84">
        <v>202104</v>
      </c>
      <c r="I84" s="400">
        <v>44287</v>
      </c>
      <c r="J84" t="s">
        <v>520</v>
      </c>
      <c r="K84" t="s">
        <v>386</v>
      </c>
      <c r="M84" t="s">
        <v>387</v>
      </c>
      <c r="O84" t="s">
        <v>512</v>
      </c>
      <c r="P84" t="s">
        <v>513</v>
      </c>
      <c r="Q84" t="s">
        <v>490</v>
      </c>
      <c r="R84">
        <v>2069125</v>
      </c>
      <c r="S84" t="s">
        <v>521</v>
      </c>
      <c r="U84" t="s">
        <v>525</v>
      </c>
      <c r="V84" t="s">
        <v>398</v>
      </c>
      <c r="W84" s="393">
        <v>-2875</v>
      </c>
      <c r="X84" s="393">
        <v>-0.82</v>
      </c>
      <c r="Y84" s="393">
        <v>-6.9</v>
      </c>
      <c r="Z84" s="393">
        <v>-2875</v>
      </c>
      <c r="AA84">
        <v>0</v>
      </c>
      <c r="AB84" s="400">
        <v>44319.85771971065</v>
      </c>
      <c r="AC84" t="s">
        <v>25</v>
      </c>
    </row>
    <row r="85" spans="1:29">
      <c r="A85" t="s">
        <v>382</v>
      </c>
      <c r="B85" t="s">
        <v>440</v>
      </c>
      <c r="C85" t="s">
        <v>486</v>
      </c>
      <c r="D85" t="s">
        <v>508</v>
      </c>
      <c r="E85" t="s">
        <v>390</v>
      </c>
      <c r="F85" t="s">
        <v>391</v>
      </c>
      <c r="G85">
        <v>6100728</v>
      </c>
      <c r="H85">
        <v>202104</v>
      </c>
      <c r="I85" s="400">
        <v>44308</v>
      </c>
      <c r="J85">
        <v>122536</v>
      </c>
      <c r="K85" t="s">
        <v>386</v>
      </c>
      <c r="M85" t="s">
        <v>387</v>
      </c>
      <c r="O85" t="s">
        <v>509</v>
      </c>
      <c r="P85" t="s">
        <v>510</v>
      </c>
      <c r="Q85" t="s">
        <v>396</v>
      </c>
      <c r="R85">
        <v>2069129</v>
      </c>
      <c r="S85" t="s">
        <v>387</v>
      </c>
      <c r="U85" t="s">
        <v>526</v>
      </c>
      <c r="V85" t="s">
        <v>398</v>
      </c>
      <c r="W85" s="393">
        <v>13090</v>
      </c>
      <c r="X85" s="393">
        <v>3.6</v>
      </c>
      <c r="Y85" s="393">
        <v>30.49</v>
      </c>
      <c r="Z85" s="393">
        <v>13090</v>
      </c>
      <c r="AA85">
        <v>0</v>
      </c>
      <c r="AB85" s="400">
        <v>44319.75282465278</v>
      </c>
      <c r="AC85" t="s">
        <v>40</v>
      </c>
    </row>
    <row r="86" spans="1:29">
      <c r="A86" t="s">
        <v>382</v>
      </c>
      <c r="B86" t="s">
        <v>440</v>
      </c>
      <c r="C86" t="s">
        <v>486</v>
      </c>
      <c r="D86" t="s">
        <v>508</v>
      </c>
      <c r="E86" t="s">
        <v>390</v>
      </c>
      <c r="F86" t="s">
        <v>391</v>
      </c>
      <c r="G86">
        <v>6100728</v>
      </c>
      <c r="H86">
        <v>202104</v>
      </c>
      <c r="I86" s="400">
        <v>44308</v>
      </c>
      <c r="J86">
        <v>122536</v>
      </c>
      <c r="K86" t="s">
        <v>386</v>
      </c>
      <c r="M86" t="s">
        <v>387</v>
      </c>
      <c r="O86" t="s">
        <v>512</v>
      </c>
      <c r="P86" t="s">
        <v>513</v>
      </c>
      <c r="Q86" t="s">
        <v>396</v>
      </c>
      <c r="R86">
        <v>2069129</v>
      </c>
      <c r="S86" t="s">
        <v>387</v>
      </c>
      <c r="U86" t="s">
        <v>526</v>
      </c>
      <c r="V86" t="s">
        <v>398</v>
      </c>
      <c r="W86" s="393">
        <v>795</v>
      </c>
      <c r="X86" s="393">
        <v>0.22</v>
      </c>
      <c r="Y86" s="393">
        <v>1.85</v>
      </c>
      <c r="Z86" s="393">
        <v>795</v>
      </c>
      <c r="AA86">
        <v>0</v>
      </c>
      <c r="AB86" s="400">
        <v>44319.752825347219</v>
      </c>
      <c r="AC86" t="s">
        <v>40</v>
      </c>
    </row>
    <row r="87" spans="1:29">
      <c r="A87" t="s">
        <v>382</v>
      </c>
      <c r="B87" t="s">
        <v>440</v>
      </c>
      <c r="C87" t="s">
        <v>486</v>
      </c>
      <c r="D87" t="s">
        <v>508</v>
      </c>
      <c r="E87" t="s">
        <v>390</v>
      </c>
      <c r="F87" t="s">
        <v>391</v>
      </c>
      <c r="G87">
        <v>6100699</v>
      </c>
      <c r="H87">
        <v>202104</v>
      </c>
      <c r="I87" s="400">
        <v>44309</v>
      </c>
      <c r="J87" t="s">
        <v>452</v>
      </c>
      <c r="K87" t="s">
        <v>386</v>
      </c>
      <c r="M87" t="s">
        <v>387</v>
      </c>
      <c r="O87" t="s">
        <v>527</v>
      </c>
      <c r="P87" t="s">
        <v>528</v>
      </c>
      <c r="Q87" t="s">
        <v>490</v>
      </c>
      <c r="R87">
        <v>2069125</v>
      </c>
      <c r="S87" t="s">
        <v>529</v>
      </c>
      <c r="U87" t="s">
        <v>530</v>
      </c>
      <c r="V87" t="s">
        <v>398</v>
      </c>
      <c r="W87" s="393">
        <v>171000</v>
      </c>
      <c r="X87" s="393">
        <v>47.03</v>
      </c>
      <c r="Y87" s="393">
        <v>389.54</v>
      </c>
      <c r="Z87" s="393">
        <v>171000</v>
      </c>
      <c r="AA87">
        <v>0</v>
      </c>
      <c r="AB87" s="400">
        <v>44318.781357638887</v>
      </c>
      <c r="AC87" t="s">
        <v>25</v>
      </c>
    </row>
    <row r="88" spans="1:29">
      <c r="A88" t="s">
        <v>382</v>
      </c>
      <c r="B88" t="s">
        <v>440</v>
      </c>
      <c r="C88" t="s">
        <v>486</v>
      </c>
      <c r="D88" t="s">
        <v>508</v>
      </c>
      <c r="E88" t="s">
        <v>390</v>
      </c>
      <c r="F88" t="s">
        <v>391</v>
      </c>
      <c r="G88">
        <v>6101364</v>
      </c>
      <c r="H88">
        <v>202107</v>
      </c>
      <c r="I88" s="400">
        <v>44407</v>
      </c>
      <c r="J88" t="s">
        <v>452</v>
      </c>
      <c r="K88" t="s">
        <v>386</v>
      </c>
      <c r="M88" t="s">
        <v>387</v>
      </c>
      <c r="O88" t="s">
        <v>531</v>
      </c>
      <c r="P88" t="s">
        <v>532</v>
      </c>
      <c r="Q88" t="s">
        <v>396</v>
      </c>
      <c r="R88">
        <v>2069121</v>
      </c>
      <c r="S88" t="s">
        <v>533</v>
      </c>
      <c r="U88" t="s">
        <v>534</v>
      </c>
      <c r="V88" t="s">
        <v>398</v>
      </c>
      <c r="W88" s="393">
        <v>958</v>
      </c>
      <c r="X88" s="393">
        <v>0.25</v>
      </c>
      <c r="Y88" s="393">
        <v>2.12</v>
      </c>
      <c r="Z88" s="393">
        <v>958</v>
      </c>
      <c r="AA88">
        <v>0</v>
      </c>
      <c r="AB88" s="400">
        <v>44410.944845486112</v>
      </c>
      <c r="AC88" t="s">
        <v>19</v>
      </c>
    </row>
    <row r="89" spans="1:29">
      <c r="A89" t="s">
        <v>382</v>
      </c>
      <c r="B89" t="s">
        <v>440</v>
      </c>
      <c r="C89" t="s">
        <v>486</v>
      </c>
      <c r="D89" t="s">
        <v>508</v>
      </c>
      <c r="E89" t="s">
        <v>390</v>
      </c>
      <c r="F89" t="s">
        <v>391</v>
      </c>
      <c r="G89">
        <v>6101236</v>
      </c>
      <c r="H89">
        <v>202107</v>
      </c>
      <c r="I89" s="400">
        <v>44396</v>
      </c>
      <c r="J89" t="s">
        <v>452</v>
      </c>
      <c r="K89" t="s">
        <v>386</v>
      </c>
      <c r="M89" t="s">
        <v>387</v>
      </c>
      <c r="O89" t="s">
        <v>535</v>
      </c>
      <c r="P89" t="s">
        <v>536</v>
      </c>
      <c r="Q89" t="s">
        <v>490</v>
      </c>
      <c r="R89">
        <v>2069125</v>
      </c>
      <c r="S89" t="s">
        <v>537</v>
      </c>
      <c r="U89" t="s">
        <v>538</v>
      </c>
      <c r="V89" t="s">
        <v>398</v>
      </c>
      <c r="W89" s="393">
        <v>205602</v>
      </c>
      <c r="X89" s="393">
        <v>54.07</v>
      </c>
      <c r="Y89" s="393">
        <v>465.48</v>
      </c>
      <c r="Z89" s="393">
        <v>205602</v>
      </c>
      <c r="AA89">
        <v>0</v>
      </c>
      <c r="AB89" s="400">
        <v>44396.819253969908</v>
      </c>
      <c r="AC89" t="s">
        <v>25</v>
      </c>
    </row>
    <row r="90" spans="1:29">
      <c r="A90" t="s">
        <v>382</v>
      </c>
      <c r="B90" t="s">
        <v>440</v>
      </c>
      <c r="C90" t="s">
        <v>486</v>
      </c>
      <c r="D90" t="s">
        <v>508</v>
      </c>
      <c r="E90" t="s">
        <v>390</v>
      </c>
      <c r="F90" t="s">
        <v>391</v>
      </c>
      <c r="G90">
        <v>6101227</v>
      </c>
      <c r="H90">
        <v>202107</v>
      </c>
      <c r="I90" s="400">
        <v>44385</v>
      </c>
      <c r="J90" t="s">
        <v>452</v>
      </c>
      <c r="K90" t="s">
        <v>386</v>
      </c>
      <c r="M90" t="s">
        <v>387</v>
      </c>
      <c r="O90" t="s">
        <v>539</v>
      </c>
      <c r="P90" t="s">
        <v>540</v>
      </c>
      <c r="Q90" t="s">
        <v>490</v>
      </c>
      <c r="R90">
        <v>2069125</v>
      </c>
      <c r="S90" t="s">
        <v>541</v>
      </c>
      <c r="U90" t="s">
        <v>542</v>
      </c>
      <c r="V90" t="s">
        <v>398</v>
      </c>
      <c r="W90" s="393">
        <v>10506</v>
      </c>
      <c r="X90" s="393">
        <v>2.75</v>
      </c>
      <c r="Y90" s="393">
        <v>23.58</v>
      </c>
      <c r="Z90" s="393">
        <v>10506</v>
      </c>
      <c r="AA90">
        <v>0</v>
      </c>
      <c r="AB90" s="400">
        <v>44392.759670601852</v>
      </c>
      <c r="AC90" t="s">
        <v>25</v>
      </c>
    </row>
    <row r="91" spans="1:29">
      <c r="A91" t="s">
        <v>382</v>
      </c>
      <c r="B91" t="s">
        <v>440</v>
      </c>
      <c r="C91" t="s">
        <v>486</v>
      </c>
      <c r="D91" t="s">
        <v>508</v>
      </c>
      <c r="E91" t="s">
        <v>390</v>
      </c>
      <c r="F91" t="s">
        <v>391</v>
      </c>
      <c r="G91">
        <v>6101978</v>
      </c>
      <c r="H91">
        <v>202109</v>
      </c>
      <c r="I91" s="400">
        <v>44440</v>
      </c>
      <c r="J91">
        <v>125062</v>
      </c>
      <c r="K91" t="s">
        <v>386</v>
      </c>
      <c r="M91" t="s">
        <v>387</v>
      </c>
      <c r="O91" t="s">
        <v>509</v>
      </c>
      <c r="P91" t="s">
        <v>510</v>
      </c>
      <c r="Q91" t="s">
        <v>396</v>
      </c>
      <c r="R91">
        <v>2069126</v>
      </c>
      <c r="S91" t="s">
        <v>387</v>
      </c>
      <c r="U91" t="s">
        <v>543</v>
      </c>
      <c r="V91" t="s">
        <v>398</v>
      </c>
      <c r="W91" s="393">
        <v>20440</v>
      </c>
      <c r="X91" s="393">
        <v>5.29</v>
      </c>
      <c r="Y91" s="393">
        <v>46.05</v>
      </c>
      <c r="Z91" s="393">
        <v>20440</v>
      </c>
      <c r="AA91">
        <v>0</v>
      </c>
      <c r="AB91" s="400">
        <v>44460.531625347219</v>
      </c>
      <c r="AC91" t="s">
        <v>36</v>
      </c>
    </row>
    <row r="92" spans="1:29">
      <c r="A92" t="s">
        <v>382</v>
      </c>
      <c r="B92" t="s">
        <v>440</v>
      </c>
      <c r="C92" t="s">
        <v>486</v>
      </c>
      <c r="D92" t="s">
        <v>508</v>
      </c>
      <c r="E92" t="s">
        <v>390</v>
      </c>
      <c r="F92" t="s">
        <v>391</v>
      </c>
      <c r="G92">
        <v>6101978</v>
      </c>
      <c r="H92">
        <v>202109</v>
      </c>
      <c r="I92" s="400">
        <v>44440</v>
      </c>
      <c r="J92">
        <v>125062</v>
      </c>
      <c r="K92" t="s">
        <v>386</v>
      </c>
      <c r="M92" t="s">
        <v>387</v>
      </c>
      <c r="O92" t="s">
        <v>512</v>
      </c>
      <c r="P92" t="s">
        <v>513</v>
      </c>
      <c r="Q92" t="s">
        <v>396</v>
      </c>
      <c r="R92">
        <v>2069126</v>
      </c>
      <c r="S92" t="s">
        <v>387</v>
      </c>
      <c r="U92" t="s">
        <v>543</v>
      </c>
      <c r="V92" t="s">
        <v>398</v>
      </c>
      <c r="W92" s="393">
        <v>2875</v>
      </c>
      <c r="X92" s="393">
        <v>0.74</v>
      </c>
      <c r="Y92" s="393">
        <v>6.48</v>
      </c>
      <c r="Z92" s="393">
        <v>2875</v>
      </c>
      <c r="AA92">
        <v>0</v>
      </c>
      <c r="AB92" s="400">
        <v>44460.531625347219</v>
      </c>
      <c r="AC92" t="s">
        <v>36</v>
      </c>
    </row>
    <row r="93" spans="1:29">
      <c r="A93" t="s">
        <v>382</v>
      </c>
      <c r="B93" t="s">
        <v>440</v>
      </c>
      <c r="C93" t="s">
        <v>486</v>
      </c>
      <c r="D93" t="s">
        <v>508</v>
      </c>
      <c r="E93" t="s">
        <v>390</v>
      </c>
      <c r="F93" t="s">
        <v>391</v>
      </c>
      <c r="G93">
        <v>6102063</v>
      </c>
      <c r="H93">
        <v>202109</v>
      </c>
      <c r="I93" s="400">
        <v>44469</v>
      </c>
      <c r="J93">
        <v>122536</v>
      </c>
      <c r="K93" t="s">
        <v>386</v>
      </c>
      <c r="M93" t="s">
        <v>387</v>
      </c>
      <c r="O93" t="s">
        <v>544</v>
      </c>
      <c r="P93" t="s">
        <v>545</v>
      </c>
      <c r="Q93" t="s">
        <v>396</v>
      </c>
      <c r="R93">
        <v>2069127</v>
      </c>
      <c r="S93" t="s">
        <v>387</v>
      </c>
      <c r="U93" t="s">
        <v>546</v>
      </c>
      <c r="V93" t="s">
        <v>398</v>
      </c>
      <c r="W93" s="393">
        <v>213788</v>
      </c>
      <c r="X93" s="393">
        <v>55.75</v>
      </c>
      <c r="Y93" s="393">
        <v>484.78</v>
      </c>
      <c r="Z93" s="393">
        <v>213788</v>
      </c>
      <c r="AA93">
        <v>0</v>
      </c>
      <c r="AB93" s="400">
        <v>44470.717716932872</v>
      </c>
      <c r="AC93" t="s">
        <v>36</v>
      </c>
    </row>
    <row r="94" spans="1:29">
      <c r="A94" t="s">
        <v>382</v>
      </c>
      <c r="B94" t="s">
        <v>440</v>
      </c>
      <c r="C94" t="s">
        <v>486</v>
      </c>
      <c r="D94" t="s">
        <v>547</v>
      </c>
      <c r="E94" t="s">
        <v>390</v>
      </c>
      <c r="F94" t="s">
        <v>391</v>
      </c>
      <c r="G94">
        <v>6100686</v>
      </c>
      <c r="H94">
        <v>202104</v>
      </c>
      <c r="I94" s="400">
        <v>44309</v>
      </c>
      <c r="J94">
        <v>122536</v>
      </c>
      <c r="K94" t="s">
        <v>386</v>
      </c>
      <c r="M94" t="s">
        <v>387</v>
      </c>
      <c r="O94" t="s">
        <v>548</v>
      </c>
      <c r="P94" t="s">
        <v>549</v>
      </c>
      <c r="Q94" t="s">
        <v>490</v>
      </c>
      <c r="R94">
        <v>2069125</v>
      </c>
      <c r="S94" t="s">
        <v>387</v>
      </c>
      <c r="U94" t="s">
        <v>550</v>
      </c>
      <c r="V94" t="s">
        <v>398</v>
      </c>
      <c r="W94" s="393">
        <v>210000</v>
      </c>
      <c r="X94" s="393">
        <v>57.75</v>
      </c>
      <c r="Y94" s="393">
        <v>478.38</v>
      </c>
      <c r="Z94" s="393">
        <v>210000</v>
      </c>
      <c r="AA94">
        <v>0</v>
      </c>
      <c r="AB94" s="400">
        <v>44317.863930127314</v>
      </c>
      <c r="AC94" t="s">
        <v>25</v>
      </c>
    </row>
    <row r="95" spans="1:29">
      <c r="A95" t="s">
        <v>382</v>
      </c>
      <c r="B95" t="s">
        <v>440</v>
      </c>
      <c r="C95" t="s">
        <v>486</v>
      </c>
      <c r="D95" t="s">
        <v>547</v>
      </c>
      <c r="E95" t="s">
        <v>390</v>
      </c>
      <c r="F95" t="s">
        <v>391</v>
      </c>
      <c r="G95">
        <v>6100811</v>
      </c>
      <c r="H95">
        <v>202105</v>
      </c>
      <c r="I95" s="400">
        <v>44323</v>
      </c>
      <c r="J95" t="s">
        <v>452</v>
      </c>
      <c r="K95" t="s">
        <v>386</v>
      </c>
      <c r="M95" t="s">
        <v>387</v>
      </c>
      <c r="O95" t="s">
        <v>551</v>
      </c>
      <c r="P95" t="s">
        <v>552</v>
      </c>
      <c r="Q95" t="s">
        <v>490</v>
      </c>
      <c r="R95">
        <v>2069125</v>
      </c>
      <c r="S95" t="s">
        <v>553</v>
      </c>
      <c r="U95" t="s">
        <v>554</v>
      </c>
      <c r="V95" t="s">
        <v>398</v>
      </c>
      <c r="W95" s="393">
        <v>800000</v>
      </c>
      <c r="X95" s="393">
        <v>208</v>
      </c>
      <c r="Y95" s="393">
        <v>1720.8</v>
      </c>
      <c r="Z95" s="393">
        <v>800000</v>
      </c>
      <c r="AA95">
        <v>0</v>
      </c>
      <c r="AB95" s="400">
        <v>44328.767658993056</v>
      </c>
      <c r="AC95" t="s">
        <v>25</v>
      </c>
    </row>
    <row r="96" spans="1:29">
      <c r="A96" t="s">
        <v>382</v>
      </c>
      <c r="B96" t="s">
        <v>440</v>
      </c>
      <c r="C96" t="s">
        <v>486</v>
      </c>
      <c r="D96" t="s">
        <v>547</v>
      </c>
      <c r="E96" t="s">
        <v>390</v>
      </c>
      <c r="F96" t="s">
        <v>391</v>
      </c>
      <c r="G96">
        <v>6101236</v>
      </c>
      <c r="H96">
        <v>202107</v>
      </c>
      <c r="I96" s="400">
        <v>44396</v>
      </c>
      <c r="J96" t="s">
        <v>452</v>
      </c>
      <c r="K96" t="s">
        <v>386</v>
      </c>
      <c r="M96" t="s">
        <v>387</v>
      </c>
      <c r="O96" t="s">
        <v>548</v>
      </c>
      <c r="P96" t="s">
        <v>549</v>
      </c>
      <c r="Q96" t="s">
        <v>490</v>
      </c>
      <c r="R96">
        <v>2069125</v>
      </c>
      <c r="S96" t="s">
        <v>555</v>
      </c>
      <c r="U96" t="s">
        <v>556</v>
      </c>
      <c r="V96" t="s">
        <v>398</v>
      </c>
      <c r="W96" s="393">
        <v>400000</v>
      </c>
      <c r="X96" s="393">
        <v>105.2</v>
      </c>
      <c r="Y96" s="393">
        <v>905.6</v>
      </c>
      <c r="Z96" s="393">
        <v>400000</v>
      </c>
      <c r="AA96">
        <v>0</v>
      </c>
      <c r="AB96" s="400">
        <v>44396.819253090274</v>
      </c>
      <c r="AC96" t="s">
        <v>25</v>
      </c>
    </row>
    <row r="97" spans="1:29">
      <c r="A97" t="s">
        <v>382</v>
      </c>
      <c r="B97" t="s">
        <v>440</v>
      </c>
      <c r="C97" t="s">
        <v>486</v>
      </c>
      <c r="D97" t="s">
        <v>547</v>
      </c>
      <c r="E97" t="s">
        <v>390</v>
      </c>
      <c r="F97" t="s">
        <v>391</v>
      </c>
      <c r="G97">
        <v>6101320</v>
      </c>
      <c r="H97">
        <v>202107</v>
      </c>
      <c r="I97" s="400">
        <v>44405</v>
      </c>
      <c r="J97" t="s">
        <v>452</v>
      </c>
      <c r="K97" t="s">
        <v>386</v>
      </c>
      <c r="M97" t="s">
        <v>387</v>
      </c>
      <c r="O97" t="s">
        <v>557</v>
      </c>
      <c r="P97" t="s">
        <v>558</v>
      </c>
      <c r="Q97" t="s">
        <v>490</v>
      </c>
      <c r="R97">
        <v>2069125</v>
      </c>
      <c r="S97" t="s">
        <v>559</v>
      </c>
      <c r="U97" t="s">
        <v>560</v>
      </c>
      <c r="V97" t="s">
        <v>398</v>
      </c>
      <c r="W97" s="393">
        <v>800000</v>
      </c>
      <c r="X97" s="393">
        <v>210.4</v>
      </c>
      <c r="Y97" s="393">
        <v>1811.2</v>
      </c>
      <c r="Z97" s="393">
        <v>800000</v>
      </c>
      <c r="AA97">
        <v>0</v>
      </c>
      <c r="AB97" s="400">
        <v>44405.764153159726</v>
      </c>
      <c r="AC97" t="s">
        <v>25</v>
      </c>
    </row>
    <row r="98" spans="1:29">
      <c r="A98" t="s">
        <v>382</v>
      </c>
      <c r="B98" t="s">
        <v>440</v>
      </c>
      <c r="C98" t="s">
        <v>486</v>
      </c>
      <c r="D98" t="s">
        <v>547</v>
      </c>
      <c r="E98" t="s">
        <v>390</v>
      </c>
      <c r="F98" t="s">
        <v>391</v>
      </c>
      <c r="G98">
        <v>6101320</v>
      </c>
      <c r="H98">
        <v>202107</v>
      </c>
      <c r="I98" s="400">
        <v>44405</v>
      </c>
      <c r="J98" t="s">
        <v>452</v>
      </c>
      <c r="K98" t="s">
        <v>386</v>
      </c>
      <c r="M98" t="s">
        <v>387</v>
      </c>
      <c r="O98" t="s">
        <v>551</v>
      </c>
      <c r="P98" t="s">
        <v>552</v>
      </c>
      <c r="Q98" t="s">
        <v>396</v>
      </c>
      <c r="R98">
        <v>2069121</v>
      </c>
      <c r="S98" t="s">
        <v>561</v>
      </c>
      <c r="U98" t="s">
        <v>562</v>
      </c>
      <c r="V98" t="s">
        <v>398</v>
      </c>
      <c r="W98" s="393">
        <v>800000</v>
      </c>
      <c r="X98" s="393">
        <v>210.4</v>
      </c>
      <c r="Y98" s="393">
        <v>1811.2</v>
      </c>
      <c r="Z98" s="393">
        <v>800000</v>
      </c>
      <c r="AA98">
        <v>0</v>
      </c>
      <c r="AB98" s="400">
        <v>44405.764153703705</v>
      </c>
      <c r="AC98" t="s">
        <v>19</v>
      </c>
    </row>
    <row r="99" spans="1:29">
      <c r="A99" t="s">
        <v>382</v>
      </c>
      <c r="B99" t="s">
        <v>440</v>
      </c>
      <c r="C99" t="s">
        <v>486</v>
      </c>
      <c r="D99" t="s">
        <v>547</v>
      </c>
      <c r="E99" t="s">
        <v>390</v>
      </c>
      <c r="F99" t="s">
        <v>391</v>
      </c>
      <c r="G99">
        <v>6101385</v>
      </c>
      <c r="H99">
        <v>202107</v>
      </c>
      <c r="I99" s="400">
        <v>44407</v>
      </c>
      <c r="J99" t="s">
        <v>452</v>
      </c>
      <c r="K99" t="s">
        <v>386</v>
      </c>
      <c r="M99" t="s">
        <v>387</v>
      </c>
      <c r="O99" t="s">
        <v>551</v>
      </c>
      <c r="P99" t="s">
        <v>552</v>
      </c>
      <c r="Q99" t="s">
        <v>396</v>
      </c>
      <c r="R99">
        <v>2069121</v>
      </c>
      <c r="S99" t="s">
        <v>563</v>
      </c>
      <c r="U99" t="s">
        <v>564</v>
      </c>
      <c r="V99" t="s">
        <v>398</v>
      </c>
      <c r="W99" s="393">
        <v>580000</v>
      </c>
      <c r="X99" s="393">
        <v>148.47999999999999</v>
      </c>
      <c r="Y99" s="393">
        <v>1282.96</v>
      </c>
      <c r="Z99" s="393">
        <v>580000</v>
      </c>
      <c r="AA99">
        <v>0</v>
      </c>
      <c r="AB99" s="400">
        <v>44411.815652199075</v>
      </c>
      <c r="AC99" t="s">
        <v>19</v>
      </c>
    </row>
    <row r="100" spans="1:29">
      <c r="A100" t="s">
        <v>382</v>
      </c>
      <c r="B100" t="s">
        <v>440</v>
      </c>
      <c r="C100" t="s">
        <v>486</v>
      </c>
      <c r="D100" t="s">
        <v>547</v>
      </c>
      <c r="E100" t="s">
        <v>390</v>
      </c>
      <c r="F100" t="s">
        <v>391</v>
      </c>
      <c r="G100">
        <v>6101605</v>
      </c>
      <c r="H100">
        <v>202108</v>
      </c>
      <c r="I100" s="400">
        <v>44428</v>
      </c>
      <c r="J100">
        <v>124932</v>
      </c>
      <c r="K100" t="s">
        <v>386</v>
      </c>
      <c r="M100" t="s">
        <v>387</v>
      </c>
      <c r="O100" t="s">
        <v>565</v>
      </c>
      <c r="P100" t="s">
        <v>566</v>
      </c>
      <c r="Q100" t="s">
        <v>396</v>
      </c>
      <c r="R100">
        <v>2069123</v>
      </c>
      <c r="S100" t="s">
        <v>387</v>
      </c>
      <c r="U100" t="s">
        <v>567</v>
      </c>
      <c r="V100" t="s">
        <v>398</v>
      </c>
      <c r="W100" s="393">
        <v>500000</v>
      </c>
      <c r="X100" s="393">
        <v>129.49</v>
      </c>
      <c r="Y100" s="393">
        <v>1123.05</v>
      </c>
      <c r="Z100" s="393">
        <v>500000</v>
      </c>
      <c r="AA100">
        <v>0</v>
      </c>
      <c r="AB100" s="400">
        <v>44431.794530439816</v>
      </c>
      <c r="AC100" t="s">
        <v>22</v>
      </c>
    </row>
    <row r="101" spans="1:29">
      <c r="A101" t="s">
        <v>382</v>
      </c>
      <c r="B101" t="s">
        <v>440</v>
      </c>
      <c r="C101" t="s">
        <v>486</v>
      </c>
      <c r="D101" t="s">
        <v>547</v>
      </c>
      <c r="E101" t="s">
        <v>390</v>
      </c>
      <c r="F101" t="s">
        <v>391</v>
      </c>
      <c r="G101">
        <v>6101882</v>
      </c>
      <c r="H101">
        <v>202109</v>
      </c>
      <c r="I101" s="400">
        <v>44449</v>
      </c>
      <c r="J101">
        <v>122536</v>
      </c>
      <c r="K101" t="s">
        <v>386</v>
      </c>
      <c r="M101" t="s">
        <v>387</v>
      </c>
      <c r="O101" t="s">
        <v>557</v>
      </c>
      <c r="P101" t="s">
        <v>558</v>
      </c>
      <c r="Q101" t="s">
        <v>396</v>
      </c>
      <c r="R101">
        <v>2069127</v>
      </c>
      <c r="S101" t="s">
        <v>387</v>
      </c>
      <c r="U101" t="s">
        <v>568</v>
      </c>
      <c r="V101" t="s">
        <v>398</v>
      </c>
      <c r="W101" s="393">
        <v>900000</v>
      </c>
      <c r="X101" s="393">
        <v>235.84</v>
      </c>
      <c r="Y101" s="393">
        <v>2054.5700000000002</v>
      </c>
      <c r="Z101" s="393">
        <v>900000</v>
      </c>
      <c r="AA101">
        <v>0</v>
      </c>
      <c r="AB101" s="400">
        <v>44454.748639502315</v>
      </c>
      <c r="AC101" t="s">
        <v>36</v>
      </c>
    </row>
    <row r="102" spans="1:29">
      <c r="A102" t="s">
        <v>382</v>
      </c>
      <c r="B102" t="s">
        <v>440</v>
      </c>
      <c r="C102" t="s">
        <v>486</v>
      </c>
      <c r="D102" t="s">
        <v>569</v>
      </c>
      <c r="E102" t="s">
        <v>390</v>
      </c>
      <c r="F102" t="s">
        <v>391</v>
      </c>
      <c r="G102">
        <v>6100699</v>
      </c>
      <c r="H102">
        <v>202104</v>
      </c>
      <c r="I102" s="400">
        <v>44309</v>
      </c>
      <c r="J102" t="s">
        <v>452</v>
      </c>
      <c r="K102" t="s">
        <v>386</v>
      </c>
      <c r="M102" t="s">
        <v>387</v>
      </c>
      <c r="O102" t="s">
        <v>527</v>
      </c>
      <c r="P102" t="s">
        <v>528</v>
      </c>
      <c r="Q102" t="s">
        <v>490</v>
      </c>
      <c r="R102">
        <v>2069125</v>
      </c>
      <c r="S102" t="s">
        <v>529</v>
      </c>
      <c r="U102" t="s">
        <v>570</v>
      </c>
      <c r="V102" t="s">
        <v>398</v>
      </c>
      <c r="W102" s="393">
        <v>400000</v>
      </c>
      <c r="X102" s="393">
        <v>110</v>
      </c>
      <c r="Y102" s="393">
        <v>911.2</v>
      </c>
      <c r="Z102" s="393">
        <v>400000</v>
      </c>
      <c r="AA102">
        <v>307</v>
      </c>
      <c r="AB102" s="400">
        <v>44318.78135690972</v>
      </c>
      <c r="AC102" t="s">
        <v>25</v>
      </c>
    </row>
    <row r="103" spans="1:29">
      <c r="A103" t="s">
        <v>382</v>
      </c>
      <c r="B103" t="s">
        <v>440</v>
      </c>
      <c r="C103" t="s">
        <v>486</v>
      </c>
      <c r="D103" t="s">
        <v>571</v>
      </c>
      <c r="E103" t="s">
        <v>390</v>
      </c>
      <c r="F103" t="s">
        <v>391</v>
      </c>
      <c r="G103">
        <v>6100285</v>
      </c>
      <c r="H103">
        <v>202102</v>
      </c>
      <c r="I103" s="400">
        <v>44253</v>
      </c>
      <c r="J103" t="s">
        <v>452</v>
      </c>
      <c r="K103" t="s">
        <v>386</v>
      </c>
      <c r="M103" t="s">
        <v>387</v>
      </c>
      <c r="O103" t="s">
        <v>572</v>
      </c>
      <c r="P103" t="s">
        <v>573</v>
      </c>
      <c r="Q103" t="s">
        <v>396</v>
      </c>
      <c r="R103">
        <v>2069125</v>
      </c>
      <c r="S103" t="s">
        <v>387</v>
      </c>
      <c r="U103" t="s">
        <v>574</v>
      </c>
      <c r="V103" t="s">
        <v>398</v>
      </c>
      <c r="W103" s="393">
        <v>20000</v>
      </c>
      <c r="X103" s="393">
        <v>5.68</v>
      </c>
      <c r="Y103" s="393">
        <v>48.02</v>
      </c>
      <c r="Z103" s="393">
        <v>20000</v>
      </c>
      <c r="AA103">
        <v>0</v>
      </c>
      <c r="AB103" s="400">
        <v>44258.912566747684</v>
      </c>
      <c r="AC103" t="s">
        <v>25</v>
      </c>
    </row>
    <row r="104" spans="1:29">
      <c r="A104" t="s">
        <v>382</v>
      </c>
      <c r="B104" t="s">
        <v>440</v>
      </c>
      <c r="C104" t="s">
        <v>486</v>
      </c>
      <c r="D104" t="s">
        <v>571</v>
      </c>
      <c r="E104" t="s">
        <v>390</v>
      </c>
      <c r="F104" t="s">
        <v>391</v>
      </c>
      <c r="G104">
        <v>6100285</v>
      </c>
      <c r="H104">
        <v>202102</v>
      </c>
      <c r="I104" s="400">
        <v>44253</v>
      </c>
      <c r="J104" t="s">
        <v>452</v>
      </c>
      <c r="K104" t="s">
        <v>386</v>
      </c>
      <c r="M104" t="s">
        <v>387</v>
      </c>
      <c r="O104" t="s">
        <v>575</v>
      </c>
      <c r="P104" t="s">
        <v>576</v>
      </c>
      <c r="Q104" t="s">
        <v>396</v>
      </c>
      <c r="R104">
        <v>2069125</v>
      </c>
      <c r="S104" t="s">
        <v>387</v>
      </c>
      <c r="U104" t="s">
        <v>577</v>
      </c>
      <c r="V104" t="s">
        <v>398</v>
      </c>
      <c r="W104" s="393">
        <v>30000</v>
      </c>
      <c r="X104" s="393">
        <v>8.52</v>
      </c>
      <c r="Y104" s="393">
        <v>72.03</v>
      </c>
      <c r="Z104" s="393">
        <v>30000</v>
      </c>
      <c r="AA104">
        <v>0</v>
      </c>
      <c r="AB104" s="400">
        <v>44258.912566898151</v>
      </c>
      <c r="AC104" t="s">
        <v>25</v>
      </c>
    </row>
    <row r="105" spans="1:29">
      <c r="A105" t="s">
        <v>382</v>
      </c>
      <c r="B105" t="s">
        <v>440</v>
      </c>
      <c r="C105" t="s">
        <v>486</v>
      </c>
      <c r="D105" t="s">
        <v>571</v>
      </c>
      <c r="E105" t="s">
        <v>390</v>
      </c>
      <c r="F105" t="s">
        <v>391</v>
      </c>
      <c r="G105">
        <v>6100285</v>
      </c>
      <c r="H105">
        <v>202102</v>
      </c>
      <c r="I105" s="400">
        <v>44253</v>
      </c>
      <c r="J105" t="s">
        <v>452</v>
      </c>
      <c r="K105" t="s">
        <v>386</v>
      </c>
      <c r="M105" t="s">
        <v>387</v>
      </c>
      <c r="O105" t="s">
        <v>572</v>
      </c>
      <c r="P105" t="s">
        <v>573</v>
      </c>
      <c r="Q105" t="s">
        <v>396</v>
      </c>
      <c r="R105">
        <v>2069125</v>
      </c>
      <c r="S105" t="s">
        <v>387</v>
      </c>
      <c r="U105" t="s">
        <v>578</v>
      </c>
      <c r="V105" t="s">
        <v>398</v>
      </c>
      <c r="W105" s="393">
        <v>24000</v>
      </c>
      <c r="X105" s="393">
        <v>6.82</v>
      </c>
      <c r="Y105" s="393">
        <v>57.62</v>
      </c>
      <c r="Z105" s="393">
        <v>24000</v>
      </c>
      <c r="AA105">
        <v>0</v>
      </c>
      <c r="AB105" s="400">
        <v>44258.912566898151</v>
      </c>
      <c r="AC105" t="s">
        <v>25</v>
      </c>
    </row>
    <row r="106" spans="1:29">
      <c r="A106" t="s">
        <v>382</v>
      </c>
      <c r="B106" t="s">
        <v>440</v>
      </c>
      <c r="C106" t="s">
        <v>486</v>
      </c>
      <c r="D106" t="s">
        <v>571</v>
      </c>
      <c r="E106" t="s">
        <v>390</v>
      </c>
      <c r="F106" t="s">
        <v>391</v>
      </c>
      <c r="G106">
        <v>6100285</v>
      </c>
      <c r="H106">
        <v>202102</v>
      </c>
      <c r="I106" s="400">
        <v>44253</v>
      </c>
      <c r="J106" t="s">
        <v>452</v>
      </c>
      <c r="K106" t="s">
        <v>386</v>
      </c>
      <c r="M106" t="s">
        <v>387</v>
      </c>
      <c r="O106" t="s">
        <v>579</v>
      </c>
      <c r="P106" t="s">
        <v>580</v>
      </c>
      <c r="Q106" t="s">
        <v>396</v>
      </c>
      <c r="R106">
        <v>2069125</v>
      </c>
      <c r="S106" t="s">
        <v>387</v>
      </c>
      <c r="U106" t="s">
        <v>581</v>
      </c>
      <c r="V106" t="s">
        <v>398</v>
      </c>
      <c r="W106" s="393">
        <v>9000</v>
      </c>
      <c r="X106" s="393">
        <v>2.56</v>
      </c>
      <c r="Y106" s="393">
        <v>21.61</v>
      </c>
      <c r="Z106" s="393">
        <v>9000</v>
      </c>
      <c r="AA106">
        <v>0</v>
      </c>
      <c r="AB106" s="400">
        <v>44258.912566898151</v>
      </c>
      <c r="AC106" t="s">
        <v>25</v>
      </c>
    </row>
    <row r="107" spans="1:29">
      <c r="A107" t="s">
        <v>382</v>
      </c>
      <c r="B107" t="s">
        <v>440</v>
      </c>
      <c r="C107" t="s">
        <v>486</v>
      </c>
      <c r="D107" t="s">
        <v>571</v>
      </c>
      <c r="E107" t="s">
        <v>390</v>
      </c>
      <c r="F107" t="s">
        <v>391</v>
      </c>
      <c r="G107">
        <v>6100285</v>
      </c>
      <c r="H107">
        <v>202102</v>
      </c>
      <c r="I107" s="400">
        <v>44253</v>
      </c>
      <c r="J107" t="s">
        <v>452</v>
      </c>
      <c r="K107" t="s">
        <v>386</v>
      </c>
      <c r="M107" t="s">
        <v>387</v>
      </c>
      <c r="O107" t="s">
        <v>579</v>
      </c>
      <c r="P107" t="s">
        <v>580</v>
      </c>
      <c r="Q107" t="s">
        <v>396</v>
      </c>
      <c r="R107">
        <v>2069125</v>
      </c>
      <c r="S107" t="s">
        <v>387</v>
      </c>
      <c r="U107" t="s">
        <v>582</v>
      </c>
      <c r="V107" t="s">
        <v>398</v>
      </c>
      <c r="W107" s="393">
        <v>9000</v>
      </c>
      <c r="X107" s="393">
        <v>2.56</v>
      </c>
      <c r="Y107" s="393">
        <v>21.61</v>
      </c>
      <c r="Z107" s="393">
        <v>9000</v>
      </c>
      <c r="AA107">
        <v>0</v>
      </c>
      <c r="AB107" s="400">
        <v>44258.912566898151</v>
      </c>
      <c r="AC107" t="s">
        <v>25</v>
      </c>
    </row>
    <row r="108" spans="1:29" s="247" customFormat="1">
      <c r="A108" s="247" t="s">
        <v>382</v>
      </c>
      <c r="B108" s="247" t="s">
        <v>440</v>
      </c>
      <c r="C108" s="247" t="s">
        <v>486</v>
      </c>
      <c r="D108" s="247" t="s">
        <v>571</v>
      </c>
      <c r="E108" s="247" t="s">
        <v>390</v>
      </c>
      <c r="F108" s="247" t="s">
        <v>391</v>
      </c>
      <c r="G108" s="247">
        <v>6100285</v>
      </c>
      <c r="H108" s="247">
        <v>202102</v>
      </c>
      <c r="I108" s="401">
        <v>44253</v>
      </c>
      <c r="J108" s="247" t="s">
        <v>452</v>
      </c>
      <c r="K108" s="247" t="s">
        <v>386</v>
      </c>
      <c r="M108" s="247" t="s">
        <v>387</v>
      </c>
      <c r="O108" s="247" t="s">
        <v>579</v>
      </c>
      <c r="P108" s="247" t="s">
        <v>580</v>
      </c>
      <c r="Q108" s="247" t="s">
        <v>396</v>
      </c>
      <c r="R108" s="247">
        <v>2069125</v>
      </c>
      <c r="S108" s="247" t="s">
        <v>387</v>
      </c>
      <c r="U108" s="247" t="s">
        <v>583</v>
      </c>
      <c r="V108" s="247" t="s">
        <v>398</v>
      </c>
      <c r="W108" s="398">
        <v>9000</v>
      </c>
      <c r="X108" s="398">
        <v>2.56</v>
      </c>
      <c r="Y108" s="398">
        <v>21.61</v>
      </c>
      <c r="Z108" s="398">
        <v>9000</v>
      </c>
      <c r="AA108" s="247">
        <v>0</v>
      </c>
      <c r="AB108" s="401">
        <v>44258.912567094907</v>
      </c>
      <c r="AC108" s="247" t="s">
        <v>25</v>
      </c>
    </row>
    <row r="109" spans="1:29">
      <c r="A109" t="s">
        <v>382</v>
      </c>
      <c r="B109" t="s">
        <v>440</v>
      </c>
      <c r="C109" t="s">
        <v>486</v>
      </c>
      <c r="D109" t="s">
        <v>571</v>
      </c>
      <c r="E109" t="s">
        <v>390</v>
      </c>
      <c r="F109" t="s">
        <v>391</v>
      </c>
      <c r="G109">
        <v>6100285</v>
      </c>
      <c r="H109">
        <v>202102</v>
      </c>
      <c r="I109" s="400">
        <v>44253</v>
      </c>
      <c r="J109" t="s">
        <v>452</v>
      </c>
      <c r="K109" t="s">
        <v>386</v>
      </c>
      <c r="M109" t="s">
        <v>387</v>
      </c>
      <c r="O109" t="s">
        <v>579</v>
      </c>
      <c r="P109" t="s">
        <v>580</v>
      </c>
      <c r="Q109" t="s">
        <v>396</v>
      </c>
      <c r="R109">
        <v>2069125</v>
      </c>
      <c r="S109" t="s">
        <v>387</v>
      </c>
      <c r="U109" t="s">
        <v>584</v>
      </c>
      <c r="V109" t="s">
        <v>398</v>
      </c>
      <c r="W109" s="393">
        <v>9000</v>
      </c>
      <c r="X109" s="393">
        <v>2.56</v>
      </c>
      <c r="Y109" s="393">
        <v>21.61</v>
      </c>
      <c r="Z109" s="393">
        <v>9000</v>
      </c>
      <c r="AA109">
        <v>0</v>
      </c>
      <c r="AB109" s="400">
        <v>44258.912567094907</v>
      </c>
      <c r="AC109" t="s">
        <v>25</v>
      </c>
    </row>
    <row r="110" spans="1:29">
      <c r="A110" t="s">
        <v>382</v>
      </c>
      <c r="B110" t="s">
        <v>440</v>
      </c>
      <c r="C110" t="s">
        <v>486</v>
      </c>
      <c r="D110" t="s">
        <v>571</v>
      </c>
      <c r="E110" t="s">
        <v>390</v>
      </c>
      <c r="F110" t="s">
        <v>391</v>
      </c>
      <c r="G110">
        <v>6100285</v>
      </c>
      <c r="H110">
        <v>202102</v>
      </c>
      <c r="I110" s="400">
        <v>44253</v>
      </c>
      <c r="J110" t="s">
        <v>452</v>
      </c>
      <c r="K110" t="s">
        <v>386</v>
      </c>
      <c r="M110" t="s">
        <v>387</v>
      </c>
      <c r="O110" t="s">
        <v>579</v>
      </c>
      <c r="P110" t="s">
        <v>580</v>
      </c>
      <c r="Q110" t="s">
        <v>396</v>
      </c>
      <c r="R110">
        <v>2069125</v>
      </c>
      <c r="S110" t="s">
        <v>387</v>
      </c>
      <c r="U110" t="s">
        <v>585</v>
      </c>
      <c r="V110" t="s">
        <v>398</v>
      </c>
      <c r="W110" s="393">
        <v>9000</v>
      </c>
      <c r="X110" s="393">
        <v>2.56</v>
      </c>
      <c r="Y110" s="393">
        <v>21.61</v>
      </c>
      <c r="Z110" s="393">
        <v>9000</v>
      </c>
      <c r="AA110">
        <v>0</v>
      </c>
      <c r="AB110" s="400">
        <v>44258.912567094907</v>
      </c>
      <c r="AC110" t="s">
        <v>25</v>
      </c>
    </row>
    <row r="111" spans="1:29">
      <c r="A111" t="s">
        <v>382</v>
      </c>
      <c r="B111" t="s">
        <v>440</v>
      </c>
      <c r="C111" t="s">
        <v>486</v>
      </c>
      <c r="D111" t="s">
        <v>571</v>
      </c>
      <c r="E111" t="s">
        <v>390</v>
      </c>
      <c r="F111" t="s">
        <v>391</v>
      </c>
      <c r="G111">
        <v>6100285</v>
      </c>
      <c r="H111">
        <v>202102</v>
      </c>
      <c r="I111" s="400">
        <v>44253</v>
      </c>
      <c r="J111" t="s">
        <v>452</v>
      </c>
      <c r="K111" t="s">
        <v>386</v>
      </c>
      <c r="M111" t="s">
        <v>387</v>
      </c>
      <c r="O111" t="s">
        <v>579</v>
      </c>
      <c r="P111" t="s">
        <v>580</v>
      </c>
      <c r="Q111" t="s">
        <v>396</v>
      </c>
      <c r="R111">
        <v>2069125</v>
      </c>
      <c r="S111" t="s">
        <v>387</v>
      </c>
      <c r="U111" t="s">
        <v>586</v>
      </c>
      <c r="V111" t="s">
        <v>398</v>
      </c>
      <c r="W111" s="393">
        <v>9000</v>
      </c>
      <c r="X111" s="393">
        <v>2.56</v>
      </c>
      <c r="Y111" s="393">
        <v>21.61</v>
      </c>
      <c r="Z111" s="393">
        <v>9000</v>
      </c>
      <c r="AA111">
        <v>0</v>
      </c>
      <c r="AB111" s="400">
        <v>44258.912567094907</v>
      </c>
      <c r="AC111" t="s">
        <v>25</v>
      </c>
    </row>
    <row r="112" spans="1:29">
      <c r="A112" t="s">
        <v>382</v>
      </c>
      <c r="B112" t="s">
        <v>440</v>
      </c>
      <c r="C112" t="s">
        <v>486</v>
      </c>
      <c r="D112" t="s">
        <v>571</v>
      </c>
      <c r="E112" t="s">
        <v>390</v>
      </c>
      <c r="F112" t="s">
        <v>391</v>
      </c>
      <c r="G112">
        <v>6100285</v>
      </c>
      <c r="H112">
        <v>202102</v>
      </c>
      <c r="I112" s="400">
        <v>44253</v>
      </c>
      <c r="J112" t="s">
        <v>452</v>
      </c>
      <c r="K112" t="s">
        <v>386</v>
      </c>
      <c r="M112" t="s">
        <v>387</v>
      </c>
      <c r="O112" t="s">
        <v>587</v>
      </c>
      <c r="P112" t="s">
        <v>588</v>
      </c>
      <c r="Q112" t="s">
        <v>396</v>
      </c>
      <c r="R112">
        <v>2069125</v>
      </c>
      <c r="S112" t="s">
        <v>387</v>
      </c>
      <c r="U112" t="s">
        <v>589</v>
      </c>
      <c r="V112" t="s">
        <v>398</v>
      </c>
      <c r="W112" s="393">
        <v>69000</v>
      </c>
      <c r="X112" s="393">
        <v>19.600000000000001</v>
      </c>
      <c r="Y112" s="393">
        <v>165.67</v>
      </c>
      <c r="Z112" s="393">
        <v>69000</v>
      </c>
      <c r="AA112">
        <v>0</v>
      </c>
      <c r="AB112" s="400">
        <v>44258.912567094907</v>
      </c>
      <c r="AC112" t="s">
        <v>25</v>
      </c>
    </row>
    <row r="113" spans="1:29">
      <c r="A113" t="s">
        <v>382</v>
      </c>
      <c r="B113" t="s">
        <v>440</v>
      </c>
      <c r="C113" t="s">
        <v>486</v>
      </c>
      <c r="D113" t="s">
        <v>571</v>
      </c>
      <c r="E113" t="s">
        <v>390</v>
      </c>
      <c r="F113" t="s">
        <v>391</v>
      </c>
      <c r="G113">
        <v>6100285</v>
      </c>
      <c r="H113">
        <v>202102</v>
      </c>
      <c r="I113" s="400">
        <v>44253</v>
      </c>
      <c r="J113" t="s">
        <v>452</v>
      </c>
      <c r="K113" t="s">
        <v>386</v>
      </c>
      <c r="M113" t="s">
        <v>387</v>
      </c>
      <c r="O113" t="s">
        <v>590</v>
      </c>
      <c r="P113" t="s">
        <v>591</v>
      </c>
      <c r="Q113" t="s">
        <v>396</v>
      </c>
      <c r="R113">
        <v>2069125</v>
      </c>
      <c r="S113" t="s">
        <v>387</v>
      </c>
      <c r="U113" t="s">
        <v>592</v>
      </c>
      <c r="V113" t="s">
        <v>398</v>
      </c>
      <c r="W113" s="393">
        <v>120017</v>
      </c>
      <c r="X113" s="393">
        <v>34.08</v>
      </c>
      <c r="Y113" s="393">
        <v>288.16000000000003</v>
      </c>
      <c r="Z113" s="393">
        <v>120017</v>
      </c>
      <c r="AA113">
        <v>316</v>
      </c>
      <c r="AB113" s="400">
        <v>44258.912567280095</v>
      </c>
      <c r="AC113" t="s">
        <v>25</v>
      </c>
    </row>
    <row r="114" spans="1:29">
      <c r="A114" t="s">
        <v>382</v>
      </c>
      <c r="B114" t="s">
        <v>440</v>
      </c>
      <c r="C114" t="s">
        <v>486</v>
      </c>
      <c r="D114" t="s">
        <v>571</v>
      </c>
      <c r="E114" t="s">
        <v>390</v>
      </c>
      <c r="F114" t="s">
        <v>391</v>
      </c>
      <c r="G114">
        <v>6100285</v>
      </c>
      <c r="H114">
        <v>202102</v>
      </c>
      <c r="I114" s="400">
        <v>44253</v>
      </c>
      <c r="J114" t="s">
        <v>452</v>
      </c>
      <c r="K114" t="s">
        <v>386</v>
      </c>
      <c r="M114" t="s">
        <v>387</v>
      </c>
      <c r="O114" t="s">
        <v>590</v>
      </c>
      <c r="P114" t="s">
        <v>591</v>
      </c>
      <c r="Q114" t="s">
        <v>396</v>
      </c>
      <c r="R114">
        <v>2069125</v>
      </c>
      <c r="S114" t="s">
        <v>387</v>
      </c>
      <c r="U114" t="s">
        <v>592</v>
      </c>
      <c r="V114" t="s">
        <v>398</v>
      </c>
      <c r="W114" s="393">
        <v>120</v>
      </c>
      <c r="X114" s="393">
        <v>0.03</v>
      </c>
      <c r="Y114" s="393">
        <v>0.28999999999999998</v>
      </c>
      <c r="Z114" s="393">
        <v>120</v>
      </c>
      <c r="AA114">
        <v>0</v>
      </c>
      <c r="AB114" s="400">
        <v>44258.912567280095</v>
      </c>
      <c r="AC114" t="s">
        <v>25</v>
      </c>
    </row>
    <row r="115" spans="1:29">
      <c r="A115" t="s">
        <v>382</v>
      </c>
      <c r="B115" t="s">
        <v>440</v>
      </c>
      <c r="C115" t="s">
        <v>486</v>
      </c>
      <c r="D115" t="s">
        <v>571</v>
      </c>
      <c r="E115" t="s">
        <v>390</v>
      </c>
      <c r="F115" t="s">
        <v>391</v>
      </c>
      <c r="G115">
        <v>6100285</v>
      </c>
      <c r="H115">
        <v>202102</v>
      </c>
      <c r="I115" s="400">
        <v>44253</v>
      </c>
      <c r="J115" t="s">
        <v>452</v>
      </c>
      <c r="K115" t="s">
        <v>386</v>
      </c>
      <c r="M115" t="s">
        <v>387</v>
      </c>
      <c r="O115" t="s">
        <v>593</v>
      </c>
      <c r="P115" t="s">
        <v>594</v>
      </c>
      <c r="Q115" t="s">
        <v>396</v>
      </c>
      <c r="R115">
        <v>2069125</v>
      </c>
      <c r="S115" t="s">
        <v>387</v>
      </c>
      <c r="U115" t="s">
        <v>595</v>
      </c>
      <c r="V115" t="s">
        <v>398</v>
      </c>
      <c r="W115" s="393">
        <v>29000</v>
      </c>
      <c r="X115" s="393">
        <v>8.24</v>
      </c>
      <c r="Y115" s="393">
        <v>69.63</v>
      </c>
      <c r="Z115" s="393">
        <v>29000</v>
      </c>
      <c r="AA115">
        <v>0</v>
      </c>
      <c r="AB115" s="400">
        <v>44258.912567476851</v>
      </c>
      <c r="AC115" t="s">
        <v>25</v>
      </c>
    </row>
    <row r="116" spans="1:29">
      <c r="A116" t="s">
        <v>382</v>
      </c>
      <c r="B116" t="s">
        <v>440</v>
      </c>
      <c r="C116" t="s">
        <v>486</v>
      </c>
      <c r="D116" t="s">
        <v>571</v>
      </c>
      <c r="E116" t="s">
        <v>390</v>
      </c>
      <c r="F116" t="s">
        <v>391</v>
      </c>
      <c r="G116">
        <v>6100285</v>
      </c>
      <c r="H116">
        <v>202102</v>
      </c>
      <c r="I116" s="400">
        <v>44253</v>
      </c>
      <c r="J116" t="s">
        <v>452</v>
      </c>
      <c r="K116" t="s">
        <v>386</v>
      </c>
      <c r="M116" t="s">
        <v>387</v>
      </c>
      <c r="O116" t="s">
        <v>596</v>
      </c>
      <c r="P116" t="s">
        <v>597</v>
      </c>
      <c r="Q116" t="s">
        <v>396</v>
      </c>
      <c r="R116">
        <v>2069125</v>
      </c>
      <c r="S116" t="s">
        <v>387</v>
      </c>
      <c r="U116" t="s">
        <v>598</v>
      </c>
      <c r="V116" t="s">
        <v>398</v>
      </c>
      <c r="W116" s="393">
        <v>104000</v>
      </c>
      <c r="X116" s="393">
        <v>29.54</v>
      </c>
      <c r="Y116" s="393">
        <v>249.7</v>
      </c>
      <c r="Z116" s="393">
        <v>104000</v>
      </c>
      <c r="AA116">
        <v>0</v>
      </c>
      <c r="AB116" s="400">
        <v>44258.912567476851</v>
      </c>
      <c r="AC116" t="s">
        <v>25</v>
      </c>
    </row>
    <row r="117" spans="1:29">
      <c r="A117" t="s">
        <v>382</v>
      </c>
      <c r="B117" t="s">
        <v>440</v>
      </c>
      <c r="C117" t="s">
        <v>486</v>
      </c>
      <c r="D117" t="s">
        <v>571</v>
      </c>
      <c r="E117" t="s">
        <v>390</v>
      </c>
      <c r="F117" t="s">
        <v>391</v>
      </c>
      <c r="G117">
        <v>6100285</v>
      </c>
      <c r="H117">
        <v>202102</v>
      </c>
      <c r="I117" s="400">
        <v>44253</v>
      </c>
      <c r="J117" t="s">
        <v>452</v>
      </c>
      <c r="K117" t="s">
        <v>386</v>
      </c>
      <c r="M117" t="s">
        <v>387</v>
      </c>
      <c r="O117" t="s">
        <v>599</v>
      </c>
      <c r="P117" t="s">
        <v>600</v>
      </c>
      <c r="Q117" t="s">
        <v>396</v>
      </c>
      <c r="R117">
        <v>2069125</v>
      </c>
      <c r="S117" t="s">
        <v>387</v>
      </c>
      <c r="U117" t="s">
        <v>601</v>
      </c>
      <c r="V117" t="s">
        <v>398</v>
      </c>
      <c r="W117" s="393">
        <v>73000</v>
      </c>
      <c r="X117" s="393">
        <v>20.73</v>
      </c>
      <c r="Y117" s="393">
        <v>175.27</v>
      </c>
      <c r="Z117" s="393">
        <v>73000</v>
      </c>
      <c r="AA117">
        <v>0</v>
      </c>
      <c r="AB117" s="400">
        <v>44258.912567476851</v>
      </c>
      <c r="AC117" t="s">
        <v>25</v>
      </c>
    </row>
    <row r="118" spans="1:29">
      <c r="A118" t="s">
        <v>382</v>
      </c>
      <c r="B118" t="s">
        <v>440</v>
      </c>
      <c r="C118" t="s">
        <v>486</v>
      </c>
      <c r="D118" t="s">
        <v>571</v>
      </c>
      <c r="E118" t="s">
        <v>390</v>
      </c>
      <c r="F118" t="s">
        <v>391</v>
      </c>
      <c r="G118">
        <v>6100285</v>
      </c>
      <c r="H118">
        <v>202102</v>
      </c>
      <c r="I118" s="400">
        <v>44253</v>
      </c>
      <c r="J118" t="s">
        <v>452</v>
      </c>
      <c r="K118" t="s">
        <v>386</v>
      </c>
      <c r="M118" t="s">
        <v>387</v>
      </c>
      <c r="O118" t="s">
        <v>590</v>
      </c>
      <c r="P118" t="s">
        <v>591</v>
      </c>
      <c r="Q118" t="s">
        <v>396</v>
      </c>
      <c r="R118">
        <v>2069125</v>
      </c>
      <c r="S118" t="s">
        <v>387</v>
      </c>
      <c r="U118" t="s">
        <v>602</v>
      </c>
      <c r="V118" t="s">
        <v>398</v>
      </c>
      <c r="W118" s="393">
        <v>45860</v>
      </c>
      <c r="X118" s="393">
        <v>13.02</v>
      </c>
      <c r="Y118" s="393">
        <v>110.11</v>
      </c>
      <c r="Z118" s="393">
        <v>45860</v>
      </c>
      <c r="AA118">
        <v>316</v>
      </c>
      <c r="AB118" s="400">
        <v>44258.912567476851</v>
      </c>
      <c r="AC118" t="s">
        <v>25</v>
      </c>
    </row>
    <row r="119" spans="1:29">
      <c r="A119" t="s">
        <v>382</v>
      </c>
      <c r="B119" t="s">
        <v>440</v>
      </c>
      <c r="C119" t="s">
        <v>486</v>
      </c>
      <c r="D119" t="s">
        <v>571</v>
      </c>
      <c r="E119" t="s">
        <v>390</v>
      </c>
      <c r="F119" t="s">
        <v>391</v>
      </c>
      <c r="G119">
        <v>6100285</v>
      </c>
      <c r="H119">
        <v>202102</v>
      </c>
      <c r="I119" s="400">
        <v>44253</v>
      </c>
      <c r="J119" t="s">
        <v>452</v>
      </c>
      <c r="K119" t="s">
        <v>386</v>
      </c>
      <c r="M119" t="s">
        <v>387</v>
      </c>
      <c r="O119" t="s">
        <v>590</v>
      </c>
      <c r="P119" t="s">
        <v>591</v>
      </c>
      <c r="Q119" t="s">
        <v>396</v>
      </c>
      <c r="R119">
        <v>2069125</v>
      </c>
      <c r="S119" t="s">
        <v>387</v>
      </c>
      <c r="U119" t="s">
        <v>602</v>
      </c>
      <c r="V119" t="s">
        <v>398</v>
      </c>
      <c r="W119" s="393">
        <v>46</v>
      </c>
      <c r="X119" s="393">
        <v>0.01</v>
      </c>
      <c r="Y119" s="393">
        <v>0.11</v>
      </c>
      <c r="Z119" s="393">
        <v>46</v>
      </c>
      <c r="AA119">
        <v>0</v>
      </c>
      <c r="AB119" s="400">
        <v>44258.912567627318</v>
      </c>
      <c r="AC119" t="s">
        <v>25</v>
      </c>
    </row>
    <row r="120" spans="1:29">
      <c r="A120" t="s">
        <v>382</v>
      </c>
      <c r="B120" t="s">
        <v>440</v>
      </c>
      <c r="C120" t="s">
        <v>486</v>
      </c>
      <c r="D120" t="s">
        <v>571</v>
      </c>
      <c r="E120" t="s">
        <v>390</v>
      </c>
      <c r="F120" t="s">
        <v>391</v>
      </c>
      <c r="G120">
        <v>6100287</v>
      </c>
      <c r="H120">
        <v>202102</v>
      </c>
      <c r="I120" s="400">
        <v>44253</v>
      </c>
      <c r="J120" t="s">
        <v>452</v>
      </c>
      <c r="K120" t="s">
        <v>386</v>
      </c>
      <c r="M120" t="s">
        <v>387</v>
      </c>
      <c r="O120" t="s">
        <v>603</v>
      </c>
      <c r="P120" t="s">
        <v>604</v>
      </c>
      <c r="Q120" t="s">
        <v>396</v>
      </c>
      <c r="R120">
        <v>2069125</v>
      </c>
      <c r="S120" t="s">
        <v>605</v>
      </c>
      <c r="U120" t="s">
        <v>606</v>
      </c>
      <c r="V120" t="s">
        <v>398</v>
      </c>
      <c r="W120" s="393">
        <v>2000</v>
      </c>
      <c r="X120" s="393">
        <v>0.56999999999999995</v>
      </c>
      <c r="Y120" s="393">
        <v>4.8</v>
      </c>
      <c r="Z120" s="393">
        <v>2000</v>
      </c>
      <c r="AA120">
        <v>0</v>
      </c>
      <c r="AB120" s="400">
        <v>44258.934762500001</v>
      </c>
      <c r="AC120" t="s">
        <v>25</v>
      </c>
    </row>
    <row r="121" spans="1:29">
      <c r="A121" t="s">
        <v>382</v>
      </c>
      <c r="B121" t="s">
        <v>440</v>
      </c>
      <c r="C121" t="s">
        <v>486</v>
      </c>
      <c r="D121" t="s">
        <v>571</v>
      </c>
      <c r="E121" t="s">
        <v>390</v>
      </c>
      <c r="F121" t="s">
        <v>391</v>
      </c>
      <c r="G121">
        <v>6100287</v>
      </c>
      <c r="H121">
        <v>202102</v>
      </c>
      <c r="I121" s="400">
        <v>44253</v>
      </c>
      <c r="J121" t="s">
        <v>452</v>
      </c>
      <c r="K121" t="s">
        <v>386</v>
      </c>
      <c r="M121" t="s">
        <v>387</v>
      </c>
      <c r="O121" t="s">
        <v>579</v>
      </c>
      <c r="P121" t="s">
        <v>580</v>
      </c>
      <c r="Q121" t="s">
        <v>396</v>
      </c>
      <c r="R121">
        <v>2069125</v>
      </c>
      <c r="S121" t="s">
        <v>607</v>
      </c>
      <c r="U121" t="s">
        <v>608</v>
      </c>
      <c r="V121" t="s">
        <v>398</v>
      </c>
      <c r="W121" s="393">
        <v>9000</v>
      </c>
      <c r="X121" s="393">
        <v>2.56</v>
      </c>
      <c r="Y121" s="393">
        <v>21.61</v>
      </c>
      <c r="Z121" s="393">
        <v>9000</v>
      </c>
      <c r="AA121">
        <v>0</v>
      </c>
      <c r="AB121" s="400">
        <v>44258.93476265046</v>
      </c>
      <c r="AC121" t="s">
        <v>25</v>
      </c>
    </row>
    <row r="122" spans="1:29">
      <c r="A122" t="s">
        <v>382</v>
      </c>
      <c r="B122" t="s">
        <v>440</v>
      </c>
      <c r="C122" t="s">
        <v>486</v>
      </c>
      <c r="D122" t="s">
        <v>571</v>
      </c>
      <c r="E122" t="s">
        <v>390</v>
      </c>
      <c r="F122" t="s">
        <v>391</v>
      </c>
      <c r="G122">
        <v>6100287</v>
      </c>
      <c r="H122">
        <v>202102</v>
      </c>
      <c r="I122" s="400">
        <v>44253</v>
      </c>
      <c r="J122" t="s">
        <v>452</v>
      </c>
      <c r="K122" t="s">
        <v>386</v>
      </c>
      <c r="M122" t="s">
        <v>387</v>
      </c>
      <c r="O122" t="s">
        <v>579</v>
      </c>
      <c r="P122" t="s">
        <v>580</v>
      </c>
      <c r="Q122" t="s">
        <v>396</v>
      </c>
      <c r="R122">
        <v>2069125</v>
      </c>
      <c r="S122" t="s">
        <v>609</v>
      </c>
      <c r="U122" t="s">
        <v>608</v>
      </c>
      <c r="V122" t="s">
        <v>398</v>
      </c>
      <c r="W122" s="393">
        <v>9000</v>
      </c>
      <c r="X122" s="393">
        <v>2.56</v>
      </c>
      <c r="Y122" s="393">
        <v>21.61</v>
      </c>
      <c r="Z122" s="393">
        <v>9000</v>
      </c>
      <c r="AA122">
        <v>0</v>
      </c>
      <c r="AB122" s="400">
        <v>44258.93476265046</v>
      </c>
      <c r="AC122" t="s">
        <v>25</v>
      </c>
    </row>
    <row r="123" spans="1:29">
      <c r="A123" t="s">
        <v>382</v>
      </c>
      <c r="B123" t="s">
        <v>440</v>
      </c>
      <c r="C123" t="s">
        <v>486</v>
      </c>
      <c r="D123" t="s">
        <v>571</v>
      </c>
      <c r="E123" t="s">
        <v>390</v>
      </c>
      <c r="F123" t="s">
        <v>391</v>
      </c>
      <c r="G123">
        <v>6100287</v>
      </c>
      <c r="H123">
        <v>202102</v>
      </c>
      <c r="I123" s="400">
        <v>44253</v>
      </c>
      <c r="J123" t="s">
        <v>452</v>
      </c>
      <c r="K123" t="s">
        <v>386</v>
      </c>
      <c r="M123" t="s">
        <v>387</v>
      </c>
      <c r="O123" t="s">
        <v>579</v>
      </c>
      <c r="P123" t="s">
        <v>580</v>
      </c>
      <c r="Q123" t="s">
        <v>396</v>
      </c>
      <c r="R123">
        <v>2069125</v>
      </c>
      <c r="S123" t="s">
        <v>610</v>
      </c>
      <c r="U123" t="s">
        <v>608</v>
      </c>
      <c r="V123" t="s">
        <v>398</v>
      </c>
      <c r="W123" s="393">
        <v>9000</v>
      </c>
      <c r="X123" s="393">
        <v>2.56</v>
      </c>
      <c r="Y123" s="393">
        <v>21.61</v>
      </c>
      <c r="Z123" s="393">
        <v>9000</v>
      </c>
      <c r="AA123">
        <v>0</v>
      </c>
      <c r="AB123" s="400">
        <v>44258.93476265046</v>
      </c>
      <c r="AC123" t="s">
        <v>25</v>
      </c>
    </row>
    <row r="124" spans="1:29">
      <c r="A124" t="s">
        <v>382</v>
      </c>
      <c r="B124" t="s">
        <v>440</v>
      </c>
      <c r="C124" t="s">
        <v>486</v>
      </c>
      <c r="D124" t="s">
        <v>571</v>
      </c>
      <c r="E124" t="s">
        <v>390</v>
      </c>
      <c r="F124" t="s">
        <v>391</v>
      </c>
      <c r="G124">
        <v>6100287</v>
      </c>
      <c r="H124">
        <v>202102</v>
      </c>
      <c r="I124" s="400">
        <v>44253</v>
      </c>
      <c r="J124" t="s">
        <v>452</v>
      </c>
      <c r="K124" t="s">
        <v>386</v>
      </c>
      <c r="M124" t="s">
        <v>387</v>
      </c>
      <c r="O124" t="s">
        <v>579</v>
      </c>
      <c r="P124" t="s">
        <v>580</v>
      </c>
      <c r="Q124" t="s">
        <v>396</v>
      </c>
      <c r="R124">
        <v>2069125</v>
      </c>
      <c r="S124" t="s">
        <v>611</v>
      </c>
      <c r="U124" t="s">
        <v>608</v>
      </c>
      <c r="V124" t="s">
        <v>398</v>
      </c>
      <c r="W124" s="393">
        <v>9000</v>
      </c>
      <c r="X124" s="393">
        <v>2.56</v>
      </c>
      <c r="Y124" s="393">
        <v>21.61</v>
      </c>
      <c r="Z124" s="393">
        <v>9000</v>
      </c>
      <c r="AA124">
        <v>0</v>
      </c>
      <c r="AB124" s="400">
        <v>44258.93476265046</v>
      </c>
      <c r="AC124" t="s">
        <v>25</v>
      </c>
    </row>
    <row r="125" spans="1:29">
      <c r="A125" t="s">
        <v>382</v>
      </c>
      <c r="B125" t="s">
        <v>440</v>
      </c>
      <c r="C125" t="s">
        <v>486</v>
      </c>
      <c r="D125" t="s">
        <v>571</v>
      </c>
      <c r="E125" t="s">
        <v>390</v>
      </c>
      <c r="F125" t="s">
        <v>391</v>
      </c>
      <c r="G125">
        <v>6100287</v>
      </c>
      <c r="H125">
        <v>202102</v>
      </c>
      <c r="I125" s="400">
        <v>44253</v>
      </c>
      <c r="J125" t="s">
        <v>452</v>
      </c>
      <c r="K125" t="s">
        <v>386</v>
      </c>
      <c r="M125" t="s">
        <v>387</v>
      </c>
      <c r="O125" t="s">
        <v>593</v>
      </c>
      <c r="P125" t="s">
        <v>594</v>
      </c>
      <c r="Q125" t="s">
        <v>396</v>
      </c>
      <c r="R125">
        <v>2069125</v>
      </c>
      <c r="S125" t="s">
        <v>612</v>
      </c>
      <c r="U125" t="s">
        <v>517</v>
      </c>
      <c r="V125" t="s">
        <v>398</v>
      </c>
      <c r="W125" s="393">
        <v>9500</v>
      </c>
      <c r="X125" s="393">
        <v>2.7</v>
      </c>
      <c r="Y125" s="393">
        <v>22.81</v>
      </c>
      <c r="Z125" s="393">
        <v>9500</v>
      </c>
      <c r="AA125">
        <v>0</v>
      </c>
      <c r="AB125" s="400">
        <v>44258.93476265046</v>
      </c>
      <c r="AC125" t="s">
        <v>25</v>
      </c>
    </row>
    <row r="126" spans="1:29">
      <c r="A126" t="s">
        <v>382</v>
      </c>
      <c r="B126" t="s">
        <v>440</v>
      </c>
      <c r="C126" t="s">
        <v>486</v>
      </c>
      <c r="D126" t="s">
        <v>571</v>
      </c>
      <c r="E126" t="s">
        <v>390</v>
      </c>
      <c r="F126" t="s">
        <v>391</v>
      </c>
      <c r="G126">
        <v>6100287</v>
      </c>
      <c r="H126">
        <v>202102</v>
      </c>
      <c r="I126" s="400">
        <v>44253</v>
      </c>
      <c r="J126" t="s">
        <v>452</v>
      </c>
      <c r="K126" t="s">
        <v>386</v>
      </c>
      <c r="M126" t="s">
        <v>387</v>
      </c>
      <c r="O126" t="s">
        <v>514</v>
      </c>
      <c r="P126" t="s">
        <v>515</v>
      </c>
      <c r="Q126" t="s">
        <v>396</v>
      </c>
      <c r="R126">
        <v>2069125</v>
      </c>
      <c r="S126" t="s">
        <v>516</v>
      </c>
      <c r="U126" t="s">
        <v>517</v>
      </c>
      <c r="V126" t="s">
        <v>398</v>
      </c>
      <c r="W126" s="393">
        <v>10121</v>
      </c>
      <c r="X126" s="393">
        <v>2.87</v>
      </c>
      <c r="Y126" s="393">
        <v>24.3</v>
      </c>
      <c r="Z126" s="393">
        <v>10121</v>
      </c>
      <c r="AA126">
        <v>166</v>
      </c>
      <c r="AB126" s="400">
        <v>44258.93476265046</v>
      </c>
      <c r="AC126" t="s">
        <v>25</v>
      </c>
    </row>
    <row r="127" spans="1:29">
      <c r="A127" t="s">
        <v>382</v>
      </c>
      <c r="B127" t="s">
        <v>440</v>
      </c>
      <c r="C127" t="s">
        <v>486</v>
      </c>
      <c r="D127" t="s">
        <v>571</v>
      </c>
      <c r="E127" t="s">
        <v>390</v>
      </c>
      <c r="F127" t="s">
        <v>391</v>
      </c>
      <c r="G127">
        <v>6100287</v>
      </c>
      <c r="H127">
        <v>202102</v>
      </c>
      <c r="I127" s="400">
        <v>44253</v>
      </c>
      <c r="J127" t="s">
        <v>452</v>
      </c>
      <c r="K127" t="s">
        <v>386</v>
      </c>
      <c r="M127" t="s">
        <v>387</v>
      </c>
      <c r="O127" t="s">
        <v>613</v>
      </c>
      <c r="P127" t="s">
        <v>614</v>
      </c>
      <c r="Q127" t="s">
        <v>396</v>
      </c>
      <c r="R127">
        <v>2069125</v>
      </c>
      <c r="S127" t="s">
        <v>615</v>
      </c>
      <c r="U127" t="s">
        <v>616</v>
      </c>
      <c r="V127" t="s">
        <v>398</v>
      </c>
      <c r="W127" s="393">
        <v>62004</v>
      </c>
      <c r="X127" s="393">
        <v>17.61</v>
      </c>
      <c r="Y127" s="393">
        <v>148.87</v>
      </c>
      <c r="Z127" s="393">
        <v>62004</v>
      </c>
      <c r="AA127">
        <v>316</v>
      </c>
      <c r="AB127" s="400">
        <v>44258.93476265046</v>
      </c>
      <c r="AC127" t="s">
        <v>25</v>
      </c>
    </row>
    <row r="128" spans="1:29">
      <c r="A128" t="s">
        <v>382</v>
      </c>
      <c r="B128" t="s">
        <v>440</v>
      </c>
      <c r="C128" t="s">
        <v>486</v>
      </c>
      <c r="D128" t="s">
        <v>571</v>
      </c>
      <c r="E128" t="s">
        <v>390</v>
      </c>
      <c r="F128" t="s">
        <v>391</v>
      </c>
      <c r="G128">
        <v>6100287</v>
      </c>
      <c r="H128">
        <v>202102</v>
      </c>
      <c r="I128" s="400">
        <v>44253</v>
      </c>
      <c r="J128" t="s">
        <v>452</v>
      </c>
      <c r="K128" t="s">
        <v>386</v>
      </c>
      <c r="M128" t="s">
        <v>387</v>
      </c>
      <c r="O128" t="s">
        <v>613</v>
      </c>
      <c r="P128" t="s">
        <v>614</v>
      </c>
      <c r="Q128" t="s">
        <v>396</v>
      </c>
      <c r="R128">
        <v>2069125</v>
      </c>
      <c r="S128" t="s">
        <v>615</v>
      </c>
      <c r="U128" t="s">
        <v>616</v>
      </c>
      <c r="V128" t="s">
        <v>398</v>
      </c>
      <c r="W128" s="393">
        <v>62</v>
      </c>
      <c r="X128" s="393">
        <v>0.02</v>
      </c>
      <c r="Y128" s="393">
        <v>0.15</v>
      </c>
      <c r="Z128" s="393">
        <v>62</v>
      </c>
      <c r="AA128">
        <v>0</v>
      </c>
      <c r="AB128" s="400">
        <v>44258.93476265046</v>
      </c>
      <c r="AC128" t="s">
        <v>25</v>
      </c>
    </row>
    <row r="129" spans="1:29">
      <c r="A129" t="s">
        <v>382</v>
      </c>
      <c r="B129" t="s">
        <v>440</v>
      </c>
      <c r="C129" t="s">
        <v>486</v>
      </c>
      <c r="D129" t="s">
        <v>571</v>
      </c>
      <c r="E129" t="s">
        <v>390</v>
      </c>
      <c r="F129" t="s">
        <v>391</v>
      </c>
      <c r="G129">
        <v>6100287</v>
      </c>
      <c r="H129">
        <v>202102</v>
      </c>
      <c r="I129" s="400">
        <v>44253</v>
      </c>
      <c r="J129" t="s">
        <v>452</v>
      </c>
      <c r="K129" t="s">
        <v>386</v>
      </c>
      <c r="M129" t="s">
        <v>387</v>
      </c>
      <c r="O129" t="s">
        <v>596</v>
      </c>
      <c r="P129" t="s">
        <v>597</v>
      </c>
      <c r="Q129" t="s">
        <v>396</v>
      </c>
      <c r="R129">
        <v>2069125</v>
      </c>
      <c r="S129" t="s">
        <v>617</v>
      </c>
      <c r="U129" t="s">
        <v>618</v>
      </c>
      <c r="V129" t="s">
        <v>398</v>
      </c>
      <c r="W129" s="393">
        <v>25000</v>
      </c>
      <c r="X129" s="393">
        <v>7.1</v>
      </c>
      <c r="Y129" s="393">
        <v>60.03</v>
      </c>
      <c r="Z129" s="393">
        <v>25000</v>
      </c>
      <c r="AA129">
        <v>0</v>
      </c>
      <c r="AB129" s="400">
        <v>44258.934762847224</v>
      </c>
      <c r="AC129" t="s">
        <v>25</v>
      </c>
    </row>
    <row r="130" spans="1:29">
      <c r="A130" t="s">
        <v>382</v>
      </c>
      <c r="B130" t="s">
        <v>440</v>
      </c>
      <c r="C130" t="s">
        <v>486</v>
      </c>
      <c r="D130" t="s">
        <v>571</v>
      </c>
      <c r="E130" t="s">
        <v>390</v>
      </c>
      <c r="F130" t="s">
        <v>391</v>
      </c>
      <c r="G130">
        <v>6100287</v>
      </c>
      <c r="H130">
        <v>202102</v>
      </c>
      <c r="I130" s="400">
        <v>44253</v>
      </c>
      <c r="J130" t="s">
        <v>452</v>
      </c>
      <c r="K130" t="s">
        <v>386</v>
      </c>
      <c r="M130" t="s">
        <v>387</v>
      </c>
      <c r="O130" t="s">
        <v>619</v>
      </c>
      <c r="P130" t="s">
        <v>620</v>
      </c>
      <c r="Q130" t="s">
        <v>396</v>
      </c>
      <c r="R130">
        <v>2069125</v>
      </c>
      <c r="S130" t="s">
        <v>621</v>
      </c>
      <c r="U130" t="s">
        <v>622</v>
      </c>
      <c r="V130" t="s">
        <v>398</v>
      </c>
      <c r="W130" s="393">
        <v>3000</v>
      </c>
      <c r="X130" s="393">
        <v>0.85</v>
      </c>
      <c r="Y130" s="393">
        <v>7.2</v>
      </c>
      <c r="Z130" s="393">
        <v>3000</v>
      </c>
      <c r="AA130">
        <v>0</v>
      </c>
      <c r="AB130" s="400">
        <v>44258.934762847224</v>
      </c>
      <c r="AC130" t="s">
        <v>25</v>
      </c>
    </row>
    <row r="131" spans="1:29">
      <c r="A131" t="s">
        <v>382</v>
      </c>
      <c r="B131" t="s">
        <v>440</v>
      </c>
      <c r="C131" t="s">
        <v>486</v>
      </c>
      <c r="D131" t="s">
        <v>571</v>
      </c>
      <c r="E131" t="s">
        <v>390</v>
      </c>
      <c r="F131" t="s">
        <v>391</v>
      </c>
      <c r="G131">
        <v>6100287</v>
      </c>
      <c r="H131">
        <v>202102</v>
      </c>
      <c r="I131" s="400">
        <v>44253</v>
      </c>
      <c r="J131" t="s">
        <v>452</v>
      </c>
      <c r="K131" t="s">
        <v>386</v>
      </c>
      <c r="M131" t="s">
        <v>387</v>
      </c>
      <c r="O131" t="s">
        <v>623</v>
      </c>
      <c r="P131" t="s">
        <v>624</v>
      </c>
      <c r="Q131" t="s">
        <v>396</v>
      </c>
      <c r="R131">
        <v>2069125</v>
      </c>
      <c r="S131" t="s">
        <v>625</v>
      </c>
      <c r="U131" t="s">
        <v>622</v>
      </c>
      <c r="V131" t="s">
        <v>398</v>
      </c>
      <c r="W131" s="393">
        <v>7000</v>
      </c>
      <c r="X131" s="393">
        <v>1.99</v>
      </c>
      <c r="Y131" s="393">
        <v>16.809999999999999</v>
      </c>
      <c r="Z131" s="393">
        <v>7000</v>
      </c>
      <c r="AA131">
        <v>0</v>
      </c>
      <c r="AB131" s="400">
        <v>44258.934762847224</v>
      </c>
      <c r="AC131" t="s">
        <v>25</v>
      </c>
    </row>
    <row r="132" spans="1:29">
      <c r="A132" t="s">
        <v>382</v>
      </c>
      <c r="B132" t="s">
        <v>440</v>
      </c>
      <c r="C132" t="s">
        <v>486</v>
      </c>
      <c r="D132" t="s">
        <v>571</v>
      </c>
      <c r="E132" t="s">
        <v>390</v>
      </c>
      <c r="F132" t="s">
        <v>391</v>
      </c>
      <c r="G132">
        <v>6100287</v>
      </c>
      <c r="H132">
        <v>202102</v>
      </c>
      <c r="I132" s="400">
        <v>44253</v>
      </c>
      <c r="J132" t="s">
        <v>452</v>
      </c>
      <c r="K132" t="s">
        <v>386</v>
      </c>
      <c r="M132" t="s">
        <v>387</v>
      </c>
      <c r="O132" t="s">
        <v>587</v>
      </c>
      <c r="P132" t="s">
        <v>588</v>
      </c>
      <c r="Q132" t="s">
        <v>396</v>
      </c>
      <c r="R132">
        <v>2069125</v>
      </c>
      <c r="S132" t="s">
        <v>626</v>
      </c>
      <c r="U132" t="s">
        <v>627</v>
      </c>
      <c r="V132" t="s">
        <v>398</v>
      </c>
      <c r="W132" s="393">
        <v>14000</v>
      </c>
      <c r="X132" s="393">
        <v>3.98</v>
      </c>
      <c r="Y132" s="393">
        <v>33.61</v>
      </c>
      <c r="Z132" s="393">
        <v>14000</v>
      </c>
      <c r="AA132">
        <v>0</v>
      </c>
      <c r="AB132" s="400">
        <v>44258.934762847224</v>
      </c>
      <c r="AC132" t="s">
        <v>25</v>
      </c>
    </row>
    <row r="133" spans="1:29">
      <c r="A133" t="s">
        <v>382</v>
      </c>
      <c r="B133" t="s">
        <v>440</v>
      </c>
      <c r="C133" t="s">
        <v>486</v>
      </c>
      <c r="D133" t="s">
        <v>571</v>
      </c>
      <c r="E133" t="s">
        <v>390</v>
      </c>
      <c r="F133" t="s">
        <v>391</v>
      </c>
      <c r="G133">
        <v>6100287</v>
      </c>
      <c r="H133">
        <v>202102</v>
      </c>
      <c r="I133" s="400">
        <v>44253</v>
      </c>
      <c r="J133" t="s">
        <v>452</v>
      </c>
      <c r="K133" t="s">
        <v>386</v>
      </c>
      <c r="M133" t="s">
        <v>387</v>
      </c>
      <c r="O133" t="s">
        <v>628</v>
      </c>
      <c r="P133" t="s">
        <v>629</v>
      </c>
      <c r="Q133" t="s">
        <v>396</v>
      </c>
      <c r="R133">
        <v>2069125</v>
      </c>
      <c r="S133" t="s">
        <v>630</v>
      </c>
      <c r="U133" t="s">
        <v>622</v>
      </c>
      <c r="V133" t="s">
        <v>398</v>
      </c>
      <c r="W133" s="393">
        <v>32000</v>
      </c>
      <c r="X133" s="393">
        <v>9.09</v>
      </c>
      <c r="Y133" s="393">
        <v>76.83</v>
      </c>
      <c r="Z133" s="393">
        <v>32000</v>
      </c>
      <c r="AA133">
        <v>0</v>
      </c>
      <c r="AB133" s="400">
        <v>44258.934762847224</v>
      </c>
      <c r="AC133" t="s">
        <v>25</v>
      </c>
    </row>
    <row r="134" spans="1:29">
      <c r="A134" t="s">
        <v>382</v>
      </c>
      <c r="B134" t="s">
        <v>440</v>
      </c>
      <c r="C134" t="s">
        <v>486</v>
      </c>
      <c r="D134" t="s">
        <v>571</v>
      </c>
      <c r="E134" t="s">
        <v>390</v>
      </c>
      <c r="F134" t="s">
        <v>391</v>
      </c>
      <c r="G134">
        <v>6100287</v>
      </c>
      <c r="H134">
        <v>202102</v>
      </c>
      <c r="I134" s="400">
        <v>44253</v>
      </c>
      <c r="J134" t="s">
        <v>452</v>
      </c>
      <c r="K134" t="s">
        <v>386</v>
      </c>
      <c r="M134" t="s">
        <v>387</v>
      </c>
      <c r="O134" t="s">
        <v>480</v>
      </c>
      <c r="P134" t="s">
        <v>481</v>
      </c>
      <c r="Q134" t="s">
        <v>396</v>
      </c>
      <c r="R134">
        <v>2069125</v>
      </c>
      <c r="S134" t="s">
        <v>631</v>
      </c>
      <c r="U134" t="s">
        <v>632</v>
      </c>
      <c r="V134" t="s">
        <v>398</v>
      </c>
      <c r="W134" s="393">
        <v>248</v>
      </c>
      <c r="X134" s="393">
        <v>7.0000000000000007E-2</v>
      </c>
      <c r="Y134" s="393">
        <v>0.6</v>
      </c>
      <c r="Z134" s="393">
        <v>248</v>
      </c>
      <c r="AA134">
        <v>0</v>
      </c>
      <c r="AB134" s="400">
        <v>44258.934762847224</v>
      </c>
      <c r="AC134" t="s">
        <v>25</v>
      </c>
    </row>
    <row r="135" spans="1:29">
      <c r="A135" t="s">
        <v>382</v>
      </c>
      <c r="B135" t="s">
        <v>440</v>
      </c>
      <c r="C135" t="s">
        <v>486</v>
      </c>
      <c r="D135" t="s">
        <v>571</v>
      </c>
      <c r="E135" t="s">
        <v>390</v>
      </c>
      <c r="F135" t="s">
        <v>391</v>
      </c>
      <c r="G135">
        <v>6100287</v>
      </c>
      <c r="H135">
        <v>202102</v>
      </c>
      <c r="I135" s="400">
        <v>44253</v>
      </c>
      <c r="J135" t="s">
        <v>452</v>
      </c>
      <c r="K135" t="s">
        <v>386</v>
      </c>
      <c r="M135" t="s">
        <v>387</v>
      </c>
      <c r="O135" t="s">
        <v>480</v>
      </c>
      <c r="P135" t="s">
        <v>481</v>
      </c>
      <c r="Q135" t="s">
        <v>396</v>
      </c>
      <c r="R135">
        <v>2069125</v>
      </c>
      <c r="S135" t="s">
        <v>633</v>
      </c>
      <c r="U135" t="s">
        <v>632</v>
      </c>
      <c r="V135" t="s">
        <v>398</v>
      </c>
      <c r="W135" s="393">
        <v>1600</v>
      </c>
      <c r="X135" s="393">
        <v>0.45</v>
      </c>
      <c r="Y135" s="393">
        <v>3.84</v>
      </c>
      <c r="Z135" s="393">
        <v>1600</v>
      </c>
      <c r="AA135">
        <v>0</v>
      </c>
      <c r="AB135" s="400">
        <v>44258.934762847224</v>
      </c>
      <c r="AC135" t="s">
        <v>25</v>
      </c>
    </row>
    <row r="136" spans="1:29">
      <c r="A136" t="s">
        <v>382</v>
      </c>
      <c r="B136" t="s">
        <v>440</v>
      </c>
      <c r="C136" t="s">
        <v>486</v>
      </c>
      <c r="D136" t="s">
        <v>571</v>
      </c>
      <c r="E136" t="s">
        <v>390</v>
      </c>
      <c r="F136" t="s">
        <v>391</v>
      </c>
      <c r="G136">
        <v>6100287</v>
      </c>
      <c r="H136">
        <v>202102</v>
      </c>
      <c r="I136" s="400">
        <v>44253</v>
      </c>
      <c r="J136" t="s">
        <v>452</v>
      </c>
      <c r="K136" t="s">
        <v>386</v>
      </c>
      <c r="M136" t="s">
        <v>387</v>
      </c>
      <c r="O136" t="s">
        <v>480</v>
      </c>
      <c r="P136" t="s">
        <v>481</v>
      </c>
      <c r="Q136" t="s">
        <v>396</v>
      </c>
      <c r="R136">
        <v>2069125</v>
      </c>
      <c r="S136" t="s">
        <v>631</v>
      </c>
      <c r="U136" t="s">
        <v>634</v>
      </c>
      <c r="V136" t="s">
        <v>398</v>
      </c>
      <c r="W136" s="393">
        <v>-15</v>
      </c>
      <c r="X136" s="393">
        <v>0</v>
      </c>
      <c r="Y136" s="393">
        <v>-0.04</v>
      </c>
      <c r="Z136" s="393">
        <v>-15</v>
      </c>
      <c r="AA136">
        <v>0</v>
      </c>
      <c r="AB136" s="400">
        <v>44258.934762847224</v>
      </c>
      <c r="AC136" t="s">
        <v>25</v>
      </c>
    </row>
    <row r="137" spans="1:29">
      <c r="A137" t="s">
        <v>382</v>
      </c>
      <c r="B137" t="s">
        <v>440</v>
      </c>
      <c r="C137" t="s">
        <v>486</v>
      </c>
      <c r="D137" t="s">
        <v>571</v>
      </c>
      <c r="E137" t="s">
        <v>390</v>
      </c>
      <c r="F137" t="s">
        <v>391</v>
      </c>
      <c r="G137">
        <v>6100327</v>
      </c>
      <c r="H137">
        <v>202102</v>
      </c>
      <c r="I137" s="400">
        <v>44245</v>
      </c>
      <c r="J137">
        <v>122536</v>
      </c>
      <c r="K137" t="s">
        <v>386</v>
      </c>
      <c r="M137" t="s">
        <v>387</v>
      </c>
      <c r="O137" t="s">
        <v>509</v>
      </c>
      <c r="P137" t="s">
        <v>510</v>
      </c>
      <c r="Q137" t="s">
        <v>396</v>
      </c>
      <c r="R137">
        <v>2069125</v>
      </c>
      <c r="S137" t="s">
        <v>387</v>
      </c>
      <c r="U137" t="s">
        <v>511</v>
      </c>
      <c r="V137" t="s">
        <v>398</v>
      </c>
      <c r="W137" s="393">
        <v>179200</v>
      </c>
      <c r="X137" s="393">
        <v>50.36</v>
      </c>
      <c r="Y137" s="393">
        <v>430.08</v>
      </c>
      <c r="Z137" s="393">
        <v>179200</v>
      </c>
      <c r="AA137">
        <v>166</v>
      </c>
      <c r="AB137" s="400">
        <v>44260.044781481483</v>
      </c>
      <c r="AC137" t="s">
        <v>25</v>
      </c>
    </row>
    <row r="138" spans="1:29">
      <c r="A138" t="s">
        <v>382</v>
      </c>
      <c r="B138" t="s">
        <v>440</v>
      </c>
      <c r="C138" t="s">
        <v>486</v>
      </c>
      <c r="D138" t="s">
        <v>571</v>
      </c>
      <c r="E138" t="s">
        <v>390</v>
      </c>
      <c r="F138" t="s">
        <v>391</v>
      </c>
      <c r="G138">
        <v>6100327</v>
      </c>
      <c r="H138">
        <v>202102</v>
      </c>
      <c r="I138" s="400">
        <v>44245</v>
      </c>
      <c r="J138">
        <v>122536</v>
      </c>
      <c r="K138" t="s">
        <v>386</v>
      </c>
      <c r="M138" t="s">
        <v>387</v>
      </c>
      <c r="O138" t="s">
        <v>509</v>
      </c>
      <c r="P138" t="s">
        <v>510</v>
      </c>
      <c r="Q138" t="s">
        <v>396</v>
      </c>
      <c r="R138">
        <v>2069125</v>
      </c>
      <c r="S138" t="s">
        <v>387</v>
      </c>
      <c r="U138" t="s">
        <v>511</v>
      </c>
      <c r="V138" t="s">
        <v>398</v>
      </c>
      <c r="W138" s="393">
        <v>33500</v>
      </c>
      <c r="X138" s="393">
        <v>9.41</v>
      </c>
      <c r="Y138" s="393">
        <v>80.400000000000006</v>
      </c>
      <c r="Z138" s="393">
        <v>33500</v>
      </c>
      <c r="AA138">
        <v>0</v>
      </c>
      <c r="AB138" s="400">
        <v>44260.044781481483</v>
      </c>
      <c r="AC138" t="s">
        <v>25</v>
      </c>
    </row>
    <row r="139" spans="1:29">
      <c r="A139" t="s">
        <v>382</v>
      </c>
      <c r="B139" t="s">
        <v>440</v>
      </c>
      <c r="C139" t="s">
        <v>486</v>
      </c>
      <c r="D139" t="s">
        <v>571</v>
      </c>
      <c r="E139" t="s">
        <v>390</v>
      </c>
      <c r="F139" t="s">
        <v>391</v>
      </c>
      <c r="G139">
        <v>6100327</v>
      </c>
      <c r="H139">
        <v>202102</v>
      </c>
      <c r="I139" s="400">
        <v>44245</v>
      </c>
      <c r="J139">
        <v>122536</v>
      </c>
      <c r="K139" t="s">
        <v>386</v>
      </c>
      <c r="M139" t="s">
        <v>387</v>
      </c>
      <c r="O139" t="s">
        <v>512</v>
      </c>
      <c r="P139" t="s">
        <v>513</v>
      </c>
      <c r="Q139" t="s">
        <v>396</v>
      </c>
      <c r="R139">
        <v>2069125</v>
      </c>
      <c r="S139" t="s">
        <v>387</v>
      </c>
      <c r="U139" t="s">
        <v>511</v>
      </c>
      <c r="V139" t="s">
        <v>398</v>
      </c>
      <c r="W139" s="393">
        <v>57500</v>
      </c>
      <c r="X139" s="393">
        <v>16.16</v>
      </c>
      <c r="Y139" s="393">
        <v>138</v>
      </c>
      <c r="Z139" s="393">
        <v>57500</v>
      </c>
      <c r="AA139">
        <v>241</v>
      </c>
      <c r="AB139" s="400">
        <v>44260.044781631943</v>
      </c>
      <c r="AC139" t="s">
        <v>25</v>
      </c>
    </row>
    <row r="140" spans="1:29">
      <c r="A140" t="s">
        <v>382</v>
      </c>
      <c r="B140" t="s">
        <v>440</v>
      </c>
      <c r="C140" t="s">
        <v>486</v>
      </c>
      <c r="D140" t="s">
        <v>571</v>
      </c>
      <c r="E140" t="s">
        <v>390</v>
      </c>
      <c r="F140" t="s">
        <v>391</v>
      </c>
      <c r="G140">
        <v>6100284</v>
      </c>
      <c r="H140">
        <v>202102</v>
      </c>
      <c r="I140" s="400">
        <v>44253</v>
      </c>
      <c r="J140" t="s">
        <v>452</v>
      </c>
      <c r="K140" t="s">
        <v>386</v>
      </c>
      <c r="M140" t="s">
        <v>387</v>
      </c>
      <c r="O140" t="s">
        <v>593</v>
      </c>
      <c r="P140" t="s">
        <v>594</v>
      </c>
      <c r="Q140" t="s">
        <v>396</v>
      </c>
      <c r="R140">
        <v>2069125</v>
      </c>
      <c r="S140" t="s">
        <v>387</v>
      </c>
      <c r="U140" t="s">
        <v>635</v>
      </c>
      <c r="V140" t="s">
        <v>398</v>
      </c>
      <c r="W140" s="393">
        <v>9000</v>
      </c>
      <c r="X140" s="393">
        <v>2.56</v>
      </c>
      <c r="Y140" s="393">
        <v>21.61</v>
      </c>
      <c r="Z140" s="393">
        <v>9000</v>
      </c>
      <c r="AA140">
        <v>0</v>
      </c>
      <c r="AB140" s="400">
        <v>44258.901885648149</v>
      </c>
      <c r="AC140" t="s">
        <v>25</v>
      </c>
    </row>
    <row r="141" spans="1:29">
      <c r="A141" t="s">
        <v>382</v>
      </c>
      <c r="B141" t="s">
        <v>440</v>
      </c>
      <c r="C141" t="s">
        <v>486</v>
      </c>
      <c r="D141" t="s">
        <v>571</v>
      </c>
      <c r="E141" t="s">
        <v>390</v>
      </c>
      <c r="F141" t="s">
        <v>391</v>
      </c>
      <c r="G141">
        <v>6100284</v>
      </c>
      <c r="H141">
        <v>202102</v>
      </c>
      <c r="I141" s="400">
        <v>44253</v>
      </c>
      <c r="J141" t="s">
        <v>452</v>
      </c>
      <c r="K141" t="s">
        <v>386</v>
      </c>
      <c r="M141" t="s">
        <v>387</v>
      </c>
      <c r="O141" t="s">
        <v>596</v>
      </c>
      <c r="P141" t="s">
        <v>597</v>
      </c>
      <c r="Q141" t="s">
        <v>396</v>
      </c>
      <c r="R141">
        <v>2069125</v>
      </c>
      <c r="S141" t="s">
        <v>387</v>
      </c>
      <c r="U141" t="s">
        <v>636</v>
      </c>
      <c r="V141" t="s">
        <v>398</v>
      </c>
      <c r="W141" s="393">
        <v>28000</v>
      </c>
      <c r="X141" s="393">
        <v>7.95</v>
      </c>
      <c r="Y141" s="393">
        <v>67.23</v>
      </c>
      <c r="Z141" s="393">
        <v>28000</v>
      </c>
      <c r="AA141">
        <v>0</v>
      </c>
      <c r="AB141" s="400">
        <v>44258.901885844905</v>
      </c>
      <c r="AC141" t="s">
        <v>25</v>
      </c>
    </row>
    <row r="142" spans="1:29">
      <c r="A142" t="s">
        <v>382</v>
      </c>
      <c r="B142" t="s">
        <v>440</v>
      </c>
      <c r="C142" t="s">
        <v>486</v>
      </c>
      <c r="D142" t="s">
        <v>571</v>
      </c>
      <c r="E142" t="s">
        <v>390</v>
      </c>
      <c r="F142" t="s">
        <v>391</v>
      </c>
      <c r="G142">
        <v>6100284</v>
      </c>
      <c r="H142">
        <v>202102</v>
      </c>
      <c r="I142" s="400">
        <v>44253</v>
      </c>
      <c r="J142" t="s">
        <v>452</v>
      </c>
      <c r="K142" t="s">
        <v>386</v>
      </c>
      <c r="M142" t="s">
        <v>387</v>
      </c>
      <c r="O142" t="s">
        <v>587</v>
      </c>
      <c r="P142" t="s">
        <v>588</v>
      </c>
      <c r="Q142" t="s">
        <v>396</v>
      </c>
      <c r="R142">
        <v>2069125</v>
      </c>
      <c r="S142" t="s">
        <v>387</v>
      </c>
      <c r="U142" t="s">
        <v>637</v>
      </c>
      <c r="V142" t="s">
        <v>398</v>
      </c>
      <c r="W142" s="393">
        <v>6000</v>
      </c>
      <c r="X142" s="393">
        <v>1.7</v>
      </c>
      <c r="Y142" s="393">
        <v>14.41</v>
      </c>
      <c r="Z142" s="393">
        <v>6000</v>
      </c>
      <c r="AA142">
        <v>0</v>
      </c>
      <c r="AB142" s="400">
        <v>44258.901885844905</v>
      </c>
      <c r="AC142" t="s">
        <v>25</v>
      </c>
    </row>
    <row r="143" spans="1:29">
      <c r="A143" t="s">
        <v>382</v>
      </c>
      <c r="B143" t="s">
        <v>440</v>
      </c>
      <c r="C143" t="s">
        <v>486</v>
      </c>
      <c r="D143" t="s">
        <v>571</v>
      </c>
      <c r="E143" t="s">
        <v>390</v>
      </c>
      <c r="F143" t="s">
        <v>391</v>
      </c>
      <c r="G143">
        <v>6100283</v>
      </c>
      <c r="H143">
        <v>202102</v>
      </c>
      <c r="I143" s="400">
        <v>44253</v>
      </c>
      <c r="J143" t="s">
        <v>452</v>
      </c>
      <c r="K143" t="s">
        <v>386</v>
      </c>
      <c r="M143" t="s">
        <v>387</v>
      </c>
      <c r="O143" t="s">
        <v>638</v>
      </c>
      <c r="P143" t="s">
        <v>639</v>
      </c>
      <c r="Q143" t="s">
        <v>396</v>
      </c>
      <c r="R143">
        <v>2069125</v>
      </c>
      <c r="S143" t="s">
        <v>640</v>
      </c>
      <c r="U143" t="s">
        <v>641</v>
      </c>
      <c r="V143" t="s">
        <v>398</v>
      </c>
      <c r="W143" s="393">
        <v>30500</v>
      </c>
      <c r="X143" s="393">
        <v>8.66</v>
      </c>
      <c r="Y143" s="393">
        <v>73.23</v>
      </c>
      <c r="Z143" s="393">
        <v>30500</v>
      </c>
      <c r="AA143">
        <v>0</v>
      </c>
      <c r="AB143" s="400">
        <v>44258.894131712965</v>
      </c>
      <c r="AC143" t="s">
        <v>25</v>
      </c>
    </row>
    <row r="144" spans="1:29">
      <c r="A144" t="s">
        <v>382</v>
      </c>
      <c r="B144" t="s">
        <v>440</v>
      </c>
      <c r="C144" t="s">
        <v>486</v>
      </c>
      <c r="D144" t="s">
        <v>571</v>
      </c>
      <c r="E144" t="s">
        <v>390</v>
      </c>
      <c r="F144" t="s">
        <v>391</v>
      </c>
      <c r="G144">
        <v>6100283</v>
      </c>
      <c r="H144">
        <v>202102</v>
      </c>
      <c r="I144" s="400">
        <v>44253</v>
      </c>
      <c r="J144" t="s">
        <v>452</v>
      </c>
      <c r="K144" t="s">
        <v>386</v>
      </c>
      <c r="M144" t="s">
        <v>387</v>
      </c>
      <c r="O144" t="s">
        <v>642</v>
      </c>
      <c r="P144" t="s">
        <v>643</v>
      </c>
      <c r="Q144" t="s">
        <v>396</v>
      </c>
      <c r="R144">
        <v>2069125</v>
      </c>
      <c r="S144" t="s">
        <v>644</v>
      </c>
      <c r="U144" t="s">
        <v>641</v>
      </c>
      <c r="V144" t="s">
        <v>398</v>
      </c>
      <c r="W144" s="393">
        <v>32900</v>
      </c>
      <c r="X144" s="393">
        <v>9.34</v>
      </c>
      <c r="Y144" s="393">
        <v>78.989999999999995</v>
      </c>
      <c r="Z144" s="393">
        <v>32900</v>
      </c>
      <c r="AA144">
        <v>0</v>
      </c>
      <c r="AB144" s="400">
        <v>44258.894131712965</v>
      </c>
      <c r="AC144" t="s">
        <v>25</v>
      </c>
    </row>
    <row r="145" spans="1:29">
      <c r="A145" t="s">
        <v>382</v>
      </c>
      <c r="B145" t="s">
        <v>440</v>
      </c>
      <c r="C145" t="s">
        <v>486</v>
      </c>
      <c r="D145" t="s">
        <v>571</v>
      </c>
      <c r="E145" t="s">
        <v>645</v>
      </c>
      <c r="F145" t="s">
        <v>646</v>
      </c>
      <c r="G145">
        <v>6100452</v>
      </c>
      <c r="H145">
        <v>202103</v>
      </c>
      <c r="I145" s="400">
        <v>44285</v>
      </c>
      <c r="J145" t="s">
        <v>452</v>
      </c>
      <c r="K145" t="s">
        <v>386</v>
      </c>
      <c r="M145" t="s">
        <v>387</v>
      </c>
      <c r="O145" t="s">
        <v>647</v>
      </c>
      <c r="P145" t="s">
        <v>648</v>
      </c>
      <c r="Q145" t="s">
        <v>490</v>
      </c>
      <c r="R145">
        <v>2069125</v>
      </c>
      <c r="S145" t="s">
        <v>387</v>
      </c>
      <c r="U145" t="s">
        <v>649</v>
      </c>
      <c r="V145" t="s">
        <v>398</v>
      </c>
      <c r="W145" s="393">
        <v>38500</v>
      </c>
      <c r="X145" s="393">
        <v>10.74</v>
      </c>
      <c r="Y145" s="393">
        <v>92.4</v>
      </c>
      <c r="Z145" s="393">
        <v>38500</v>
      </c>
      <c r="AA145">
        <v>0</v>
      </c>
      <c r="AB145" s="400">
        <v>44286.044216006943</v>
      </c>
      <c r="AC145" t="s">
        <v>25</v>
      </c>
    </row>
    <row r="146" spans="1:29">
      <c r="A146" t="s">
        <v>382</v>
      </c>
      <c r="B146" t="s">
        <v>440</v>
      </c>
      <c r="C146" t="s">
        <v>486</v>
      </c>
      <c r="D146" t="s">
        <v>571</v>
      </c>
      <c r="E146" t="s">
        <v>645</v>
      </c>
      <c r="F146" t="s">
        <v>646</v>
      </c>
      <c r="G146">
        <v>6100452</v>
      </c>
      <c r="H146">
        <v>202103</v>
      </c>
      <c r="I146" s="400">
        <v>44285</v>
      </c>
      <c r="J146" t="s">
        <v>452</v>
      </c>
      <c r="K146" t="s">
        <v>386</v>
      </c>
      <c r="M146" t="s">
        <v>387</v>
      </c>
      <c r="O146" t="s">
        <v>579</v>
      </c>
      <c r="P146" t="s">
        <v>580</v>
      </c>
      <c r="Q146" t="s">
        <v>490</v>
      </c>
      <c r="R146">
        <v>2069125</v>
      </c>
      <c r="S146" t="s">
        <v>387</v>
      </c>
      <c r="U146" t="s">
        <v>650</v>
      </c>
      <c r="V146" t="s">
        <v>398</v>
      </c>
      <c r="W146" s="393">
        <v>9000</v>
      </c>
      <c r="X146" s="393">
        <v>2.5099999999999998</v>
      </c>
      <c r="Y146" s="393">
        <v>21.6</v>
      </c>
      <c r="Z146" s="393">
        <v>9000</v>
      </c>
      <c r="AA146">
        <v>0</v>
      </c>
      <c r="AB146" s="400">
        <v>44286.044216168979</v>
      </c>
      <c r="AC146" t="s">
        <v>25</v>
      </c>
    </row>
    <row r="147" spans="1:29">
      <c r="A147" t="s">
        <v>382</v>
      </c>
      <c r="B147" t="s">
        <v>440</v>
      </c>
      <c r="C147" t="s">
        <v>486</v>
      </c>
      <c r="D147" t="s">
        <v>571</v>
      </c>
      <c r="E147" t="s">
        <v>645</v>
      </c>
      <c r="F147" t="s">
        <v>646</v>
      </c>
      <c r="G147">
        <v>6100452</v>
      </c>
      <c r="H147">
        <v>202103</v>
      </c>
      <c r="I147" s="400">
        <v>44285</v>
      </c>
      <c r="J147" t="s">
        <v>452</v>
      </c>
      <c r="K147" t="s">
        <v>386</v>
      </c>
      <c r="M147" t="s">
        <v>387</v>
      </c>
      <c r="O147" t="s">
        <v>579</v>
      </c>
      <c r="P147" t="s">
        <v>580</v>
      </c>
      <c r="Q147" t="s">
        <v>490</v>
      </c>
      <c r="R147">
        <v>2069125</v>
      </c>
      <c r="S147" t="s">
        <v>387</v>
      </c>
      <c r="U147" t="s">
        <v>651</v>
      </c>
      <c r="V147" t="s">
        <v>398</v>
      </c>
      <c r="W147" s="393">
        <v>9000</v>
      </c>
      <c r="X147" s="393">
        <v>2.5099999999999998</v>
      </c>
      <c r="Y147" s="393">
        <v>21.6</v>
      </c>
      <c r="Z147" s="393">
        <v>9000</v>
      </c>
      <c r="AA147">
        <v>0</v>
      </c>
      <c r="AB147" s="400">
        <v>44286.044216168979</v>
      </c>
      <c r="AC147" t="s">
        <v>25</v>
      </c>
    </row>
    <row r="148" spans="1:29">
      <c r="A148" t="s">
        <v>382</v>
      </c>
      <c r="B148" t="s">
        <v>440</v>
      </c>
      <c r="C148" t="s">
        <v>486</v>
      </c>
      <c r="D148" t="s">
        <v>571</v>
      </c>
      <c r="E148" t="s">
        <v>645</v>
      </c>
      <c r="F148" t="s">
        <v>646</v>
      </c>
      <c r="G148">
        <v>6100452</v>
      </c>
      <c r="H148">
        <v>202103</v>
      </c>
      <c r="I148" s="400">
        <v>44285</v>
      </c>
      <c r="J148" t="s">
        <v>452</v>
      </c>
      <c r="K148" t="s">
        <v>386</v>
      </c>
      <c r="M148" t="s">
        <v>387</v>
      </c>
      <c r="O148" t="s">
        <v>652</v>
      </c>
      <c r="P148" t="s">
        <v>653</v>
      </c>
      <c r="Q148" t="s">
        <v>490</v>
      </c>
      <c r="R148">
        <v>2069125</v>
      </c>
      <c r="S148" t="s">
        <v>387</v>
      </c>
      <c r="U148" t="s">
        <v>654</v>
      </c>
      <c r="V148" t="s">
        <v>398</v>
      </c>
      <c r="W148" s="393">
        <v>22000</v>
      </c>
      <c r="X148" s="393">
        <v>6.14</v>
      </c>
      <c r="Y148" s="393">
        <v>52.8</v>
      </c>
      <c r="Z148" s="393">
        <v>22000</v>
      </c>
      <c r="AA148">
        <v>0</v>
      </c>
      <c r="AB148" s="400">
        <v>44286.044216168979</v>
      </c>
      <c r="AC148" t="s">
        <v>25</v>
      </c>
    </row>
    <row r="149" spans="1:29">
      <c r="A149" t="s">
        <v>382</v>
      </c>
      <c r="B149" t="s">
        <v>440</v>
      </c>
      <c r="C149" t="s">
        <v>486</v>
      </c>
      <c r="D149" t="s">
        <v>571</v>
      </c>
      <c r="E149" t="s">
        <v>645</v>
      </c>
      <c r="F149" t="s">
        <v>646</v>
      </c>
      <c r="G149">
        <v>6100452</v>
      </c>
      <c r="H149">
        <v>202103</v>
      </c>
      <c r="I149" s="400">
        <v>44285</v>
      </c>
      <c r="J149" t="s">
        <v>452</v>
      </c>
      <c r="K149" t="s">
        <v>386</v>
      </c>
      <c r="M149" t="s">
        <v>387</v>
      </c>
      <c r="O149" t="s">
        <v>587</v>
      </c>
      <c r="P149" t="s">
        <v>588</v>
      </c>
      <c r="Q149" t="s">
        <v>490</v>
      </c>
      <c r="R149">
        <v>2069125</v>
      </c>
      <c r="S149" t="s">
        <v>387</v>
      </c>
      <c r="U149" t="s">
        <v>655</v>
      </c>
      <c r="V149" t="s">
        <v>398</v>
      </c>
      <c r="W149" s="393">
        <v>14000</v>
      </c>
      <c r="X149" s="393">
        <v>3.91</v>
      </c>
      <c r="Y149" s="393">
        <v>33.6</v>
      </c>
      <c r="Z149" s="393">
        <v>14000</v>
      </c>
      <c r="AA149">
        <v>0</v>
      </c>
      <c r="AB149" s="400">
        <v>44286.044216168979</v>
      </c>
      <c r="AC149" t="s">
        <v>25</v>
      </c>
    </row>
    <row r="150" spans="1:29">
      <c r="A150" t="s">
        <v>382</v>
      </c>
      <c r="B150" t="s">
        <v>440</v>
      </c>
      <c r="C150" t="s">
        <v>486</v>
      </c>
      <c r="D150" t="s">
        <v>571</v>
      </c>
      <c r="E150" t="s">
        <v>645</v>
      </c>
      <c r="F150" t="s">
        <v>646</v>
      </c>
      <c r="G150">
        <v>6100452</v>
      </c>
      <c r="H150">
        <v>202103</v>
      </c>
      <c r="I150" s="400">
        <v>44285</v>
      </c>
      <c r="J150" t="s">
        <v>452</v>
      </c>
      <c r="K150" t="s">
        <v>386</v>
      </c>
      <c r="M150" t="s">
        <v>387</v>
      </c>
      <c r="O150" t="s">
        <v>613</v>
      </c>
      <c r="P150" t="s">
        <v>614</v>
      </c>
      <c r="Q150" t="s">
        <v>490</v>
      </c>
      <c r="R150">
        <v>2069125</v>
      </c>
      <c r="S150" t="s">
        <v>387</v>
      </c>
      <c r="U150" t="s">
        <v>656</v>
      </c>
      <c r="V150" t="s">
        <v>398</v>
      </c>
      <c r="W150" s="393">
        <v>44023</v>
      </c>
      <c r="X150" s="393">
        <v>12.28</v>
      </c>
      <c r="Y150" s="393">
        <v>105.66</v>
      </c>
      <c r="Z150" s="393">
        <v>44023</v>
      </c>
      <c r="AA150">
        <v>316</v>
      </c>
      <c r="AB150" s="400">
        <v>44286.044216006943</v>
      </c>
      <c r="AC150" t="s">
        <v>25</v>
      </c>
    </row>
    <row r="151" spans="1:29">
      <c r="A151" t="s">
        <v>382</v>
      </c>
      <c r="B151" t="s">
        <v>440</v>
      </c>
      <c r="C151" t="s">
        <v>486</v>
      </c>
      <c r="D151" t="s">
        <v>571</v>
      </c>
      <c r="E151" t="s">
        <v>645</v>
      </c>
      <c r="F151" t="s">
        <v>646</v>
      </c>
      <c r="G151">
        <v>6100452</v>
      </c>
      <c r="H151">
        <v>202103</v>
      </c>
      <c r="I151" s="400">
        <v>44285</v>
      </c>
      <c r="J151" t="s">
        <v>452</v>
      </c>
      <c r="K151" t="s">
        <v>386</v>
      </c>
      <c r="M151" t="s">
        <v>387</v>
      </c>
      <c r="O151" t="s">
        <v>613</v>
      </c>
      <c r="P151" t="s">
        <v>614</v>
      </c>
      <c r="Q151" t="s">
        <v>490</v>
      </c>
      <c r="R151">
        <v>2069125</v>
      </c>
      <c r="S151" t="s">
        <v>387</v>
      </c>
      <c r="U151" t="s">
        <v>656</v>
      </c>
      <c r="V151" t="s">
        <v>398</v>
      </c>
      <c r="W151" s="393">
        <v>44</v>
      </c>
      <c r="X151" s="393">
        <v>0.01</v>
      </c>
      <c r="Y151" s="393">
        <v>0.11</v>
      </c>
      <c r="Z151" s="393">
        <v>44</v>
      </c>
      <c r="AA151">
        <v>0</v>
      </c>
      <c r="AB151" s="400">
        <v>44286.044216006943</v>
      </c>
      <c r="AC151" t="s">
        <v>25</v>
      </c>
    </row>
    <row r="152" spans="1:29">
      <c r="A152" t="s">
        <v>382</v>
      </c>
      <c r="B152" t="s">
        <v>440</v>
      </c>
      <c r="C152" t="s">
        <v>486</v>
      </c>
      <c r="D152" t="s">
        <v>571</v>
      </c>
      <c r="E152" t="s">
        <v>645</v>
      </c>
      <c r="F152" t="s">
        <v>646</v>
      </c>
      <c r="G152">
        <v>6100452</v>
      </c>
      <c r="H152">
        <v>202103</v>
      </c>
      <c r="I152" s="400">
        <v>44285</v>
      </c>
      <c r="J152" t="s">
        <v>452</v>
      </c>
      <c r="K152" t="s">
        <v>386</v>
      </c>
      <c r="M152" t="s">
        <v>387</v>
      </c>
      <c r="O152" t="s">
        <v>593</v>
      </c>
      <c r="P152" t="s">
        <v>594</v>
      </c>
      <c r="Q152" t="s">
        <v>490</v>
      </c>
      <c r="R152">
        <v>2069125</v>
      </c>
      <c r="S152" t="s">
        <v>387</v>
      </c>
      <c r="U152" t="s">
        <v>657</v>
      </c>
      <c r="V152" t="s">
        <v>398</v>
      </c>
      <c r="W152" s="393">
        <v>11200</v>
      </c>
      <c r="X152" s="393">
        <v>3.12</v>
      </c>
      <c r="Y152" s="393">
        <v>26.88</v>
      </c>
      <c r="Z152" s="393">
        <v>11200</v>
      </c>
      <c r="AA152">
        <v>0</v>
      </c>
      <c r="AB152" s="400">
        <v>44286.044216168979</v>
      </c>
      <c r="AC152" t="s">
        <v>25</v>
      </c>
    </row>
    <row r="153" spans="1:29">
      <c r="A153" t="s">
        <v>382</v>
      </c>
      <c r="B153" t="s">
        <v>440</v>
      </c>
      <c r="C153" t="s">
        <v>486</v>
      </c>
      <c r="D153" t="s">
        <v>571</v>
      </c>
      <c r="E153" t="s">
        <v>645</v>
      </c>
      <c r="F153" t="s">
        <v>646</v>
      </c>
      <c r="G153">
        <v>6100452</v>
      </c>
      <c r="H153">
        <v>202103</v>
      </c>
      <c r="I153" s="400">
        <v>44285</v>
      </c>
      <c r="J153" t="s">
        <v>452</v>
      </c>
      <c r="K153" t="s">
        <v>386</v>
      </c>
      <c r="M153" t="s">
        <v>387</v>
      </c>
      <c r="O153" t="s">
        <v>658</v>
      </c>
      <c r="P153" t="s">
        <v>659</v>
      </c>
      <c r="Q153" t="s">
        <v>490</v>
      </c>
      <c r="R153">
        <v>2069125</v>
      </c>
      <c r="S153" t="s">
        <v>387</v>
      </c>
      <c r="U153" t="s">
        <v>660</v>
      </c>
      <c r="V153" t="s">
        <v>398</v>
      </c>
      <c r="W153" s="393">
        <v>9000</v>
      </c>
      <c r="X153" s="393">
        <v>2.5099999999999998</v>
      </c>
      <c r="Y153" s="393">
        <v>21.6</v>
      </c>
      <c r="Z153" s="393">
        <v>9000</v>
      </c>
      <c r="AA153">
        <v>0</v>
      </c>
      <c r="AB153" s="400">
        <v>44286.044216168979</v>
      </c>
      <c r="AC153" t="s">
        <v>25</v>
      </c>
    </row>
    <row r="154" spans="1:29">
      <c r="A154" t="s">
        <v>382</v>
      </c>
      <c r="B154" t="s">
        <v>440</v>
      </c>
      <c r="C154" t="s">
        <v>486</v>
      </c>
      <c r="D154" t="s">
        <v>571</v>
      </c>
      <c r="E154" t="s">
        <v>645</v>
      </c>
      <c r="F154" t="s">
        <v>646</v>
      </c>
      <c r="G154">
        <v>6100452</v>
      </c>
      <c r="H154">
        <v>202103</v>
      </c>
      <c r="I154" s="400">
        <v>44285</v>
      </c>
      <c r="J154" t="s">
        <v>452</v>
      </c>
      <c r="K154" t="s">
        <v>386</v>
      </c>
      <c r="M154" t="s">
        <v>387</v>
      </c>
      <c r="O154" t="s">
        <v>628</v>
      </c>
      <c r="P154" t="s">
        <v>629</v>
      </c>
      <c r="Q154" t="s">
        <v>490</v>
      </c>
      <c r="R154">
        <v>2069125</v>
      </c>
      <c r="S154" t="s">
        <v>387</v>
      </c>
      <c r="U154" t="s">
        <v>661</v>
      </c>
      <c r="V154" t="s">
        <v>398</v>
      </c>
      <c r="W154" s="393">
        <v>25500</v>
      </c>
      <c r="X154" s="393">
        <v>7.11</v>
      </c>
      <c r="Y154" s="393">
        <v>61.2</v>
      </c>
      <c r="Z154" s="393">
        <v>25500</v>
      </c>
      <c r="AA154">
        <v>0</v>
      </c>
      <c r="AB154" s="400">
        <v>44286.044216168979</v>
      </c>
      <c r="AC154" t="s">
        <v>25</v>
      </c>
    </row>
    <row r="155" spans="1:29">
      <c r="A155" t="s">
        <v>382</v>
      </c>
      <c r="B155" t="s">
        <v>382</v>
      </c>
      <c r="C155" t="s">
        <v>486</v>
      </c>
      <c r="D155" t="s">
        <v>571</v>
      </c>
      <c r="E155" t="s">
        <v>390</v>
      </c>
      <c r="F155" t="s">
        <v>391</v>
      </c>
      <c r="G155">
        <v>6100405</v>
      </c>
      <c r="H155">
        <v>202103</v>
      </c>
      <c r="I155" s="400">
        <v>44272</v>
      </c>
      <c r="J155" t="s">
        <v>662</v>
      </c>
      <c r="K155" t="s">
        <v>386</v>
      </c>
      <c r="M155" t="s">
        <v>387</v>
      </c>
      <c r="O155" t="s">
        <v>642</v>
      </c>
      <c r="P155" t="s">
        <v>643</v>
      </c>
      <c r="Q155" t="s">
        <v>490</v>
      </c>
      <c r="R155">
        <v>2069125</v>
      </c>
      <c r="S155" t="s">
        <v>387</v>
      </c>
      <c r="U155" t="s">
        <v>663</v>
      </c>
      <c r="V155" t="s">
        <v>398</v>
      </c>
      <c r="W155" s="393">
        <v>302000</v>
      </c>
      <c r="X155" s="393">
        <v>85.77</v>
      </c>
      <c r="Y155" s="393">
        <v>725.1</v>
      </c>
      <c r="Z155" s="393">
        <v>302000</v>
      </c>
      <c r="AA155">
        <v>0</v>
      </c>
      <c r="AB155" s="400">
        <v>44272.741227395833</v>
      </c>
      <c r="AC155" t="s">
        <v>25</v>
      </c>
    </row>
    <row r="156" spans="1:29">
      <c r="A156" t="s">
        <v>382</v>
      </c>
      <c r="B156" t="s">
        <v>440</v>
      </c>
      <c r="C156" t="s">
        <v>486</v>
      </c>
      <c r="D156" t="s">
        <v>571</v>
      </c>
      <c r="E156" t="s">
        <v>390</v>
      </c>
      <c r="F156" t="s">
        <v>391</v>
      </c>
      <c r="G156">
        <v>6100396</v>
      </c>
      <c r="H156">
        <v>202103</v>
      </c>
      <c r="I156" s="400">
        <v>44263</v>
      </c>
      <c r="J156">
        <v>122536</v>
      </c>
      <c r="K156" t="s">
        <v>386</v>
      </c>
      <c r="M156" t="s">
        <v>387</v>
      </c>
      <c r="O156" t="s">
        <v>509</v>
      </c>
      <c r="P156" t="s">
        <v>510</v>
      </c>
      <c r="Q156" t="s">
        <v>396</v>
      </c>
      <c r="R156">
        <v>2069125</v>
      </c>
      <c r="S156" t="s">
        <v>387</v>
      </c>
      <c r="U156" t="s">
        <v>524</v>
      </c>
      <c r="V156" t="s">
        <v>398</v>
      </c>
      <c r="W156" s="393">
        <v>85000</v>
      </c>
      <c r="X156" s="393">
        <v>24.14</v>
      </c>
      <c r="Y156" s="393">
        <v>204.09</v>
      </c>
      <c r="Z156" s="393">
        <v>85000</v>
      </c>
      <c r="AA156">
        <v>166</v>
      </c>
      <c r="AB156" s="400">
        <v>44272.633000497684</v>
      </c>
      <c r="AC156" t="s">
        <v>25</v>
      </c>
    </row>
    <row r="157" spans="1:29">
      <c r="A157" t="s">
        <v>382</v>
      </c>
      <c r="B157" t="s">
        <v>440</v>
      </c>
      <c r="C157" t="s">
        <v>486</v>
      </c>
      <c r="D157" t="s">
        <v>571</v>
      </c>
      <c r="E157" t="s">
        <v>390</v>
      </c>
      <c r="F157" t="s">
        <v>391</v>
      </c>
      <c r="G157">
        <v>6100396</v>
      </c>
      <c r="H157">
        <v>202103</v>
      </c>
      <c r="I157" s="400">
        <v>44263</v>
      </c>
      <c r="J157">
        <v>122536</v>
      </c>
      <c r="K157" t="s">
        <v>386</v>
      </c>
      <c r="M157" t="s">
        <v>387</v>
      </c>
      <c r="O157" t="s">
        <v>509</v>
      </c>
      <c r="P157" t="s">
        <v>510</v>
      </c>
      <c r="Q157" t="s">
        <v>396</v>
      </c>
      <c r="R157">
        <v>2069125</v>
      </c>
      <c r="S157" t="s">
        <v>387</v>
      </c>
      <c r="U157" t="s">
        <v>524</v>
      </c>
      <c r="V157" t="s">
        <v>398</v>
      </c>
      <c r="W157" s="393">
        <v>96700</v>
      </c>
      <c r="X157" s="393">
        <v>27.46</v>
      </c>
      <c r="Y157" s="393">
        <v>232.18</v>
      </c>
      <c r="Z157" s="393">
        <v>96700</v>
      </c>
      <c r="AA157">
        <v>0</v>
      </c>
      <c r="AB157" s="400">
        <v>44272.633000497684</v>
      </c>
      <c r="AC157" t="s">
        <v>25</v>
      </c>
    </row>
    <row r="158" spans="1:29">
      <c r="A158" t="s">
        <v>382</v>
      </c>
      <c r="B158" t="s">
        <v>440</v>
      </c>
      <c r="C158" t="s">
        <v>486</v>
      </c>
      <c r="D158" t="s">
        <v>571</v>
      </c>
      <c r="E158" t="s">
        <v>390</v>
      </c>
      <c r="F158" t="s">
        <v>391</v>
      </c>
      <c r="G158">
        <v>6100411</v>
      </c>
      <c r="H158">
        <v>202103</v>
      </c>
      <c r="I158" s="400">
        <v>44270</v>
      </c>
      <c r="J158" t="s">
        <v>452</v>
      </c>
      <c r="K158" t="s">
        <v>386</v>
      </c>
      <c r="M158" t="s">
        <v>387</v>
      </c>
      <c r="O158" t="s">
        <v>642</v>
      </c>
      <c r="P158" t="s">
        <v>643</v>
      </c>
      <c r="Q158" t="s">
        <v>490</v>
      </c>
      <c r="R158">
        <v>2069125</v>
      </c>
      <c r="S158" t="s">
        <v>664</v>
      </c>
      <c r="U158" t="s">
        <v>665</v>
      </c>
      <c r="V158" t="s">
        <v>398</v>
      </c>
      <c r="W158" s="393">
        <v>302000</v>
      </c>
      <c r="X158" s="393">
        <v>85.77</v>
      </c>
      <c r="Y158" s="393">
        <v>727.82</v>
      </c>
      <c r="Z158" s="393">
        <v>302000</v>
      </c>
      <c r="AA158">
        <v>318</v>
      </c>
      <c r="AB158" s="400">
        <v>44272.95520621528</v>
      </c>
      <c r="AC158" t="s">
        <v>25</v>
      </c>
    </row>
    <row r="159" spans="1:29">
      <c r="A159" t="s">
        <v>382</v>
      </c>
      <c r="B159" t="s">
        <v>440</v>
      </c>
      <c r="C159" t="s">
        <v>486</v>
      </c>
      <c r="D159" t="s">
        <v>571</v>
      </c>
      <c r="E159" t="s">
        <v>390</v>
      </c>
      <c r="F159" t="s">
        <v>391</v>
      </c>
      <c r="G159">
        <v>6100456</v>
      </c>
      <c r="H159">
        <v>202103</v>
      </c>
      <c r="I159" s="400">
        <v>44285</v>
      </c>
      <c r="J159">
        <v>122536</v>
      </c>
      <c r="K159" t="s">
        <v>386</v>
      </c>
      <c r="M159" t="s">
        <v>387</v>
      </c>
      <c r="O159" t="s">
        <v>642</v>
      </c>
      <c r="P159" t="s">
        <v>643</v>
      </c>
      <c r="Q159" t="s">
        <v>490</v>
      </c>
      <c r="R159">
        <v>2069125</v>
      </c>
      <c r="S159" t="s">
        <v>387</v>
      </c>
      <c r="U159" t="s">
        <v>666</v>
      </c>
      <c r="V159" t="s">
        <v>398</v>
      </c>
      <c r="W159" s="393">
        <v>151000</v>
      </c>
      <c r="X159" s="393">
        <v>42.13</v>
      </c>
      <c r="Y159" s="393">
        <v>362.4</v>
      </c>
      <c r="Z159" s="393">
        <v>151000</v>
      </c>
      <c r="AA159">
        <v>318</v>
      </c>
      <c r="AB159" s="400">
        <v>44289.640161574076</v>
      </c>
      <c r="AC159" t="s">
        <v>25</v>
      </c>
    </row>
    <row r="160" spans="1:29">
      <c r="A160" t="s">
        <v>382</v>
      </c>
      <c r="B160" t="s">
        <v>440</v>
      </c>
      <c r="C160" t="s">
        <v>486</v>
      </c>
      <c r="D160" t="s">
        <v>571</v>
      </c>
      <c r="E160" t="s">
        <v>390</v>
      </c>
      <c r="F160" t="s">
        <v>391</v>
      </c>
      <c r="G160">
        <v>6100456</v>
      </c>
      <c r="H160">
        <v>202103</v>
      </c>
      <c r="I160" s="400">
        <v>44285</v>
      </c>
      <c r="J160">
        <v>122536</v>
      </c>
      <c r="K160" t="s">
        <v>386</v>
      </c>
      <c r="M160" t="s">
        <v>387</v>
      </c>
      <c r="O160" t="s">
        <v>642</v>
      </c>
      <c r="P160" t="s">
        <v>643</v>
      </c>
      <c r="Q160" t="s">
        <v>490</v>
      </c>
      <c r="R160">
        <v>2069125</v>
      </c>
      <c r="S160" t="s">
        <v>387</v>
      </c>
      <c r="U160" t="s">
        <v>667</v>
      </c>
      <c r="V160" t="s">
        <v>398</v>
      </c>
      <c r="W160" s="393">
        <v>151000</v>
      </c>
      <c r="X160" s="393">
        <v>42.13</v>
      </c>
      <c r="Y160" s="393">
        <v>362.4</v>
      </c>
      <c r="Z160" s="393">
        <v>151000</v>
      </c>
      <c r="AA160">
        <v>318</v>
      </c>
      <c r="AB160" s="400">
        <v>44289.640161574076</v>
      </c>
      <c r="AC160" t="s">
        <v>25</v>
      </c>
    </row>
    <row r="161" spans="1:29">
      <c r="A161" t="s">
        <v>382</v>
      </c>
      <c r="B161" t="s">
        <v>440</v>
      </c>
      <c r="C161" t="s">
        <v>486</v>
      </c>
      <c r="D161" t="s">
        <v>571</v>
      </c>
      <c r="E161" t="s">
        <v>390</v>
      </c>
      <c r="F161" t="s">
        <v>391</v>
      </c>
      <c r="G161">
        <v>6100552</v>
      </c>
      <c r="H161">
        <v>202103</v>
      </c>
      <c r="I161" s="400">
        <v>44259</v>
      </c>
      <c r="J161">
        <v>122536</v>
      </c>
      <c r="K161" t="s">
        <v>386</v>
      </c>
      <c r="M161" t="s">
        <v>387</v>
      </c>
      <c r="O161" t="s">
        <v>509</v>
      </c>
      <c r="P161" t="s">
        <v>510</v>
      </c>
      <c r="Q161" t="s">
        <v>490</v>
      </c>
      <c r="R161">
        <v>2069125</v>
      </c>
      <c r="S161" t="s">
        <v>387</v>
      </c>
      <c r="U161" t="s">
        <v>523</v>
      </c>
      <c r="V161" t="s">
        <v>398</v>
      </c>
      <c r="W161" s="393">
        <v>273000</v>
      </c>
      <c r="X161" s="393">
        <v>77.53</v>
      </c>
      <c r="Y161" s="393">
        <v>655.47</v>
      </c>
      <c r="Z161" s="393">
        <v>273000</v>
      </c>
      <c r="AA161">
        <v>241</v>
      </c>
      <c r="AB161" s="400">
        <v>44292.612781400465</v>
      </c>
      <c r="AC161" t="s">
        <v>25</v>
      </c>
    </row>
    <row r="162" spans="1:29">
      <c r="A162" t="s">
        <v>382</v>
      </c>
      <c r="B162" t="s">
        <v>440</v>
      </c>
      <c r="C162" t="s">
        <v>486</v>
      </c>
      <c r="D162" t="s">
        <v>571</v>
      </c>
      <c r="E162" t="s">
        <v>390</v>
      </c>
      <c r="F162" t="s">
        <v>391</v>
      </c>
      <c r="G162">
        <v>6100552</v>
      </c>
      <c r="H162">
        <v>202103</v>
      </c>
      <c r="I162" s="400">
        <v>44259</v>
      </c>
      <c r="J162">
        <v>122536</v>
      </c>
      <c r="K162" t="s">
        <v>386</v>
      </c>
      <c r="M162" t="s">
        <v>387</v>
      </c>
      <c r="O162" t="s">
        <v>509</v>
      </c>
      <c r="P162" t="s">
        <v>510</v>
      </c>
      <c r="Q162" t="s">
        <v>490</v>
      </c>
      <c r="R162">
        <v>2069125</v>
      </c>
      <c r="S162" t="s">
        <v>387</v>
      </c>
      <c r="U162" t="s">
        <v>523</v>
      </c>
      <c r="V162" t="s">
        <v>398</v>
      </c>
      <c r="W162" s="393">
        <v>33500</v>
      </c>
      <c r="X162" s="393">
        <v>9.51</v>
      </c>
      <c r="Y162" s="393">
        <v>80.430000000000007</v>
      </c>
      <c r="Z162" s="393">
        <v>33500</v>
      </c>
      <c r="AA162">
        <v>0</v>
      </c>
      <c r="AB162" s="400">
        <v>44292.6127815625</v>
      </c>
      <c r="AC162" t="s">
        <v>25</v>
      </c>
    </row>
    <row r="163" spans="1:29">
      <c r="A163" t="s">
        <v>382</v>
      </c>
      <c r="B163" t="s">
        <v>440</v>
      </c>
      <c r="C163" t="s">
        <v>486</v>
      </c>
      <c r="D163" t="s">
        <v>571</v>
      </c>
      <c r="E163" t="s">
        <v>390</v>
      </c>
      <c r="F163" t="s">
        <v>391</v>
      </c>
      <c r="G163">
        <v>6100552</v>
      </c>
      <c r="H163">
        <v>202103</v>
      </c>
      <c r="I163" s="400">
        <v>44259</v>
      </c>
      <c r="J163">
        <v>122536</v>
      </c>
      <c r="K163" t="s">
        <v>386</v>
      </c>
      <c r="M163" t="s">
        <v>387</v>
      </c>
      <c r="O163" t="s">
        <v>512</v>
      </c>
      <c r="P163" t="s">
        <v>513</v>
      </c>
      <c r="Q163" t="s">
        <v>490</v>
      </c>
      <c r="R163">
        <v>2069125</v>
      </c>
      <c r="S163" t="s">
        <v>387</v>
      </c>
      <c r="U163" t="s">
        <v>523</v>
      </c>
      <c r="V163" t="s">
        <v>398</v>
      </c>
      <c r="W163" s="393">
        <v>57500</v>
      </c>
      <c r="X163" s="393">
        <v>16.329999999999998</v>
      </c>
      <c r="Y163" s="393">
        <v>138.06</v>
      </c>
      <c r="Z163" s="393">
        <v>57500</v>
      </c>
      <c r="AA163">
        <v>241</v>
      </c>
      <c r="AB163" s="400">
        <v>44292.6127815625</v>
      </c>
      <c r="AC163" t="s">
        <v>25</v>
      </c>
    </row>
    <row r="164" spans="1:29">
      <c r="A164" t="s">
        <v>382</v>
      </c>
      <c r="B164" t="s">
        <v>440</v>
      </c>
      <c r="C164" t="s">
        <v>486</v>
      </c>
      <c r="D164" t="s">
        <v>571</v>
      </c>
      <c r="E164" t="s">
        <v>390</v>
      </c>
      <c r="F164" t="s">
        <v>391</v>
      </c>
      <c r="G164">
        <v>6100497</v>
      </c>
      <c r="H164">
        <v>202103</v>
      </c>
      <c r="I164" s="400">
        <v>44284</v>
      </c>
      <c r="J164" t="s">
        <v>452</v>
      </c>
      <c r="K164" t="s">
        <v>386</v>
      </c>
      <c r="M164" t="s">
        <v>387</v>
      </c>
      <c r="O164" t="s">
        <v>642</v>
      </c>
      <c r="P164" t="s">
        <v>643</v>
      </c>
      <c r="Q164" t="s">
        <v>490</v>
      </c>
      <c r="R164">
        <v>2069125</v>
      </c>
      <c r="S164" t="s">
        <v>668</v>
      </c>
      <c r="U164" t="s">
        <v>669</v>
      </c>
      <c r="V164" t="s">
        <v>398</v>
      </c>
      <c r="W164" s="393">
        <v>22400</v>
      </c>
      <c r="X164" s="393">
        <v>6.25</v>
      </c>
      <c r="Y164" s="393">
        <v>53.76</v>
      </c>
      <c r="Z164" s="393">
        <v>22400</v>
      </c>
      <c r="AA164">
        <v>0</v>
      </c>
      <c r="AB164" s="400">
        <v>44290.049745138887</v>
      </c>
      <c r="AC164" t="s">
        <v>25</v>
      </c>
    </row>
    <row r="165" spans="1:29">
      <c r="A165" t="s">
        <v>382</v>
      </c>
      <c r="B165" t="s">
        <v>440</v>
      </c>
      <c r="C165" t="s">
        <v>486</v>
      </c>
      <c r="D165" t="s">
        <v>571</v>
      </c>
      <c r="E165" t="s">
        <v>390</v>
      </c>
      <c r="F165" t="s">
        <v>391</v>
      </c>
      <c r="G165">
        <v>6100497</v>
      </c>
      <c r="H165">
        <v>202103</v>
      </c>
      <c r="I165" s="400">
        <v>44284</v>
      </c>
      <c r="J165" t="s">
        <v>452</v>
      </c>
      <c r="K165" t="s">
        <v>386</v>
      </c>
      <c r="M165" t="s">
        <v>387</v>
      </c>
      <c r="O165" t="s">
        <v>642</v>
      </c>
      <c r="P165" t="s">
        <v>643</v>
      </c>
      <c r="Q165" t="s">
        <v>490</v>
      </c>
      <c r="R165">
        <v>2069125</v>
      </c>
      <c r="S165" t="s">
        <v>670</v>
      </c>
      <c r="U165" t="s">
        <v>669</v>
      </c>
      <c r="V165" t="s">
        <v>398</v>
      </c>
      <c r="W165" s="393">
        <v>25900</v>
      </c>
      <c r="X165" s="393">
        <v>7.23</v>
      </c>
      <c r="Y165" s="393">
        <v>62.16</v>
      </c>
      <c r="Z165" s="393">
        <v>25900</v>
      </c>
      <c r="AA165">
        <v>0</v>
      </c>
      <c r="AB165" s="400">
        <v>44290.049745138887</v>
      </c>
      <c r="AC165" t="s">
        <v>25</v>
      </c>
    </row>
    <row r="166" spans="1:29">
      <c r="A166" t="s">
        <v>382</v>
      </c>
      <c r="B166" t="s">
        <v>440</v>
      </c>
      <c r="C166" t="s">
        <v>486</v>
      </c>
      <c r="D166" t="s">
        <v>571</v>
      </c>
      <c r="E166" t="s">
        <v>390</v>
      </c>
      <c r="F166" t="s">
        <v>391</v>
      </c>
      <c r="G166">
        <v>6100497</v>
      </c>
      <c r="H166">
        <v>202103</v>
      </c>
      <c r="I166" s="400">
        <v>44284</v>
      </c>
      <c r="J166" t="s">
        <v>452</v>
      </c>
      <c r="K166" t="s">
        <v>386</v>
      </c>
      <c r="M166" t="s">
        <v>387</v>
      </c>
      <c r="O166" t="s">
        <v>587</v>
      </c>
      <c r="P166" t="s">
        <v>588</v>
      </c>
      <c r="Q166" t="s">
        <v>490</v>
      </c>
      <c r="R166">
        <v>2069125</v>
      </c>
      <c r="S166" t="s">
        <v>671</v>
      </c>
      <c r="U166" t="s">
        <v>672</v>
      </c>
      <c r="V166" t="s">
        <v>398</v>
      </c>
      <c r="W166" s="393">
        <v>116000</v>
      </c>
      <c r="X166" s="393">
        <v>32.36</v>
      </c>
      <c r="Y166" s="393">
        <v>278.39999999999998</v>
      </c>
      <c r="Z166" s="393">
        <v>116000</v>
      </c>
      <c r="AA166">
        <v>0</v>
      </c>
      <c r="AB166" s="400">
        <v>44290.049745335651</v>
      </c>
      <c r="AC166" t="s">
        <v>25</v>
      </c>
    </row>
    <row r="167" spans="1:29">
      <c r="A167" t="s">
        <v>382</v>
      </c>
      <c r="B167" t="s">
        <v>440</v>
      </c>
      <c r="C167" t="s">
        <v>486</v>
      </c>
      <c r="D167" t="s">
        <v>571</v>
      </c>
      <c r="E167" t="s">
        <v>390</v>
      </c>
      <c r="F167" t="s">
        <v>391</v>
      </c>
      <c r="G167">
        <v>6100497</v>
      </c>
      <c r="H167">
        <v>202103</v>
      </c>
      <c r="I167" s="400">
        <v>44284</v>
      </c>
      <c r="J167" t="s">
        <v>452</v>
      </c>
      <c r="K167" t="s">
        <v>386</v>
      </c>
      <c r="M167" t="s">
        <v>387</v>
      </c>
      <c r="O167" t="s">
        <v>673</v>
      </c>
      <c r="P167" t="s">
        <v>674</v>
      </c>
      <c r="Q167" t="s">
        <v>490</v>
      </c>
      <c r="R167">
        <v>2069125</v>
      </c>
      <c r="S167" t="s">
        <v>675</v>
      </c>
      <c r="U167" t="s">
        <v>669</v>
      </c>
      <c r="V167" t="s">
        <v>398</v>
      </c>
      <c r="W167" s="393">
        <v>56000</v>
      </c>
      <c r="X167" s="393">
        <v>15.62</v>
      </c>
      <c r="Y167" s="393">
        <v>134.4</v>
      </c>
      <c r="Z167" s="393">
        <v>56000</v>
      </c>
      <c r="AA167">
        <v>0</v>
      </c>
      <c r="AB167" s="400">
        <v>44290.049745335651</v>
      </c>
      <c r="AC167" t="s">
        <v>25</v>
      </c>
    </row>
    <row r="168" spans="1:29">
      <c r="A168" t="s">
        <v>382</v>
      </c>
      <c r="B168" t="s">
        <v>440</v>
      </c>
      <c r="C168" t="s">
        <v>486</v>
      </c>
      <c r="D168" t="s">
        <v>571</v>
      </c>
      <c r="E168" t="s">
        <v>390</v>
      </c>
      <c r="F168" t="s">
        <v>391</v>
      </c>
      <c r="G168">
        <v>6100497</v>
      </c>
      <c r="H168">
        <v>202103</v>
      </c>
      <c r="I168" s="400">
        <v>44284</v>
      </c>
      <c r="J168" t="s">
        <v>452</v>
      </c>
      <c r="K168" t="s">
        <v>386</v>
      </c>
      <c r="M168" t="s">
        <v>387</v>
      </c>
      <c r="O168" t="s">
        <v>676</v>
      </c>
      <c r="P168" t="s">
        <v>677</v>
      </c>
      <c r="Q168" t="s">
        <v>490</v>
      </c>
      <c r="R168">
        <v>2069125</v>
      </c>
      <c r="S168" t="s">
        <v>678</v>
      </c>
      <c r="U168" t="s">
        <v>679</v>
      </c>
      <c r="V168" t="s">
        <v>398</v>
      </c>
      <c r="W168" s="393">
        <v>95590</v>
      </c>
      <c r="X168" s="393">
        <v>26.67</v>
      </c>
      <c r="Y168" s="393">
        <v>229.42</v>
      </c>
      <c r="Z168" s="393">
        <v>95590</v>
      </c>
      <c r="AA168">
        <v>316</v>
      </c>
      <c r="AB168" s="400">
        <v>44290.049745335651</v>
      </c>
      <c r="AC168" t="s">
        <v>25</v>
      </c>
    </row>
    <row r="169" spans="1:29">
      <c r="A169" t="s">
        <v>382</v>
      </c>
      <c r="B169" t="s">
        <v>440</v>
      </c>
      <c r="C169" t="s">
        <v>486</v>
      </c>
      <c r="D169" t="s">
        <v>571</v>
      </c>
      <c r="E169" t="s">
        <v>390</v>
      </c>
      <c r="F169" t="s">
        <v>391</v>
      </c>
      <c r="G169">
        <v>6100497</v>
      </c>
      <c r="H169">
        <v>202103</v>
      </c>
      <c r="I169" s="400">
        <v>44284</v>
      </c>
      <c r="J169" t="s">
        <v>452</v>
      </c>
      <c r="K169" t="s">
        <v>386</v>
      </c>
      <c r="M169" t="s">
        <v>387</v>
      </c>
      <c r="O169" t="s">
        <v>676</v>
      </c>
      <c r="P169" t="s">
        <v>677</v>
      </c>
      <c r="Q169" t="s">
        <v>490</v>
      </c>
      <c r="R169">
        <v>2069125</v>
      </c>
      <c r="S169" t="s">
        <v>678</v>
      </c>
      <c r="U169" t="s">
        <v>679</v>
      </c>
      <c r="V169" t="s">
        <v>398</v>
      </c>
      <c r="W169" s="393">
        <v>96</v>
      </c>
      <c r="X169" s="393">
        <v>0.03</v>
      </c>
      <c r="Y169" s="393">
        <v>0.23</v>
      </c>
      <c r="Z169" s="393">
        <v>96</v>
      </c>
      <c r="AA169">
        <v>0</v>
      </c>
      <c r="AB169" s="400">
        <v>44290.049745335651</v>
      </c>
      <c r="AC169" t="s">
        <v>25</v>
      </c>
    </row>
    <row r="170" spans="1:29">
      <c r="A170" t="s">
        <v>382</v>
      </c>
      <c r="B170" t="s">
        <v>440</v>
      </c>
      <c r="C170" t="s">
        <v>486</v>
      </c>
      <c r="D170" t="s">
        <v>571</v>
      </c>
      <c r="E170" t="s">
        <v>390</v>
      </c>
      <c r="F170" t="s">
        <v>391</v>
      </c>
      <c r="G170">
        <v>6100430</v>
      </c>
      <c r="H170">
        <v>202103</v>
      </c>
      <c r="I170" s="400">
        <v>44272</v>
      </c>
      <c r="J170" t="s">
        <v>452</v>
      </c>
      <c r="K170" t="s">
        <v>386</v>
      </c>
      <c r="M170" t="s">
        <v>387</v>
      </c>
      <c r="O170" t="s">
        <v>680</v>
      </c>
      <c r="P170" t="s">
        <v>681</v>
      </c>
      <c r="Q170" t="s">
        <v>490</v>
      </c>
      <c r="R170">
        <v>2069125</v>
      </c>
      <c r="S170" t="s">
        <v>682</v>
      </c>
      <c r="U170" t="s">
        <v>683</v>
      </c>
      <c r="V170" t="s">
        <v>398</v>
      </c>
      <c r="W170" s="393">
        <v>69125</v>
      </c>
      <c r="X170" s="393">
        <v>19.63</v>
      </c>
      <c r="Y170" s="393">
        <v>166.59</v>
      </c>
      <c r="Z170" s="393">
        <v>69125</v>
      </c>
      <c r="AA170">
        <v>316</v>
      </c>
      <c r="AB170" s="400">
        <v>44278.972091006945</v>
      </c>
      <c r="AC170" t="s">
        <v>25</v>
      </c>
    </row>
    <row r="171" spans="1:29">
      <c r="A171" t="s">
        <v>382</v>
      </c>
      <c r="B171" t="s">
        <v>440</v>
      </c>
      <c r="C171" t="s">
        <v>486</v>
      </c>
      <c r="D171" t="s">
        <v>571</v>
      </c>
      <c r="E171" t="s">
        <v>390</v>
      </c>
      <c r="F171" t="s">
        <v>391</v>
      </c>
      <c r="G171">
        <v>6100430</v>
      </c>
      <c r="H171">
        <v>202103</v>
      </c>
      <c r="I171" s="400">
        <v>44272</v>
      </c>
      <c r="J171" t="s">
        <v>452</v>
      </c>
      <c r="K171" t="s">
        <v>386</v>
      </c>
      <c r="M171" t="s">
        <v>387</v>
      </c>
      <c r="O171" t="s">
        <v>680</v>
      </c>
      <c r="P171" t="s">
        <v>681</v>
      </c>
      <c r="Q171" t="s">
        <v>490</v>
      </c>
      <c r="R171">
        <v>2069125</v>
      </c>
      <c r="S171" t="s">
        <v>682</v>
      </c>
      <c r="U171" t="s">
        <v>683</v>
      </c>
      <c r="V171" t="s">
        <v>398</v>
      </c>
      <c r="W171" s="393">
        <v>69</v>
      </c>
      <c r="X171" s="393">
        <v>0.02</v>
      </c>
      <c r="Y171" s="393">
        <v>0.17</v>
      </c>
      <c r="Z171" s="393">
        <v>69</v>
      </c>
      <c r="AA171">
        <v>0</v>
      </c>
      <c r="AB171" s="400">
        <v>44278.972091006945</v>
      </c>
      <c r="AC171" t="s">
        <v>25</v>
      </c>
    </row>
    <row r="172" spans="1:29">
      <c r="A172" t="s">
        <v>382</v>
      </c>
      <c r="B172" t="s">
        <v>440</v>
      </c>
      <c r="C172" t="s">
        <v>486</v>
      </c>
      <c r="D172" t="s">
        <v>571</v>
      </c>
      <c r="E172" t="s">
        <v>390</v>
      </c>
      <c r="F172" t="s">
        <v>391</v>
      </c>
      <c r="G172">
        <v>6100430</v>
      </c>
      <c r="H172">
        <v>202103</v>
      </c>
      <c r="I172" s="400">
        <v>44272</v>
      </c>
      <c r="J172" t="s">
        <v>452</v>
      </c>
      <c r="K172" t="s">
        <v>386</v>
      </c>
      <c r="M172" t="s">
        <v>387</v>
      </c>
      <c r="O172" t="s">
        <v>579</v>
      </c>
      <c r="P172" t="s">
        <v>580</v>
      </c>
      <c r="Q172" t="s">
        <v>490</v>
      </c>
      <c r="R172">
        <v>2069125</v>
      </c>
      <c r="S172" t="s">
        <v>684</v>
      </c>
      <c r="U172" t="s">
        <v>685</v>
      </c>
      <c r="V172" t="s">
        <v>398</v>
      </c>
      <c r="W172" s="393">
        <v>9000</v>
      </c>
      <c r="X172" s="393">
        <v>2.56</v>
      </c>
      <c r="Y172" s="393">
        <v>21.69</v>
      </c>
      <c r="Z172" s="393">
        <v>9000</v>
      </c>
      <c r="AA172">
        <v>0</v>
      </c>
      <c r="AB172" s="400">
        <v>44278.972091006945</v>
      </c>
      <c r="AC172" t="s">
        <v>25</v>
      </c>
    </row>
    <row r="173" spans="1:29">
      <c r="A173" t="s">
        <v>382</v>
      </c>
      <c r="B173" t="s">
        <v>440</v>
      </c>
      <c r="C173" t="s">
        <v>486</v>
      </c>
      <c r="D173" t="s">
        <v>571</v>
      </c>
      <c r="E173" t="s">
        <v>390</v>
      </c>
      <c r="F173" t="s">
        <v>391</v>
      </c>
      <c r="G173">
        <v>6100430</v>
      </c>
      <c r="H173">
        <v>202103</v>
      </c>
      <c r="I173" s="400">
        <v>44272</v>
      </c>
      <c r="J173" t="s">
        <v>452</v>
      </c>
      <c r="K173" t="s">
        <v>386</v>
      </c>
      <c r="M173" t="s">
        <v>387</v>
      </c>
      <c r="O173" t="s">
        <v>579</v>
      </c>
      <c r="P173" t="s">
        <v>580</v>
      </c>
      <c r="Q173" t="s">
        <v>490</v>
      </c>
      <c r="R173">
        <v>2069125</v>
      </c>
      <c r="S173" t="s">
        <v>686</v>
      </c>
      <c r="U173" t="s">
        <v>685</v>
      </c>
      <c r="V173" t="s">
        <v>398</v>
      </c>
      <c r="W173" s="393">
        <v>9000</v>
      </c>
      <c r="X173" s="393">
        <v>2.56</v>
      </c>
      <c r="Y173" s="393">
        <v>21.69</v>
      </c>
      <c r="Z173" s="393">
        <v>9000</v>
      </c>
      <c r="AA173">
        <v>0</v>
      </c>
      <c r="AB173" s="400">
        <v>44278.972091203701</v>
      </c>
      <c r="AC173" t="s">
        <v>25</v>
      </c>
    </row>
    <row r="174" spans="1:29">
      <c r="A174" t="s">
        <v>382</v>
      </c>
      <c r="B174" t="s">
        <v>440</v>
      </c>
      <c r="C174" t="s">
        <v>486</v>
      </c>
      <c r="D174" t="s">
        <v>571</v>
      </c>
      <c r="E174" t="s">
        <v>390</v>
      </c>
      <c r="F174" t="s">
        <v>391</v>
      </c>
      <c r="G174">
        <v>6100430</v>
      </c>
      <c r="H174">
        <v>202103</v>
      </c>
      <c r="I174" s="400">
        <v>44272</v>
      </c>
      <c r="J174" t="s">
        <v>452</v>
      </c>
      <c r="K174" t="s">
        <v>386</v>
      </c>
      <c r="M174" t="s">
        <v>387</v>
      </c>
      <c r="O174" t="s">
        <v>579</v>
      </c>
      <c r="P174" t="s">
        <v>580</v>
      </c>
      <c r="Q174" t="s">
        <v>490</v>
      </c>
      <c r="R174">
        <v>2069125</v>
      </c>
      <c r="S174" t="s">
        <v>687</v>
      </c>
      <c r="U174" t="s">
        <v>685</v>
      </c>
      <c r="V174" t="s">
        <v>398</v>
      </c>
      <c r="W174" s="393">
        <v>9000</v>
      </c>
      <c r="X174" s="393">
        <v>2.56</v>
      </c>
      <c r="Y174" s="393">
        <v>21.69</v>
      </c>
      <c r="Z174" s="393">
        <v>9000</v>
      </c>
      <c r="AA174">
        <v>0</v>
      </c>
      <c r="AB174" s="400">
        <v>44278.972091400465</v>
      </c>
      <c r="AC174" t="s">
        <v>25</v>
      </c>
    </row>
    <row r="175" spans="1:29">
      <c r="A175" t="s">
        <v>382</v>
      </c>
      <c r="B175" t="s">
        <v>440</v>
      </c>
      <c r="C175" t="s">
        <v>486</v>
      </c>
      <c r="D175" t="s">
        <v>571</v>
      </c>
      <c r="E175" t="s">
        <v>390</v>
      </c>
      <c r="F175" t="s">
        <v>391</v>
      </c>
      <c r="G175">
        <v>6100430</v>
      </c>
      <c r="H175">
        <v>202103</v>
      </c>
      <c r="I175" s="400">
        <v>44272</v>
      </c>
      <c r="J175" t="s">
        <v>452</v>
      </c>
      <c r="K175" t="s">
        <v>386</v>
      </c>
      <c r="M175" t="s">
        <v>387</v>
      </c>
      <c r="O175" t="s">
        <v>579</v>
      </c>
      <c r="P175" t="s">
        <v>580</v>
      </c>
      <c r="Q175" t="s">
        <v>490</v>
      </c>
      <c r="R175">
        <v>2069125</v>
      </c>
      <c r="S175" t="s">
        <v>688</v>
      </c>
      <c r="U175" t="s">
        <v>685</v>
      </c>
      <c r="V175" t="s">
        <v>398</v>
      </c>
      <c r="W175" s="393">
        <v>9000</v>
      </c>
      <c r="X175" s="393">
        <v>2.56</v>
      </c>
      <c r="Y175" s="393">
        <v>21.69</v>
      </c>
      <c r="Z175" s="393">
        <v>9000</v>
      </c>
      <c r="AA175">
        <v>0</v>
      </c>
      <c r="AB175" s="400">
        <v>44278.972091550924</v>
      </c>
      <c r="AC175" t="s">
        <v>25</v>
      </c>
    </row>
    <row r="176" spans="1:29">
      <c r="A176" t="s">
        <v>382</v>
      </c>
      <c r="B176" t="s">
        <v>440</v>
      </c>
      <c r="C176" t="s">
        <v>486</v>
      </c>
      <c r="D176" t="s">
        <v>571</v>
      </c>
      <c r="E176" t="s">
        <v>390</v>
      </c>
      <c r="F176" t="s">
        <v>391</v>
      </c>
      <c r="G176">
        <v>6100430</v>
      </c>
      <c r="H176">
        <v>202103</v>
      </c>
      <c r="I176" s="400">
        <v>44272</v>
      </c>
      <c r="J176" t="s">
        <v>452</v>
      </c>
      <c r="K176" t="s">
        <v>386</v>
      </c>
      <c r="M176" t="s">
        <v>387</v>
      </c>
      <c r="O176" t="s">
        <v>603</v>
      </c>
      <c r="P176" t="s">
        <v>604</v>
      </c>
      <c r="Q176" t="s">
        <v>490</v>
      </c>
      <c r="R176">
        <v>2069125</v>
      </c>
      <c r="S176" t="s">
        <v>689</v>
      </c>
      <c r="U176" t="s">
        <v>690</v>
      </c>
      <c r="V176" t="s">
        <v>398</v>
      </c>
      <c r="W176" s="393">
        <v>11600</v>
      </c>
      <c r="X176" s="393">
        <v>3.29</v>
      </c>
      <c r="Y176" s="393">
        <v>27.96</v>
      </c>
      <c r="Z176" s="393">
        <v>11600</v>
      </c>
      <c r="AA176">
        <v>0</v>
      </c>
      <c r="AB176" s="400">
        <v>44278.972091550924</v>
      </c>
      <c r="AC176" t="s">
        <v>25</v>
      </c>
    </row>
    <row r="177" spans="1:29">
      <c r="A177" t="s">
        <v>382</v>
      </c>
      <c r="B177" t="s">
        <v>440</v>
      </c>
      <c r="C177" t="s">
        <v>486</v>
      </c>
      <c r="D177" t="s">
        <v>571</v>
      </c>
      <c r="E177" t="s">
        <v>390</v>
      </c>
      <c r="F177" t="s">
        <v>391</v>
      </c>
      <c r="G177">
        <v>6100430</v>
      </c>
      <c r="H177">
        <v>202103</v>
      </c>
      <c r="I177" s="400">
        <v>44272</v>
      </c>
      <c r="J177" t="s">
        <v>452</v>
      </c>
      <c r="K177" t="s">
        <v>386</v>
      </c>
      <c r="M177" t="s">
        <v>387</v>
      </c>
      <c r="O177" t="s">
        <v>691</v>
      </c>
      <c r="P177" t="s">
        <v>692</v>
      </c>
      <c r="Q177" t="s">
        <v>490</v>
      </c>
      <c r="R177">
        <v>2069125</v>
      </c>
      <c r="S177" t="s">
        <v>693</v>
      </c>
      <c r="U177" t="s">
        <v>694</v>
      </c>
      <c r="V177" t="s">
        <v>398</v>
      </c>
      <c r="W177" s="393">
        <v>9000</v>
      </c>
      <c r="X177" s="393">
        <v>2.56</v>
      </c>
      <c r="Y177" s="393">
        <v>21.69</v>
      </c>
      <c r="Z177" s="393">
        <v>9000</v>
      </c>
      <c r="AA177">
        <v>0</v>
      </c>
      <c r="AB177" s="400">
        <v>44278.972091550924</v>
      </c>
      <c r="AC177" t="s">
        <v>25</v>
      </c>
    </row>
    <row r="178" spans="1:29">
      <c r="A178" t="s">
        <v>382</v>
      </c>
      <c r="B178" t="s">
        <v>440</v>
      </c>
      <c r="C178" t="s">
        <v>486</v>
      </c>
      <c r="D178" t="s">
        <v>571</v>
      </c>
      <c r="E178" t="s">
        <v>390</v>
      </c>
      <c r="F178" t="s">
        <v>391</v>
      </c>
      <c r="G178">
        <v>6100430</v>
      </c>
      <c r="H178">
        <v>202103</v>
      </c>
      <c r="I178" s="400">
        <v>44272</v>
      </c>
      <c r="J178" t="s">
        <v>452</v>
      </c>
      <c r="K178" t="s">
        <v>386</v>
      </c>
      <c r="M178" t="s">
        <v>387</v>
      </c>
      <c r="O178" t="s">
        <v>575</v>
      </c>
      <c r="P178" t="s">
        <v>576</v>
      </c>
      <c r="Q178" t="s">
        <v>490</v>
      </c>
      <c r="R178">
        <v>2069125</v>
      </c>
      <c r="S178" t="s">
        <v>695</v>
      </c>
      <c r="U178" t="s">
        <v>690</v>
      </c>
      <c r="V178" t="s">
        <v>398</v>
      </c>
      <c r="W178" s="393">
        <v>29000</v>
      </c>
      <c r="X178" s="393">
        <v>8.24</v>
      </c>
      <c r="Y178" s="393">
        <v>69.89</v>
      </c>
      <c r="Z178" s="393">
        <v>29000</v>
      </c>
      <c r="AA178">
        <v>0</v>
      </c>
      <c r="AB178" s="400">
        <v>44278.972091550924</v>
      </c>
      <c r="AC178" t="s">
        <v>25</v>
      </c>
    </row>
    <row r="179" spans="1:29">
      <c r="A179" t="s">
        <v>382</v>
      </c>
      <c r="B179" t="s">
        <v>440</v>
      </c>
      <c r="C179" t="s">
        <v>486</v>
      </c>
      <c r="D179" t="s">
        <v>571</v>
      </c>
      <c r="E179" t="s">
        <v>390</v>
      </c>
      <c r="F179" t="s">
        <v>391</v>
      </c>
      <c r="G179">
        <v>6100430</v>
      </c>
      <c r="H179">
        <v>202103</v>
      </c>
      <c r="I179" s="400">
        <v>44272</v>
      </c>
      <c r="J179" t="s">
        <v>452</v>
      </c>
      <c r="K179" t="s">
        <v>386</v>
      </c>
      <c r="M179" t="s">
        <v>387</v>
      </c>
      <c r="O179" t="s">
        <v>696</v>
      </c>
      <c r="P179" t="s">
        <v>697</v>
      </c>
      <c r="Q179" t="s">
        <v>490</v>
      </c>
      <c r="R179">
        <v>2069125</v>
      </c>
      <c r="S179" t="s">
        <v>698</v>
      </c>
      <c r="U179" t="s">
        <v>690</v>
      </c>
      <c r="V179" t="s">
        <v>398</v>
      </c>
      <c r="W179" s="393">
        <v>22000</v>
      </c>
      <c r="X179" s="393">
        <v>6.25</v>
      </c>
      <c r="Y179" s="393">
        <v>53.02</v>
      </c>
      <c r="Z179" s="393">
        <v>22000</v>
      </c>
      <c r="AA179">
        <v>0</v>
      </c>
      <c r="AB179" s="400">
        <v>44278.972091550924</v>
      </c>
      <c r="AC179" t="s">
        <v>25</v>
      </c>
    </row>
    <row r="180" spans="1:29">
      <c r="A180" t="s">
        <v>382</v>
      </c>
      <c r="B180" t="s">
        <v>440</v>
      </c>
      <c r="C180" t="s">
        <v>486</v>
      </c>
      <c r="D180" t="s">
        <v>571</v>
      </c>
      <c r="E180" t="s">
        <v>390</v>
      </c>
      <c r="F180" t="s">
        <v>391</v>
      </c>
      <c r="G180">
        <v>6100430</v>
      </c>
      <c r="H180">
        <v>202103</v>
      </c>
      <c r="I180" s="400">
        <v>44272</v>
      </c>
      <c r="J180" t="s">
        <v>452</v>
      </c>
      <c r="K180" t="s">
        <v>386</v>
      </c>
      <c r="M180" t="s">
        <v>387</v>
      </c>
      <c r="O180" t="s">
        <v>587</v>
      </c>
      <c r="P180" t="s">
        <v>588</v>
      </c>
      <c r="Q180" t="s">
        <v>490</v>
      </c>
      <c r="R180">
        <v>2069125</v>
      </c>
      <c r="S180" t="s">
        <v>626</v>
      </c>
      <c r="U180" t="s">
        <v>699</v>
      </c>
      <c r="V180" t="s">
        <v>398</v>
      </c>
      <c r="W180" s="393">
        <v>28000</v>
      </c>
      <c r="X180" s="393">
        <v>7.95</v>
      </c>
      <c r="Y180" s="393">
        <v>67.48</v>
      </c>
      <c r="Z180" s="393">
        <v>28000</v>
      </c>
      <c r="AA180">
        <v>0</v>
      </c>
      <c r="AB180" s="400">
        <v>44278.972091550924</v>
      </c>
      <c r="AC180" t="s">
        <v>25</v>
      </c>
    </row>
    <row r="181" spans="1:29">
      <c r="A181" t="s">
        <v>382</v>
      </c>
      <c r="B181" t="s">
        <v>440</v>
      </c>
      <c r="C181" t="s">
        <v>486</v>
      </c>
      <c r="D181" t="s">
        <v>571</v>
      </c>
      <c r="E181" t="s">
        <v>390</v>
      </c>
      <c r="F181" t="s">
        <v>391</v>
      </c>
      <c r="G181">
        <v>6100430</v>
      </c>
      <c r="H181">
        <v>202103</v>
      </c>
      <c r="I181" s="400">
        <v>44272</v>
      </c>
      <c r="J181" t="s">
        <v>452</v>
      </c>
      <c r="K181" t="s">
        <v>386</v>
      </c>
      <c r="M181" t="s">
        <v>387</v>
      </c>
      <c r="O181" t="s">
        <v>628</v>
      </c>
      <c r="P181" t="s">
        <v>629</v>
      </c>
      <c r="Q181" t="s">
        <v>490</v>
      </c>
      <c r="R181">
        <v>2069125</v>
      </c>
      <c r="S181" t="s">
        <v>700</v>
      </c>
      <c r="U181" t="s">
        <v>690</v>
      </c>
      <c r="V181" t="s">
        <v>398</v>
      </c>
      <c r="W181" s="393">
        <v>22000</v>
      </c>
      <c r="X181" s="393">
        <v>6.25</v>
      </c>
      <c r="Y181" s="393">
        <v>53.02</v>
      </c>
      <c r="Z181" s="393">
        <v>22000</v>
      </c>
      <c r="AA181">
        <v>0</v>
      </c>
      <c r="AB181" s="400">
        <v>44278.972091550924</v>
      </c>
      <c r="AC181" t="s">
        <v>25</v>
      </c>
    </row>
    <row r="182" spans="1:29">
      <c r="A182" t="s">
        <v>382</v>
      </c>
      <c r="B182" t="s">
        <v>440</v>
      </c>
      <c r="C182" t="s">
        <v>486</v>
      </c>
      <c r="D182" t="s">
        <v>571</v>
      </c>
      <c r="E182" t="s">
        <v>390</v>
      </c>
      <c r="F182" t="s">
        <v>391</v>
      </c>
      <c r="G182">
        <v>6100430</v>
      </c>
      <c r="H182">
        <v>202103</v>
      </c>
      <c r="I182" s="400">
        <v>44272</v>
      </c>
      <c r="J182" t="s">
        <v>452</v>
      </c>
      <c r="K182" t="s">
        <v>386</v>
      </c>
      <c r="M182" t="s">
        <v>387</v>
      </c>
      <c r="O182" t="s">
        <v>603</v>
      </c>
      <c r="P182" t="s">
        <v>604</v>
      </c>
      <c r="Q182" t="s">
        <v>490</v>
      </c>
      <c r="R182">
        <v>2069125</v>
      </c>
      <c r="S182" t="s">
        <v>701</v>
      </c>
      <c r="U182" t="s">
        <v>690</v>
      </c>
      <c r="V182" t="s">
        <v>398</v>
      </c>
      <c r="W182" s="393">
        <v>11000</v>
      </c>
      <c r="X182" s="393">
        <v>3.12</v>
      </c>
      <c r="Y182" s="393">
        <v>26.51</v>
      </c>
      <c r="Z182" s="393">
        <v>11000</v>
      </c>
      <c r="AA182">
        <v>0</v>
      </c>
      <c r="AB182" s="400">
        <v>44278.972091550924</v>
      </c>
      <c r="AC182" t="s">
        <v>25</v>
      </c>
    </row>
    <row r="183" spans="1:29">
      <c r="A183" t="s">
        <v>382</v>
      </c>
      <c r="B183" t="s">
        <v>440</v>
      </c>
      <c r="C183" t="s">
        <v>486</v>
      </c>
      <c r="D183" t="s">
        <v>571</v>
      </c>
      <c r="E183" t="s">
        <v>390</v>
      </c>
      <c r="F183" t="s">
        <v>391</v>
      </c>
      <c r="G183">
        <v>6100725</v>
      </c>
      <c r="H183">
        <v>202104</v>
      </c>
      <c r="I183" s="400">
        <v>44316</v>
      </c>
      <c r="J183" t="s">
        <v>452</v>
      </c>
      <c r="K183" t="s">
        <v>386</v>
      </c>
      <c r="M183" t="s">
        <v>387</v>
      </c>
      <c r="O183" t="s">
        <v>702</v>
      </c>
      <c r="P183" t="s">
        <v>703</v>
      </c>
      <c r="Q183" t="s">
        <v>490</v>
      </c>
      <c r="R183">
        <v>2069125</v>
      </c>
      <c r="S183" t="s">
        <v>387</v>
      </c>
      <c r="U183" t="s">
        <v>704</v>
      </c>
      <c r="V183" t="s">
        <v>398</v>
      </c>
      <c r="W183" s="393">
        <v>850000</v>
      </c>
      <c r="X183" s="393">
        <v>229.5</v>
      </c>
      <c r="Y183" s="393">
        <v>1901.45</v>
      </c>
      <c r="Z183" s="393">
        <v>850000</v>
      </c>
      <c r="AA183">
        <v>0</v>
      </c>
      <c r="AB183" s="400">
        <v>44319.747340543981</v>
      </c>
      <c r="AC183" t="s">
        <v>25</v>
      </c>
    </row>
    <row r="184" spans="1:29">
      <c r="A184" t="s">
        <v>382</v>
      </c>
      <c r="B184" t="s">
        <v>440</v>
      </c>
      <c r="C184" t="s">
        <v>486</v>
      </c>
      <c r="D184" t="s">
        <v>571</v>
      </c>
      <c r="E184" t="s">
        <v>390</v>
      </c>
      <c r="F184" t="s">
        <v>391</v>
      </c>
      <c r="G184">
        <v>6100728</v>
      </c>
      <c r="H184">
        <v>202104</v>
      </c>
      <c r="I184" s="400">
        <v>44308</v>
      </c>
      <c r="J184">
        <v>122536</v>
      </c>
      <c r="K184" t="s">
        <v>386</v>
      </c>
      <c r="M184" t="s">
        <v>387</v>
      </c>
      <c r="O184" t="s">
        <v>509</v>
      </c>
      <c r="P184" t="s">
        <v>510</v>
      </c>
      <c r="Q184" t="s">
        <v>396</v>
      </c>
      <c r="R184">
        <v>2069129</v>
      </c>
      <c r="S184" t="s">
        <v>387</v>
      </c>
      <c r="U184" t="s">
        <v>526</v>
      </c>
      <c r="V184" t="s">
        <v>398</v>
      </c>
      <c r="W184" s="393">
        <v>261700</v>
      </c>
      <c r="X184" s="393">
        <v>71.97</v>
      </c>
      <c r="Y184" s="393">
        <v>609.5</v>
      </c>
      <c r="Z184" s="393">
        <v>261700</v>
      </c>
      <c r="AA184">
        <v>241</v>
      </c>
      <c r="AB184" s="400">
        <v>44319.752824074072</v>
      </c>
      <c r="AC184" t="s">
        <v>40</v>
      </c>
    </row>
    <row r="185" spans="1:29">
      <c r="A185" t="s">
        <v>382</v>
      </c>
      <c r="B185" t="s">
        <v>440</v>
      </c>
      <c r="C185" t="s">
        <v>486</v>
      </c>
      <c r="D185" t="s">
        <v>571</v>
      </c>
      <c r="E185" t="s">
        <v>390</v>
      </c>
      <c r="F185" t="s">
        <v>391</v>
      </c>
      <c r="G185">
        <v>6100728</v>
      </c>
      <c r="H185">
        <v>202104</v>
      </c>
      <c r="I185" s="400">
        <v>44308</v>
      </c>
      <c r="J185">
        <v>122536</v>
      </c>
      <c r="K185" t="s">
        <v>386</v>
      </c>
      <c r="M185" t="s">
        <v>387</v>
      </c>
      <c r="O185" t="s">
        <v>509</v>
      </c>
      <c r="P185" t="s">
        <v>510</v>
      </c>
      <c r="Q185" t="s">
        <v>396</v>
      </c>
      <c r="R185">
        <v>2069129</v>
      </c>
      <c r="S185" t="s">
        <v>387</v>
      </c>
      <c r="U185" t="s">
        <v>526</v>
      </c>
      <c r="V185" t="s">
        <v>398</v>
      </c>
      <c r="W185" s="393">
        <v>16800</v>
      </c>
      <c r="X185" s="393">
        <v>4.62</v>
      </c>
      <c r="Y185" s="393">
        <v>39.130000000000003</v>
      </c>
      <c r="Z185" s="393">
        <v>16800</v>
      </c>
      <c r="AA185">
        <v>0</v>
      </c>
      <c r="AB185" s="400">
        <v>44319.752824074072</v>
      </c>
      <c r="AC185" t="s">
        <v>40</v>
      </c>
    </row>
    <row r="186" spans="1:29">
      <c r="A186" t="s">
        <v>382</v>
      </c>
      <c r="B186" t="s">
        <v>440</v>
      </c>
      <c r="C186" t="s">
        <v>486</v>
      </c>
      <c r="D186" t="s">
        <v>571</v>
      </c>
      <c r="E186" t="s">
        <v>390</v>
      </c>
      <c r="F186" t="s">
        <v>391</v>
      </c>
      <c r="G186">
        <v>6100728</v>
      </c>
      <c r="H186">
        <v>202104</v>
      </c>
      <c r="I186" s="400">
        <v>44308</v>
      </c>
      <c r="J186">
        <v>122536</v>
      </c>
      <c r="K186" t="s">
        <v>386</v>
      </c>
      <c r="M186" t="s">
        <v>387</v>
      </c>
      <c r="O186" t="s">
        <v>512</v>
      </c>
      <c r="P186" t="s">
        <v>513</v>
      </c>
      <c r="Q186" t="s">
        <v>396</v>
      </c>
      <c r="R186">
        <v>2069129</v>
      </c>
      <c r="S186" t="s">
        <v>387</v>
      </c>
      <c r="U186" t="s">
        <v>526</v>
      </c>
      <c r="V186" t="s">
        <v>398</v>
      </c>
      <c r="W186" s="393">
        <v>15895</v>
      </c>
      <c r="X186" s="393">
        <v>4.37</v>
      </c>
      <c r="Y186" s="393">
        <v>37.020000000000003</v>
      </c>
      <c r="Z186" s="393">
        <v>15895</v>
      </c>
      <c r="AA186">
        <v>241</v>
      </c>
      <c r="AB186" s="400">
        <v>44319.752824270836</v>
      </c>
      <c r="AC186" t="s">
        <v>40</v>
      </c>
    </row>
    <row r="187" spans="1:29">
      <c r="A187" t="s">
        <v>382</v>
      </c>
      <c r="B187" t="s">
        <v>440</v>
      </c>
      <c r="C187" t="s">
        <v>486</v>
      </c>
      <c r="D187" t="s">
        <v>571</v>
      </c>
      <c r="E187" t="s">
        <v>390</v>
      </c>
      <c r="F187" t="s">
        <v>391</v>
      </c>
      <c r="G187">
        <v>6100639</v>
      </c>
      <c r="H187">
        <v>202104</v>
      </c>
      <c r="I187" s="400">
        <v>44302</v>
      </c>
      <c r="J187">
        <v>122536</v>
      </c>
      <c r="K187" t="s">
        <v>386</v>
      </c>
      <c r="M187" t="s">
        <v>387</v>
      </c>
      <c r="O187" t="s">
        <v>705</v>
      </c>
      <c r="P187" t="s">
        <v>706</v>
      </c>
      <c r="Q187" t="s">
        <v>490</v>
      </c>
      <c r="R187">
        <v>2069125</v>
      </c>
      <c r="S187" t="s">
        <v>387</v>
      </c>
      <c r="U187" t="s">
        <v>707</v>
      </c>
      <c r="V187" t="s">
        <v>398</v>
      </c>
      <c r="W187" s="393">
        <v>160000</v>
      </c>
      <c r="X187" s="393">
        <v>44</v>
      </c>
      <c r="Y187" s="393">
        <v>372.64</v>
      </c>
      <c r="Z187" s="393">
        <v>160000</v>
      </c>
      <c r="AA187">
        <v>318</v>
      </c>
      <c r="AB187" s="400">
        <v>44310.072019016203</v>
      </c>
      <c r="AC187" t="s">
        <v>25</v>
      </c>
    </row>
    <row r="188" spans="1:29">
      <c r="A188" t="s">
        <v>382</v>
      </c>
      <c r="B188" t="s">
        <v>440</v>
      </c>
      <c r="C188" t="s">
        <v>486</v>
      </c>
      <c r="D188" t="s">
        <v>571</v>
      </c>
      <c r="E188" t="s">
        <v>390</v>
      </c>
      <c r="F188" t="s">
        <v>391</v>
      </c>
      <c r="G188">
        <v>6100600</v>
      </c>
      <c r="H188">
        <v>202104</v>
      </c>
      <c r="I188" s="400">
        <v>44298</v>
      </c>
      <c r="J188" t="s">
        <v>452</v>
      </c>
      <c r="K188" t="s">
        <v>386</v>
      </c>
      <c r="M188" t="s">
        <v>387</v>
      </c>
      <c r="O188" t="s">
        <v>708</v>
      </c>
      <c r="P188" t="s">
        <v>709</v>
      </c>
      <c r="Q188" t="s">
        <v>490</v>
      </c>
      <c r="R188">
        <v>2069125</v>
      </c>
      <c r="S188" t="s">
        <v>387</v>
      </c>
      <c r="U188" t="s">
        <v>710</v>
      </c>
      <c r="V188" t="s">
        <v>398</v>
      </c>
      <c r="W188" s="393">
        <v>30800</v>
      </c>
      <c r="X188" s="393">
        <v>8.4700000000000006</v>
      </c>
      <c r="Y188" s="393">
        <v>72.47</v>
      </c>
      <c r="Z188" s="393">
        <v>30800</v>
      </c>
      <c r="AA188">
        <v>0</v>
      </c>
      <c r="AB188" s="400">
        <v>44304.906547256942</v>
      </c>
      <c r="AC188" t="s">
        <v>25</v>
      </c>
    </row>
    <row r="189" spans="1:29">
      <c r="A189" t="s">
        <v>382</v>
      </c>
      <c r="B189" t="s">
        <v>440</v>
      </c>
      <c r="C189" t="s">
        <v>486</v>
      </c>
      <c r="D189" t="s">
        <v>571</v>
      </c>
      <c r="E189" t="s">
        <v>390</v>
      </c>
      <c r="F189" t="s">
        <v>391</v>
      </c>
      <c r="G189">
        <v>6100600</v>
      </c>
      <c r="H189">
        <v>202104</v>
      </c>
      <c r="I189" s="400">
        <v>44298</v>
      </c>
      <c r="J189" t="s">
        <v>452</v>
      </c>
      <c r="K189" t="s">
        <v>386</v>
      </c>
      <c r="M189" t="s">
        <v>387</v>
      </c>
      <c r="O189" t="s">
        <v>572</v>
      </c>
      <c r="P189" t="s">
        <v>573</v>
      </c>
      <c r="Q189" t="s">
        <v>490</v>
      </c>
      <c r="R189">
        <v>2069125</v>
      </c>
      <c r="S189" t="s">
        <v>387</v>
      </c>
      <c r="U189" t="s">
        <v>711</v>
      </c>
      <c r="V189" t="s">
        <v>398</v>
      </c>
      <c r="W189" s="393">
        <v>30000</v>
      </c>
      <c r="X189" s="393">
        <v>8.25</v>
      </c>
      <c r="Y189" s="393">
        <v>70.59</v>
      </c>
      <c r="Z189" s="393">
        <v>30000</v>
      </c>
      <c r="AA189">
        <v>0</v>
      </c>
      <c r="AB189" s="400">
        <v>44304.906546724538</v>
      </c>
      <c r="AC189" t="s">
        <v>25</v>
      </c>
    </row>
    <row r="190" spans="1:29">
      <c r="A190" t="s">
        <v>382</v>
      </c>
      <c r="B190" t="s">
        <v>440</v>
      </c>
      <c r="C190" t="s">
        <v>486</v>
      </c>
      <c r="D190" t="s">
        <v>571</v>
      </c>
      <c r="E190" t="s">
        <v>390</v>
      </c>
      <c r="F190" t="s">
        <v>391</v>
      </c>
      <c r="G190">
        <v>6100600</v>
      </c>
      <c r="H190">
        <v>202104</v>
      </c>
      <c r="I190" s="400">
        <v>44298</v>
      </c>
      <c r="J190" t="s">
        <v>452</v>
      </c>
      <c r="K190" t="s">
        <v>386</v>
      </c>
      <c r="M190" t="s">
        <v>387</v>
      </c>
      <c r="O190" t="s">
        <v>587</v>
      </c>
      <c r="P190" t="s">
        <v>588</v>
      </c>
      <c r="Q190" t="s">
        <v>490</v>
      </c>
      <c r="R190">
        <v>2069125</v>
      </c>
      <c r="S190" t="s">
        <v>387</v>
      </c>
      <c r="U190" t="s">
        <v>712</v>
      </c>
      <c r="V190" t="s">
        <v>398</v>
      </c>
      <c r="W190" s="393">
        <v>20000</v>
      </c>
      <c r="X190" s="393">
        <v>5.5</v>
      </c>
      <c r="Y190" s="393">
        <v>47.06</v>
      </c>
      <c r="Z190" s="393">
        <v>20000</v>
      </c>
      <c r="AA190">
        <v>0</v>
      </c>
      <c r="AB190" s="400">
        <v>44304.906546909719</v>
      </c>
      <c r="AC190" t="s">
        <v>25</v>
      </c>
    </row>
    <row r="191" spans="1:29">
      <c r="A191" t="s">
        <v>382</v>
      </c>
      <c r="B191" t="s">
        <v>440</v>
      </c>
      <c r="C191" t="s">
        <v>486</v>
      </c>
      <c r="D191" t="s">
        <v>571</v>
      </c>
      <c r="E191" t="s">
        <v>390</v>
      </c>
      <c r="F191" t="s">
        <v>391</v>
      </c>
      <c r="G191">
        <v>6100600</v>
      </c>
      <c r="H191">
        <v>202104</v>
      </c>
      <c r="I191" s="400">
        <v>44298</v>
      </c>
      <c r="J191" t="s">
        <v>452</v>
      </c>
      <c r="K191" t="s">
        <v>386</v>
      </c>
      <c r="M191" t="s">
        <v>387</v>
      </c>
      <c r="O191" t="s">
        <v>647</v>
      </c>
      <c r="P191" t="s">
        <v>648</v>
      </c>
      <c r="Q191" t="s">
        <v>490</v>
      </c>
      <c r="R191">
        <v>2069125</v>
      </c>
      <c r="S191" t="s">
        <v>387</v>
      </c>
      <c r="U191" t="s">
        <v>713</v>
      </c>
      <c r="V191" t="s">
        <v>398</v>
      </c>
      <c r="W191" s="393">
        <v>33900</v>
      </c>
      <c r="X191" s="393">
        <v>9.32</v>
      </c>
      <c r="Y191" s="393">
        <v>79.77</v>
      </c>
      <c r="Z191" s="393">
        <v>33900</v>
      </c>
      <c r="AA191">
        <v>0</v>
      </c>
      <c r="AB191" s="400">
        <v>44304.906547106482</v>
      </c>
      <c r="AC191" t="s">
        <v>25</v>
      </c>
    </row>
    <row r="192" spans="1:29">
      <c r="A192" t="s">
        <v>382</v>
      </c>
      <c r="B192" t="s">
        <v>440</v>
      </c>
      <c r="C192" t="s">
        <v>486</v>
      </c>
      <c r="D192" t="s">
        <v>571</v>
      </c>
      <c r="E192" t="s">
        <v>390</v>
      </c>
      <c r="F192" t="s">
        <v>391</v>
      </c>
      <c r="G192">
        <v>6100600</v>
      </c>
      <c r="H192">
        <v>202104</v>
      </c>
      <c r="I192" s="400">
        <v>44298</v>
      </c>
      <c r="J192" t="s">
        <v>452</v>
      </c>
      <c r="K192" t="s">
        <v>386</v>
      </c>
      <c r="M192" t="s">
        <v>387</v>
      </c>
      <c r="O192" t="s">
        <v>652</v>
      </c>
      <c r="P192" t="s">
        <v>653</v>
      </c>
      <c r="Q192" t="s">
        <v>490</v>
      </c>
      <c r="R192">
        <v>2069125</v>
      </c>
      <c r="S192" t="s">
        <v>387</v>
      </c>
      <c r="U192" t="s">
        <v>714</v>
      </c>
      <c r="V192" t="s">
        <v>398</v>
      </c>
      <c r="W192" s="393">
        <v>27500</v>
      </c>
      <c r="X192" s="393">
        <v>7.56</v>
      </c>
      <c r="Y192" s="393">
        <v>64.709999999999994</v>
      </c>
      <c r="Z192" s="393">
        <v>27500</v>
      </c>
      <c r="AA192">
        <v>0</v>
      </c>
      <c r="AB192" s="400">
        <v>44304.906547256942</v>
      </c>
      <c r="AC192" t="s">
        <v>25</v>
      </c>
    </row>
    <row r="193" spans="1:29">
      <c r="A193" t="s">
        <v>382</v>
      </c>
      <c r="B193" t="s">
        <v>440</v>
      </c>
      <c r="C193" t="s">
        <v>486</v>
      </c>
      <c r="D193" t="s">
        <v>571</v>
      </c>
      <c r="E193" t="s">
        <v>390</v>
      </c>
      <c r="F193" t="s">
        <v>391</v>
      </c>
      <c r="G193">
        <v>6100600</v>
      </c>
      <c r="H193">
        <v>202104</v>
      </c>
      <c r="I193" s="400">
        <v>44298</v>
      </c>
      <c r="J193" t="s">
        <v>452</v>
      </c>
      <c r="K193" t="s">
        <v>386</v>
      </c>
      <c r="M193" t="s">
        <v>387</v>
      </c>
      <c r="O193" t="s">
        <v>593</v>
      </c>
      <c r="P193" t="s">
        <v>594</v>
      </c>
      <c r="Q193" t="s">
        <v>490</v>
      </c>
      <c r="R193">
        <v>2069125</v>
      </c>
      <c r="S193" t="s">
        <v>387</v>
      </c>
      <c r="U193" t="s">
        <v>715</v>
      </c>
      <c r="V193" t="s">
        <v>398</v>
      </c>
      <c r="W193" s="393">
        <v>11000</v>
      </c>
      <c r="X193" s="393">
        <v>3.03</v>
      </c>
      <c r="Y193" s="393">
        <v>25.88</v>
      </c>
      <c r="Z193" s="393">
        <v>11000</v>
      </c>
      <c r="AA193">
        <v>0</v>
      </c>
      <c r="AB193" s="400">
        <v>44304.906547256942</v>
      </c>
      <c r="AC193" t="s">
        <v>25</v>
      </c>
    </row>
    <row r="194" spans="1:29">
      <c r="A194" t="s">
        <v>382</v>
      </c>
      <c r="B194" t="s">
        <v>440</v>
      </c>
      <c r="C194" t="s">
        <v>486</v>
      </c>
      <c r="D194" t="s">
        <v>571</v>
      </c>
      <c r="E194" t="s">
        <v>390</v>
      </c>
      <c r="F194" t="s">
        <v>391</v>
      </c>
      <c r="G194">
        <v>6100695</v>
      </c>
      <c r="H194">
        <v>202104</v>
      </c>
      <c r="I194" s="400">
        <v>44316</v>
      </c>
      <c r="J194">
        <v>122536</v>
      </c>
      <c r="K194" t="s">
        <v>386</v>
      </c>
      <c r="M194" t="s">
        <v>387</v>
      </c>
      <c r="O194" t="s">
        <v>705</v>
      </c>
      <c r="P194" t="s">
        <v>706</v>
      </c>
      <c r="Q194" t="s">
        <v>490</v>
      </c>
      <c r="R194">
        <v>2069125</v>
      </c>
      <c r="S194" t="s">
        <v>387</v>
      </c>
      <c r="U194" t="s">
        <v>716</v>
      </c>
      <c r="V194" t="s">
        <v>398</v>
      </c>
      <c r="W194" s="393">
        <v>95000</v>
      </c>
      <c r="X194" s="393">
        <v>25.65</v>
      </c>
      <c r="Y194" s="393">
        <v>212.52</v>
      </c>
      <c r="Z194" s="393">
        <v>95000</v>
      </c>
      <c r="AA194">
        <v>0</v>
      </c>
      <c r="AB194" s="400">
        <v>44318.084575266206</v>
      </c>
      <c r="AC194" t="s">
        <v>25</v>
      </c>
    </row>
    <row r="195" spans="1:29">
      <c r="A195" t="s">
        <v>382</v>
      </c>
      <c r="B195" t="s">
        <v>440</v>
      </c>
      <c r="C195" t="s">
        <v>486</v>
      </c>
      <c r="D195" t="s">
        <v>571</v>
      </c>
      <c r="E195" t="s">
        <v>390</v>
      </c>
      <c r="F195" t="s">
        <v>391</v>
      </c>
      <c r="G195">
        <v>6100695</v>
      </c>
      <c r="H195">
        <v>202104</v>
      </c>
      <c r="I195" s="400">
        <v>44316</v>
      </c>
      <c r="J195">
        <v>122536</v>
      </c>
      <c r="K195" t="s">
        <v>386</v>
      </c>
      <c r="M195" t="s">
        <v>387</v>
      </c>
      <c r="O195" t="s">
        <v>705</v>
      </c>
      <c r="P195" t="s">
        <v>706</v>
      </c>
      <c r="Q195" t="s">
        <v>490</v>
      </c>
      <c r="R195">
        <v>2069125</v>
      </c>
      <c r="S195" t="s">
        <v>387</v>
      </c>
      <c r="U195" t="s">
        <v>717</v>
      </c>
      <c r="V195" t="s">
        <v>398</v>
      </c>
      <c r="W195" s="393">
        <v>95000</v>
      </c>
      <c r="X195" s="393">
        <v>25.65</v>
      </c>
      <c r="Y195" s="393">
        <v>212.52</v>
      </c>
      <c r="Z195" s="393">
        <v>95000</v>
      </c>
      <c r="AA195">
        <v>0</v>
      </c>
      <c r="AB195" s="400">
        <v>44318.084575266206</v>
      </c>
      <c r="AC195" t="s">
        <v>25</v>
      </c>
    </row>
    <row r="196" spans="1:29">
      <c r="A196" t="s">
        <v>382</v>
      </c>
      <c r="B196" t="s">
        <v>440</v>
      </c>
      <c r="C196" t="s">
        <v>486</v>
      </c>
      <c r="D196" t="s">
        <v>571</v>
      </c>
      <c r="E196" t="s">
        <v>390</v>
      </c>
      <c r="F196" t="s">
        <v>391</v>
      </c>
      <c r="G196">
        <v>6100815</v>
      </c>
      <c r="H196">
        <v>202105</v>
      </c>
      <c r="I196" s="400">
        <v>44328</v>
      </c>
      <c r="J196" t="s">
        <v>452</v>
      </c>
      <c r="K196" t="s">
        <v>386</v>
      </c>
      <c r="M196" t="s">
        <v>387</v>
      </c>
      <c r="O196" t="s">
        <v>718</v>
      </c>
      <c r="P196" t="s">
        <v>719</v>
      </c>
      <c r="Q196" t="s">
        <v>490</v>
      </c>
      <c r="R196">
        <v>2069125</v>
      </c>
      <c r="S196" t="s">
        <v>387</v>
      </c>
      <c r="U196" t="s">
        <v>720</v>
      </c>
      <c r="V196" t="s">
        <v>398</v>
      </c>
      <c r="W196" s="393">
        <v>21400</v>
      </c>
      <c r="X196" s="393">
        <v>5.56</v>
      </c>
      <c r="Y196" s="393">
        <v>46.03</v>
      </c>
      <c r="Z196" s="393">
        <v>21400</v>
      </c>
      <c r="AA196">
        <v>0</v>
      </c>
      <c r="AB196" s="400">
        <v>44329.738574803239</v>
      </c>
      <c r="AC196" t="s">
        <v>25</v>
      </c>
    </row>
    <row r="197" spans="1:29">
      <c r="A197" t="s">
        <v>382</v>
      </c>
      <c r="B197" t="s">
        <v>440</v>
      </c>
      <c r="C197" t="s">
        <v>486</v>
      </c>
      <c r="D197" t="s">
        <v>571</v>
      </c>
      <c r="E197" t="s">
        <v>390</v>
      </c>
      <c r="F197" t="s">
        <v>391</v>
      </c>
      <c r="G197">
        <v>6100815</v>
      </c>
      <c r="H197">
        <v>202105</v>
      </c>
      <c r="I197" s="400">
        <v>44328</v>
      </c>
      <c r="J197" t="s">
        <v>452</v>
      </c>
      <c r="K197" t="s">
        <v>386</v>
      </c>
      <c r="M197" t="s">
        <v>387</v>
      </c>
      <c r="O197" t="s">
        <v>587</v>
      </c>
      <c r="P197" t="s">
        <v>588</v>
      </c>
      <c r="Q197" t="s">
        <v>490</v>
      </c>
      <c r="R197">
        <v>2069125</v>
      </c>
      <c r="S197" t="s">
        <v>387</v>
      </c>
      <c r="U197" t="s">
        <v>721</v>
      </c>
      <c r="V197" t="s">
        <v>398</v>
      </c>
      <c r="W197" s="393">
        <v>50000</v>
      </c>
      <c r="X197" s="393">
        <v>13</v>
      </c>
      <c r="Y197" s="393">
        <v>107.55</v>
      </c>
      <c r="Z197" s="393">
        <v>50000</v>
      </c>
      <c r="AA197">
        <v>0</v>
      </c>
      <c r="AB197" s="400">
        <v>44329.738575196759</v>
      </c>
      <c r="AC197" t="s">
        <v>25</v>
      </c>
    </row>
    <row r="198" spans="1:29">
      <c r="A198" t="s">
        <v>382</v>
      </c>
      <c r="B198" t="s">
        <v>440</v>
      </c>
      <c r="C198" t="s">
        <v>486</v>
      </c>
      <c r="D198" t="s">
        <v>571</v>
      </c>
      <c r="E198" t="s">
        <v>390</v>
      </c>
      <c r="F198" t="s">
        <v>391</v>
      </c>
      <c r="G198">
        <v>6100815</v>
      </c>
      <c r="H198">
        <v>202105</v>
      </c>
      <c r="I198" s="400">
        <v>44328</v>
      </c>
      <c r="J198" t="s">
        <v>452</v>
      </c>
      <c r="K198" t="s">
        <v>386</v>
      </c>
      <c r="M198" t="s">
        <v>387</v>
      </c>
      <c r="O198" t="s">
        <v>722</v>
      </c>
      <c r="P198" t="s">
        <v>723</v>
      </c>
      <c r="Q198" t="s">
        <v>490</v>
      </c>
      <c r="R198">
        <v>2069125</v>
      </c>
      <c r="S198" t="s">
        <v>387</v>
      </c>
      <c r="U198" t="s">
        <v>724</v>
      </c>
      <c r="V198" t="s">
        <v>398</v>
      </c>
      <c r="W198" s="393">
        <v>13000</v>
      </c>
      <c r="X198" s="393">
        <v>3.38</v>
      </c>
      <c r="Y198" s="393">
        <v>27.96</v>
      </c>
      <c r="Z198" s="393">
        <v>13000</v>
      </c>
      <c r="AA198">
        <v>0</v>
      </c>
      <c r="AB198" s="400">
        <v>44329.738574803239</v>
      </c>
      <c r="AC198" t="s">
        <v>25</v>
      </c>
    </row>
    <row r="199" spans="1:29">
      <c r="A199" t="s">
        <v>382</v>
      </c>
      <c r="B199" t="s">
        <v>440</v>
      </c>
      <c r="C199" t="s">
        <v>486</v>
      </c>
      <c r="D199" t="s">
        <v>571</v>
      </c>
      <c r="E199" t="s">
        <v>390</v>
      </c>
      <c r="F199" t="s">
        <v>391</v>
      </c>
      <c r="G199">
        <v>6100815</v>
      </c>
      <c r="H199">
        <v>202105</v>
      </c>
      <c r="I199" s="400">
        <v>44328</v>
      </c>
      <c r="J199" t="s">
        <v>452</v>
      </c>
      <c r="K199" t="s">
        <v>386</v>
      </c>
      <c r="M199" t="s">
        <v>387</v>
      </c>
      <c r="O199" t="s">
        <v>725</v>
      </c>
      <c r="P199" t="s">
        <v>726</v>
      </c>
      <c r="Q199" t="s">
        <v>490</v>
      </c>
      <c r="R199">
        <v>2069125</v>
      </c>
      <c r="S199" t="s">
        <v>387</v>
      </c>
      <c r="U199" t="s">
        <v>727</v>
      </c>
      <c r="V199" t="s">
        <v>398</v>
      </c>
      <c r="W199" s="393">
        <v>22500</v>
      </c>
      <c r="X199" s="393">
        <v>5.85</v>
      </c>
      <c r="Y199" s="393">
        <v>48.4</v>
      </c>
      <c r="Z199" s="393">
        <v>22500</v>
      </c>
      <c r="AA199">
        <v>0</v>
      </c>
      <c r="AB199" s="400">
        <v>44329.738574803239</v>
      </c>
      <c r="AC199" t="s">
        <v>25</v>
      </c>
    </row>
    <row r="200" spans="1:29">
      <c r="A200" t="s">
        <v>382</v>
      </c>
      <c r="B200" t="s">
        <v>440</v>
      </c>
      <c r="C200" t="s">
        <v>486</v>
      </c>
      <c r="D200" t="s">
        <v>571</v>
      </c>
      <c r="E200" t="s">
        <v>390</v>
      </c>
      <c r="F200" t="s">
        <v>391</v>
      </c>
      <c r="G200">
        <v>6100850</v>
      </c>
      <c r="H200">
        <v>202105</v>
      </c>
      <c r="I200" s="400">
        <v>44335</v>
      </c>
      <c r="J200" t="s">
        <v>452</v>
      </c>
      <c r="K200" t="s">
        <v>386</v>
      </c>
      <c r="M200" t="s">
        <v>387</v>
      </c>
      <c r="O200" t="s">
        <v>593</v>
      </c>
      <c r="P200" t="s">
        <v>594</v>
      </c>
      <c r="Q200" t="s">
        <v>490</v>
      </c>
      <c r="R200">
        <v>2069125</v>
      </c>
      <c r="S200" t="s">
        <v>728</v>
      </c>
      <c r="U200" t="s">
        <v>729</v>
      </c>
      <c r="V200" t="s">
        <v>398</v>
      </c>
      <c r="W200" s="393">
        <v>12000</v>
      </c>
      <c r="X200" s="393">
        <v>3.12</v>
      </c>
      <c r="Y200" s="393">
        <v>25.6</v>
      </c>
      <c r="Z200" s="393">
        <v>12000</v>
      </c>
      <c r="AA200">
        <v>0</v>
      </c>
      <c r="AB200" s="400">
        <v>44337.602855092591</v>
      </c>
      <c r="AC200" t="s">
        <v>25</v>
      </c>
    </row>
    <row r="201" spans="1:29">
      <c r="A201" t="s">
        <v>382</v>
      </c>
      <c r="B201" t="s">
        <v>440</v>
      </c>
      <c r="C201" t="s">
        <v>486</v>
      </c>
      <c r="D201" t="s">
        <v>571</v>
      </c>
      <c r="E201" t="s">
        <v>390</v>
      </c>
      <c r="F201" t="s">
        <v>391</v>
      </c>
      <c r="G201">
        <v>6100850</v>
      </c>
      <c r="H201">
        <v>202105</v>
      </c>
      <c r="I201" s="400">
        <v>44335</v>
      </c>
      <c r="J201" t="s">
        <v>452</v>
      </c>
      <c r="K201" t="s">
        <v>386</v>
      </c>
      <c r="M201" t="s">
        <v>387</v>
      </c>
      <c r="O201" t="s">
        <v>730</v>
      </c>
      <c r="P201" t="s">
        <v>731</v>
      </c>
      <c r="Q201" t="s">
        <v>490</v>
      </c>
      <c r="R201">
        <v>2069125</v>
      </c>
      <c r="S201" t="s">
        <v>732</v>
      </c>
      <c r="U201" t="s">
        <v>729</v>
      </c>
      <c r="V201" t="s">
        <v>398</v>
      </c>
      <c r="W201" s="393">
        <v>42000</v>
      </c>
      <c r="X201" s="393">
        <v>10.92</v>
      </c>
      <c r="Y201" s="393">
        <v>89.59</v>
      </c>
      <c r="Z201" s="393">
        <v>42000</v>
      </c>
      <c r="AA201">
        <v>0</v>
      </c>
      <c r="AB201" s="400">
        <v>44337.602855092591</v>
      </c>
      <c r="AC201" t="s">
        <v>25</v>
      </c>
    </row>
    <row r="202" spans="1:29">
      <c r="A202" t="s">
        <v>382</v>
      </c>
      <c r="B202" t="s">
        <v>382</v>
      </c>
      <c r="C202" t="s">
        <v>486</v>
      </c>
      <c r="D202" t="s">
        <v>571</v>
      </c>
      <c r="E202" t="s">
        <v>390</v>
      </c>
      <c r="F202" t="s">
        <v>391</v>
      </c>
      <c r="G202">
        <v>6101120</v>
      </c>
      <c r="H202">
        <v>202106</v>
      </c>
      <c r="I202" s="400">
        <v>44377</v>
      </c>
      <c r="J202">
        <v>124932</v>
      </c>
      <c r="K202" t="s">
        <v>386</v>
      </c>
      <c r="M202" t="s">
        <v>387</v>
      </c>
      <c r="O202" t="s">
        <v>593</v>
      </c>
      <c r="P202" t="s">
        <v>594</v>
      </c>
      <c r="Q202" t="s">
        <v>396</v>
      </c>
      <c r="R202">
        <v>2265787</v>
      </c>
      <c r="S202" t="s">
        <v>387</v>
      </c>
      <c r="U202" t="s">
        <v>733</v>
      </c>
      <c r="V202" t="s">
        <v>398</v>
      </c>
      <c r="W202" s="393">
        <v>5500</v>
      </c>
      <c r="X202" s="393">
        <v>1.46</v>
      </c>
      <c r="Y202" s="393">
        <v>12.38</v>
      </c>
      <c r="Z202" s="393">
        <v>5500</v>
      </c>
      <c r="AA202">
        <v>0</v>
      </c>
      <c r="AB202" s="400">
        <v>44380.805484062497</v>
      </c>
      <c r="AC202" t="s">
        <v>326</v>
      </c>
    </row>
    <row r="203" spans="1:29">
      <c r="A203" t="s">
        <v>382</v>
      </c>
      <c r="B203" t="s">
        <v>382</v>
      </c>
      <c r="C203" t="s">
        <v>486</v>
      </c>
      <c r="D203" t="s">
        <v>571</v>
      </c>
      <c r="E203" t="s">
        <v>390</v>
      </c>
      <c r="F203" t="s">
        <v>391</v>
      </c>
      <c r="G203">
        <v>6101120</v>
      </c>
      <c r="H203">
        <v>202106</v>
      </c>
      <c r="I203" s="400">
        <v>44377</v>
      </c>
      <c r="J203">
        <v>124932</v>
      </c>
      <c r="K203" t="s">
        <v>386</v>
      </c>
      <c r="M203" t="s">
        <v>387</v>
      </c>
      <c r="O203" t="s">
        <v>593</v>
      </c>
      <c r="P203" t="s">
        <v>594</v>
      </c>
      <c r="Q203" t="s">
        <v>396</v>
      </c>
      <c r="R203">
        <v>2265787</v>
      </c>
      <c r="S203" t="s">
        <v>387</v>
      </c>
      <c r="U203" t="s">
        <v>734</v>
      </c>
      <c r="V203" t="s">
        <v>398</v>
      </c>
      <c r="W203" s="393">
        <v>5000</v>
      </c>
      <c r="X203" s="393">
        <v>1.33</v>
      </c>
      <c r="Y203" s="393">
        <v>11.26</v>
      </c>
      <c r="Z203" s="393">
        <v>5000</v>
      </c>
      <c r="AA203">
        <v>0</v>
      </c>
      <c r="AB203" s="400">
        <v>44380.805484062497</v>
      </c>
      <c r="AC203" t="s">
        <v>326</v>
      </c>
    </row>
    <row r="204" spans="1:29">
      <c r="A204" t="s">
        <v>382</v>
      </c>
      <c r="B204" t="s">
        <v>382</v>
      </c>
      <c r="C204" t="s">
        <v>486</v>
      </c>
      <c r="D204" t="s">
        <v>571</v>
      </c>
      <c r="E204" t="s">
        <v>390</v>
      </c>
      <c r="F204" t="s">
        <v>391</v>
      </c>
      <c r="G204">
        <v>6101099</v>
      </c>
      <c r="H204">
        <v>202106</v>
      </c>
      <c r="I204" s="400">
        <v>44377</v>
      </c>
      <c r="J204">
        <v>125062</v>
      </c>
      <c r="K204" t="s">
        <v>386</v>
      </c>
      <c r="M204" t="s">
        <v>387</v>
      </c>
      <c r="O204" t="s">
        <v>705</v>
      </c>
      <c r="P204" t="s">
        <v>706</v>
      </c>
      <c r="Q204" t="s">
        <v>490</v>
      </c>
      <c r="R204">
        <v>2069125</v>
      </c>
      <c r="S204" t="s">
        <v>387</v>
      </c>
      <c r="U204" t="s">
        <v>735</v>
      </c>
      <c r="V204" t="s">
        <v>398</v>
      </c>
      <c r="W204" s="393">
        <v>65000</v>
      </c>
      <c r="X204" s="393">
        <v>17.23</v>
      </c>
      <c r="Y204" s="393">
        <v>146.32</v>
      </c>
      <c r="Z204" s="393">
        <v>65000</v>
      </c>
      <c r="AA204">
        <v>0</v>
      </c>
      <c r="AB204" s="400">
        <v>44380.664141238427</v>
      </c>
      <c r="AC204" t="s">
        <v>25</v>
      </c>
    </row>
    <row r="205" spans="1:29">
      <c r="A205" t="s">
        <v>382</v>
      </c>
      <c r="B205" t="s">
        <v>382</v>
      </c>
      <c r="C205" t="s">
        <v>486</v>
      </c>
      <c r="D205" t="s">
        <v>571</v>
      </c>
      <c r="E205" t="s">
        <v>390</v>
      </c>
      <c r="F205" t="s">
        <v>391</v>
      </c>
      <c r="G205">
        <v>6101099</v>
      </c>
      <c r="H205">
        <v>202106</v>
      </c>
      <c r="I205" s="400">
        <v>44377</v>
      </c>
      <c r="J205">
        <v>125062</v>
      </c>
      <c r="K205" t="s">
        <v>386</v>
      </c>
      <c r="M205" t="s">
        <v>387</v>
      </c>
      <c r="O205" t="s">
        <v>705</v>
      </c>
      <c r="P205" t="s">
        <v>706</v>
      </c>
      <c r="Q205" t="s">
        <v>396</v>
      </c>
      <c r="R205">
        <v>2265787</v>
      </c>
      <c r="S205" t="s">
        <v>387</v>
      </c>
      <c r="U205" t="s">
        <v>736</v>
      </c>
      <c r="V205" t="s">
        <v>398</v>
      </c>
      <c r="W205" s="393">
        <v>325000</v>
      </c>
      <c r="X205" s="393">
        <v>86.13</v>
      </c>
      <c r="Y205" s="393">
        <v>731.58</v>
      </c>
      <c r="Z205" s="393">
        <v>325000</v>
      </c>
      <c r="AA205">
        <v>318</v>
      </c>
      <c r="AB205" s="400">
        <v>44380.664141238427</v>
      </c>
      <c r="AC205" t="s">
        <v>326</v>
      </c>
    </row>
    <row r="206" spans="1:29">
      <c r="A206" t="s">
        <v>382</v>
      </c>
      <c r="B206" t="s">
        <v>382</v>
      </c>
      <c r="C206" t="s">
        <v>486</v>
      </c>
      <c r="D206" t="s">
        <v>571</v>
      </c>
      <c r="E206" t="s">
        <v>390</v>
      </c>
      <c r="F206" t="s">
        <v>391</v>
      </c>
      <c r="G206">
        <v>6101099</v>
      </c>
      <c r="H206">
        <v>202106</v>
      </c>
      <c r="I206" s="400">
        <v>44377</v>
      </c>
      <c r="J206">
        <v>125062</v>
      </c>
      <c r="K206" t="s">
        <v>386</v>
      </c>
      <c r="M206" t="s">
        <v>387</v>
      </c>
      <c r="O206" t="s">
        <v>705</v>
      </c>
      <c r="P206" t="s">
        <v>706</v>
      </c>
      <c r="Q206" t="s">
        <v>490</v>
      </c>
      <c r="R206">
        <v>2069125</v>
      </c>
      <c r="S206" t="s">
        <v>387</v>
      </c>
      <c r="U206" t="s">
        <v>737</v>
      </c>
      <c r="V206" t="s">
        <v>398</v>
      </c>
      <c r="W206" s="393">
        <v>325000</v>
      </c>
      <c r="X206" s="393">
        <v>86.13</v>
      </c>
      <c r="Y206" s="393">
        <v>731.58</v>
      </c>
      <c r="Z206" s="393">
        <v>325000</v>
      </c>
      <c r="AA206">
        <v>318</v>
      </c>
      <c r="AB206" s="400">
        <v>44380.664141238427</v>
      </c>
      <c r="AC206" t="s">
        <v>25</v>
      </c>
    </row>
    <row r="207" spans="1:29">
      <c r="A207" t="s">
        <v>382</v>
      </c>
      <c r="B207" t="s">
        <v>382</v>
      </c>
      <c r="C207" t="s">
        <v>486</v>
      </c>
      <c r="D207" t="s">
        <v>571</v>
      </c>
      <c r="E207" t="s">
        <v>390</v>
      </c>
      <c r="F207" t="s">
        <v>391</v>
      </c>
      <c r="G207">
        <v>6101099</v>
      </c>
      <c r="H207">
        <v>202106</v>
      </c>
      <c r="I207" s="400">
        <v>44377</v>
      </c>
      <c r="J207">
        <v>125062</v>
      </c>
      <c r="K207" t="s">
        <v>386</v>
      </c>
      <c r="M207" t="s">
        <v>387</v>
      </c>
      <c r="O207" t="s">
        <v>705</v>
      </c>
      <c r="P207" t="s">
        <v>706</v>
      </c>
      <c r="Q207" t="s">
        <v>396</v>
      </c>
      <c r="R207">
        <v>2265787</v>
      </c>
      <c r="S207" t="s">
        <v>387</v>
      </c>
      <c r="U207" t="s">
        <v>738</v>
      </c>
      <c r="V207" t="s">
        <v>398</v>
      </c>
      <c r="W207" s="393">
        <v>65000</v>
      </c>
      <c r="X207" s="393">
        <v>17.23</v>
      </c>
      <c r="Y207" s="393">
        <v>146.32</v>
      </c>
      <c r="Z207" s="393">
        <v>65000</v>
      </c>
      <c r="AA207">
        <v>0</v>
      </c>
      <c r="AB207" s="400">
        <v>44380.664141435183</v>
      </c>
      <c r="AC207" t="s">
        <v>326</v>
      </c>
    </row>
    <row r="208" spans="1:29">
      <c r="A208" t="s">
        <v>382</v>
      </c>
      <c r="B208" t="s">
        <v>440</v>
      </c>
      <c r="C208" t="s">
        <v>486</v>
      </c>
      <c r="D208" t="s">
        <v>571</v>
      </c>
      <c r="E208" t="s">
        <v>390</v>
      </c>
      <c r="F208" t="s">
        <v>391</v>
      </c>
      <c r="G208">
        <v>6101083</v>
      </c>
      <c r="H208">
        <v>202106</v>
      </c>
      <c r="I208" s="400">
        <v>44377</v>
      </c>
      <c r="J208" t="s">
        <v>452</v>
      </c>
      <c r="K208" t="s">
        <v>386</v>
      </c>
      <c r="M208" t="s">
        <v>387</v>
      </c>
      <c r="O208" t="s">
        <v>739</v>
      </c>
      <c r="P208" t="s">
        <v>740</v>
      </c>
      <c r="Q208" t="s">
        <v>490</v>
      </c>
      <c r="R208">
        <v>2069125</v>
      </c>
      <c r="S208" t="s">
        <v>741</v>
      </c>
      <c r="U208" t="s">
        <v>742</v>
      </c>
      <c r="V208" t="s">
        <v>398</v>
      </c>
      <c r="W208" s="393">
        <v>26500</v>
      </c>
      <c r="X208" s="393">
        <v>7.02</v>
      </c>
      <c r="Y208" s="393">
        <v>59.65</v>
      </c>
      <c r="Z208" s="393">
        <v>26500</v>
      </c>
      <c r="AA208">
        <v>0</v>
      </c>
      <c r="AB208" s="400">
        <v>44379.967036921298</v>
      </c>
      <c r="AC208" t="s">
        <v>25</v>
      </c>
    </row>
    <row r="209" spans="1:29">
      <c r="A209" t="s">
        <v>382</v>
      </c>
      <c r="B209" t="s">
        <v>440</v>
      </c>
      <c r="C209" t="s">
        <v>486</v>
      </c>
      <c r="D209" t="s">
        <v>571</v>
      </c>
      <c r="E209" t="s">
        <v>390</v>
      </c>
      <c r="F209" t="s">
        <v>391</v>
      </c>
      <c r="G209">
        <v>6101083</v>
      </c>
      <c r="H209">
        <v>202106</v>
      </c>
      <c r="I209" s="400">
        <v>44377</v>
      </c>
      <c r="J209" t="s">
        <v>452</v>
      </c>
      <c r="K209" t="s">
        <v>386</v>
      </c>
      <c r="M209" t="s">
        <v>387</v>
      </c>
      <c r="O209" t="s">
        <v>587</v>
      </c>
      <c r="P209" t="s">
        <v>588</v>
      </c>
      <c r="Q209" t="s">
        <v>490</v>
      </c>
      <c r="R209">
        <v>2069125</v>
      </c>
      <c r="S209" t="s">
        <v>743</v>
      </c>
      <c r="U209" t="s">
        <v>744</v>
      </c>
      <c r="V209" t="s">
        <v>398</v>
      </c>
      <c r="W209" s="393">
        <v>38000</v>
      </c>
      <c r="X209" s="393">
        <v>10.07</v>
      </c>
      <c r="Y209" s="393">
        <v>85.54</v>
      </c>
      <c r="Z209" s="393">
        <v>38000</v>
      </c>
      <c r="AA209">
        <v>0</v>
      </c>
      <c r="AB209" s="400">
        <v>44379.967036921298</v>
      </c>
      <c r="AC209" t="s">
        <v>25</v>
      </c>
    </row>
    <row r="210" spans="1:29">
      <c r="A210" t="s">
        <v>382</v>
      </c>
      <c r="B210" t="s">
        <v>440</v>
      </c>
      <c r="C210" t="s">
        <v>486</v>
      </c>
      <c r="D210" t="s">
        <v>571</v>
      </c>
      <c r="E210" t="s">
        <v>390</v>
      </c>
      <c r="F210" t="s">
        <v>391</v>
      </c>
      <c r="G210">
        <v>6101084</v>
      </c>
      <c r="H210">
        <v>202106</v>
      </c>
      <c r="I210" s="400">
        <v>44377</v>
      </c>
      <c r="J210" t="s">
        <v>452</v>
      </c>
      <c r="K210" t="s">
        <v>386</v>
      </c>
      <c r="M210" t="s">
        <v>387</v>
      </c>
      <c r="O210" t="s">
        <v>745</v>
      </c>
      <c r="P210" t="s">
        <v>746</v>
      </c>
      <c r="Q210" t="s">
        <v>490</v>
      </c>
      <c r="R210">
        <v>2069125</v>
      </c>
      <c r="S210" t="s">
        <v>747</v>
      </c>
      <c r="U210" t="s">
        <v>748</v>
      </c>
      <c r="V210" t="s">
        <v>398</v>
      </c>
      <c r="W210" s="393">
        <v>6000</v>
      </c>
      <c r="X210" s="393">
        <v>1.59</v>
      </c>
      <c r="Y210" s="393">
        <v>13.51</v>
      </c>
      <c r="Z210" s="393">
        <v>6000</v>
      </c>
      <c r="AA210">
        <v>0</v>
      </c>
      <c r="AB210" s="400">
        <v>44379.988307094907</v>
      </c>
      <c r="AC210" t="s">
        <v>25</v>
      </c>
    </row>
    <row r="211" spans="1:29">
      <c r="A211" t="s">
        <v>382</v>
      </c>
      <c r="B211" t="s">
        <v>440</v>
      </c>
      <c r="C211" t="s">
        <v>486</v>
      </c>
      <c r="D211" t="s">
        <v>571</v>
      </c>
      <c r="E211" t="s">
        <v>390</v>
      </c>
      <c r="F211" t="s">
        <v>391</v>
      </c>
      <c r="G211">
        <v>6101084</v>
      </c>
      <c r="H211">
        <v>202106</v>
      </c>
      <c r="I211" s="400">
        <v>44377</v>
      </c>
      <c r="J211" t="s">
        <v>452</v>
      </c>
      <c r="K211" t="s">
        <v>386</v>
      </c>
      <c r="M211" t="s">
        <v>387</v>
      </c>
      <c r="O211" t="s">
        <v>749</v>
      </c>
      <c r="P211" t="s">
        <v>750</v>
      </c>
      <c r="Q211" t="s">
        <v>490</v>
      </c>
      <c r="R211">
        <v>2069125</v>
      </c>
      <c r="S211" t="s">
        <v>751</v>
      </c>
      <c r="U211" t="s">
        <v>752</v>
      </c>
      <c r="V211" t="s">
        <v>398</v>
      </c>
      <c r="W211" s="393">
        <v>26000</v>
      </c>
      <c r="X211" s="393">
        <v>6.89</v>
      </c>
      <c r="Y211" s="393">
        <v>58.53</v>
      </c>
      <c r="Z211" s="393">
        <v>26000</v>
      </c>
      <c r="AA211">
        <v>0</v>
      </c>
      <c r="AB211" s="400">
        <v>44379.988307094907</v>
      </c>
      <c r="AC211" t="s">
        <v>25</v>
      </c>
    </row>
    <row r="212" spans="1:29">
      <c r="A212" t="s">
        <v>382</v>
      </c>
      <c r="B212" t="s">
        <v>440</v>
      </c>
      <c r="C212" t="s">
        <v>486</v>
      </c>
      <c r="D212" t="s">
        <v>571</v>
      </c>
      <c r="E212" t="s">
        <v>390</v>
      </c>
      <c r="F212" t="s">
        <v>391</v>
      </c>
      <c r="G212">
        <v>6101084</v>
      </c>
      <c r="H212">
        <v>202106</v>
      </c>
      <c r="I212" s="400">
        <v>44377</v>
      </c>
      <c r="J212" t="s">
        <v>452</v>
      </c>
      <c r="K212" t="s">
        <v>386</v>
      </c>
      <c r="M212" t="s">
        <v>387</v>
      </c>
      <c r="O212" t="s">
        <v>753</v>
      </c>
      <c r="P212" t="s">
        <v>754</v>
      </c>
      <c r="Q212" t="s">
        <v>490</v>
      </c>
      <c r="R212">
        <v>2069125</v>
      </c>
      <c r="S212" t="s">
        <v>755</v>
      </c>
      <c r="U212" t="s">
        <v>756</v>
      </c>
      <c r="V212" t="s">
        <v>398</v>
      </c>
      <c r="W212" s="393">
        <v>12000</v>
      </c>
      <c r="X212" s="393">
        <v>3.18</v>
      </c>
      <c r="Y212" s="393">
        <v>27.01</v>
      </c>
      <c r="Z212" s="393">
        <v>12000</v>
      </c>
      <c r="AA212">
        <v>0</v>
      </c>
      <c r="AB212" s="400">
        <v>44379.988307094907</v>
      </c>
      <c r="AC212" t="s">
        <v>25</v>
      </c>
    </row>
    <row r="213" spans="1:29">
      <c r="A213" t="s">
        <v>382</v>
      </c>
      <c r="B213" t="s">
        <v>440</v>
      </c>
      <c r="C213" t="s">
        <v>486</v>
      </c>
      <c r="D213" t="s">
        <v>571</v>
      </c>
      <c r="E213" t="s">
        <v>390</v>
      </c>
      <c r="F213" t="s">
        <v>391</v>
      </c>
      <c r="G213">
        <v>6101084</v>
      </c>
      <c r="H213">
        <v>202106</v>
      </c>
      <c r="I213" s="400">
        <v>44377</v>
      </c>
      <c r="J213" t="s">
        <v>452</v>
      </c>
      <c r="K213" t="s">
        <v>386</v>
      </c>
      <c r="M213" t="s">
        <v>387</v>
      </c>
      <c r="O213" t="s">
        <v>757</v>
      </c>
      <c r="P213" t="s">
        <v>758</v>
      </c>
      <c r="Q213" t="s">
        <v>490</v>
      </c>
      <c r="R213">
        <v>2069125</v>
      </c>
      <c r="S213" t="s">
        <v>759</v>
      </c>
      <c r="U213" t="s">
        <v>760</v>
      </c>
      <c r="V213" t="s">
        <v>398</v>
      </c>
      <c r="W213" s="393">
        <v>29800</v>
      </c>
      <c r="X213" s="393">
        <v>7.9</v>
      </c>
      <c r="Y213" s="393">
        <v>67.08</v>
      </c>
      <c r="Z213" s="393">
        <v>29800</v>
      </c>
      <c r="AA213">
        <v>0</v>
      </c>
      <c r="AB213" s="400">
        <v>44379.988307094907</v>
      </c>
      <c r="AC213" t="s">
        <v>25</v>
      </c>
    </row>
    <row r="214" spans="1:29">
      <c r="A214" t="s">
        <v>382</v>
      </c>
      <c r="B214" t="s">
        <v>440</v>
      </c>
      <c r="C214" t="s">
        <v>486</v>
      </c>
      <c r="D214" t="s">
        <v>571</v>
      </c>
      <c r="E214" t="s">
        <v>390</v>
      </c>
      <c r="F214" t="s">
        <v>391</v>
      </c>
      <c r="G214">
        <v>6101084</v>
      </c>
      <c r="H214">
        <v>202106</v>
      </c>
      <c r="I214" s="400">
        <v>44377</v>
      </c>
      <c r="J214" t="s">
        <v>452</v>
      </c>
      <c r="K214" t="s">
        <v>386</v>
      </c>
      <c r="M214" t="s">
        <v>387</v>
      </c>
      <c r="O214" t="s">
        <v>587</v>
      </c>
      <c r="P214" t="s">
        <v>588</v>
      </c>
      <c r="Q214" t="s">
        <v>490</v>
      </c>
      <c r="R214">
        <v>2069125</v>
      </c>
      <c r="S214" t="s">
        <v>626</v>
      </c>
      <c r="U214" t="s">
        <v>761</v>
      </c>
      <c r="V214" t="s">
        <v>398</v>
      </c>
      <c r="W214" s="393">
        <v>14000</v>
      </c>
      <c r="X214" s="393">
        <v>3.71</v>
      </c>
      <c r="Y214" s="393">
        <v>31.51</v>
      </c>
      <c r="Z214" s="393">
        <v>14000</v>
      </c>
      <c r="AA214">
        <v>0</v>
      </c>
      <c r="AB214" s="400">
        <v>44379.988307094907</v>
      </c>
      <c r="AC214" t="s">
        <v>25</v>
      </c>
    </row>
    <row r="215" spans="1:29">
      <c r="A215" t="s">
        <v>382</v>
      </c>
      <c r="B215" t="s">
        <v>440</v>
      </c>
      <c r="C215" t="s">
        <v>486</v>
      </c>
      <c r="D215" t="s">
        <v>571</v>
      </c>
      <c r="E215" t="s">
        <v>390</v>
      </c>
      <c r="F215" t="s">
        <v>391</v>
      </c>
      <c r="G215">
        <v>6101084</v>
      </c>
      <c r="H215">
        <v>202106</v>
      </c>
      <c r="I215" s="400">
        <v>44377</v>
      </c>
      <c r="J215" t="s">
        <v>452</v>
      </c>
      <c r="K215" t="s">
        <v>386</v>
      </c>
      <c r="M215" t="s">
        <v>387</v>
      </c>
      <c r="O215" t="s">
        <v>762</v>
      </c>
      <c r="P215" t="s">
        <v>763</v>
      </c>
      <c r="Q215" t="s">
        <v>490</v>
      </c>
      <c r="R215">
        <v>2069125</v>
      </c>
      <c r="S215" t="s">
        <v>764</v>
      </c>
      <c r="U215" t="s">
        <v>765</v>
      </c>
      <c r="V215" t="s">
        <v>398</v>
      </c>
      <c r="W215" s="393">
        <v>32000</v>
      </c>
      <c r="X215" s="393">
        <v>8.48</v>
      </c>
      <c r="Y215" s="393">
        <v>72.03</v>
      </c>
      <c r="Z215" s="393">
        <v>32000</v>
      </c>
      <c r="AA215">
        <v>0</v>
      </c>
      <c r="AB215" s="400">
        <v>44379.98830690972</v>
      </c>
      <c r="AC215" t="s">
        <v>25</v>
      </c>
    </row>
    <row r="216" spans="1:29">
      <c r="A216" t="s">
        <v>382</v>
      </c>
      <c r="B216" t="s">
        <v>440</v>
      </c>
      <c r="C216" t="s">
        <v>486</v>
      </c>
      <c r="D216" t="s">
        <v>571</v>
      </c>
      <c r="E216" t="s">
        <v>390</v>
      </c>
      <c r="F216" t="s">
        <v>391</v>
      </c>
      <c r="G216">
        <v>6101084</v>
      </c>
      <c r="H216">
        <v>202106</v>
      </c>
      <c r="I216" s="400">
        <v>44377</v>
      </c>
      <c r="J216" t="s">
        <v>452</v>
      </c>
      <c r="K216" t="s">
        <v>386</v>
      </c>
      <c r="M216" t="s">
        <v>387</v>
      </c>
      <c r="O216" t="s">
        <v>766</v>
      </c>
      <c r="P216" t="s">
        <v>767</v>
      </c>
      <c r="Q216" t="s">
        <v>490</v>
      </c>
      <c r="R216">
        <v>2069125</v>
      </c>
      <c r="S216" t="s">
        <v>768</v>
      </c>
      <c r="U216" t="s">
        <v>769</v>
      </c>
      <c r="V216" t="s">
        <v>398</v>
      </c>
      <c r="W216" s="393">
        <v>9000</v>
      </c>
      <c r="X216" s="393">
        <v>2.39</v>
      </c>
      <c r="Y216" s="393">
        <v>20.260000000000002</v>
      </c>
      <c r="Z216" s="393">
        <v>9000</v>
      </c>
      <c r="AA216">
        <v>0</v>
      </c>
      <c r="AB216" s="400">
        <v>44379.98830690972</v>
      </c>
      <c r="AC216" t="s">
        <v>25</v>
      </c>
    </row>
    <row r="217" spans="1:29">
      <c r="A217" t="s">
        <v>382</v>
      </c>
      <c r="B217" t="s">
        <v>440</v>
      </c>
      <c r="C217" t="s">
        <v>486</v>
      </c>
      <c r="D217" t="s">
        <v>571</v>
      </c>
      <c r="E217" t="s">
        <v>390</v>
      </c>
      <c r="F217" t="s">
        <v>391</v>
      </c>
      <c r="G217">
        <v>6101084</v>
      </c>
      <c r="H217">
        <v>202106</v>
      </c>
      <c r="I217" s="400">
        <v>44377</v>
      </c>
      <c r="J217" t="s">
        <v>452</v>
      </c>
      <c r="K217" t="s">
        <v>386</v>
      </c>
      <c r="M217" t="s">
        <v>387</v>
      </c>
      <c r="O217" t="s">
        <v>766</v>
      </c>
      <c r="P217" t="s">
        <v>767</v>
      </c>
      <c r="Q217" t="s">
        <v>490</v>
      </c>
      <c r="R217">
        <v>2069125</v>
      </c>
      <c r="S217" t="s">
        <v>770</v>
      </c>
      <c r="U217" t="s">
        <v>771</v>
      </c>
      <c r="V217" t="s">
        <v>398</v>
      </c>
      <c r="W217" s="393">
        <v>9000</v>
      </c>
      <c r="X217" s="393">
        <v>2.39</v>
      </c>
      <c r="Y217" s="393">
        <v>20.260000000000002</v>
      </c>
      <c r="Z217" s="393">
        <v>9000</v>
      </c>
      <c r="AA217">
        <v>0</v>
      </c>
      <c r="AB217" s="400">
        <v>44379.98830690972</v>
      </c>
      <c r="AC217" t="s">
        <v>25</v>
      </c>
    </row>
    <row r="218" spans="1:29">
      <c r="A218" t="s">
        <v>382</v>
      </c>
      <c r="B218" t="s">
        <v>440</v>
      </c>
      <c r="C218" t="s">
        <v>486</v>
      </c>
      <c r="D218" t="s">
        <v>571</v>
      </c>
      <c r="E218" t="s">
        <v>390</v>
      </c>
      <c r="F218" t="s">
        <v>391</v>
      </c>
      <c r="G218">
        <v>6101084</v>
      </c>
      <c r="H218">
        <v>202106</v>
      </c>
      <c r="I218" s="400">
        <v>44377</v>
      </c>
      <c r="J218" t="s">
        <v>452</v>
      </c>
      <c r="K218" t="s">
        <v>386</v>
      </c>
      <c r="M218" t="s">
        <v>387</v>
      </c>
      <c r="O218" t="s">
        <v>772</v>
      </c>
      <c r="P218" t="s">
        <v>773</v>
      </c>
      <c r="Q218" t="s">
        <v>490</v>
      </c>
      <c r="R218">
        <v>2069125</v>
      </c>
      <c r="S218" t="s">
        <v>774</v>
      </c>
      <c r="U218" t="s">
        <v>775</v>
      </c>
      <c r="V218" t="s">
        <v>398</v>
      </c>
      <c r="W218" s="393">
        <v>83067</v>
      </c>
      <c r="X218" s="393">
        <v>22.01</v>
      </c>
      <c r="Y218" s="393">
        <v>186.98</v>
      </c>
      <c r="Z218" s="393">
        <v>83067</v>
      </c>
      <c r="AA218">
        <v>316</v>
      </c>
      <c r="AB218" s="400">
        <v>44379.988307094907</v>
      </c>
      <c r="AC218" t="s">
        <v>25</v>
      </c>
    </row>
    <row r="219" spans="1:29">
      <c r="A219" t="s">
        <v>382</v>
      </c>
      <c r="B219" t="s">
        <v>440</v>
      </c>
      <c r="C219" t="s">
        <v>486</v>
      </c>
      <c r="D219" t="s">
        <v>571</v>
      </c>
      <c r="E219" t="s">
        <v>390</v>
      </c>
      <c r="F219" t="s">
        <v>391</v>
      </c>
      <c r="G219">
        <v>6101084</v>
      </c>
      <c r="H219">
        <v>202106</v>
      </c>
      <c r="I219" s="400">
        <v>44377</v>
      </c>
      <c r="J219" t="s">
        <v>452</v>
      </c>
      <c r="K219" t="s">
        <v>386</v>
      </c>
      <c r="M219" t="s">
        <v>387</v>
      </c>
      <c r="O219" t="s">
        <v>772</v>
      </c>
      <c r="P219" t="s">
        <v>773</v>
      </c>
      <c r="Q219" t="s">
        <v>490</v>
      </c>
      <c r="R219">
        <v>2069125</v>
      </c>
      <c r="S219" t="s">
        <v>774</v>
      </c>
      <c r="U219" t="s">
        <v>775</v>
      </c>
      <c r="V219" t="s">
        <v>398</v>
      </c>
      <c r="W219" s="393">
        <v>83</v>
      </c>
      <c r="X219" s="393">
        <v>0.02</v>
      </c>
      <c r="Y219" s="393">
        <v>0.19</v>
      </c>
      <c r="Z219" s="393">
        <v>83</v>
      </c>
      <c r="AA219">
        <v>0</v>
      </c>
      <c r="AB219" s="400">
        <v>44379.988307094907</v>
      </c>
      <c r="AC219" t="s">
        <v>25</v>
      </c>
    </row>
    <row r="220" spans="1:29">
      <c r="A220" t="s">
        <v>382</v>
      </c>
      <c r="B220" t="s">
        <v>440</v>
      </c>
      <c r="C220" t="s">
        <v>486</v>
      </c>
      <c r="D220" t="s">
        <v>571</v>
      </c>
      <c r="E220" t="s">
        <v>390</v>
      </c>
      <c r="F220" t="s">
        <v>391</v>
      </c>
      <c r="G220">
        <v>6101084</v>
      </c>
      <c r="H220">
        <v>202106</v>
      </c>
      <c r="I220" s="400">
        <v>44377</v>
      </c>
      <c r="J220" t="s">
        <v>452</v>
      </c>
      <c r="K220" t="s">
        <v>386</v>
      </c>
      <c r="M220" t="s">
        <v>387</v>
      </c>
      <c r="O220" t="s">
        <v>599</v>
      </c>
      <c r="P220" t="s">
        <v>600</v>
      </c>
      <c r="Q220" t="s">
        <v>490</v>
      </c>
      <c r="R220">
        <v>2069125</v>
      </c>
      <c r="S220" t="s">
        <v>776</v>
      </c>
      <c r="U220" t="s">
        <v>777</v>
      </c>
      <c r="V220" t="s">
        <v>398</v>
      </c>
      <c r="W220" s="393">
        <v>92000</v>
      </c>
      <c r="X220" s="393">
        <v>24.38</v>
      </c>
      <c r="Y220" s="393">
        <v>207.09</v>
      </c>
      <c r="Z220" s="393">
        <v>92000</v>
      </c>
      <c r="AA220">
        <v>0</v>
      </c>
      <c r="AB220" s="400">
        <v>44379.988307094907</v>
      </c>
      <c r="AC220" t="s">
        <v>25</v>
      </c>
    </row>
    <row r="221" spans="1:29">
      <c r="A221" t="s">
        <v>382</v>
      </c>
      <c r="B221" t="s">
        <v>440</v>
      </c>
      <c r="C221" t="s">
        <v>486</v>
      </c>
      <c r="D221" t="s">
        <v>571</v>
      </c>
      <c r="E221" t="s">
        <v>390</v>
      </c>
      <c r="F221" t="s">
        <v>391</v>
      </c>
      <c r="G221">
        <v>6101084</v>
      </c>
      <c r="H221">
        <v>202106</v>
      </c>
      <c r="I221" s="400">
        <v>44377</v>
      </c>
      <c r="J221" t="s">
        <v>452</v>
      </c>
      <c r="K221" t="s">
        <v>386</v>
      </c>
      <c r="M221" t="s">
        <v>387</v>
      </c>
      <c r="O221" t="s">
        <v>593</v>
      </c>
      <c r="P221" t="s">
        <v>594</v>
      </c>
      <c r="Q221" t="s">
        <v>490</v>
      </c>
      <c r="R221">
        <v>2069125</v>
      </c>
      <c r="S221" t="s">
        <v>778</v>
      </c>
      <c r="U221" t="s">
        <v>779</v>
      </c>
      <c r="V221" t="s">
        <v>398</v>
      </c>
      <c r="W221" s="393">
        <v>12000</v>
      </c>
      <c r="X221" s="393">
        <v>3.18</v>
      </c>
      <c r="Y221" s="393">
        <v>27.01</v>
      </c>
      <c r="Z221" s="393">
        <v>12000</v>
      </c>
      <c r="AA221">
        <v>0</v>
      </c>
      <c r="AB221" s="400">
        <v>44379.988307094907</v>
      </c>
      <c r="AC221" t="s">
        <v>25</v>
      </c>
    </row>
    <row r="222" spans="1:29">
      <c r="A222" t="s">
        <v>382</v>
      </c>
      <c r="B222" t="s">
        <v>440</v>
      </c>
      <c r="C222" t="s">
        <v>486</v>
      </c>
      <c r="D222" t="s">
        <v>571</v>
      </c>
      <c r="E222" t="s">
        <v>390</v>
      </c>
      <c r="F222" t="s">
        <v>391</v>
      </c>
      <c r="G222">
        <v>6101364</v>
      </c>
      <c r="H222">
        <v>202107</v>
      </c>
      <c r="I222" s="400">
        <v>44407</v>
      </c>
      <c r="J222" t="s">
        <v>452</v>
      </c>
      <c r="K222" t="s">
        <v>386</v>
      </c>
      <c r="M222" t="s">
        <v>387</v>
      </c>
      <c r="O222" t="s">
        <v>780</v>
      </c>
      <c r="P222" t="s">
        <v>781</v>
      </c>
      <c r="Q222" t="s">
        <v>396</v>
      </c>
      <c r="R222">
        <v>2069121</v>
      </c>
      <c r="S222" t="s">
        <v>782</v>
      </c>
      <c r="U222" t="s">
        <v>783</v>
      </c>
      <c r="V222" t="s">
        <v>398</v>
      </c>
      <c r="W222" s="393">
        <v>28000</v>
      </c>
      <c r="X222" s="393">
        <v>7.17</v>
      </c>
      <c r="Y222" s="393">
        <v>61.94</v>
      </c>
      <c r="Z222" s="393">
        <v>28000</v>
      </c>
      <c r="AA222">
        <v>0</v>
      </c>
      <c r="AB222" s="400">
        <v>44410.944844409722</v>
      </c>
      <c r="AC222" t="s">
        <v>19</v>
      </c>
    </row>
    <row r="223" spans="1:29">
      <c r="A223" t="s">
        <v>382</v>
      </c>
      <c r="B223" t="s">
        <v>440</v>
      </c>
      <c r="C223" t="s">
        <v>486</v>
      </c>
      <c r="D223" t="s">
        <v>571</v>
      </c>
      <c r="E223" t="s">
        <v>390</v>
      </c>
      <c r="F223" t="s">
        <v>391</v>
      </c>
      <c r="G223">
        <v>6101364</v>
      </c>
      <c r="H223">
        <v>202107</v>
      </c>
      <c r="I223" s="400">
        <v>44407</v>
      </c>
      <c r="J223" t="s">
        <v>452</v>
      </c>
      <c r="K223" t="s">
        <v>386</v>
      </c>
      <c r="M223" t="s">
        <v>387</v>
      </c>
      <c r="O223" t="s">
        <v>784</v>
      </c>
      <c r="P223" t="s">
        <v>785</v>
      </c>
      <c r="Q223" t="s">
        <v>396</v>
      </c>
      <c r="R223">
        <v>2069121</v>
      </c>
      <c r="S223" t="s">
        <v>786</v>
      </c>
      <c r="U223" t="s">
        <v>787</v>
      </c>
      <c r="V223" t="s">
        <v>398</v>
      </c>
      <c r="W223" s="393">
        <v>89</v>
      </c>
      <c r="X223" s="393">
        <v>0.02</v>
      </c>
      <c r="Y223" s="393">
        <v>0.2</v>
      </c>
      <c r="Z223" s="393">
        <v>89</v>
      </c>
      <c r="AA223">
        <v>0</v>
      </c>
      <c r="AB223" s="400">
        <v>44410.944844560188</v>
      </c>
      <c r="AC223" t="s">
        <v>19</v>
      </c>
    </row>
    <row r="224" spans="1:29">
      <c r="A224" t="s">
        <v>382</v>
      </c>
      <c r="B224" t="s">
        <v>440</v>
      </c>
      <c r="C224" t="s">
        <v>486</v>
      </c>
      <c r="D224" t="s">
        <v>571</v>
      </c>
      <c r="E224" t="s">
        <v>390</v>
      </c>
      <c r="F224" t="s">
        <v>391</v>
      </c>
      <c r="G224">
        <v>6101364</v>
      </c>
      <c r="H224">
        <v>202107</v>
      </c>
      <c r="I224" s="400">
        <v>44407</v>
      </c>
      <c r="J224" t="s">
        <v>452</v>
      </c>
      <c r="K224" t="s">
        <v>386</v>
      </c>
      <c r="M224" t="s">
        <v>387</v>
      </c>
      <c r="O224" t="s">
        <v>788</v>
      </c>
      <c r="P224" t="s">
        <v>789</v>
      </c>
      <c r="Q224" t="s">
        <v>396</v>
      </c>
      <c r="R224">
        <v>2069121</v>
      </c>
      <c r="S224" t="s">
        <v>790</v>
      </c>
      <c r="U224" t="s">
        <v>791</v>
      </c>
      <c r="V224" t="s">
        <v>398</v>
      </c>
      <c r="W224" s="393">
        <v>26200</v>
      </c>
      <c r="X224" s="393">
        <v>6.71</v>
      </c>
      <c r="Y224" s="393">
        <v>57.95</v>
      </c>
      <c r="Z224" s="393">
        <v>26200</v>
      </c>
      <c r="AA224">
        <v>0</v>
      </c>
      <c r="AB224" s="400">
        <v>44410.944844560188</v>
      </c>
      <c r="AC224" t="s">
        <v>19</v>
      </c>
    </row>
    <row r="225" spans="1:29">
      <c r="A225" t="s">
        <v>382</v>
      </c>
      <c r="B225" t="s">
        <v>440</v>
      </c>
      <c r="C225" t="s">
        <v>486</v>
      </c>
      <c r="D225" t="s">
        <v>571</v>
      </c>
      <c r="E225" t="s">
        <v>390</v>
      </c>
      <c r="F225" t="s">
        <v>391</v>
      </c>
      <c r="G225">
        <v>6101364</v>
      </c>
      <c r="H225">
        <v>202107</v>
      </c>
      <c r="I225" s="400">
        <v>44407</v>
      </c>
      <c r="J225" t="s">
        <v>452</v>
      </c>
      <c r="K225" t="s">
        <v>386</v>
      </c>
      <c r="M225" t="s">
        <v>387</v>
      </c>
      <c r="O225" t="s">
        <v>658</v>
      </c>
      <c r="P225" t="s">
        <v>659</v>
      </c>
      <c r="Q225" t="s">
        <v>396</v>
      </c>
      <c r="R225">
        <v>2069121</v>
      </c>
      <c r="S225" t="s">
        <v>792</v>
      </c>
      <c r="U225" t="s">
        <v>793</v>
      </c>
      <c r="V225" t="s">
        <v>398</v>
      </c>
      <c r="W225" s="393">
        <v>6500</v>
      </c>
      <c r="X225" s="393">
        <v>1.66</v>
      </c>
      <c r="Y225" s="393">
        <v>14.38</v>
      </c>
      <c r="Z225" s="393">
        <v>6500</v>
      </c>
      <c r="AA225">
        <v>0</v>
      </c>
      <c r="AB225" s="400">
        <v>44410.944844560188</v>
      </c>
      <c r="AC225" t="s">
        <v>19</v>
      </c>
    </row>
    <row r="226" spans="1:29">
      <c r="A226" t="s">
        <v>382</v>
      </c>
      <c r="B226" t="s">
        <v>440</v>
      </c>
      <c r="C226" t="s">
        <v>486</v>
      </c>
      <c r="D226" t="s">
        <v>571</v>
      </c>
      <c r="E226" t="s">
        <v>390</v>
      </c>
      <c r="F226" t="s">
        <v>391</v>
      </c>
      <c r="G226">
        <v>6101364</v>
      </c>
      <c r="H226">
        <v>202107</v>
      </c>
      <c r="I226" s="400">
        <v>44407</v>
      </c>
      <c r="J226" t="s">
        <v>452</v>
      </c>
      <c r="K226" t="s">
        <v>386</v>
      </c>
      <c r="M226" t="s">
        <v>387</v>
      </c>
      <c r="O226" t="s">
        <v>794</v>
      </c>
      <c r="P226" t="s">
        <v>795</v>
      </c>
      <c r="Q226" t="s">
        <v>396</v>
      </c>
      <c r="R226">
        <v>2069121</v>
      </c>
      <c r="S226" t="s">
        <v>796</v>
      </c>
      <c r="U226" t="s">
        <v>797</v>
      </c>
      <c r="V226" t="s">
        <v>398</v>
      </c>
      <c r="W226" s="393">
        <v>10000</v>
      </c>
      <c r="X226" s="393">
        <v>2.56</v>
      </c>
      <c r="Y226" s="393">
        <v>22.12</v>
      </c>
      <c r="Z226" s="393">
        <v>10000</v>
      </c>
      <c r="AA226">
        <v>0</v>
      </c>
      <c r="AB226" s="400">
        <v>44410.944844560188</v>
      </c>
      <c r="AC226" t="s">
        <v>19</v>
      </c>
    </row>
    <row r="227" spans="1:29">
      <c r="A227" t="s">
        <v>382</v>
      </c>
      <c r="B227" t="s">
        <v>440</v>
      </c>
      <c r="C227" t="s">
        <v>486</v>
      </c>
      <c r="D227" t="s">
        <v>571</v>
      </c>
      <c r="E227" t="s">
        <v>390</v>
      </c>
      <c r="F227" t="s">
        <v>391</v>
      </c>
      <c r="G227">
        <v>6101364</v>
      </c>
      <c r="H227">
        <v>202107</v>
      </c>
      <c r="I227" s="400">
        <v>44407</v>
      </c>
      <c r="J227" t="s">
        <v>452</v>
      </c>
      <c r="K227" t="s">
        <v>386</v>
      </c>
      <c r="M227" t="s">
        <v>387</v>
      </c>
      <c r="O227" t="s">
        <v>794</v>
      </c>
      <c r="P227" t="s">
        <v>795</v>
      </c>
      <c r="Q227" t="s">
        <v>396</v>
      </c>
      <c r="R227">
        <v>2069121</v>
      </c>
      <c r="S227" t="s">
        <v>798</v>
      </c>
      <c r="U227" t="s">
        <v>799</v>
      </c>
      <c r="V227" t="s">
        <v>398</v>
      </c>
      <c r="W227" s="393">
        <v>12500</v>
      </c>
      <c r="X227" s="393">
        <v>3.2</v>
      </c>
      <c r="Y227" s="393">
        <v>27.65</v>
      </c>
      <c r="Z227" s="393">
        <v>12500</v>
      </c>
      <c r="AA227">
        <v>0</v>
      </c>
      <c r="AB227" s="400">
        <v>44410.944844560188</v>
      </c>
      <c r="AC227" t="s">
        <v>19</v>
      </c>
    </row>
    <row r="228" spans="1:29">
      <c r="A228" t="s">
        <v>382</v>
      </c>
      <c r="B228" t="s">
        <v>440</v>
      </c>
      <c r="C228" t="s">
        <v>486</v>
      </c>
      <c r="D228" t="s">
        <v>571</v>
      </c>
      <c r="E228" t="s">
        <v>390</v>
      </c>
      <c r="F228" t="s">
        <v>391</v>
      </c>
      <c r="G228">
        <v>6101328</v>
      </c>
      <c r="H228">
        <v>202107</v>
      </c>
      <c r="I228" s="400">
        <v>44408</v>
      </c>
      <c r="J228" t="s">
        <v>452</v>
      </c>
      <c r="K228" t="s">
        <v>386</v>
      </c>
      <c r="M228" t="s">
        <v>387</v>
      </c>
      <c r="O228" t="s">
        <v>593</v>
      </c>
      <c r="P228" t="s">
        <v>594</v>
      </c>
      <c r="Q228" t="s">
        <v>490</v>
      </c>
      <c r="R228">
        <v>2069125</v>
      </c>
      <c r="S228" t="s">
        <v>387</v>
      </c>
      <c r="U228" t="s">
        <v>800</v>
      </c>
      <c r="V228" t="s">
        <v>398</v>
      </c>
      <c r="W228" s="393">
        <v>6500</v>
      </c>
      <c r="X228" s="393">
        <v>1.71</v>
      </c>
      <c r="Y228" s="393">
        <v>14.72</v>
      </c>
      <c r="Z228" s="393">
        <v>6500</v>
      </c>
      <c r="AA228">
        <v>0</v>
      </c>
      <c r="AB228" s="400">
        <v>44409.046512384259</v>
      </c>
      <c r="AC228" t="s">
        <v>25</v>
      </c>
    </row>
    <row r="229" spans="1:29">
      <c r="A229" t="s">
        <v>382</v>
      </c>
      <c r="B229" t="s">
        <v>440</v>
      </c>
      <c r="C229" t="s">
        <v>486</v>
      </c>
      <c r="D229" t="s">
        <v>571</v>
      </c>
      <c r="E229" t="s">
        <v>390</v>
      </c>
      <c r="F229" t="s">
        <v>391</v>
      </c>
      <c r="G229">
        <v>6101328</v>
      </c>
      <c r="H229">
        <v>202107</v>
      </c>
      <c r="I229" s="400">
        <v>44408</v>
      </c>
      <c r="J229" t="s">
        <v>452</v>
      </c>
      <c r="K229" t="s">
        <v>386</v>
      </c>
      <c r="M229" t="s">
        <v>387</v>
      </c>
      <c r="O229" t="s">
        <v>725</v>
      </c>
      <c r="P229" t="s">
        <v>726</v>
      </c>
      <c r="Q229" t="s">
        <v>490</v>
      </c>
      <c r="R229">
        <v>2069125</v>
      </c>
      <c r="S229" t="s">
        <v>387</v>
      </c>
      <c r="U229" t="s">
        <v>801</v>
      </c>
      <c r="V229" t="s">
        <v>398</v>
      </c>
      <c r="W229" s="393">
        <v>5000</v>
      </c>
      <c r="X229" s="393">
        <v>1.32</v>
      </c>
      <c r="Y229" s="393">
        <v>11.32</v>
      </c>
      <c r="Z229" s="393">
        <v>5000</v>
      </c>
      <c r="AA229">
        <v>0</v>
      </c>
      <c r="AB229" s="400">
        <v>44409.046512384259</v>
      </c>
      <c r="AC229" t="s">
        <v>25</v>
      </c>
    </row>
    <row r="230" spans="1:29">
      <c r="A230" t="s">
        <v>382</v>
      </c>
      <c r="B230" t="s">
        <v>440</v>
      </c>
      <c r="C230" t="s">
        <v>486</v>
      </c>
      <c r="D230" t="s">
        <v>571</v>
      </c>
      <c r="E230" t="s">
        <v>390</v>
      </c>
      <c r="F230" t="s">
        <v>391</v>
      </c>
      <c r="G230">
        <v>6101328</v>
      </c>
      <c r="H230">
        <v>202107</v>
      </c>
      <c r="I230" s="400">
        <v>44408</v>
      </c>
      <c r="J230" t="s">
        <v>452</v>
      </c>
      <c r="K230" t="s">
        <v>386</v>
      </c>
      <c r="M230" t="s">
        <v>387</v>
      </c>
      <c r="O230" t="s">
        <v>572</v>
      </c>
      <c r="P230" t="s">
        <v>573</v>
      </c>
      <c r="Q230" t="s">
        <v>490</v>
      </c>
      <c r="R230">
        <v>2069125</v>
      </c>
      <c r="S230" t="s">
        <v>387</v>
      </c>
      <c r="U230" t="s">
        <v>802</v>
      </c>
      <c r="V230" t="s">
        <v>398</v>
      </c>
      <c r="W230" s="393">
        <v>68000</v>
      </c>
      <c r="X230" s="393">
        <v>17.88</v>
      </c>
      <c r="Y230" s="393">
        <v>153.94999999999999</v>
      </c>
      <c r="Z230" s="393">
        <v>68000</v>
      </c>
      <c r="AA230">
        <v>0</v>
      </c>
      <c r="AB230" s="400">
        <v>44409.046512384259</v>
      </c>
      <c r="AC230" t="s">
        <v>25</v>
      </c>
    </row>
    <row r="231" spans="1:29">
      <c r="A231" t="s">
        <v>382</v>
      </c>
      <c r="B231" t="s">
        <v>440</v>
      </c>
      <c r="C231" t="s">
        <v>486</v>
      </c>
      <c r="D231" t="s">
        <v>571</v>
      </c>
      <c r="E231" t="s">
        <v>390</v>
      </c>
      <c r="F231" t="s">
        <v>391</v>
      </c>
      <c r="G231">
        <v>6101328</v>
      </c>
      <c r="H231">
        <v>202107</v>
      </c>
      <c r="I231" s="400">
        <v>44408</v>
      </c>
      <c r="J231" t="s">
        <v>452</v>
      </c>
      <c r="K231" t="s">
        <v>386</v>
      </c>
      <c r="M231" t="s">
        <v>387</v>
      </c>
      <c r="O231" t="s">
        <v>587</v>
      </c>
      <c r="P231" t="s">
        <v>588</v>
      </c>
      <c r="Q231" t="s">
        <v>490</v>
      </c>
      <c r="R231">
        <v>2069125</v>
      </c>
      <c r="S231" t="s">
        <v>387</v>
      </c>
      <c r="U231" t="s">
        <v>803</v>
      </c>
      <c r="V231" t="s">
        <v>398</v>
      </c>
      <c r="W231" s="393">
        <v>56000</v>
      </c>
      <c r="X231" s="393">
        <v>14.73</v>
      </c>
      <c r="Y231" s="393">
        <v>126.78</v>
      </c>
      <c r="Z231" s="393">
        <v>56000</v>
      </c>
      <c r="AA231">
        <v>0</v>
      </c>
      <c r="AB231" s="400">
        <v>44409.046512384259</v>
      </c>
      <c r="AC231" t="s">
        <v>25</v>
      </c>
    </row>
    <row r="232" spans="1:29">
      <c r="A232" t="s">
        <v>382</v>
      </c>
      <c r="B232" t="s">
        <v>440</v>
      </c>
      <c r="C232" t="s">
        <v>486</v>
      </c>
      <c r="D232" t="s">
        <v>571</v>
      </c>
      <c r="E232" t="s">
        <v>390</v>
      </c>
      <c r="F232" t="s">
        <v>391</v>
      </c>
      <c r="G232">
        <v>6101328</v>
      </c>
      <c r="H232">
        <v>202107</v>
      </c>
      <c r="I232" s="400">
        <v>44408</v>
      </c>
      <c r="J232" t="s">
        <v>452</v>
      </c>
      <c r="K232" t="s">
        <v>386</v>
      </c>
      <c r="M232" t="s">
        <v>387</v>
      </c>
      <c r="O232" t="s">
        <v>593</v>
      </c>
      <c r="P232" t="s">
        <v>594</v>
      </c>
      <c r="Q232" t="s">
        <v>490</v>
      </c>
      <c r="R232">
        <v>2069125</v>
      </c>
      <c r="S232" t="s">
        <v>387</v>
      </c>
      <c r="U232" t="s">
        <v>804</v>
      </c>
      <c r="V232" t="s">
        <v>398</v>
      </c>
      <c r="W232" s="393">
        <v>8500</v>
      </c>
      <c r="X232" s="393">
        <v>2.2400000000000002</v>
      </c>
      <c r="Y232" s="393">
        <v>19.239999999999998</v>
      </c>
      <c r="Z232" s="393">
        <v>8500</v>
      </c>
      <c r="AA232">
        <v>0</v>
      </c>
      <c r="AB232" s="400">
        <v>44409.046512384259</v>
      </c>
      <c r="AC232" t="s">
        <v>25</v>
      </c>
    </row>
    <row r="233" spans="1:29">
      <c r="A233" t="s">
        <v>382</v>
      </c>
      <c r="B233" t="s">
        <v>440</v>
      </c>
      <c r="C233" t="s">
        <v>486</v>
      </c>
      <c r="D233" t="s">
        <v>571</v>
      </c>
      <c r="E233" t="s">
        <v>390</v>
      </c>
      <c r="F233" t="s">
        <v>391</v>
      </c>
      <c r="G233">
        <v>6101360</v>
      </c>
      <c r="H233">
        <v>202107</v>
      </c>
      <c r="I233" s="400">
        <v>44391</v>
      </c>
      <c r="J233">
        <v>125062</v>
      </c>
      <c r="K233" t="s">
        <v>386</v>
      </c>
      <c r="M233" t="s">
        <v>387</v>
      </c>
      <c r="O233" t="s">
        <v>705</v>
      </c>
      <c r="P233" t="s">
        <v>706</v>
      </c>
      <c r="Q233" t="s">
        <v>396</v>
      </c>
      <c r="R233">
        <v>2265787</v>
      </c>
      <c r="S233" t="s">
        <v>387</v>
      </c>
      <c r="U233" t="s">
        <v>805</v>
      </c>
      <c r="V233" t="s">
        <v>398</v>
      </c>
      <c r="W233" s="393">
        <v>95000</v>
      </c>
      <c r="X233" s="393">
        <v>24.89</v>
      </c>
      <c r="Y233" s="393">
        <v>213.18</v>
      </c>
      <c r="Z233" s="393">
        <v>95000</v>
      </c>
      <c r="AA233">
        <v>0</v>
      </c>
      <c r="AB233" s="400">
        <v>44410.895398460649</v>
      </c>
      <c r="AC233" t="s">
        <v>326</v>
      </c>
    </row>
    <row r="234" spans="1:29">
      <c r="A234" t="s">
        <v>382</v>
      </c>
      <c r="B234" t="s">
        <v>440</v>
      </c>
      <c r="C234" t="s">
        <v>486</v>
      </c>
      <c r="D234" t="s">
        <v>571</v>
      </c>
      <c r="E234" t="s">
        <v>390</v>
      </c>
      <c r="F234" t="s">
        <v>391</v>
      </c>
      <c r="G234">
        <v>6101360</v>
      </c>
      <c r="H234">
        <v>202107</v>
      </c>
      <c r="I234" s="400">
        <v>44391</v>
      </c>
      <c r="J234">
        <v>125062</v>
      </c>
      <c r="K234" t="s">
        <v>386</v>
      </c>
      <c r="M234" t="s">
        <v>387</v>
      </c>
      <c r="O234" t="s">
        <v>705</v>
      </c>
      <c r="P234" t="s">
        <v>706</v>
      </c>
      <c r="Q234" t="s">
        <v>396</v>
      </c>
      <c r="R234">
        <v>2265787</v>
      </c>
      <c r="S234" t="s">
        <v>387</v>
      </c>
      <c r="U234" t="s">
        <v>806</v>
      </c>
      <c r="V234" t="s">
        <v>398</v>
      </c>
      <c r="W234" s="393">
        <v>-95000</v>
      </c>
      <c r="X234" s="393">
        <v>-24.89</v>
      </c>
      <c r="Y234" s="393">
        <v>-213.18</v>
      </c>
      <c r="Z234" s="393">
        <v>-95000</v>
      </c>
      <c r="AA234">
        <v>0</v>
      </c>
      <c r="AB234" s="400">
        <v>44410.895398611108</v>
      </c>
      <c r="AC234" t="s">
        <v>326</v>
      </c>
    </row>
    <row r="235" spans="1:29">
      <c r="A235" t="s">
        <v>382</v>
      </c>
      <c r="B235" t="s">
        <v>440</v>
      </c>
      <c r="C235" t="s">
        <v>486</v>
      </c>
      <c r="D235" t="s">
        <v>571</v>
      </c>
      <c r="E235" t="s">
        <v>390</v>
      </c>
      <c r="F235" t="s">
        <v>391</v>
      </c>
      <c r="G235">
        <v>6101364</v>
      </c>
      <c r="H235">
        <v>202107</v>
      </c>
      <c r="I235" s="400">
        <v>44407</v>
      </c>
      <c r="J235" t="s">
        <v>452</v>
      </c>
      <c r="K235" t="s">
        <v>386</v>
      </c>
      <c r="M235" t="s">
        <v>387</v>
      </c>
      <c r="O235" t="s">
        <v>480</v>
      </c>
      <c r="P235" t="s">
        <v>481</v>
      </c>
      <c r="Q235" t="s">
        <v>396</v>
      </c>
      <c r="R235">
        <v>2069121</v>
      </c>
      <c r="S235" t="s">
        <v>807</v>
      </c>
      <c r="U235" t="s">
        <v>808</v>
      </c>
      <c r="V235" t="s">
        <v>398</v>
      </c>
      <c r="W235" s="393">
        <v>355</v>
      </c>
      <c r="X235" s="393">
        <v>0.09</v>
      </c>
      <c r="Y235" s="393">
        <v>0.79</v>
      </c>
      <c r="Z235" s="393">
        <v>355</v>
      </c>
      <c r="AA235">
        <v>0</v>
      </c>
      <c r="AB235" s="400">
        <v>44410.944844212965</v>
      </c>
      <c r="AC235" t="s">
        <v>19</v>
      </c>
    </row>
    <row r="236" spans="1:29">
      <c r="A236" t="s">
        <v>382</v>
      </c>
      <c r="B236" t="s">
        <v>440</v>
      </c>
      <c r="C236" t="s">
        <v>486</v>
      </c>
      <c r="D236" t="s">
        <v>571</v>
      </c>
      <c r="E236" t="s">
        <v>390</v>
      </c>
      <c r="F236" t="s">
        <v>391</v>
      </c>
      <c r="G236">
        <v>6101364</v>
      </c>
      <c r="H236">
        <v>202107</v>
      </c>
      <c r="I236" s="400">
        <v>44407</v>
      </c>
      <c r="J236" t="s">
        <v>452</v>
      </c>
      <c r="K236" t="s">
        <v>386</v>
      </c>
      <c r="M236" t="s">
        <v>387</v>
      </c>
      <c r="O236" t="s">
        <v>480</v>
      </c>
      <c r="P236" t="s">
        <v>481</v>
      </c>
      <c r="Q236" t="s">
        <v>396</v>
      </c>
      <c r="R236">
        <v>2069121</v>
      </c>
      <c r="S236" t="s">
        <v>809</v>
      </c>
      <c r="U236" t="s">
        <v>810</v>
      </c>
      <c r="V236" t="s">
        <v>398</v>
      </c>
      <c r="W236" s="393">
        <v>1600</v>
      </c>
      <c r="X236" s="393">
        <v>0.41</v>
      </c>
      <c r="Y236" s="393">
        <v>3.54</v>
      </c>
      <c r="Z236" s="393">
        <v>1600</v>
      </c>
      <c r="AA236">
        <v>0</v>
      </c>
      <c r="AB236" s="400">
        <v>44410.944844212965</v>
      </c>
      <c r="AC236" t="s">
        <v>19</v>
      </c>
    </row>
    <row r="237" spans="1:29">
      <c r="A237" t="s">
        <v>382</v>
      </c>
      <c r="B237" t="s">
        <v>440</v>
      </c>
      <c r="C237" t="s">
        <v>486</v>
      </c>
      <c r="D237" t="s">
        <v>571</v>
      </c>
      <c r="E237" t="s">
        <v>390</v>
      </c>
      <c r="F237" t="s">
        <v>391</v>
      </c>
      <c r="G237">
        <v>6101364</v>
      </c>
      <c r="H237">
        <v>202107</v>
      </c>
      <c r="I237" s="400">
        <v>44407</v>
      </c>
      <c r="J237" t="s">
        <v>452</v>
      </c>
      <c r="K237" t="s">
        <v>386</v>
      </c>
      <c r="M237" t="s">
        <v>387</v>
      </c>
      <c r="O237" t="s">
        <v>587</v>
      </c>
      <c r="P237" t="s">
        <v>588</v>
      </c>
      <c r="Q237" t="s">
        <v>396</v>
      </c>
      <c r="R237">
        <v>2069121</v>
      </c>
      <c r="S237" t="s">
        <v>626</v>
      </c>
      <c r="U237" t="s">
        <v>811</v>
      </c>
      <c r="V237" t="s">
        <v>398</v>
      </c>
      <c r="W237" s="393">
        <v>14000</v>
      </c>
      <c r="X237" s="393">
        <v>3.58</v>
      </c>
      <c r="Y237" s="393">
        <v>30.97</v>
      </c>
      <c r="Z237" s="393">
        <v>14000</v>
      </c>
      <c r="AA237">
        <v>0</v>
      </c>
      <c r="AB237" s="400">
        <v>44410.944844212965</v>
      </c>
      <c r="AC237" t="s">
        <v>19</v>
      </c>
    </row>
    <row r="238" spans="1:29">
      <c r="A238" t="s">
        <v>382</v>
      </c>
      <c r="B238" t="s">
        <v>440</v>
      </c>
      <c r="C238" t="s">
        <v>486</v>
      </c>
      <c r="D238" t="s">
        <v>571</v>
      </c>
      <c r="E238" t="s">
        <v>390</v>
      </c>
      <c r="F238" t="s">
        <v>391</v>
      </c>
      <c r="G238">
        <v>6101364</v>
      </c>
      <c r="H238">
        <v>202107</v>
      </c>
      <c r="I238" s="400">
        <v>44407</v>
      </c>
      <c r="J238" t="s">
        <v>452</v>
      </c>
      <c r="K238" t="s">
        <v>386</v>
      </c>
      <c r="M238" t="s">
        <v>387</v>
      </c>
      <c r="O238" t="s">
        <v>579</v>
      </c>
      <c r="P238" t="s">
        <v>580</v>
      </c>
      <c r="Q238" t="s">
        <v>396</v>
      </c>
      <c r="R238">
        <v>2069121</v>
      </c>
      <c r="S238" t="s">
        <v>812</v>
      </c>
      <c r="U238" t="s">
        <v>813</v>
      </c>
      <c r="V238" t="s">
        <v>398</v>
      </c>
      <c r="W238" s="393">
        <v>9000</v>
      </c>
      <c r="X238" s="393">
        <v>2.2999999999999998</v>
      </c>
      <c r="Y238" s="393">
        <v>19.91</v>
      </c>
      <c r="Z238" s="393">
        <v>9000</v>
      </c>
      <c r="AA238">
        <v>0</v>
      </c>
      <c r="AB238" s="400">
        <v>44410.944844409722</v>
      </c>
      <c r="AC238" t="s">
        <v>19</v>
      </c>
    </row>
    <row r="239" spans="1:29">
      <c r="A239" t="s">
        <v>382</v>
      </c>
      <c r="B239" t="s">
        <v>440</v>
      </c>
      <c r="C239" t="s">
        <v>486</v>
      </c>
      <c r="D239" t="s">
        <v>571</v>
      </c>
      <c r="E239" t="s">
        <v>390</v>
      </c>
      <c r="F239" t="s">
        <v>391</v>
      </c>
      <c r="G239">
        <v>6101364</v>
      </c>
      <c r="H239">
        <v>202107</v>
      </c>
      <c r="I239" s="400">
        <v>44407</v>
      </c>
      <c r="J239" t="s">
        <v>452</v>
      </c>
      <c r="K239" t="s">
        <v>386</v>
      </c>
      <c r="M239" t="s">
        <v>387</v>
      </c>
      <c r="O239" t="s">
        <v>579</v>
      </c>
      <c r="P239" t="s">
        <v>580</v>
      </c>
      <c r="Q239" t="s">
        <v>396</v>
      </c>
      <c r="R239">
        <v>2069121</v>
      </c>
      <c r="S239" t="s">
        <v>814</v>
      </c>
      <c r="U239" t="s">
        <v>815</v>
      </c>
      <c r="V239" t="s">
        <v>398</v>
      </c>
      <c r="W239" s="393">
        <v>9000</v>
      </c>
      <c r="X239" s="393">
        <v>2.2999999999999998</v>
      </c>
      <c r="Y239" s="393">
        <v>19.91</v>
      </c>
      <c r="Z239" s="393">
        <v>9000</v>
      </c>
      <c r="AA239">
        <v>0</v>
      </c>
      <c r="AB239" s="400">
        <v>44410.944844409722</v>
      </c>
      <c r="AC239" t="s">
        <v>19</v>
      </c>
    </row>
    <row r="240" spans="1:29">
      <c r="A240" t="s">
        <v>382</v>
      </c>
      <c r="B240" t="s">
        <v>440</v>
      </c>
      <c r="C240" t="s">
        <v>486</v>
      </c>
      <c r="D240" t="s">
        <v>571</v>
      </c>
      <c r="E240" t="s">
        <v>390</v>
      </c>
      <c r="F240" t="s">
        <v>391</v>
      </c>
      <c r="G240">
        <v>6101364</v>
      </c>
      <c r="H240">
        <v>202107</v>
      </c>
      <c r="I240" s="400">
        <v>44407</v>
      </c>
      <c r="J240" t="s">
        <v>452</v>
      </c>
      <c r="K240" t="s">
        <v>386</v>
      </c>
      <c r="M240" t="s">
        <v>387</v>
      </c>
      <c r="O240" t="s">
        <v>784</v>
      </c>
      <c r="P240" t="s">
        <v>785</v>
      </c>
      <c r="Q240" t="s">
        <v>396</v>
      </c>
      <c r="R240">
        <v>2069121</v>
      </c>
      <c r="S240" t="s">
        <v>786</v>
      </c>
      <c r="U240" t="s">
        <v>816</v>
      </c>
      <c r="V240" t="s">
        <v>398</v>
      </c>
      <c r="W240" s="393">
        <v>88786</v>
      </c>
      <c r="X240" s="393">
        <v>22.73</v>
      </c>
      <c r="Y240" s="393">
        <v>196.39</v>
      </c>
      <c r="Z240" s="393">
        <v>88786</v>
      </c>
      <c r="AA240">
        <v>316</v>
      </c>
      <c r="AB240" s="400">
        <v>44410.944844409722</v>
      </c>
      <c r="AC240" t="s">
        <v>19</v>
      </c>
    </row>
    <row r="241" spans="1:29">
      <c r="A241" t="s">
        <v>382</v>
      </c>
      <c r="B241" t="s">
        <v>440</v>
      </c>
      <c r="C241" t="s">
        <v>486</v>
      </c>
      <c r="D241" t="s">
        <v>571</v>
      </c>
      <c r="E241" t="s">
        <v>390</v>
      </c>
      <c r="F241" t="s">
        <v>391</v>
      </c>
      <c r="G241">
        <v>6101364</v>
      </c>
      <c r="H241">
        <v>202107</v>
      </c>
      <c r="I241" s="400">
        <v>44407</v>
      </c>
      <c r="J241" t="s">
        <v>452</v>
      </c>
      <c r="K241" t="s">
        <v>386</v>
      </c>
      <c r="M241" t="s">
        <v>387</v>
      </c>
      <c r="O241" t="s">
        <v>794</v>
      </c>
      <c r="P241" t="s">
        <v>795</v>
      </c>
      <c r="Q241" t="s">
        <v>396</v>
      </c>
      <c r="R241">
        <v>2069121</v>
      </c>
      <c r="S241" t="s">
        <v>817</v>
      </c>
      <c r="U241" t="s">
        <v>818</v>
      </c>
      <c r="V241" t="s">
        <v>398</v>
      </c>
      <c r="W241" s="393">
        <v>5700</v>
      </c>
      <c r="X241" s="393">
        <v>1.46</v>
      </c>
      <c r="Y241" s="393">
        <v>12.61</v>
      </c>
      <c r="Z241" s="393">
        <v>5700</v>
      </c>
      <c r="AA241">
        <v>0</v>
      </c>
      <c r="AB241" s="400">
        <v>44410.944844756945</v>
      </c>
      <c r="AC241" t="s">
        <v>19</v>
      </c>
    </row>
    <row r="242" spans="1:29">
      <c r="A242" t="s">
        <v>382</v>
      </c>
      <c r="B242" t="s">
        <v>440</v>
      </c>
      <c r="C242" t="s">
        <v>486</v>
      </c>
      <c r="D242" t="s">
        <v>571</v>
      </c>
      <c r="E242" t="s">
        <v>390</v>
      </c>
      <c r="F242" t="s">
        <v>391</v>
      </c>
      <c r="G242">
        <v>6101364</v>
      </c>
      <c r="H242">
        <v>202107</v>
      </c>
      <c r="I242" s="400">
        <v>44407</v>
      </c>
      <c r="J242" t="s">
        <v>452</v>
      </c>
      <c r="K242" t="s">
        <v>386</v>
      </c>
      <c r="M242" t="s">
        <v>387</v>
      </c>
      <c r="O242" t="s">
        <v>794</v>
      </c>
      <c r="P242" t="s">
        <v>795</v>
      </c>
      <c r="Q242" t="s">
        <v>396</v>
      </c>
      <c r="R242">
        <v>2069121</v>
      </c>
      <c r="S242" t="s">
        <v>819</v>
      </c>
      <c r="U242" t="s">
        <v>820</v>
      </c>
      <c r="V242" t="s">
        <v>398</v>
      </c>
      <c r="W242" s="393">
        <v>9000</v>
      </c>
      <c r="X242" s="393">
        <v>2.2999999999999998</v>
      </c>
      <c r="Y242" s="393">
        <v>19.91</v>
      </c>
      <c r="Z242" s="393">
        <v>9000</v>
      </c>
      <c r="AA242">
        <v>0</v>
      </c>
      <c r="AB242" s="400">
        <v>44410.944844756945</v>
      </c>
      <c r="AC242" t="s">
        <v>19</v>
      </c>
    </row>
    <row r="243" spans="1:29">
      <c r="A243" t="s">
        <v>382</v>
      </c>
      <c r="B243" t="s">
        <v>440</v>
      </c>
      <c r="C243" t="s">
        <v>486</v>
      </c>
      <c r="D243" t="s">
        <v>571</v>
      </c>
      <c r="E243" t="s">
        <v>390</v>
      </c>
      <c r="F243" t="s">
        <v>391</v>
      </c>
      <c r="G243">
        <v>6101364</v>
      </c>
      <c r="H243">
        <v>202107</v>
      </c>
      <c r="I243" s="400">
        <v>44407</v>
      </c>
      <c r="J243" t="s">
        <v>452</v>
      </c>
      <c r="K243" t="s">
        <v>386</v>
      </c>
      <c r="M243" t="s">
        <v>387</v>
      </c>
      <c r="O243" t="s">
        <v>794</v>
      </c>
      <c r="P243" t="s">
        <v>795</v>
      </c>
      <c r="Q243" t="s">
        <v>396</v>
      </c>
      <c r="R243">
        <v>2069121</v>
      </c>
      <c r="S243" t="s">
        <v>821</v>
      </c>
      <c r="U243" t="s">
        <v>822</v>
      </c>
      <c r="V243" t="s">
        <v>398</v>
      </c>
      <c r="W243" s="393">
        <v>12000</v>
      </c>
      <c r="X243" s="393">
        <v>3.07</v>
      </c>
      <c r="Y243" s="393">
        <v>26.54</v>
      </c>
      <c r="Z243" s="393">
        <v>12000</v>
      </c>
      <c r="AA243">
        <v>0</v>
      </c>
      <c r="AB243" s="400">
        <v>44410.944844942132</v>
      </c>
      <c r="AC243" t="s">
        <v>19</v>
      </c>
    </row>
    <row r="244" spans="1:29">
      <c r="A244" t="s">
        <v>382</v>
      </c>
      <c r="B244" t="s">
        <v>440</v>
      </c>
      <c r="C244" t="s">
        <v>486</v>
      </c>
      <c r="D244" t="s">
        <v>571</v>
      </c>
      <c r="E244" t="s">
        <v>390</v>
      </c>
      <c r="F244" t="s">
        <v>391</v>
      </c>
      <c r="G244">
        <v>6101364</v>
      </c>
      <c r="H244">
        <v>202107</v>
      </c>
      <c r="I244" s="400">
        <v>44407</v>
      </c>
      <c r="J244" t="s">
        <v>452</v>
      </c>
      <c r="K244" t="s">
        <v>386</v>
      </c>
      <c r="M244" t="s">
        <v>387</v>
      </c>
      <c r="O244" t="s">
        <v>823</v>
      </c>
      <c r="P244" t="s">
        <v>824</v>
      </c>
      <c r="Q244" t="s">
        <v>396</v>
      </c>
      <c r="R244">
        <v>2069121</v>
      </c>
      <c r="S244" t="s">
        <v>825</v>
      </c>
      <c r="U244" t="s">
        <v>826</v>
      </c>
      <c r="V244" t="s">
        <v>398</v>
      </c>
      <c r="W244" s="393">
        <v>104864</v>
      </c>
      <c r="X244" s="393">
        <v>26.85</v>
      </c>
      <c r="Y244" s="393">
        <v>231.96</v>
      </c>
      <c r="Z244" s="393">
        <v>104864</v>
      </c>
      <c r="AA244">
        <v>316</v>
      </c>
      <c r="AB244" s="400">
        <v>44410.944844942132</v>
      </c>
      <c r="AC244" t="s">
        <v>19</v>
      </c>
    </row>
    <row r="245" spans="1:29">
      <c r="A245" t="s">
        <v>382</v>
      </c>
      <c r="B245" t="s">
        <v>440</v>
      </c>
      <c r="C245" t="s">
        <v>486</v>
      </c>
      <c r="D245" t="s">
        <v>571</v>
      </c>
      <c r="E245" t="s">
        <v>390</v>
      </c>
      <c r="F245" t="s">
        <v>391</v>
      </c>
      <c r="G245">
        <v>6101364</v>
      </c>
      <c r="H245">
        <v>202107</v>
      </c>
      <c r="I245" s="400">
        <v>44407</v>
      </c>
      <c r="J245" t="s">
        <v>452</v>
      </c>
      <c r="K245" t="s">
        <v>386</v>
      </c>
      <c r="M245" t="s">
        <v>387</v>
      </c>
      <c r="O245" t="s">
        <v>827</v>
      </c>
      <c r="P245" t="s">
        <v>828</v>
      </c>
      <c r="Q245" t="s">
        <v>396</v>
      </c>
      <c r="R245">
        <v>2069121</v>
      </c>
      <c r="S245" t="s">
        <v>829</v>
      </c>
      <c r="U245" t="s">
        <v>830</v>
      </c>
      <c r="V245" t="s">
        <v>398</v>
      </c>
      <c r="W245" s="393">
        <v>90000</v>
      </c>
      <c r="X245" s="393">
        <v>23.04</v>
      </c>
      <c r="Y245" s="393">
        <v>199.08</v>
      </c>
      <c r="Z245" s="393">
        <v>90000</v>
      </c>
      <c r="AA245">
        <v>0</v>
      </c>
      <c r="AB245" s="400">
        <v>44410.944844942132</v>
      </c>
      <c r="AC245" t="s">
        <v>19</v>
      </c>
    </row>
    <row r="246" spans="1:29">
      <c r="A246" t="s">
        <v>382</v>
      </c>
      <c r="B246" t="s">
        <v>440</v>
      </c>
      <c r="C246" t="s">
        <v>486</v>
      </c>
      <c r="D246" t="s">
        <v>571</v>
      </c>
      <c r="E246" t="s">
        <v>390</v>
      </c>
      <c r="F246" t="s">
        <v>391</v>
      </c>
      <c r="G246">
        <v>6101364</v>
      </c>
      <c r="H246">
        <v>202107</v>
      </c>
      <c r="I246" s="400">
        <v>44407</v>
      </c>
      <c r="J246" t="s">
        <v>452</v>
      </c>
      <c r="K246" t="s">
        <v>386</v>
      </c>
      <c r="M246" t="s">
        <v>387</v>
      </c>
      <c r="O246" t="s">
        <v>587</v>
      </c>
      <c r="P246" t="s">
        <v>588</v>
      </c>
      <c r="Q246" t="s">
        <v>396</v>
      </c>
      <c r="R246">
        <v>2069121</v>
      </c>
      <c r="S246" t="s">
        <v>626</v>
      </c>
      <c r="U246" t="s">
        <v>831</v>
      </c>
      <c r="V246" t="s">
        <v>398</v>
      </c>
      <c r="W246" s="393">
        <v>14000</v>
      </c>
      <c r="X246" s="393">
        <v>3.58</v>
      </c>
      <c r="Y246" s="393">
        <v>30.97</v>
      </c>
      <c r="Z246" s="393">
        <v>14000</v>
      </c>
      <c r="AA246">
        <v>0</v>
      </c>
      <c r="AB246" s="400">
        <v>44410.944844942132</v>
      </c>
      <c r="AC246" t="s">
        <v>19</v>
      </c>
    </row>
    <row r="247" spans="1:29">
      <c r="A247" t="s">
        <v>382</v>
      </c>
      <c r="B247" t="s">
        <v>440</v>
      </c>
      <c r="C247" t="s">
        <v>486</v>
      </c>
      <c r="D247" t="s">
        <v>571</v>
      </c>
      <c r="E247" t="s">
        <v>390</v>
      </c>
      <c r="F247" t="s">
        <v>391</v>
      </c>
      <c r="G247">
        <v>6101364</v>
      </c>
      <c r="H247">
        <v>202107</v>
      </c>
      <c r="I247" s="400">
        <v>44407</v>
      </c>
      <c r="J247" t="s">
        <v>452</v>
      </c>
      <c r="K247" t="s">
        <v>386</v>
      </c>
      <c r="M247" t="s">
        <v>387</v>
      </c>
      <c r="O247" t="s">
        <v>480</v>
      </c>
      <c r="P247" t="s">
        <v>481</v>
      </c>
      <c r="Q247" t="s">
        <v>396</v>
      </c>
      <c r="R247">
        <v>2069121</v>
      </c>
      <c r="S247" t="s">
        <v>832</v>
      </c>
      <c r="U247" t="s">
        <v>833</v>
      </c>
      <c r="V247" t="s">
        <v>398</v>
      </c>
      <c r="W247" s="393">
        <v>1850</v>
      </c>
      <c r="X247" s="393">
        <v>0.47</v>
      </c>
      <c r="Y247" s="393">
        <v>4.09</v>
      </c>
      <c r="Z247" s="393">
        <v>1850</v>
      </c>
      <c r="AA247">
        <v>0</v>
      </c>
      <c r="AB247" s="400">
        <v>44410.944844942132</v>
      </c>
      <c r="AC247" t="s">
        <v>19</v>
      </c>
    </row>
    <row r="248" spans="1:29">
      <c r="A248" t="s">
        <v>382</v>
      </c>
      <c r="B248" t="s">
        <v>440</v>
      </c>
      <c r="C248" t="s">
        <v>486</v>
      </c>
      <c r="D248" t="s">
        <v>571</v>
      </c>
      <c r="E248" t="s">
        <v>390</v>
      </c>
      <c r="F248" t="s">
        <v>391</v>
      </c>
      <c r="G248">
        <v>6101364</v>
      </c>
      <c r="H248">
        <v>202107</v>
      </c>
      <c r="I248" s="400">
        <v>44407</v>
      </c>
      <c r="J248" t="s">
        <v>452</v>
      </c>
      <c r="K248" t="s">
        <v>386</v>
      </c>
      <c r="M248" t="s">
        <v>387</v>
      </c>
      <c r="O248" t="s">
        <v>480</v>
      </c>
      <c r="P248" t="s">
        <v>481</v>
      </c>
      <c r="Q248" t="s">
        <v>396</v>
      </c>
      <c r="R248">
        <v>2069121</v>
      </c>
      <c r="S248" t="s">
        <v>832</v>
      </c>
      <c r="U248" t="s">
        <v>833</v>
      </c>
      <c r="V248" t="s">
        <v>398</v>
      </c>
      <c r="W248" s="393">
        <v>1607</v>
      </c>
      <c r="X248" s="393">
        <v>0.41</v>
      </c>
      <c r="Y248" s="393">
        <v>3.55</v>
      </c>
      <c r="Z248" s="393">
        <v>1607</v>
      </c>
      <c r="AA248">
        <v>0</v>
      </c>
      <c r="AB248" s="400">
        <v>44410.944844942132</v>
      </c>
      <c r="AC248" t="s">
        <v>19</v>
      </c>
    </row>
    <row r="249" spans="1:29">
      <c r="A249" t="s">
        <v>382</v>
      </c>
      <c r="B249" t="s">
        <v>440</v>
      </c>
      <c r="C249" t="s">
        <v>486</v>
      </c>
      <c r="D249" t="s">
        <v>571</v>
      </c>
      <c r="E249" t="s">
        <v>390</v>
      </c>
      <c r="F249" t="s">
        <v>391</v>
      </c>
      <c r="G249">
        <v>6101364</v>
      </c>
      <c r="H249">
        <v>202107</v>
      </c>
      <c r="I249" s="400">
        <v>44407</v>
      </c>
      <c r="J249" t="s">
        <v>452</v>
      </c>
      <c r="K249" t="s">
        <v>386</v>
      </c>
      <c r="M249" t="s">
        <v>387</v>
      </c>
      <c r="O249" t="s">
        <v>823</v>
      </c>
      <c r="P249" t="s">
        <v>824</v>
      </c>
      <c r="Q249" t="s">
        <v>396</v>
      </c>
      <c r="R249">
        <v>2069121</v>
      </c>
      <c r="S249" t="s">
        <v>825</v>
      </c>
      <c r="U249" t="s">
        <v>834</v>
      </c>
      <c r="V249" t="s">
        <v>398</v>
      </c>
      <c r="W249" s="393">
        <v>105</v>
      </c>
      <c r="X249" s="393">
        <v>0.03</v>
      </c>
      <c r="Y249" s="393">
        <v>0.23</v>
      </c>
      <c r="Z249" s="393">
        <v>105</v>
      </c>
      <c r="AA249">
        <v>0</v>
      </c>
      <c r="AB249" s="400">
        <v>44410.944845138889</v>
      </c>
      <c r="AC249" t="s">
        <v>19</v>
      </c>
    </row>
    <row r="250" spans="1:29">
      <c r="A250" t="s">
        <v>382</v>
      </c>
      <c r="B250" t="s">
        <v>440</v>
      </c>
      <c r="C250" t="s">
        <v>486</v>
      </c>
      <c r="D250" t="s">
        <v>571</v>
      </c>
      <c r="E250" t="s">
        <v>390</v>
      </c>
      <c r="F250" t="s">
        <v>391</v>
      </c>
      <c r="G250">
        <v>6101364</v>
      </c>
      <c r="H250">
        <v>202107</v>
      </c>
      <c r="I250" s="400">
        <v>44407</v>
      </c>
      <c r="J250" t="s">
        <v>452</v>
      </c>
      <c r="K250" t="s">
        <v>386</v>
      </c>
      <c r="M250" t="s">
        <v>387</v>
      </c>
      <c r="O250" t="s">
        <v>579</v>
      </c>
      <c r="P250" t="s">
        <v>580</v>
      </c>
      <c r="Q250" t="s">
        <v>396</v>
      </c>
      <c r="R250">
        <v>2069121</v>
      </c>
      <c r="S250" t="s">
        <v>835</v>
      </c>
      <c r="U250" t="s">
        <v>836</v>
      </c>
      <c r="V250" t="s">
        <v>398</v>
      </c>
      <c r="W250" s="393">
        <v>9000</v>
      </c>
      <c r="X250" s="393">
        <v>2.2999999999999998</v>
      </c>
      <c r="Y250" s="393">
        <v>19.91</v>
      </c>
      <c r="Z250" s="393">
        <v>9000</v>
      </c>
      <c r="AA250">
        <v>0</v>
      </c>
      <c r="AB250" s="400">
        <v>44410.944845138889</v>
      </c>
      <c r="AC250" t="s">
        <v>19</v>
      </c>
    </row>
    <row r="251" spans="1:29">
      <c r="A251" t="s">
        <v>382</v>
      </c>
      <c r="B251" t="s">
        <v>440</v>
      </c>
      <c r="C251" t="s">
        <v>486</v>
      </c>
      <c r="D251" t="s">
        <v>571</v>
      </c>
      <c r="E251" t="s">
        <v>390</v>
      </c>
      <c r="F251" t="s">
        <v>391</v>
      </c>
      <c r="G251">
        <v>6101364</v>
      </c>
      <c r="H251">
        <v>202107</v>
      </c>
      <c r="I251" s="400">
        <v>44407</v>
      </c>
      <c r="J251" t="s">
        <v>452</v>
      </c>
      <c r="K251" t="s">
        <v>386</v>
      </c>
      <c r="M251" t="s">
        <v>387</v>
      </c>
      <c r="O251" t="s">
        <v>579</v>
      </c>
      <c r="P251" t="s">
        <v>580</v>
      </c>
      <c r="Q251" t="s">
        <v>396</v>
      </c>
      <c r="R251">
        <v>2069121</v>
      </c>
      <c r="S251" t="s">
        <v>837</v>
      </c>
      <c r="U251" t="s">
        <v>838</v>
      </c>
      <c r="V251" t="s">
        <v>398</v>
      </c>
      <c r="W251" s="393">
        <v>9000</v>
      </c>
      <c r="X251" s="393">
        <v>2.2999999999999998</v>
      </c>
      <c r="Y251" s="393">
        <v>19.91</v>
      </c>
      <c r="Z251" s="393">
        <v>9000</v>
      </c>
      <c r="AA251">
        <v>0</v>
      </c>
      <c r="AB251" s="400">
        <v>44410.944845289348</v>
      </c>
      <c r="AC251" t="s">
        <v>19</v>
      </c>
    </row>
    <row r="252" spans="1:29">
      <c r="A252" t="s">
        <v>382</v>
      </c>
      <c r="B252" t="s">
        <v>440</v>
      </c>
      <c r="C252" t="s">
        <v>486</v>
      </c>
      <c r="D252" t="s">
        <v>571</v>
      </c>
      <c r="E252" t="s">
        <v>390</v>
      </c>
      <c r="F252" t="s">
        <v>391</v>
      </c>
      <c r="G252">
        <v>6101364</v>
      </c>
      <c r="H252">
        <v>202107</v>
      </c>
      <c r="I252" s="400">
        <v>44407</v>
      </c>
      <c r="J252" t="s">
        <v>452</v>
      </c>
      <c r="K252" t="s">
        <v>386</v>
      </c>
      <c r="M252" t="s">
        <v>387</v>
      </c>
      <c r="O252" t="s">
        <v>579</v>
      </c>
      <c r="P252" t="s">
        <v>580</v>
      </c>
      <c r="Q252" t="s">
        <v>396</v>
      </c>
      <c r="R252">
        <v>2069121</v>
      </c>
      <c r="S252" t="s">
        <v>839</v>
      </c>
      <c r="U252" t="s">
        <v>840</v>
      </c>
      <c r="V252" t="s">
        <v>398</v>
      </c>
      <c r="W252" s="393">
        <v>9000</v>
      </c>
      <c r="X252" s="393">
        <v>2.2999999999999998</v>
      </c>
      <c r="Y252" s="393">
        <v>19.91</v>
      </c>
      <c r="Z252" s="393">
        <v>9000</v>
      </c>
      <c r="AA252">
        <v>0</v>
      </c>
      <c r="AB252" s="400">
        <v>44410.944845289348</v>
      </c>
      <c r="AC252" t="s">
        <v>19</v>
      </c>
    </row>
    <row r="253" spans="1:29">
      <c r="A253" t="s">
        <v>382</v>
      </c>
      <c r="B253" t="s">
        <v>440</v>
      </c>
      <c r="C253" t="s">
        <v>486</v>
      </c>
      <c r="D253" t="s">
        <v>571</v>
      </c>
      <c r="E253" t="s">
        <v>390</v>
      </c>
      <c r="F253" t="s">
        <v>391</v>
      </c>
      <c r="G253">
        <v>6101364</v>
      </c>
      <c r="H253">
        <v>202107</v>
      </c>
      <c r="I253" s="400">
        <v>44407</v>
      </c>
      <c r="J253" t="s">
        <v>452</v>
      </c>
      <c r="K253" t="s">
        <v>386</v>
      </c>
      <c r="M253" t="s">
        <v>387</v>
      </c>
      <c r="O253" t="s">
        <v>579</v>
      </c>
      <c r="P253" t="s">
        <v>580</v>
      </c>
      <c r="Q253" t="s">
        <v>396</v>
      </c>
      <c r="R253">
        <v>2069121</v>
      </c>
      <c r="S253" t="s">
        <v>841</v>
      </c>
      <c r="U253" t="s">
        <v>842</v>
      </c>
      <c r="V253" t="s">
        <v>398</v>
      </c>
      <c r="W253" s="393">
        <v>9000</v>
      </c>
      <c r="X253" s="393">
        <v>2.2999999999999998</v>
      </c>
      <c r="Y253" s="393">
        <v>19.91</v>
      </c>
      <c r="Z253" s="393">
        <v>9000</v>
      </c>
      <c r="AA253">
        <v>0</v>
      </c>
      <c r="AB253" s="400">
        <v>44410.944845289348</v>
      </c>
      <c r="AC253" t="s">
        <v>19</v>
      </c>
    </row>
    <row r="254" spans="1:29">
      <c r="A254" t="s">
        <v>382</v>
      </c>
      <c r="B254" t="s">
        <v>440</v>
      </c>
      <c r="C254" t="s">
        <v>486</v>
      </c>
      <c r="D254" t="s">
        <v>571</v>
      </c>
      <c r="E254" t="s">
        <v>390</v>
      </c>
      <c r="F254" t="s">
        <v>391</v>
      </c>
      <c r="G254">
        <v>6101364</v>
      </c>
      <c r="H254">
        <v>202107</v>
      </c>
      <c r="I254" s="400">
        <v>44407</v>
      </c>
      <c r="J254" t="s">
        <v>452</v>
      </c>
      <c r="K254" t="s">
        <v>386</v>
      </c>
      <c r="M254" t="s">
        <v>387</v>
      </c>
      <c r="O254" t="s">
        <v>843</v>
      </c>
      <c r="P254" t="s">
        <v>844</v>
      </c>
      <c r="Q254" t="s">
        <v>396</v>
      </c>
      <c r="R254">
        <v>2069121</v>
      </c>
      <c r="S254" t="s">
        <v>845</v>
      </c>
      <c r="U254" t="s">
        <v>846</v>
      </c>
      <c r="V254" t="s">
        <v>398</v>
      </c>
      <c r="W254" s="393">
        <v>33400</v>
      </c>
      <c r="X254" s="393">
        <v>8.5500000000000007</v>
      </c>
      <c r="Y254" s="393">
        <v>73.88</v>
      </c>
      <c r="Z254" s="393">
        <v>33400</v>
      </c>
      <c r="AA254">
        <v>0</v>
      </c>
      <c r="AB254" s="400">
        <v>44410.944844756945</v>
      </c>
      <c r="AC254" t="s">
        <v>19</v>
      </c>
    </row>
    <row r="255" spans="1:29">
      <c r="A255" t="s">
        <v>382</v>
      </c>
      <c r="B255" t="s">
        <v>440</v>
      </c>
      <c r="C255" t="s">
        <v>486</v>
      </c>
      <c r="D255" t="s">
        <v>571</v>
      </c>
      <c r="E255" t="s">
        <v>390</v>
      </c>
      <c r="F255" t="s">
        <v>391</v>
      </c>
      <c r="G255">
        <v>6101364</v>
      </c>
      <c r="H255">
        <v>202107</v>
      </c>
      <c r="I255" s="400">
        <v>44407</v>
      </c>
      <c r="J255" t="s">
        <v>452</v>
      </c>
      <c r="K255" t="s">
        <v>386</v>
      </c>
      <c r="M255" t="s">
        <v>387</v>
      </c>
      <c r="O255" t="s">
        <v>531</v>
      </c>
      <c r="P255" t="s">
        <v>532</v>
      </c>
      <c r="Q255" t="s">
        <v>396</v>
      </c>
      <c r="R255">
        <v>2069121</v>
      </c>
      <c r="S255" t="s">
        <v>533</v>
      </c>
      <c r="U255" t="s">
        <v>534</v>
      </c>
      <c r="V255" t="s">
        <v>398</v>
      </c>
      <c r="W255" s="393">
        <v>5042</v>
      </c>
      <c r="X255" s="393">
        <v>1.29</v>
      </c>
      <c r="Y255" s="393">
        <v>11.15</v>
      </c>
      <c r="Z255" s="393">
        <v>5042</v>
      </c>
      <c r="AA255">
        <v>166</v>
      </c>
      <c r="AB255" s="400">
        <v>44410.944844756945</v>
      </c>
      <c r="AC255" t="s">
        <v>19</v>
      </c>
    </row>
    <row r="256" spans="1:29">
      <c r="A256" t="s">
        <v>382</v>
      </c>
      <c r="B256" t="s">
        <v>440</v>
      </c>
      <c r="C256" t="s">
        <v>486</v>
      </c>
      <c r="D256" t="s">
        <v>571</v>
      </c>
      <c r="E256" t="s">
        <v>390</v>
      </c>
      <c r="F256" t="s">
        <v>391</v>
      </c>
      <c r="G256">
        <v>6101364</v>
      </c>
      <c r="H256">
        <v>202107</v>
      </c>
      <c r="I256" s="400">
        <v>44407</v>
      </c>
      <c r="J256" t="s">
        <v>452</v>
      </c>
      <c r="K256" t="s">
        <v>386</v>
      </c>
      <c r="M256" t="s">
        <v>387</v>
      </c>
      <c r="O256" t="s">
        <v>780</v>
      </c>
      <c r="P256" t="s">
        <v>781</v>
      </c>
      <c r="Q256" t="s">
        <v>396</v>
      </c>
      <c r="R256">
        <v>2069121</v>
      </c>
      <c r="S256" t="s">
        <v>847</v>
      </c>
      <c r="U256" t="s">
        <v>848</v>
      </c>
      <c r="V256" t="s">
        <v>398</v>
      </c>
      <c r="W256" s="393">
        <v>28000</v>
      </c>
      <c r="X256" s="393">
        <v>7.17</v>
      </c>
      <c r="Y256" s="393">
        <v>61.94</v>
      </c>
      <c r="Z256" s="393">
        <v>28000</v>
      </c>
      <c r="AA256">
        <v>0</v>
      </c>
      <c r="AB256" s="400">
        <v>44410.944844756945</v>
      </c>
      <c r="AC256" t="s">
        <v>19</v>
      </c>
    </row>
    <row r="257" spans="1:29">
      <c r="A257" t="s">
        <v>382</v>
      </c>
      <c r="B257" t="s">
        <v>382</v>
      </c>
      <c r="C257" t="s">
        <v>486</v>
      </c>
      <c r="D257" t="s">
        <v>571</v>
      </c>
      <c r="E257" t="s">
        <v>390</v>
      </c>
      <c r="F257" t="s">
        <v>391</v>
      </c>
      <c r="G257">
        <v>6101288</v>
      </c>
      <c r="H257">
        <v>202107</v>
      </c>
      <c r="I257" s="400">
        <v>44393</v>
      </c>
      <c r="J257">
        <v>125062</v>
      </c>
      <c r="K257" t="s">
        <v>386</v>
      </c>
      <c r="M257" t="s">
        <v>387</v>
      </c>
      <c r="O257" t="s">
        <v>849</v>
      </c>
      <c r="P257" t="s">
        <v>850</v>
      </c>
      <c r="Q257" t="s">
        <v>396</v>
      </c>
      <c r="R257">
        <v>2069121</v>
      </c>
      <c r="S257" t="s">
        <v>387</v>
      </c>
      <c r="U257" t="s">
        <v>851</v>
      </c>
      <c r="V257" t="s">
        <v>398</v>
      </c>
      <c r="W257" s="393">
        <v>95000</v>
      </c>
      <c r="X257" s="393">
        <v>24.99</v>
      </c>
      <c r="Y257" s="393">
        <v>215.08</v>
      </c>
      <c r="Z257" s="393">
        <v>95000</v>
      </c>
      <c r="AA257">
        <v>0</v>
      </c>
      <c r="AB257" s="400">
        <v>44398.063869212965</v>
      </c>
      <c r="AC257" t="s">
        <v>19</v>
      </c>
    </row>
    <row r="258" spans="1:29">
      <c r="A258" t="s">
        <v>382</v>
      </c>
      <c r="B258" t="s">
        <v>382</v>
      </c>
      <c r="C258" t="s">
        <v>486</v>
      </c>
      <c r="D258" t="s">
        <v>571</v>
      </c>
      <c r="E258" t="s">
        <v>390</v>
      </c>
      <c r="F258" t="s">
        <v>391</v>
      </c>
      <c r="G258">
        <v>6101288</v>
      </c>
      <c r="H258">
        <v>202107</v>
      </c>
      <c r="I258" s="400">
        <v>44393</v>
      </c>
      <c r="J258">
        <v>125062</v>
      </c>
      <c r="K258" t="s">
        <v>386</v>
      </c>
      <c r="M258" t="s">
        <v>387</v>
      </c>
      <c r="O258" t="s">
        <v>849</v>
      </c>
      <c r="P258" t="s">
        <v>850</v>
      </c>
      <c r="Q258" t="s">
        <v>396</v>
      </c>
      <c r="R258">
        <v>2265787</v>
      </c>
      <c r="S258" t="s">
        <v>387</v>
      </c>
      <c r="U258" t="s">
        <v>852</v>
      </c>
      <c r="V258" t="s">
        <v>398</v>
      </c>
      <c r="W258" s="393">
        <v>95000</v>
      </c>
      <c r="X258" s="393">
        <v>24.99</v>
      </c>
      <c r="Y258" s="393">
        <v>215.08</v>
      </c>
      <c r="Z258" s="393">
        <v>95000</v>
      </c>
      <c r="AA258">
        <v>0</v>
      </c>
      <c r="AB258" s="400">
        <v>44398.063869212965</v>
      </c>
      <c r="AC258" t="s">
        <v>326</v>
      </c>
    </row>
    <row r="259" spans="1:29">
      <c r="A259" t="s">
        <v>382</v>
      </c>
      <c r="B259" t="s">
        <v>382</v>
      </c>
      <c r="C259" t="s">
        <v>486</v>
      </c>
      <c r="D259" t="s">
        <v>571</v>
      </c>
      <c r="E259" t="s">
        <v>390</v>
      </c>
      <c r="F259" t="s">
        <v>391</v>
      </c>
      <c r="G259">
        <v>6101288</v>
      </c>
      <c r="H259">
        <v>202107</v>
      </c>
      <c r="I259" s="400">
        <v>44393</v>
      </c>
      <c r="J259">
        <v>125062</v>
      </c>
      <c r="K259" t="s">
        <v>386</v>
      </c>
      <c r="M259" t="s">
        <v>387</v>
      </c>
      <c r="O259" t="s">
        <v>849</v>
      </c>
      <c r="P259" t="s">
        <v>850</v>
      </c>
      <c r="Q259" t="s">
        <v>396</v>
      </c>
      <c r="R259">
        <v>2069121</v>
      </c>
      <c r="S259" t="s">
        <v>387</v>
      </c>
      <c r="U259" t="s">
        <v>853</v>
      </c>
      <c r="V259" t="s">
        <v>398</v>
      </c>
      <c r="W259" s="393">
        <v>95000</v>
      </c>
      <c r="X259" s="393">
        <v>24.99</v>
      </c>
      <c r="Y259" s="393">
        <v>215.08</v>
      </c>
      <c r="Z259" s="393">
        <v>95000</v>
      </c>
      <c r="AA259">
        <v>0</v>
      </c>
      <c r="AB259" s="400">
        <v>44398.063869212965</v>
      </c>
      <c r="AC259" t="s">
        <v>19</v>
      </c>
    </row>
    <row r="260" spans="1:29">
      <c r="A260" t="s">
        <v>382</v>
      </c>
      <c r="B260" t="s">
        <v>382</v>
      </c>
      <c r="C260" t="s">
        <v>486</v>
      </c>
      <c r="D260" t="s">
        <v>571</v>
      </c>
      <c r="E260" t="s">
        <v>390</v>
      </c>
      <c r="F260" t="s">
        <v>391</v>
      </c>
      <c r="G260">
        <v>6101288</v>
      </c>
      <c r="H260">
        <v>202107</v>
      </c>
      <c r="I260" s="400">
        <v>44393</v>
      </c>
      <c r="J260">
        <v>125062</v>
      </c>
      <c r="K260" t="s">
        <v>386</v>
      </c>
      <c r="M260" t="s">
        <v>387</v>
      </c>
      <c r="O260" t="s">
        <v>849</v>
      </c>
      <c r="P260" t="s">
        <v>850</v>
      </c>
      <c r="Q260" t="s">
        <v>396</v>
      </c>
      <c r="R260">
        <v>2069121</v>
      </c>
      <c r="S260" t="s">
        <v>387</v>
      </c>
      <c r="U260" t="s">
        <v>854</v>
      </c>
      <c r="V260" t="s">
        <v>398</v>
      </c>
      <c r="W260" s="393">
        <v>65000</v>
      </c>
      <c r="X260" s="393">
        <v>17.100000000000001</v>
      </c>
      <c r="Y260" s="393">
        <v>147.16</v>
      </c>
      <c r="Z260" s="393">
        <v>65000</v>
      </c>
      <c r="AA260">
        <v>0</v>
      </c>
      <c r="AB260" s="400">
        <v>44398.063869212965</v>
      </c>
      <c r="AC260" t="s">
        <v>19</v>
      </c>
    </row>
    <row r="261" spans="1:29">
      <c r="A261" t="s">
        <v>382</v>
      </c>
      <c r="B261" t="s">
        <v>440</v>
      </c>
      <c r="C261" t="s">
        <v>486</v>
      </c>
      <c r="D261" t="s">
        <v>571</v>
      </c>
      <c r="E261" t="s">
        <v>390</v>
      </c>
      <c r="F261" t="s">
        <v>391</v>
      </c>
      <c r="G261">
        <v>6101227</v>
      </c>
      <c r="H261">
        <v>202107</v>
      </c>
      <c r="I261" s="400">
        <v>44385</v>
      </c>
      <c r="J261" t="s">
        <v>452</v>
      </c>
      <c r="K261" t="s">
        <v>386</v>
      </c>
      <c r="M261" t="s">
        <v>387</v>
      </c>
      <c r="O261" t="s">
        <v>593</v>
      </c>
      <c r="P261" t="s">
        <v>594</v>
      </c>
      <c r="Q261" t="s">
        <v>490</v>
      </c>
      <c r="R261">
        <v>2069125</v>
      </c>
      <c r="S261" t="s">
        <v>855</v>
      </c>
      <c r="U261" t="s">
        <v>856</v>
      </c>
      <c r="V261" t="s">
        <v>398</v>
      </c>
      <c r="W261" s="393">
        <v>15300</v>
      </c>
      <c r="X261" s="393">
        <v>4.01</v>
      </c>
      <c r="Y261" s="393">
        <v>34.33</v>
      </c>
      <c r="Z261" s="393">
        <v>15300</v>
      </c>
      <c r="AA261">
        <v>0</v>
      </c>
      <c r="AB261" s="400">
        <v>44392.759670057872</v>
      </c>
      <c r="AC261" t="s">
        <v>25</v>
      </c>
    </row>
    <row r="262" spans="1:29">
      <c r="A262" t="s">
        <v>382</v>
      </c>
      <c r="B262" t="s">
        <v>440</v>
      </c>
      <c r="C262" t="s">
        <v>486</v>
      </c>
      <c r="D262" t="s">
        <v>571</v>
      </c>
      <c r="E262" t="s">
        <v>390</v>
      </c>
      <c r="F262" t="s">
        <v>391</v>
      </c>
      <c r="G262">
        <v>6101227</v>
      </c>
      <c r="H262">
        <v>202107</v>
      </c>
      <c r="I262" s="400">
        <v>44385</v>
      </c>
      <c r="J262" t="s">
        <v>452</v>
      </c>
      <c r="K262" t="s">
        <v>386</v>
      </c>
      <c r="M262" t="s">
        <v>387</v>
      </c>
      <c r="O262" t="s">
        <v>857</v>
      </c>
      <c r="P262" t="s">
        <v>858</v>
      </c>
      <c r="Q262" t="s">
        <v>490</v>
      </c>
      <c r="R262">
        <v>2069125</v>
      </c>
      <c r="S262" t="s">
        <v>859</v>
      </c>
      <c r="U262" t="s">
        <v>860</v>
      </c>
      <c r="V262" t="s">
        <v>398</v>
      </c>
      <c r="W262" s="393">
        <v>32600</v>
      </c>
      <c r="X262" s="393">
        <v>8.5399999999999991</v>
      </c>
      <c r="Y262" s="393">
        <v>73.150000000000006</v>
      </c>
      <c r="Z262" s="393">
        <v>32600</v>
      </c>
      <c r="AA262">
        <v>0</v>
      </c>
      <c r="AB262" s="400">
        <v>44392.759670057872</v>
      </c>
      <c r="AC262" t="s">
        <v>25</v>
      </c>
    </row>
    <row r="263" spans="1:29">
      <c r="A263" t="s">
        <v>382</v>
      </c>
      <c r="B263" t="s">
        <v>440</v>
      </c>
      <c r="C263" t="s">
        <v>486</v>
      </c>
      <c r="D263" t="s">
        <v>571</v>
      </c>
      <c r="E263" t="s">
        <v>390</v>
      </c>
      <c r="F263" t="s">
        <v>391</v>
      </c>
      <c r="G263">
        <v>6101227</v>
      </c>
      <c r="H263">
        <v>202107</v>
      </c>
      <c r="I263" s="400">
        <v>44385</v>
      </c>
      <c r="J263" t="s">
        <v>452</v>
      </c>
      <c r="K263" t="s">
        <v>386</v>
      </c>
      <c r="M263" t="s">
        <v>387</v>
      </c>
      <c r="O263" t="s">
        <v>857</v>
      </c>
      <c r="P263" t="s">
        <v>858</v>
      </c>
      <c r="Q263" t="s">
        <v>490</v>
      </c>
      <c r="R263">
        <v>2069125</v>
      </c>
      <c r="S263" t="s">
        <v>861</v>
      </c>
      <c r="U263" t="s">
        <v>862</v>
      </c>
      <c r="V263" t="s">
        <v>398</v>
      </c>
      <c r="W263" s="393">
        <v>20000</v>
      </c>
      <c r="X263" s="393">
        <v>5.24</v>
      </c>
      <c r="Y263" s="393">
        <v>44.88</v>
      </c>
      <c r="Z263" s="393">
        <v>20000</v>
      </c>
      <c r="AA263">
        <v>0</v>
      </c>
      <c r="AB263" s="400">
        <v>44392.759670219908</v>
      </c>
      <c r="AC263" t="s">
        <v>25</v>
      </c>
    </row>
    <row r="264" spans="1:29">
      <c r="A264" t="s">
        <v>382</v>
      </c>
      <c r="B264" t="s">
        <v>440</v>
      </c>
      <c r="C264" t="s">
        <v>486</v>
      </c>
      <c r="D264" t="s">
        <v>571</v>
      </c>
      <c r="E264" t="s">
        <v>390</v>
      </c>
      <c r="F264" t="s">
        <v>391</v>
      </c>
      <c r="G264">
        <v>6101227</v>
      </c>
      <c r="H264">
        <v>202107</v>
      </c>
      <c r="I264" s="400">
        <v>44385</v>
      </c>
      <c r="J264" t="s">
        <v>452</v>
      </c>
      <c r="K264" t="s">
        <v>386</v>
      </c>
      <c r="M264" t="s">
        <v>387</v>
      </c>
      <c r="O264" t="s">
        <v>593</v>
      </c>
      <c r="P264" t="s">
        <v>594</v>
      </c>
      <c r="Q264" t="s">
        <v>490</v>
      </c>
      <c r="R264">
        <v>2069125</v>
      </c>
      <c r="S264" t="s">
        <v>863</v>
      </c>
      <c r="U264" t="s">
        <v>864</v>
      </c>
      <c r="V264" t="s">
        <v>398</v>
      </c>
      <c r="W264" s="393">
        <v>6300</v>
      </c>
      <c r="X264" s="393">
        <v>1.65</v>
      </c>
      <c r="Y264" s="393">
        <v>14.14</v>
      </c>
      <c r="Z264" s="393">
        <v>6300</v>
      </c>
      <c r="AA264">
        <v>0</v>
      </c>
      <c r="AB264" s="400">
        <v>44392.759670219908</v>
      </c>
      <c r="AC264" t="s">
        <v>25</v>
      </c>
    </row>
    <row r="265" spans="1:29">
      <c r="A265" t="s">
        <v>382</v>
      </c>
      <c r="B265" t="s">
        <v>440</v>
      </c>
      <c r="C265" t="s">
        <v>486</v>
      </c>
      <c r="D265" t="s">
        <v>571</v>
      </c>
      <c r="E265" t="s">
        <v>390</v>
      </c>
      <c r="F265" t="s">
        <v>391</v>
      </c>
      <c r="G265">
        <v>6101227</v>
      </c>
      <c r="H265">
        <v>202107</v>
      </c>
      <c r="I265" s="400">
        <v>44385</v>
      </c>
      <c r="J265" t="s">
        <v>452</v>
      </c>
      <c r="K265" t="s">
        <v>386</v>
      </c>
      <c r="M265" t="s">
        <v>387</v>
      </c>
      <c r="O265" t="s">
        <v>593</v>
      </c>
      <c r="P265" t="s">
        <v>594</v>
      </c>
      <c r="Q265" t="s">
        <v>490</v>
      </c>
      <c r="R265">
        <v>2069125</v>
      </c>
      <c r="S265" t="s">
        <v>865</v>
      </c>
      <c r="U265" t="s">
        <v>866</v>
      </c>
      <c r="V265" t="s">
        <v>398</v>
      </c>
      <c r="W265" s="393">
        <v>10500</v>
      </c>
      <c r="X265" s="393">
        <v>2.75</v>
      </c>
      <c r="Y265" s="393">
        <v>23.56</v>
      </c>
      <c r="Z265" s="393">
        <v>10500</v>
      </c>
      <c r="AA265">
        <v>0</v>
      </c>
      <c r="AB265" s="400">
        <v>44392.759670219908</v>
      </c>
      <c r="AC265" t="s">
        <v>25</v>
      </c>
    </row>
    <row r="266" spans="1:29">
      <c r="A266" t="s">
        <v>382</v>
      </c>
      <c r="B266" t="s">
        <v>440</v>
      </c>
      <c r="C266" t="s">
        <v>486</v>
      </c>
      <c r="D266" t="s">
        <v>571</v>
      </c>
      <c r="E266" t="s">
        <v>390</v>
      </c>
      <c r="F266" t="s">
        <v>391</v>
      </c>
      <c r="G266">
        <v>6101227</v>
      </c>
      <c r="H266">
        <v>202107</v>
      </c>
      <c r="I266" s="400">
        <v>44385</v>
      </c>
      <c r="J266" t="s">
        <v>452</v>
      </c>
      <c r="K266" t="s">
        <v>386</v>
      </c>
      <c r="M266" t="s">
        <v>387</v>
      </c>
      <c r="O266" t="s">
        <v>857</v>
      </c>
      <c r="P266" t="s">
        <v>858</v>
      </c>
      <c r="Q266" t="s">
        <v>490</v>
      </c>
      <c r="R266">
        <v>2069125</v>
      </c>
      <c r="S266" t="s">
        <v>867</v>
      </c>
      <c r="U266" t="s">
        <v>868</v>
      </c>
      <c r="V266" t="s">
        <v>398</v>
      </c>
      <c r="W266" s="393">
        <v>30500</v>
      </c>
      <c r="X266" s="393">
        <v>7.99</v>
      </c>
      <c r="Y266" s="393">
        <v>68.44</v>
      </c>
      <c r="Z266" s="393">
        <v>30500</v>
      </c>
      <c r="AA266">
        <v>0</v>
      </c>
      <c r="AB266" s="400">
        <v>44392.759670219908</v>
      </c>
      <c r="AC266" t="s">
        <v>25</v>
      </c>
    </row>
    <row r="267" spans="1:29">
      <c r="A267" t="s">
        <v>382</v>
      </c>
      <c r="B267" t="s">
        <v>440</v>
      </c>
      <c r="C267" t="s">
        <v>486</v>
      </c>
      <c r="D267" t="s">
        <v>571</v>
      </c>
      <c r="E267" t="s">
        <v>390</v>
      </c>
      <c r="F267" t="s">
        <v>391</v>
      </c>
      <c r="G267">
        <v>6101227</v>
      </c>
      <c r="H267">
        <v>202107</v>
      </c>
      <c r="I267" s="400">
        <v>44385</v>
      </c>
      <c r="J267" t="s">
        <v>452</v>
      </c>
      <c r="K267" t="s">
        <v>386</v>
      </c>
      <c r="M267" t="s">
        <v>387</v>
      </c>
      <c r="O267" t="s">
        <v>593</v>
      </c>
      <c r="P267" t="s">
        <v>594</v>
      </c>
      <c r="Q267" t="s">
        <v>490</v>
      </c>
      <c r="R267">
        <v>2069125</v>
      </c>
      <c r="S267" t="s">
        <v>869</v>
      </c>
      <c r="U267" t="s">
        <v>870</v>
      </c>
      <c r="V267" t="s">
        <v>398</v>
      </c>
      <c r="W267" s="393">
        <v>4500</v>
      </c>
      <c r="X267" s="393">
        <v>1.18</v>
      </c>
      <c r="Y267" s="393">
        <v>10.1</v>
      </c>
      <c r="Z267" s="393">
        <v>4500</v>
      </c>
      <c r="AA267">
        <v>0</v>
      </c>
      <c r="AB267" s="400">
        <v>44392.759670219908</v>
      </c>
      <c r="AC267" t="s">
        <v>25</v>
      </c>
    </row>
    <row r="268" spans="1:29">
      <c r="A268" t="s">
        <v>382</v>
      </c>
      <c r="B268" t="s">
        <v>440</v>
      </c>
      <c r="C268" t="s">
        <v>486</v>
      </c>
      <c r="D268" t="s">
        <v>571</v>
      </c>
      <c r="E268" t="s">
        <v>390</v>
      </c>
      <c r="F268" t="s">
        <v>391</v>
      </c>
      <c r="G268">
        <v>6101227</v>
      </c>
      <c r="H268">
        <v>202107</v>
      </c>
      <c r="I268" s="400">
        <v>44385</v>
      </c>
      <c r="J268" t="s">
        <v>452</v>
      </c>
      <c r="K268" t="s">
        <v>386</v>
      </c>
      <c r="M268" t="s">
        <v>387</v>
      </c>
      <c r="O268" t="s">
        <v>593</v>
      </c>
      <c r="P268" t="s">
        <v>594</v>
      </c>
      <c r="Q268" t="s">
        <v>490</v>
      </c>
      <c r="R268">
        <v>2069125</v>
      </c>
      <c r="S268" t="s">
        <v>871</v>
      </c>
      <c r="U268" t="s">
        <v>872</v>
      </c>
      <c r="V268" t="s">
        <v>398</v>
      </c>
      <c r="W268" s="393">
        <v>4500</v>
      </c>
      <c r="X268" s="393">
        <v>1.18</v>
      </c>
      <c r="Y268" s="393">
        <v>10.1</v>
      </c>
      <c r="Z268" s="393">
        <v>4500</v>
      </c>
      <c r="AA268">
        <v>0</v>
      </c>
      <c r="AB268" s="400">
        <v>44392.759670219908</v>
      </c>
      <c r="AC268" t="s">
        <v>25</v>
      </c>
    </row>
    <row r="269" spans="1:29">
      <c r="A269" t="s">
        <v>382</v>
      </c>
      <c r="B269" t="s">
        <v>440</v>
      </c>
      <c r="C269" t="s">
        <v>486</v>
      </c>
      <c r="D269" t="s">
        <v>571</v>
      </c>
      <c r="E269" t="s">
        <v>390</v>
      </c>
      <c r="F269" t="s">
        <v>391</v>
      </c>
      <c r="G269">
        <v>6101227</v>
      </c>
      <c r="H269">
        <v>202107</v>
      </c>
      <c r="I269" s="400">
        <v>44385</v>
      </c>
      <c r="J269" t="s">
        <v>452</v>
      </c>
      <c r="K269" t="s">
        <v>386</v>
      </c>
      <c r="M269" t="s">
        <v>387</v>
      </c>
      <c r="O269" t="s">
        <v>745</v>
      </c>
      <c r="P269" t="s">
        <v>746</v>
      </c>
      <c r="Q269" t="s">
        <v>490</v>
      </c>
      <c r="R269">
        <v>2069125</v>
      </c>
      <c r="S269" t="s">
        <v>873</v>
      </c>
      <c r="U269" t="s">
        <v>874</v>
      </c>
      <c r="V269" t="s">
        <v>398</v>
      </c>
      <c r="W269" s="393">
        <v>2500</v>
      </c>
      <c r="X269" s="393">
        <v>0.66</v>
      </c>
      <c r="Y269" s="393">
        <v>5.61</v>
      </c>
      <c r="Z269" s="393">
        <v>2500</v>
      </c>
      <c r="AA269">
        <v>0</v>
      </c>
      <c r="AB269" s="400">
        <v>44392.759670405096</v>
      </c>
      <c r="AC269" t="s">
        <v>25</v>
      </c>
    </row>
    <row r="270" spans="1:29">
      <c r="A270" t="s">
        <v>382</v>
      </c>
      <c r="B270" t="s">
        <v>440</v>
      </c>
      <c r="C270" t="s">
        <v>486</v>
      </c>
      <c r="D270" t="s">
        <v>571</v>
      </c>
      <c r="E270" t="s">
        <v>390</v>
      </c>
      <c r="F270" t="s">
        <v>391</v>
      </c>
      <c r="G270">
        <v>6101227</v>
      </c>
      <c r="H270">
        <v>202107</v>
      </c>
      <c r="I270" s="400">
        <v>44385</v>
      </c>
      <c r="J270" t="s">
        <v>452</v>
      </c>
      <c r="K270" t="s">
        <v>386</v>
      </c>
      <c r="M270" t="s">
        <v>387</v>
      </c>
      <c r="O270" t="s">
        <v>875</v>
      </c>
      <c r="P270" t="s">
        <v>876</v>
      </c>
      <c r="Q270" t="s">
        <v>490</v>
      </c>
      <c r="R270">
        <v>2069125</v>
      </c>
      <c r="S270" t="s">
        <v>877</v>
      </c>
      <c r="U270" t="s">
        <v>878</v>
      </c>
      <c r="V270" t="s">
        <v>398</v>
      </c>
      <c r="W270" s="393">
        <v>32200</v>
      </c>
      <c r="X270" s="393">
        <v>8.44</v>
      </c>
      <c r="Y270" s="393">
        <v>72.260000000000005</v>
      </c>
      <c r="Z270" s="393">
        <v>32200</v>
      </c>
      <c r="AA270">
        <v>0</v>
      </c>
      <c r="AB270" s="400">
        <v>44392.759670405096</v>
      </c>
      <c r="AC270" t="s">
        <v>25</v>
      </c>
    </row>
    <row r="271" spans="1:29">
      <c r="A271" t="s">
        <v>382</v>
      </c>
      <c r="B271" t="s">
        <v>440</v>
      </c>
      <c r="C271" t="s">
        <v>486</v>
      </c>
      <c r="D271" t="s">
        <v>571</v>
      </c>
      <c r="E271" t="s">
        <v>390</v>
      </c>
      <c r="F271" t="s">
        <v>391</v>
      </c>
      <c r="G271">
        <v>6101227</v>
      </c>
      <c r="H271">
        <v>202107</v>
      </c>
      <c r="I271" s="400">
        <v>44385</v>
      </c>
      <c r="J271" t="s">
        <v>452</v>
      </c>
      <c r="K271" t="s">
        <v>386</v>
      </c>
      <c r="M271" t="s">
        <v>387</v>
      </c>
      <c r="O271" t="s">
        <v>587</v>
      </c>
      <c r="P271" t="s">
        <v>588</v>
      </c>
      <c r="Q271" t="s">
        <v>490</v>
      </c>
      <c r="R271">
        <v>2069125</v>
      </c>
      <c r="S271" t="s">
        <v>671</v>
      </c>
      <c r="U271" t="s">
        <v>879</v>
      </c>
      <c r="V271" t="s">
        <v>398</v>
      </c>
      <c r="W271" s="393">
        <v>45000</v>
      </c>
      <c r="X271" s="393">
        <v>11.79</v>
      </c>
      <c r="Y271" s="393">
        <v>100.98</v>
      </c>
      <c r="Z271" s="393">
        <v>45000</v>
      </c>
      <c r="AA271">
        <v>0</v>
      </c>
      <c r="AB271" s="400">
        <v>44392.759670405096</v>
      </c>
      <c r="AC271" t="s">
        <v>25</v>
      </c>
    </row>
    <row r="272" spans="1:29">
      <c r="A272" t="s">
        <v>382</v>
      </c>
      <c r="B272" t="s">
        <v>440</v>
      </c>
      <c r="C272" t="s">
        <v>486</v>
      </c>
      <c r="D272" t="s">
        <v>571</v>
      </c>
      <c r="E272" t="s">
        <v>390</v>
      </c>
      <c r="F272" t="s">
        <v>391</v>
      </c>
      <c r="G272">
        <v>6101227</v>
      </c>
      <c r="H272">
        <v>202107</v>
      </c>
      <c r="I272" s="400">
        <v>44385</v>
      </c>
      <c r="J272" t="s">
        <v>452</v>
      </c>
      <c r="K272" t="s">
        <v>386</v>
      </c>
      <c r="M272" t="s">
        <v>387</v>
      </c>
      <c r="O272" t="s">
        <v>593</v>
      </c>
      <c r="P272" t="s">
        <v>594</v>
      </c>
      <c r="Q272" t="s">
        <v>490</v>
      </c>
      <c r="R272">
        <v>2069125</v>
      </c>
      <c r="S272" t="s">
        <v>880</v>
      </c>
      <c r="U272" t="s">
        <v>881</v>
      </c>
      <c r="V272" t="s">
        <v>398</v>
      </c>
      <c r="W272" s="393">
        <v>6200</v>
      </c>
      <c r="X272" s="393">
        <v>1.62</v>
      </c>
      <c r="Y272" s="393">
        <v>13.91</v>
      </c>
      <c r="Z272" s="393">
        <v>6200</v>
      </c>
      <c r="AA272">
        <v>0</v>
      </c>
      <c r="AB272" s="400">
        <v>44392.759670405096</v>
      </c>
      <c r="AC272" t="s">
        <v>25</v>
      </c>
    </row>
    <row r="273" spans="1:29">
      <c r="A273" t="s">
        <v>382</v>
      </c>
      <c r="B273" t="s">
        <v>440</v>
      </c>
      <c r="C273" t="s">
        <v>486</v>
      </c>
      <c r="D273" t="s">
        <v>571</v>
      </c>
      <c r="E273" t="s">
        <v>390</v>
      </c>
      <c r="F273" t="s">
        <v>391</v>
      </c>
      <c r="G273">
        <v>6101227</v>
      </c>
      <c r="H273">
        <v>202107</v>
      </c>
      <c r="I273" s="400">
        <v>44385</v>
      </c>
      <c r="J273" t="s">
        <v>452</v>
      </c>
      <c r="K273" t="s">
        <v>386</v>
      </c>
      <c r="M273" t="s">
        <v>387</v>
      </c>
      <c r="O273" t="s">
        <v>593</v>
      </c>
      <c r="P273" t="s">
        <v>594</v>
      </c>
      <c r="Q273" t="s">
        <v>490</v>
      </c>
      <c r="R273">
        <v>2069125</v>
      </c>
      <c r="S273" t="s">
        <v>882</v>
      </c>
      <c r="U273" t="s">
        <v>883</v>
      </c>
      <c r="V273" t="s">
        <v>398</v>
      </c>
      <c r="W273" s="393">
        <v>8000</v>
      </c>
      <c r="X273" s="393">
        <v>2.1</v>
      </c>
      <c r="Y273" s="393">
        <v>17.95</v>
      </c>
      <c r="Z273" s="393">
        <v>8000</v>
      </c>
      <c r="AA273">
        <v>0</v>
      </c>
      <c r="AB273" s="400">
        <v>44392.759669872685</v>
      </c>
      <c r="AC273" t="s">
        <v>25</v>
      </c>
    </row>
    <row r="274" spans="1:29">
      <c r="A274" t="s">
        <v>382</v>
      </c>
      <c r="B274" t="s">
        <v>440</v>
      </c>
      <c r="C274" t="s">
        <v>486</v>
      </c>
      <c r="D274" t="s">
        <v>571</v>
      </c>
      <c r="E274" t="s">
        <v>390</v>
      </c>
      <c r="F274" t="s">
        <v>391</v>
      </c>
      <c r="G274">
        <v>6101227</v>
      </c>
      <c r="H274">
        <v>202107</v>
      </c>
      <c r="I274" s="400">
        <v>44385</v>
      </c>
      <c r="J274" t="s">
        <v>452</v>
      </c>
      <c r="K274" t="s">
        <v>386</v>
      </c>
      <c r="M274" t="s">
        <v>387</v>
      </c>
      <c r="O274" t="s">
        <v>725</v>
      </c>
      <c r="P274" t="s">
        <v>726</v>
      </c>
      <c r="Q274" t="s">
        <v>490</v>
      </c>
      <c r="R274">
        <v>2069125</v>
      </c>
      <c r="S274" t="s">
        <v>884</v>
      </c>
      <c r="U274" t="s">
        <v>885</v>
      </c>
      <c r="V274" t="s">
        <v>398</v>
      </c>
      <c r="W274" s="393">
        <v>10000</v>
      </c>
      <c r="X274" s="393">
        <v>2.62</v>
      </c>
      <c r="Y274" s="393">
        <v>22.44</v>
      </c>
      <c r="Z274" s="393">
        <v>10000</v>
      </c>
      <c r="AA274">
        <v>0</v>
      </c>
      <c r="AB274" s="400">
        <v>44392.759670057872</v>
      </c>
      <c r="AC274" t="s">
        <v>25</v>
      </c>
    </row>
    <row r="275" spans="1:29">
      <c r="A275" t="s">
        <v>382</v>
      </c>
      <c r="B275" t="s">
        <v>440</v>
      </c>
      <c r="C275" t="s">
        <v>486</v>
      </c>
      <c r="D275" t="s">
        <v>571</v>
      </c>
      <c r="E275" t="s">
        <v>390</v>
      </c>
      <c r="F275" t="s">
        <v>391</v>
      </c>
      <c r="G275">
        <v>6101227</v>
      </c>
      <c r="H275">
        <v>202107</v>
      </c>
      <c r="I275" s="400">
        <v>44385</v>
      </c>
      <c r="J275" t="s">
        <v>452</v>
      </c>
      <c r="K275" t="s">
        <v>386</v>
      </c>
      <c r="M275" t="s">
        <v>387</v>
      </c>
      <c r="O275" t="s">
        <v>886</v>
      </c>
      <c r="P275" t="s">
        <v>887</v>
      </c>
      <c r="Q275" t="s">
        <v>490</v>
      </c>
      <c r="R275">
        <v>2069125</v>
      </c>
      <c r="S275" t="s">
        <v>888</v>
      </c>
      <c r="U275" t="s">
        <v>885</v>
      </c>
      <c r="V275" t="s">
        <v>398</v>
      </c>
      <c r="W275" s="393">
        <v>26000</v>
      </c>
      <c r="X275" s="393">
        <v>6.81</v>
      </c>
      <c r="Y275" s="393">
        <v>58.34</v>
      </c>
      <c r="Z275" s="393">
        <v>26000</v>
      </c>
      <c r="AA275">
        <v>0</v>
      </c>
      <c r="AB275" s="400">
        <v>44392.759670057872</v>
      </c>
      <c r="AC275" t="s">
        <v>25</v>
      </c>
    </row>
    <row r="276" spans="1:29">
      <c r="A276" t="s">
        <v>382</v>
      </c>
      <c r="B276" t="s">
        <v>440</v>
      </c>
      <c r="C276" t="s">
        <v>486</v>
      </c>
      <c r="D276" t="s">
        <v>571</v>
      </c>
      <c r="E276" t="s">
        <v>390</v>
      </c>
      <c r="F276" t="s">
        <v>391</v>
      </c>
      <c r="G276">
        <v>6101253</v>
      </c>
      <c r="H276">
        <v>202107</v>
      </c>
      <c r="I276" s="400">
        <v>44386</v>
      </c>
      <c r="J276">
        <v>125062</v>
      </c>
      <c r="K276" t="s">
        <v>386</v>
      </c>
      <c r="M276" t="s">
        <v>387</v>
      </c>
      <c r="O276" t="s">
        <v>705</v>
      </c>
      <c r="P276" t="s">
        <v>706</v>
      </c>
      <c r="Q276" t="s">
        <v>490</v>
      </c>
      <c r="R276">
        <v>2069125</v>
      </c>
      <c r="S276" t="s">
        <v>387</v>
      </c>
      <c r="U276" t="s">
        <v>889</v>
      </c>
      <c r="V276" t="s">
        <v>398</v>
      </c>
      <c r="W276" s="393">
        <v>65000</v>
      </c>
      <c r="X276" s="393">
        <v>17.03</v>
      </c>
      <c r="Y276" s="393">
        <v>145.86000000000001</v>
      </c>
      <c r="Z276" s="393">
        <v>65000</v>
      </c>
      <c r="AA276">
        <v>0</v>
      </c>
      <c r="AB276" s="400">
        <v>44397.86282800926</v>
      </c>
      <c r="AC276" t="s">
        <v>25</v>
      </c>
    </row>
    <row r="277" spans="1:29">
      <c r="A277" t="s">
        <v>382</v>
      </c>
      <c r="B277" t="s">
        <v>440</v>
      </c>
      <c r="C277" t="s">
        <v>486</v>
      </c>
      <c r="D277" t="s">
        <v>571</v>
      </c>
      <c r="E277" t="s">
        <v>390</v>
      </c>
      <c r="F277" t="s">
        <v>391</v>
      </c>
      <c r="G277">
        <v>6101253</v>
      </c>
      <c r="H277">
        <v>202107</v>
      </c>
      <c r="I277" s="400">
        <v>44386</v>
      </c>
      <c r="J277">
        <v>125062</v>
      </c>
      <c r="K277" t="s">
        <v>386</v>
      </c>
      <c r="M277" t="s">
        <v>387</v>
      </c>
      <c r="O277" t="s">
        <v>705</v>
      </c>
      <c r="P277" t="s">
        <v>706</v>
      </c>
      <c r="Q277" t="s">
        <v>396</v>
      </c>
      <c r="R277">
        <v>2265787</v>
      </c>
      <c r="S277" t="s">
        <v>387</v>
      </c>
      <c r="U277" t="s">
        <v>890</v>
      </c>
      <c r="V277" t="s">
        <v>398</v>
      </c>
      <c r="W277" s="393">
        <v>95000</v>
      </c>
      <c r="X277" s="393">
        <v>24.89</v>
      </c>
      <c r="Y277" s="393">
        <v>213.18</v>
      </c>
      <c r="Z277" s="393">
        <v>95000</v>
      </c>
      <c r="AA277">
        <v>0</v>
      </c>
      <c r="AB277" s="400">
        <v>44397.86282800926</v>
      </c>
      <c r="AC277" t="s">
        <v>326</v>
      </c>
    </row>
    <row r="278" spans="1:29">
      <c r="A278" t="s">
        <v>382</v>
      </c>
      <c r="B278" t="s">
        <v>440</v>
      </c>
      <c r="C278" t="s">
        <v>486</v>
      </c>
      <c r="D278" t="s">
        <v>571</v>
      </c>
      <c r="E278" t="s">
        <v>390</v>
      </c>
      <c r="F278" t="s">
        <v>391</v>
      </c>
      <c r="G278">
        <v>6101253</v>
      </c>
      <c r="H278">
        <v>202107</v>
      </c>
      <c r="I278" s="400">
        <v>44386</v>
      </c>
      <c r="J278">
        <v>125062</v>
      </c>
      <c r="K278" t="s">
        <v>386</v>
      </c>
      <c r="M278" t="s">
        <v>387</v>
      </c>
      <c r="O278" t="s">
        <v>705</v>
      </c>
      <c r="P278" t="s">
        <v>706</v>
      </c>
      <c r="Q278" t="s">
        <v>396</v>
      </c>
      <c r="R278">
        <v>2265787</v>
      </c>
      <c r="S278" t="s">
        <v>387</v>
      </c>
      <c r="U278" t="s">
        <v>891</v>
      </c>
      <c r="V278" t="s">
        <v>398</v>
      </c>
      <c r="W278" s="393">
        <v>95000</v>
      </c>
      <c r="X278" s="393">
        <v>24.89</v>
      </c>
      <c r="Y278" s="393">
        <v>213.18</v>
      </c>
      <c r="Z278" s="393">
        <v>95000</v>
      </c>
      <c r="AA278">
        <v>0</v>
      </c>
      <c r="AB278" s="400">
        <v>44397.862827812503</v>
      </c>
      <c r="AC278" t="s">
        <v>326</v>
      </c>
    </row>
    <row r="279" spans="1:29">
      <c r="A279" t="s">
        <v>382</v>
      </c>
      <c r="B279" t="s">
        <v>440</v>
      </c>
      <c r="C279" t="s">
        <v>486</v>
      </c>
      <c r="D279" t="s">
        <v>571</v>
      </c>
      <c r="E279" t="s">
        <v>390</v>
      </c>
      <c r="F279" t="s">
        <v>391</v>
      </c>
      <c r="G279">
        <v>6101253</v>
      </c>
      <c r="H279">
        <v>202107</v>
      </c>
      <c r="I279" s="400">
        <v>44386</v>
      </c>
      <c r="J279">
        <v>125062</v>
      </c>
      <c r="K279" t="s">
        <v>386</v>
      </c>
      <c r="M279" t="s">
        <v>387</v>
      </c>
      <c r="O279" t="s">
        <v>705</v>
      </c>
      <c r="P279" t="s">
        <v>706</v>
      </c>
      <c r="Q279" t="s">
        <v>490</v>
      </c>
      <c r="R279">
        <v>2069125</v>
      </c>
      <c r="S279" t="s">
        <v>387</v>
      </c>
      <c r="U279" t="s">
        <v>892</v>
      </c>
      <c r="V279" t="s">
        <v>398</v>
      </c>
      <c r="W279" s="393">
        <v>65000</v>
      </c>
      <c r="X279" s="393">
        <v>17.03</v>
      </c>
      <c r="Y279" s="393">
        <v>145.86000000000001</v>
      </c>
      <c r="Z279" s="393">
        <v>65000</v>
      </c>
      <c r="AA279">
        <v>0</v>
      </c>
      <c r="AB279" s="400">
        <v>44397.862827812503</v>
      </c>
      <c r="AC279" t="s">
        <v>25</v>
      </c>
    </row>
    <row r="280" spans="1:29">
      <c r="A280" t="s">
        <v>382</v>
      </c>
      <c r="B280" t="s">
        <v>440</v>
      </c>
      <c r="C280" t="s">
        <v>486</v>
      </c>
      <c r="D280" t="s">
        <v>571</v>
      </c>
      <c r="E280" t="s">
        <v>390</v>
      </c>
      <c r="F280" t="s">
        <v>391</v>
      </c>
      <c r="G280">
        <v>6101253</v>
      </c>
      <c r="H280">
        <v>202107</v>
      </c>
      <c r="I280" s="400">
        <v>44386</v>
      </c>
      <c r="J280">
        <v>125062</v>
      </c>
      <c r="K280" t="s">
        <v>386</v>
      </c>
      <c r="M280" t="s">
        <v>387</v>
      </c>
      <c r="O280" t="s">
        <v>705</v>
      </c>
      <c r="P280" t="s">
        <v>706</v>
      </c>
      <c r="Q280" t="s">
        <v>490</v>
      </c>
      <c r="R280">
        <v>2069125</v>
      </c>
      <c r="S280" t="s">
        <v>387</v>
      </c>
      <c r="U280" t="s">
        <v>893</v>
      </c>
      <c r="V280" t="s">
        <v>398</v>
      </c>
      <c r="W280" s="393">
        <v>65000</v>
      </c>
      <c r="X280" s="393">
        <v>17.03</v>
      </c>
      <c r="Y280" s="393">
        <v>145.86000000000001</v>
      </c>
      <c r="Z280" s="393">
        <v>65000</v>
      </c>
      <c r="AA280">
        <v>0</v>
      </c>
      <c r="AB280" s="400">
        <v>44397.862827812503</v>
      </c>
      <c r="AC280" t="s">
        <v>25</v>
      </c>
    </row>
    <row r="281" spans="1:29">
      <c r="A281" t="s">
        <v>382</v>
      </c>
      <c r="B281" t="s">
        <v>440</v>
      </c>
      <c r="C281" t="s">
        <v>486</v>
      </c>
      <c r="D281" t="s">
        <v>571</v>
      </c>
      <c r="E281" t="s">
        <v>390</v>
      </c>
      <c r="F281" t="s">
        <v>391</v>
      </c>
      <c r="G281">
        <v>6101253</v>
      </c>
      <c r="H281">
        <v>202107</v>
      </c>
      <c r="I281" s="400">
        <v>44386</v>
      </c>
      <c r="J281">
        <v>125062</v>
      </c>
      <c r="K281" t="s">
        <v>386</v>
      </c>
      <c r="M281" t="s">
        <v>387</v>
      </c>
      <c r="O281" t="s">
        <v>705</v>
      </c>
      <c r="P281" t="s">
        <v>706</v>
      </c>
      <c r="Q281" t="s">
        <v>396</v>
      </c>
      <c r="R281">
        <v>2265787</v>
      </c>
      <c r="S281" t="s">
        <v>387</v>
      </c>
      <c r="U281" t="s">
        <v>894</v>
      </c>
      <c r="V281" t="s">
        <v>398</v>
      </c>
      <c r="W281" s="393">
        <v>95000</v>
      </c>
      <c r="X281" s="393">
        <v>24.89</v>
      </c>
      <c r="Y281" s="393">
        <v>213.18</v>
      </c>
      <c r="Z281" s="393">
        <v>95000</v>
      </c>
      <c r="AA281">
        <v>0</v>
      </c>
      <c r="AB281" s="400">
        <v>44397.862827812503</v>
      </c>
      <c r="AC281" t="s">
        <v>326</v>
      </c>
    </row>
    <row r="282" spans="1:29">
      <c r="A282" t="s">
        <v>382</v>
      </c>
      <c r="B282" t="s">
        <v>440</v>
      </c>
      <c r="C282" t="s">
        <v>486</v>
      </c>
      <c r="D282" t="s">
        <v>571</v>
      </c>
      <c r="E282" t="s">
        <v>390</v>
      </c>
      <c r="F282" t="s">
        <v>391</v>
      </c>
      <c r="G282">
        <v>6101628</v>
      </c>
      <c r="H282">
        <v>202108</v>
      </c>
      <c r="I282" s="400">
        <v>44438</v>
      </c>
      <c r="J282">
        <v>125062</v>
      </c>
      <c r="K282" t="s">
        <v>386</v>
      </c>
      <c r="M282" t="s">
        <v>387</v>
      </c>
      <c r="O282" t="s">
        <v>849</v>
      </c>
      <c r="P282" t="s">
        <v>850</v>
      </c>
      <c r="Q282" t="s">
        <v>490</v>
      </c>
      <c r="R282">
        <v>2069125</v>
      </c>
      <c r="S282" t="s">
        <v>387</v>
      </c>
      <c r="U282" t="s">
        <v>895</v>
      </c>
      <c r="V282" t="s">
        <v>398</v>
      </c>
      <c r="W282" s="393">
        <v>65000</v>
      </c>
      <c r="X282" s="393">
        <v>16.82</v>
      </c>
      <c r="Y282" s="393">
        <v>146.44999999999999</v>
      </c>
      <c r="Z282" s="393">
        <v>65000</v>
      </c>
      <c r="AA282">
        <v>0</v>
      </c>
      <c r="AB282" s="400">
        <v>44441.005605092592</v>
      </c>
      <c r="AC282" t="s">
        <v>25</v>
      </c>
    </row>
    <row r="283" spans="1:29">
      <c r="A283" t="s">
        <v>382</v>
      </c>
      <c r="B283" t="s">
        <v>440</v>
      </c>
      <c r="C283" t="s">
        <v>486</v>
      </c>
      <c r="D283" t="s">
        <v>571</v>
      </c>
      <c r="E283" t="s">
        <v>390</v>
      </c>
      <c r="F283" t="s">
        <v>391</v>
      </c>
      <c r="G283">
        <v>6101643</v>
      </c>
      <c r="H283">
        <v>202108</v>
      </c>
      <c r="I283" s="400">
        <v>44438</v>
      </c>
      <c r="J283">
        <v>124932</v>
      </c>
      <c r="K283" t="s">
        <v>386</v>
      </c>
      <c r="M283" t="s">
        <v>387</v>
      </c>
      <c r="O283" t="s">
        <v>896</v>
      </c>
      <c r="P283" t="s">
        <v>897</v>
      </c>
      <c r="Q283" t="s">
        <v>396</v>
      </c>
      <c r="R283">
        <v>2069123</v>
      </c>
      <c r="S283" t="s">
        <v>387</v>
      </c>
      <c r="U283" t="s">
        <v>898</v>
      </c>
      <c r="V283" t="s">
        <v>398</v>
      </c>
      <c r="W283" s="393">
        <v>46000</v>
      </c>
      <c r="X283" s="393">
        <v>11.9</v>
      </c>
      <c r="Y283" s="393">
        <v>103.64</v>
      </c>
      <c r="Z283" s="393">
        <v>46000</v>
      </c>
      <c r="AA283">
        <v>0</v>
      </c>
      <c r="AB283" s="400">
        <v>44441.821755555553</v>
      </c>
      <c r="AC283" t="s">
        <v>22</v>
      </c>
    </row>
    <row r="284" spans="1:29">
      <c r="A284" t="s">
        <v>382</v>
      </c>
      <c r="B284" t="s">
        <v>440</v>
      </c>
      <c r="C284" t="s">
        <v>486</v>
      </c>
      <c r="D284" t="s">
        <v>571</v>
      </c>
      <c r="E284" t="s">
        <v>390</v>
      </c>
      <c r="F284" t="s">
        <v>391</v>
      </c>
      <c r="G284">
        <v>6101643</v>
      </c>
      <c r="H284">
        <v>202108</v>
      </c>
      <c r="I284" s="400">
        <v>44438</v>
      </c>
      <c r="J284">
        <v>124932</v>
      </c>
      <c r="K284" t="s">
        <v>386</v>
      </c>
      <c r="M284" t="s">
        <v>387</v>
      </c>
      <c r="O284" t="s">
        <v>794</v>
      </c>
      <c r="P284" t="s">
        <v>795</v>
      </c>
      <c r="Q284" t="s">
        <v>396</v>
      </c>
      <c r="R284">
        <v>2069123</v>
      </c>
      <c r="S284" t="s">
        <v>387</v>
      </c>
      <c r="U284" t="s">
        <v>899</v>
      </c>
      <c r="V284" t="s">
        <v>398</v>
      </c>
      <c r="W284" s="393">
        <v>9000</v>
      </c>
      <c r="X284" s="393">
        <v>2.33</v>
      </c>
      <c r="Y284" s="393">
        <v>20.28</v>
      </c>
      <c r="Z284" s="393">
        <v>9000</v>
      </c>
      <c r="AA284">
        <v>0</v>
      </c>
      <c r="AB284" s="400">
        <v>44441.821755555553</v>
      </c>
      <c r="AC284" t="s">
        <v>22</v>
      </c>
    </row>
    <row r="285" spans="1:29">
      <c r="A285" t="s">
        <v>382</v>
      </c>
      <c r="B285" t="s">
        <v>440</v>
      </c>
      <c r="C285" t="s">
        <v>486</v>
      </c>
      <c r="D285" t="s">
        <v>571</v>
      </c>
      <c r="E285" t="s">
        <v>390</v>
      </c>
      <c r="F285" t="s">
        <v>391</v>
      </c>
      <c r="G285">
        <v>6101643</v>
      </c>
      <c r="H285">
        <v>202108</v>
      </c>
      <c r="I285" s="400">
        <v>44438</v>
      </c>
      <c r="J285">
        <v>124932</v>
      </c>
      <c r="K285" t="s">
        <v>386</v>
      </c>
      <c r="M285" t="s">
        <v>387</v>
      </c>
      <c r="O285" t="s">
        <v>587</v>
      </c>
      <c r="P285" t="s">
        <v>588</v>
      </c>
      <c r="Q285" t="s">
        <v>396</v>
      </c>
      <c r="R285">
        <v>2069123</v>
      </c>
      <c r="S285" t="s">
        <v>387</v>
      </c>
      <c r="U285" t="s">
        <v>900</v>
      </c>
      <c r="V285" t="s">
        <v>398</v>
      </c>
      <c r="W285" s="393">
        <v>30000</v>
      </c>
      <c r="X285" s="393">
        <v>7.76</v>
      </c>
      <c r="Y285" s="393">
        <v>67.59</v>
      </c>
      <c r="Z285" s="393">
        <v>30000</v>
      </c>
      <c r="AA285">
        <v>0</v>
      </c>
      <c r="AB285" s="400">
        <v>44441.821755555553</v>
      </c>
      <c r="AC285" t="s">
        <v>22</v>
      </c>
    </row>
    <row r="286" spans="1:29">
      <c r="A286" t="s">
        <v>382</v>
      </c>
      <c r="B286" t="s">
        <v>440</v>
      </c>
      <c r="C286" t="s">
        <v>486</v>
      </c>
      <c r="D286" t="s">
        <v>571</v>
      </c>
      <c r="E286" t="s">
        <v>390</v>
      </c>
      <c r="F286" t="s">
        <v>391</v>
      </c>
      <c r="G286">
        <v>6101643</v>
      </c>
      <c r="H286">
        <v>202108</v>
      </c>
      <c r="I286" s="400">
        <v>44438</v>
      </c>
      <c r="J286">
        <v>124932</v>
      </c>
      <c r="K286" t="s">
        <v>386</v>
      </c>
      <c r="M286" t="s">
        <v>387</v>
      </c>
      <c r="O286" t="s">
        <v>875</v>
      </c>
      <c r="P286" t="s">
        <v>876</v>
      </c>
      <c r="Q286" t="s">
        <v>396</v>
      </c>
      <c r="R286">
        <v>2069121</v>
      </c>
      <c r="S286" t="s">
        <v>387</v>
      </c>
      <c r="U286" t="s">
        <v>901</v>
      </c>
      <c r="V286" t="s">
        <v>398</v>
      </c>
      <c r="W286" s="393">
        <v>35400</v>
      </c>
      <c r="X286" s="393">
        <v>9.16</v>
      </c>
      <c r="Y286" s="393">
        <v>79.760000000000005</v>
      </c>
      <c r="Z286" s="393">
        <v>35400</v>
      </c>
      <c r="AA286">
        <v>0</v>
      </c>
      <c r="AB286" s="400">
        <v>44441.821755752317</v>
      </c>
      <c r="AC286" t="s">
        <v>19</v>
      </c>
    </row>
    <row r="287" spans="1:29">
      <c r="A287" t="s">
        <v>382</v>
      </c>
      <c r="B287" t="s">
        <v>440</v>
      </c>
      <c r="C287" t="s">
        <v>486</v>
      </c>
      <c r="D287" t="s">
        <v>571</v>
      </c>
      <c r="E287" t="s">
        <v>390</v>
      </c>
      <c r="F287" t="s">
        <v>391</v>
      </c>
      <c r="G287">
        <v>6101643</v>
      </c>
      <c r="H287">
        <v>202108</v>
      </c>
      <c r="I287" s="400">
        <v>44438</v>
      </c>
      <c r="J287">
        <v>124932</v>
      </c>
      <c r="K287" t="s">
        <v>386</v>
      </c>
      <c r="M287" t="s">
        <v>387</v>
      </c>
      <c r="O287" t="s">
        <v>593</v>
      </c>
      <c r="P287" t="s">
        <v>594</v>
      </c>
      <c r="Q287" t="s">
        <v>396</v>
      </c>
      <c r="R287">
        <v>2069121</v>
      </c>
      <c r="S287" t="s">
        <v>387</v>
      </c>
      <c r="U287" t="s">
        <v>902</v>
      </c>
      <c r="V287" t="s">
        <v>398</v>
      </c>
      <c r="W287" s="393">
        <v>20500</v>
      </c>
      <c r="X287" s="393">
        <v>5.3</v>
      </c>
      <c r="Y287" s="393">
        <v>46.19</v>
      </c>
      <c r="Z287" s="393">
        <v>20500</v>
      </c>
      <c r="AA287">
        <v>0</v>
      </c>
      <c r="AB287" s="400">
        <v>44441.821755752317</v>
      </c>
      <c r="AC287" t="s">
        <v>19</v>
      </c>
    </row>
    <row r="288" spans="1:29">
      <c r="A288" t="s">
        <v>382</v>
      </c>
      <c r="B288" t="s">
        <v>440</v>
      </c>
      <c r="C288" t="s">
        <v>486</v>
      </c>
      <c r="D288" t="s">
        <v>571</v>
      </c>
      <c r="E288" t="s">
        <v>390</v>
      </c>
      <c r="F288" t="s">
        <v>391</v>
      </c>
      <c r="G288">
        <v>6101643</v>
      </c>
      <c r="H288">
        <v>202108</v>
      </c>
      <c r="I288" s="400">
        <v>44438</v>
      </c>
      <c r="J288">
        <v>124932</v>
      </c>
      <c r="K288" t="s">
        <v>386</v>
      </c>
      <c r="M288" t="s">
        <v>387</v>
      </c>
      <c r="O288" t="s">
        <v>903</v>
      </c>
      <c r="P288" t="s">
        <v>904</v>
      </c>
      <c r="Q288" t="s">
        <v>396</v>
      </c>
      <c r="R288">
        <v>2069123</v>
      </c>
      <c r="S288" t="s">
        <v>387</v>
      </c>
      <c r="U288" t="s">
        <v>905</v>
      </c>
      <c r="V288" t="s">
        <v>398</v>
      </c>
      <c r="W288" s="393">
        <v>12000</v>
      </c>
      <c r="X288" s="393">
        <v>3.1</v>
      </c>
      <c r="Y288" s="393">
        <v>27.04</v>
      </c>
      <c r="Z288" s="393">
        <v>12000</v>
      </c>
      <c r="AA288">
        <v>0</v>
      </c>
      <c r="AB288" s="400">
        <v>44441.821755358797</v>
      </c>
      <c r="AC288" t="s">
        <v>22</v>
      </c>
    </row>
    <row r="289" spans="1:29">
      <c r="A289" t="s">
        <v>382</v>
      </c>
      <c r="B289" t="s">
        <v>440</v>
      </c>
      <c r="C289" t="s">
        <v>486</v>
      </c>
      <c r="D289" t="s">
        <v>571</v>
      </c>
      <c r="E289" t="s">
        <v>390</v>
      </c>
      <c r="F289" t="s">
        <v>391</v>
      </c>
      <c r="G289">
        <v>6101643</v>
      </c>
      <c r="H289">
        <v>202108</v>
      </c>
      <c r="I289" s="400">
        <v>44438</v>
      </c>
      <c r="J289">
        <v>124932</v>
      </c>
      <c r="K289" t="s">
        <v>386</v>
      </c>
      <c r="M289" t="s">
        <v>387</v>
      </c>
      <c r="O289" t="s">
        <v>906</v>
      </c>
      <c r="P289" t="s">
        <v>907</v>
      </c>
      <c r="Q289" t="s">
        <v>396</v>
      </c>
      <c r="R289">
        <v>2069123</v>
      </c>
      <c r="S289" t="s">
        <v>387</v>
      </c>
      <c r="U289" t="s">
        <v>908</v>
      </c>
      <c r="V289" t="s">
        <v>398</v>
      </c>
      <c r="W289" s="393">
        <v>30000</v>
      </c>
      <c r="X289" s="393">
        <v>7.76</v>
      </c>
      <c r="Y289" s="393">
        <v>67.59</v>
      </c>
      <c r="Z289" s="393">
        <v>30000</v>
      </c>
      <c r="AA289">
        <v>0</v>
      </c>
      <c r="AB289" s="400">
        <v>44441.821755358797</v>
      </c>
      <c r="AC289" t="s">
        <v>22</v>
      </c>
    </row>
    <row r="290" spans="1:29">
      <c r="A290" t="s">
        <v>382</v>
      </c>
      <c r="B290" t="s">
        <v>440</v>
      </c>
      <c r="C290" t="s">
        <v>486</v>
      </c>
      <c r="D290" t="s">
        <v>571</v>
      </c>
      <c r="E290" t="s">
        <v>390</v>
      </c>
      <c r="F290" t="s">
        <v>391</v>
      </c>
      <c r="G290">
        <v>6101594</v>
      </c>
      <c r="H290">
        <v>202108</v>
      </c>
      <c r="I290" s="400">
        <v>44428</v>
      </c>
      <c r="J290" t="s">
        <v>452</v>
      </c>
      <c r="K290" t="s">
        <v>386</v>
      </c>
      <c r="M290" t="s">
        <v>387</v>
      </c>
      <c r="O290" t="s">
        <v>909</v>
      </c>
      <c r="P290" t="s">
        <v>910</v>
      </c>
      <c r="Q290" t="s">
        <v>490</v>
      </c>
      <c r="R290">
        <v>2069125</v>
      </c>
      <c r="S290" t="s">
        <v>911</v>
      </c>
      <c r="T290" t="s">
        <v>911</v>
      </c>
      <c r="U290" t="s">
        <v>912</v>
      </c>
      <c r="V290" t="s">
        <v>398</v>
      </c>
      <c r="W290" s="393">
        <v>52000</v>
      </c>
      <c r="X290" s="393">
        <v>13.47</v>
      </c>
      <c r="Y290" s="393">
        <v>116.8</v>
      </c>
      <c r="Z290" s="393">
        <v>52000</v>
      </c>
      <c r="AA290">
        <v>0</v>
      </c>
      <c r="AB290" s="400">
        <v>44430.864861493057</v>
      </c>
      <c r="AC290" t="s">
        <v>25</v>
      </c>
    </row>
    <row r="291" spans="1:29">
      <c r="A291" t="s">
        <v>382</v>
      </c>
      <c r="B291" t="s">
        <v>440</v>
      </c>
      <c r="C291" t="s">
        <v>486</v>
      </c>
      <c r="D291" t="s">
        <v>571</v>
      </c>
      <c r="E291" t="s">
        <v>390</v>
      </c>
      <c r="F291" t="s">
        <v>391</v>
      </c>
      <c r="G291">
        <v>6101594</v>
      </c>
      <c r="H291">
        <v>202108</v>
      </c>
      <c r="I291" s="400">
        <v>44428</v>
      </c>
      <c r="J291" t="s">
        <v>452</v>
      </c>
      <c r="K291" t="s">
        <v>386</v>
      </c>
      <c r="M291" t="s">
        <v>387</v>
      </c>
      <c r="O291" t="s">
        <v>913</v>
      </c>
      <c r="P291" t="s">
        <v>914</v>
      </c>
      <c r="Q291" t="s">
        <v>490</v>
      </c>
      <c r="R291">
        <v>2069125</v>
      </c>
      <c r="S291" t="s">
        <v>915</v>
      </c>
      <c r="T291" t="s">
        <v>915</v>
      </c>
      <c r="U291" t="s">
        <v>916</v>
      </c>
      <c r="V291" t="s">
        <v>398</v>
      </c>
      <c r="W291" s="393">
        <v>31500</v>
      </c>
      <c r="X291" s="393">
        <v>8.16</v>
      </c>
      <c r="Y291" s="393">
        <v>70.75</v>
      </c>
      <c r="Z291" s="393">
        <v>31500</v>
      </c>
      <c r="AA291">
        <v>0</v>
      </c>
      <c r="AB291" s="400">
        <v>44430.864861493057</v>
      </c>
      <c r="AC291" t="s">
        <v>25</v>
      </c>
    </row>
    <row r="292" spans="1:29">
      <c r="A292" t="s">
        <v>382</v>
      </c>
      <c r="B292" t="s">
        <v>440</v>
      </c>
      <c r="C292" t="s">
        <v>486</v>
      </c>
      <c r="D292" t="s">
        <v>571</v>
      </c>
      <c r="E292" t="s">
        <v>390</v>
      </c>
      <c r="F292" t="s">
        <v>391</v>
      </c>
      <c r="G292">
        <v>6101594</v>
      </c>
      <c r="H292">
        <v>202108</v>
      </c>
      <c r="I292" s="400">
        <v>44428</v>
      </c>
      <c r="J292" t="s">
        <v>452</v>
      </c>
      <c r="K292" t="s">
        <v>386</v>
      </c>
      <c r="M292" t="s">
        <v>387</v>
      </c>
      <c r="O292" t="s">
        <v>917</v>
      </c>
      <c r="P292" t="s">
        <v>918</v>
      </c>
      <c r="Q292" t="s">
        <v>490</v>
      </c>
      <c r="R292">
        <v>2069125</v>
      </c>
      <c r="S292" t="s">
        <v>919</v>
      </c>
      <c r="T292" t="s">
        <v>919</v>
      </c>
      <c r="U292" t="s">
        <v>920</v>
      </c>
      <c r="V292" t="s">
        <v>398</v>
      </c>
      <c r="W292" s="393">
        <v>12000</v>
      </c>
      <c r="X292" s="393">
        <v>3.11</v>
      </c>
      <c r="Y292" s="393">
        <v>26.95</v>
      </c>
      <c r="Z292" s="393">
        <v>12000</v>
      </c>
      <c r="AA292">
        <v>0</v>
      </c>
      <c r="AB292" s="400">
        <v>44430.864861493057</v>
      </c>
      <c r="AC292" t="s">
        <v>25</v>
      </c>
    </row>
    <row r="293" spans="1:29">
      <c r="A293" t="s">
        <v>382</v>
      </c>
      <c r="B293" t="s">
        <v>440</v>
      </c>
      <c r="C293" t="s">
        <v>486</v>
      </c>
      <c r="D293" t="s">
        <v>571</v>
      </c>
      <c r="E293" t="s">
        <v>390</v>
      </c>
      <c r="F293" t="s">
        <v>391</v>
      </c>
      <c r="G293">
        <v>6101594</v>
      </c>
      <c r="H293">
        <v>202108</v>
      </c>
      <c r="I293" s="400">
        <v>44428</v>
      </c>
      <c r="J293" t="s">
        <v>452</v>
      </c>
      <c r="K293" t="s">
        <v>386</v>
      </c>
      <c r="M293" t="s">
        <v>387</v>
      </c>
      <c r="O293" t="s">
        <v>794</v>
      </c>
      <c r="P293" t="s">
        <v>795</v>
      </c>
      <c r="Q293" t="s">
        <v>490</v>
      </c>
      <c r="R293">
        <v>2069125</v>
      </c>
      <c r="S293" t="s">
        <v>921</v>
      </c>
      <c r="T293" t="s">
        <v>921</v>
      </c>
      <c r="U293" t="s">
        <v>922</v>
      </c>
      <c r="V293" t="s">
        <v>398</v>
      </c>
      <c r="W293" s="393">
        <v>5000</v>
      </c>
      <c r="X293" s="393">
        <v>1.29</v>
      </c>
      <c r="Y293" s="393">
        <v>11.23</v>
      </c>
      <c r="Z293" s="393">
        <v>5000</v>
      </c>
      <c r="AA293">
        <v>0</v>
      </c>
      <c r="AB293" s="400">
        <v>44430.864861493057</v>
      </c>
      <c r="AC293" t="s">
        <v>25</v>
      </c>
    </row>
    <row r="294" spans="1:29">
      <c r="A294" t="s">
        <v>382</v>
      </c>
      <c r="B294" t="s">
        <v>440</v>
      </c>
      <c r="C294" t="s">
        <v>486</v>
      </c>
      <c r="D294" t="s">
        <v>571</v>
      </c>
      <c r="E294" t="s">
        <v>390</v>
      </c>
      <c r="F294" t="s">
        <v>391</v>
      </c>
      <c r="G294">
        <v>6101594</v>
      </c>
      <c r="H294">
        <v>202108</v>
      </c>
      <c r="I294" s="400">
        <v>44428</v>
      </c>
      <c r="J294" t="s">
        <v>452</v>
      </c>
      <c r="K294" t="s">
        <v>386</v>
      </c>
      <c r="M294" t="s">
        <v>387</v>
      </c>
      <c r="O294" t="s">
        <v>794</v>
      </c>
      <c r="P294" t="s">
        <v>795</v>
      </c>
      <c r="Q294" t="s">
        <v>490</v>
      </c>
      <c r="R294">
        <v>2069125</v>
      </c>
      <c r="S294" t="s">
        <v>923</v>
      </c>
      <c r="T294" t="s">
        <v>923</v>
      </c>
      <c r="U294" t="s">
        <v>924</v>
      </c>
      <c r="V294" t="s">
        <v>398</v>
      </c>
      <c r="W294" s="393">
        <v>9000</v>
      </c>
      <c r="X294" s="393">
        <v>2.33</v>
      </c>
      <c r="Y294" s="393">
        <v>20.21</v>
      </c>
      <c r="Z294" s="393">
        <v>9000</v>
      </c>
      <c r="AA294">
        <v>0</v>
      </c>
      <c r="AB294" s="400">
        <v>44430.864861493057</v>
      </c>
      <c r="AC294" t="s">
        <v>25</v>
      </c>
    </row>
    <row r="295" spans="1:29">
      <c r="A295" t="s">
        <v>382</v>
      </c>
      <c r="B295" t="s">
        <v>440</v>
      </c>
      <c r="C295" t="s">
        <v>486</v>
      </c>
      <c r="D295" t="s">
        <v>571</v>
      </c>
      <c r="E295" t="s">
        <v>390</v>
      </c>
      <c r="F295" t="s">
        <v>391</v>
      </c>
      <c r="G295">
        <v>6101594</v>
      </c>
      <c r="H295">
        <v>202108</v>
      </c>
      <c r="I295" s="400">
        <v>44428</v>
      </c>
      <c r="J295" t="s">
        <v>452</v>
      </c>
      <c r="K295" t="s">
        <v>386</v>
      </c>
      <c r="M295" t="s">
        <v>387</v>
      </c>
      <c r="O295" t="s">
        <v>906</v>
      </c>
      <c r="P295" t="s">
        <v>907</v>
      </c>
      <c r="Q295" t="s">
        <v>490</v>
      </c>
      <c r="R295">
        <v>2069125</v>
      </c>
      <c r="S295" t="s">
        <v>925</v>
      </c>
      <c r="T295" t="s">
        <v>925</v>
      </c>
      <c r="U295" t="s">
        <v>926</v>
      </c>
      <c r="V295" t="s">
        <v>398</v>
      </c>
      <c r="W295" s="393">
        <v>21000</v>
      </c>
      <c r="X295" s="393">
        <v>5.44</v>
      </c>
      <c r="Y295" s="393">
        <v>47.17</v>
      </c>
      <c r="Z295" s="393">
        <v>21000</v>
      </c>
      <c r="AA295">
        <v>0</v>
      </c>
      <c r="AB295" s="400">
        <v>44430.864861493057</v>
      </c>
      <c r="AC295" t="s">
        <v>25</v>
      </c>
    </row>
    <row r="296" spans="1:29">
      <c r="A296" t="s">
        <v>382</v>
      </c>
      <c r="B296" t="s">
        <v>440</v>
      </c>
      <c r="C296" t="s">
        <v>486</v>
      </c>
      <c r="D296" t="s">
        <v>571</v>
      </c>
      <c r="E296" t="s">
        <v>390</v>
      </c>
      <c r="F296" t="s">
        <v>391</v>
      </c>
      <c r="G296">
        <v>6101594</v>
      </c>
      <c r="H296">
        <v>202108</v>
      </c>
      <c r="I296" s="400">
        <v>44428</v>
      </c>
      <c r="J296" t="s">
        <v>452</v>
      </c>
      <c r="K296" t="s">
        <v>386</v>
      </c>
      <c r="M296" t="s">
        <v>387</v>
      </c>
      <c r="O296" t="s">
        <v>593</v>
      </c>
      <c r="P296" t="s">
        <v>594</v>
      </c>
      <c r="Q296" t="s">
        <v>490</v>
      </c>
      <c r="R296">
        <v>2069125</v>
      </c>
      <c r="S296" t="s">
        <v>927</v>
      </c>
      <c r="T296" t="s">
        <v>927</v>
      </c>
      <c r="U296" t="s">
        <v>928</v>
      </c>
      <c r="V296" t="s">
        <v>398</v>
      </c>
      <c r="W296" s="393">
        <v>8500</v>
      </c>
      <c r="X296" s="393">
        <v>2.2000000000000002</v>
      </c>
      <c r="Y296" s="393">
        <v>19.09</v>
      </c>
      <c r="Z296" s="393">
        <v>8500</v>
      </c>
      <c r="AA296">
        <v>0</v>
      </c>
      <c r="AB296" s="400">
        <v>44430.864861493057</v>
      </c>
      <c r="AC296" t="s">
        <v>25</v>
      </c>
    </row>
    <row r="297" spans="1:29">
      <c r="A297" t="s">
        <v>382</v>
      </c>
      <c r="B297" t="s">
        <v>440</v>
      </c>
      <c r="C297" t="s">
        <v>486</v>
      </c>
      <c r="D297" t="s">
        <v>571</v>
      </c>
      <c r="E297" t="s">
        <v>390</v>
      </c>
      <c r="F297" t="s">
        <v>391</v>
      </c>
      <c r="G297">
        <v>6101559</v>
      </c>
      <c r="H297">
        <v>202108</v>
      </c>
      <c r="I297" s="400">
        <v>44427</v>
      </c>
      <c r="J297" t="s">
        <v>452</v>
      </c>
      <c r="K297" t="s">
        <v>386</v>
      </c>
      <c r="M297" t="s">
        <v>387</v>
      </c>
      <c r="O297" t="s">
        <v>929</v>
      </c>
      <c r="P297" t="s">
        <v>930</v>
      </c>
      <c r="Q297" t="s">
        <v>396</v>
      </c>
      <c r="R297">
        <v>2069123</v>
      </c>
      <c r="S297" t="s">
        <v>931</v>
      </c>
      <c r="U297" t="s">
        <v>932</v>
      </c>
      <c r="V297" t="s">
        <v>398</v>
      </c>
      <c r="W297" s="393">
        <v>8500</v>
      </c>
      <c r="X297" s="393">
        <v>2.2000000000000002</v>
      </c>
      <c r="Y297" s="393">
        <v>19.09</v>
      </c>
      <c r="Z297" s="393">
        <v>8500</v>
      </c>
      <c r="AA297">
        <v>0</v>
      </c>
      <c r="AB297" s="400">
        <v>44428.765954780094</v>
      </c>
      <c r="AC297" t="s">
        <v>22</v>
      </c>
    </row>
    <row r="298" spans="1:29">
      <c r="A298" t="s">
        <v>382</v>
      </c>
      <c r="B298" t="s">
        <v>440</v>
      </c>
      <c r="C298" t="s">
        <v>486</v>
      </c>
      <c r="D298" t="s">
        <v>571</v>
      </c>
      <c r="E298" t="s">
        <v>390</v>
      </c>
      <c r="F298" t="s">
        <v>391</v>
      </c>
      <c r="G298">
        <v>6101559</v>
      </c>
      <c r="H298">
        <v>202108</v>
      </c>
      <c r="I298" s="400">
        <v>44427</v>
      </c>
      <c r="J298" t="s">
        <v>452</v>
      </c>
      <c r="K298" t="s">
        <v>386</v>
      </c>
      <c r="M298" t="s">
        <v>387</v>
      </c>
      <c r="O298" t="s">
        <v>579</v>
      </c>
      <c r="P298" t="s">
        <v>580</v>
      </c>
      <c r="Q298" t="s">
        <v>396</v>
      </c>
      <c r="R298">
        <v>2069123</v>
      </c>
      <c r="S298" t="s">
        <v>933</v>
      </c>
      <c r="U298" t="s">
        <v>934</v>
      </c>
      <c r="V298" t="s">
        <v>398</v>
      </c>
      <c r="W298" s="393">
        <v>9000</v>
      </c>
      <c r="X298" s="393">
        <v>2.33</v>
      </c>
      <c r="Y298" s="393">
        <v>20.21</v>
      </c>
      <c r="Z298" s="393">
        <v>9000</v>
      </c>
      <c r="AA298">
        <v>0</v>
      </c>
      <c r="AB298" s="400">
        <v>44428.765954780094</v>
      </c>
      <c r="AC298" t="s">
        <v>22</v>
      </c>
    </row>
    <row r="299" spans="1:29">
      <c r="A299" t="s">
        <v>382</v>
      </c>
      <c r="B299" t="s">
        <v>440</v>
      </c>
      <c r="C299" t="s">
        <v>486</v>
      </c>
      <c r="D299" t="s">
        <v>571</v>
      </c>
      <c r="E299" t="s">
        <v>390</v>
      </c>
      <c r="F299" t="s">
        <v>391</v>
      </c>
      <c r="G299">
        <v>6101559</v>
      </c>
      <c r="H299">
        <v>202108</v>
      </c>
      <c r="I299" s="400">
        <v>44427</v>
      </c>
      <c r="J299" t="s">
        <v>452</v>
      </c>
      <c r="K299" t="s">
        <v>386</v>
      </c>
      <c r="M299" t="s">
        <v>387</v>
      </c>
      <c r="O299" t="s">
        <v>579</v>
      </c>
      <c r="P299" t="s">
        <v>580</v>
      </c>
      <c r="Q299" t="s">
        <v>396</v>
      </c>
      <c r="R299">
        <v>2069123</v>
      </c>
      <c r="S299" t="s">
        <v>935</v>
      </c>
      <c r="U299" t="s">
        <v>936</v>
      </c>
      <c r="V299" t="s">
        <v>398</v>
      </c>
      <c r="W299" s="393">
        <v>9000</v>
      </c>
      <c r="X299" s="393">
        <v>2.33</v>
      </c>
      <c r="Y299" s="393">
        <v>20.21</v>
      </c>
      <c r="Z299" s="393">
        <v>9000</v>
      </c>
      <c r="AA299">
        <v>0</v>
      </c>
      <c r="AB299" s="400">
        <v>44428.765954780094</v>
      </c>
      <c r="AC299" t="s">
        <v>22</v>
      </c>
    </row>
    <row r="300" spans="1:29">
      <c r="A300" t="s">
        <v>382</v>
      </c>
      <c r="B300" t="s">
        <v>440</v>
      </c>
      <c r="C300" t="s">
        <v>486</v>
      </c>
      <c r="D300" t="s">
        <v>571</v>
      </c>
      <c r="E300" t="s">
        <v>390</v>
      </c>
      <c r="F300" t="s">
        <v>391</v>
      </c>
      <c r="G300">
        <v>6101559</v>
      </c>
      <c r="H300">
        <v>202108</v>
      </c>
      <c r="I300" s="400">
        <v>44427</v>
      </c>
      <c r="J300" t="s">
        <v>452</v>
      </c>
      <c r="K300" t="s">
        <v>386</v>
      </c>
      <c r="M300" t="s">
        <v>387</v>
      </c>
      <c r="O300" t="s">
        <v>599</v>
      </c>
      <c r="P300" t="s">
        <v>600</v>
      </c>
      <c r="Q300" t="s">
        <v>396</v>
      </c>
      <c r="R300">
        <v>2069123</v>
      </c>
      <c r="S300" t="s">
        <v>937</v>
      </c>
      <c r="U300" t="s">
        <v>938</v>
      </c>
      <c r="V300" t="s">
        <v>398</v>
      </c>
      <c r="W300" s="393">
        <v>60000</v>
      </c>
      <c r="X300" s="393">
        <v>15.54</v>
      </c>
      <c r="Y300" s="393">
        <v>134.77000000000001</v>
      </c>
      <c r="Z300" s="393">
        <v>60000</v>
      </c>
      <c r="AA300">
        <v>0</v>
      </c>
      <c r="AB300" s="400">
        <v>44428.765954780094</v>
      </c>
      <c r="AC300" t="s">
        <v>22</v>
      </c>
    </row>
    <row r="301" spans="1:29">
      <c r="A301" t="s">
        <v>382</v>
      </c>
      <c r="B301" t="s">
        <v>440</v>
      </c>
      <c r="C301" t="s">
        <v>486</v>
      </c>
      <c r="D301" t="s">
        <v>571</v>
      </c>
      <c r="E301" t="s">
        <v>390</v>
      </c>
      <c r="F301" t="s">
        <v>391</v>
      </c>
      <c r="G301">
        <v>6101559</v>
      </c>
      <c r="H301">
        <v>202108</v>
      </c>
      <c r="I301" s="400">
        <v>44427</v>
      </c>
      <c r="J301" t="s">
        <v>452</v>
      </c>
      <c r="K301" t="s">
        <v>386</v>
      </c>
      <c r="M301" t="s">
        <v>387</v>
      </c>
      <c r="O301" t="s">
        <v>587</v>
      </c>
      <c r="P301" t="s">
        <v>588</v>
      </c>
      <c r="Q301" t="s">
        <v>396</v>
      </c>
      <c r="R301">
        <v>2069123</v>
      </c>
      <c r="S301" t="s">
        <v>939</v>
      </c>
      <c r="U301" t="s">
        <v>940</v>
      </c>
      <c r="V301" t="s">
        <v>398</v>
      </c>
      <c r="W301" s="393">
        <v>12000</v>
      </c>
      <c r="X301" s="393">
        <v>3.11</v>
      </c>
      <c r="Y301" s="393">
        <v>26.95</v>
      </c>
      <c r="Z301" s="393">
        <v>12000</v>
      </c>
      <c r="AA301">
        <v>0</v>
      </c>
      <c r="AB301" s="400">
        <v>44428.76595497685</v>
      </c>
      <c r="AC301" t="s">
        <v>22</v>
      </c>
    </row>
    <row r="302" spans="1:29">
      <c r="A302" t="s">
        <v>382</v>
      </c>
      <c r="B302" t="s">
        <v>440</v>
      </c>
      <c r="C302" t="s">
        <v>486</v>
      </c>
      <c r="D302" t="s">
        <v>571</v>
      </c>
      <c r="E302" t="s">
        <v>390</v>
      </c>
      <c r="F302" t="s">
        <v>391</v>
      </c>
      <c r="G302">
        <v>6101594</v>
      </c>
      <c r="H302">
        <v>202108</v>
      </c>
      <c r="I302" s="400">
        <v>44428</v>
      </c>
      <c r="J302" t="s">
        <v>452</v>
      </c>
      <c r="K302" t="s">
        <v>386</v>
      </c>
      <c r="M302" t="s">
        <v>387</v>
      </c>
      <c r="O302" t="s">
        <v>794</v>
      </c>
      <c r="P302" t="s">
        <v>795</v>
      </c>
      <c r="Q302" t="s">
        <v>396</v>
      </c>
      <c r="R302">
        <v>2069121</v>
      </c>
      <c r="S302" t="s">
        <v>941</v>
      </c>
      <c r="T302" t="s">
        <v>941</v>
      </c>
      <c r="U302" t="s">
        <v>942</v>
      </c>
      <c r="V302" t="s">
        <v>398</v>
      </c>
      <c r="W302" s="393">
        <v>9000</v>
      </c>
      <c r="X302" s="393">
        <v>2.33</v>
      </c>
      <c r="Y302" s="393">
        <v>20.21</v>
      </c>
      <c r="Z302" s="393">
        <v>9000</v>
      </c>
      <c r="AA302">
        <v>0</v>
      </c>
      <c r="AB302" s="400">
        <v>44430.864861493057</v>
      </c>
      <c r="AC302" t="s">
        <v>19</v>
      </c>
    </row>
    <row r="303" spans="1:29">
      <c r="A303" t="s">
        <v>382</v>
      </c>
      <c r="B303" t="s">
        <v>440</v>
      </c>
      <c r="C303" t="s">
        <v>486</v>
      </c>
      <c r="D303" t="s">
        <v>571</v>
      </c>
      <c r="E303" t="s">
        <v>390</v>
      </c>
      <c r="F303" t="s">
        <v>391</v>
      </c>
      <c r="G303">
        <v>6101594</v>
      </c>
      <c r="H303">
        <v>202108</v>
      </c>
      <c r="I303" s="400">
        <v>44428</v>
      </c>
      <c r="J303" t="s">
        <v>452</v>
      </c>
      <c r="K303" t="s">
        <v>386</v>
      </c>
      <c r="M303" t="s">
        <v>387</v>
      </c>
      <c r="O303" t="s">
        <v>794</v>
      </c>
      <c r="P303" t="s">
        <v>795</v>
      </c>
      <c r="Q303" t="s">
        <v>396</v>
      </c>
      <c r="R303">
        <v>2069121</v>
      </c>
      <c r="S303" t="s">
        <v>943</v>
      </c>
      <c r="T303" t="s">
        <v>943</v>
      </c>
      <c r="U303" t="s">
        <v>944</v>
      </c>
      <c r="V303" t="s">
        <v>398</v>
      </c>
      <c r="W303" s="393">
        <v>6000</v>
      </c>
      <c r="X303" s="393">
        <v>1.55</v>
      </c>
      <c r="Y303" s="393">
        <v>13.48</v>
      </c>
      <c r="Z303" s="393">
        <v>6000</v>
      </c>
      <c r="AA303">
        <v>0</v>
      </c>
      <c r="AB303" s="400">
        <v>44430.864861493057</v>
      </c>
      <c r="AC303" t="s">
        <v>19</v>
      </c>
    </row>
    <row r="304" spans="1:29">
      <c r="A304" t="s">
        <v>382</v>
      </c>
      <c r="B304" t="s">
        <v>440</v>
      </c>
      <c r="C304" t="s">
        <v>486</v>
      </c>
      <c r="D304" t="s">
        <v>571</v>
      </c>
      <c r="E304" t="s">
        <v>390</v>
      </c>
      <c r="F304" t="s">
        <v>391</v>
      </c>
      <c r="G304">
        <v>6101594</v>
      </c>
      <c r="H304">
        <v>202108</v>
      </c>
      <c r="I304" s="400">
        <v>44428</v>
      </c>
      <c r="J304" t="s">
        <v>452</v>
      </c>
      <c r="K304" t="s">
        <v>386</v>
      </c>
      <c r="M304" t="s">
        <v>387</v>
      </c>
      <c r="O304" t="s">
        <v>886</v>
      </c>
      <c r="P304" t="s">
        <v>887</v>
      </c>
      <c r="Q304" t="s">
        <v>396</v>
      </c>
      <c r="R304">
        <v>2069121</v>
      </c>
      <c r="S304" t="s">
        <v>945</v>
      </c>
      <c r="T304" t="s">
        <v>945</v>
      </c>
      <c r="U304" t="s">
        <v>946</v>
      </c>
      <c r="V304" t="s">
        <v>398</v>
      </c>
      <c r="W304" s="393">
        <v>28000</v>
      </c>
      <c r="X304" s="393">
        <v>7.25</v>
      </c>
      <c r="Y304" s="393">
        <v>62.89</v>
      </c>
      <c r="Z304" s="393">
        <v>28000</v>
      </c>
      <c r="AA304">
        <v>0</v>
      </c>
      <c r="AB304" s="400">
        <v>44430.864861493057</v>
      </c>
      <c r="AC304" t="s">
        <v>19</v>
      </c>
    </row>
    <row r="305" spans="1:29">
      <c r="A305" t="s">
        <v>382</v>
      </c>
      <c r="B305" t="s">
        <v>440</v>
      </c>
      <c r="C305" t="s">
        <v>486</v>
      </c>
      <c r="D305" t="s">
        <v>571</v>
      </c>
      <c r="E305" t="s">
        <v>390</v>
      </c>
      <c r="F305" t="s">
        <v>391</v>
      </c>
      <c r="G305">
        <v>6101594</v>
      </c>
      <c r="H305">
        <v>202108</v>
      </c>
      <c r="I305" s="400">
        <v>44428</v>
      </c>
      <c r="J305" t="s">
        <v>452</v>
      </c>
      <c r="K305" t="s">
        <v>386</v>
      </c>
      <c r="M305" t="s">
        <v>387</v>
      </c>
      <c r="O305" t="s">
        <v>593</v>
      </c>
      <c r="P305" t="s">
        <v>594</v>
      </c>
      <c r="Q305" t="s">
        <v>396</v>
      </c>
      <c r="R305">
        <v>2069121</v>
      </c>
      <c r="S305" t="s">
        <v>947</v>
      </c>
      <c r="T305" t="s">
        <v>947</v>
      </c>
      <c r="U305" t="s">
        <v>948</v>
      </c>
      <c r="V305" t="s">
        <v>398</v>
      </c>
      <c r="W305" s="393">
        <v>8500</v>
      </c>
      <c r="X305" s="393">
        <v>2.2000000000000002</v>
      </c>
      <c r="Y305" s="393">
        <v>19.09</v>
      </c>
      <c r="Z305" s="393">
        <v>8500</v>
      </c>
      <c r="AA305">
        <v>0</v>
      </c>
      <c r="AB305" s="400">
        <v>44430.864861493057</v>
      </c>
      <c r="AC305" t="s">
        <v>19</v>
      </c>
    </row>
    <row r="306" spans="1:29">
      <c r="A306" t="s">
        <v>382</v>
      </c>
      <c r="B306" t="s">
        <v>440</v>
      </c>
      <c r="C306" t="s">
        <v>486</v>
      </c>
      <c r="D306" t="s">
        <v>571</v>
      </c>
      <c r="E306" t="s">
        <v>390</v>
      </c>
      <c r="F306" t="s">
        <v>391</v>
      </c>
      <c r="G306">
        <v>6101720</v>
      </c>
      <c r="H306">
        <v>202108</v>
      </c>
      <c r="I306" s="400">
        <v>44438</v>
      </c>
      <c r="J306">
        <v>124932</v>
      </c>
      <c r="K306" t="s">
        <v>386</v>
      </c>
      <c r="M306" t="s">
        <v>387</v>
      </c>
      <c r="O306" t="s">
        <v>587</v>
      </c>
      <c r="P306" t="s">
        <v>588</v>
      </c>
      <c r="Q306" t="s">
        <v>396</v>
      </c>
      <c r="R306">
        <v>2069123</v>
      </c>
      <c r="S306" t="s">
        <v>387</v>
      </c>
      <c r="U306" t="s">
        <v>949</v>
      </c>
      <c r="V306" t="s">
        <v>398</v>
      </c>
      <c r="W306" s="393">
        <v>190000</v>
      </c>
      <c r="X306" s="393">
        <v>49.16</v>
      </c>
      <c r="Y306" s="393">
        <v>428.09</v>
      </c>
      <c r="Z306" s="393">
        <v>190000</v>
      </c>
      <c r="AA306">
        <v>0</v>
      </c>
      <c r="AB306" s="400">
        <v>44444.010058715277</v>
      </c>
      <c r="AC306" t="s">
        <v>22</v>
      </c>
    </row>
    <row r="307" spans="1:29">
      <c r="A307" t="s">
        <v>382</v>
      </c>
      <c r="B307" t="s">
        <v>440</v>
      </c>
      <c r="C307" t="s">
        <v>486</v>
      </c>
      <c r="D307" t="s">
        <v>571</v>
      </c>
      <c r="E307" t="s">
        <v>390</v>
      </c>
      <c r="F307" t="s">
        <v>391</v>
      </c>
      <c r="G307">
        <v>6101978</v>
      </c>
      <c r="H307">
        <v>202109</v>
      </c>
      <c r="I307" s="400">
        <v>44440</v>
      </c>
      <c r="J307">
        <v>125062</v>
      </c>
      <c r="K307" t="s">
        <v>386</v>
      </c>
      <c r="M307" t="s">
        <v>387</v>
      </c>
      <c r="O307" t="s">
        <v>509</v>
      </c>
      <c r="P307" t="s">
        <v>510</v>
      </c>
      <c r="Q307" t="s">
        <v>396</v>
      </c>
      <c r="R307">
        <v>2069126</v>
      </c>
      <c r="S307" t="s">
        <v>387</v>
      </c>
      <c r="U307" t="s">
        <v>543</v>
      </c>
      <c r="V307" t="s">
        <v>398</v>
      </c>
      <c r="W307" s="393">
        <v>408800</v>
      </c>
      <c r="X307" s="393">
        <v>105.77</v>
      </c>
      <c r="Y307" s="393">
        <v>921.08</v>
      </c>
      <c r="Z307" s="393">
        <v>408800</v>
      </c>
      <c r="AA307">
        <v>241</v>
      </c>
      <c r="AB307" s="400">
        <v>44460.53162519676</v>
      </c>
      <c r="AC307" t="s">
        <v>36</v>
      </c>
    </row>
    <row r="308" spans="1:29">
      <c r="A308" t="s">
        <v>382</v>
      </c>
      <c r="B308" t="s">
        <v>440</v>
      </c>
      <c r="C308" t="s">
        <v>486</v>
      </c>
      <c r="D308" t="s">
        <v>571</v>
      </c>
      <c r="E308" t="s">
        <v>390</v>
      </c>
      <c r="F308" t="s">
        <v>391</v>
      </c>
      <c r="G308">
        <v>6101978</v>
      </c>
      <c r="H308">
        <v>202109</v>
      </c>
      <c r="I308" s="400">
        <v>44440</v>
      </c>
      <c r="J308">
        <v>125062</v>
      </c>
      <c r="K308" t="s">
        <v>386</v>
      </c>
      <c r="M308" t="s">
        <v>387</v>
      </c>
      <c r="O308" t="s">
        <v>509</v>
      </c>
      <c r="P308" t="s">
        <v>510</v>
      </c>
      <c r="Q308" t="s">
        <v>396</v>
      </c>
      <c r="R308">
        <v>2069126</v>
      </c>
      <c r="S308" t="s">
        <v>387</v>
      </c>
      <c r="U308" t="s">
        <v>543</v>
      </c>
      <c r="V308" t="s">
        <v>398</v>
      </c>
      <c r="W308" s="393">
        <v>38400</v>
      </c>
      <c r="X308" s="393">
        <v>9.94</v>
      </c>
      <c r="Y308" s="393">
        <v>86.52</v>
      </c>
      <c r="Z308" s="393">
        <v>38400</v>
      </c>
      <c r="AA308">
        <v>0</v>
      </c>
      <c r="AB308" s="400">
        <v>44460.53162519676</v>
      </c>
      <c r="AC308" t="s">
        <v>36</v>
      </c>
    </row>
    <row r="309" spans="1:29">
      <c r="A309" t="s">
        <v>382</v>
      </c>
      <c r="B309" t="s">
        <v>440</v>
      </c>
      <c r="C309" t="s">
        <v>486</v>
      </c>
      <c r="D309" t="s">
        <v>571</v>
      </c>
      <c r="E309" t="s">
        <v>390</v>
      </c>
      <c r="F309" t="s">
        <v>391</v>
      </c>
      <c r="G309">
        <v>6101978</v>
      </c>
      <c r="H309">
        <v>202109</v>
      </c>
      <c r="I309" s="400">
        <v>44440</v>
      </c>
      <c r="J309">
        <v>125062</v>
      </c>
      <c r="K309" t="s">
        <v>386</v>
      </c>
      <c r="M309" t="s">
        <v>387</v>
      </c>
      <c r="O309" t="s">
        <v>512</v>
      </c>
      <c r="P309" t="s">
        <v>513</v>
      </c>
      <c r="Q309" t="s">
        <v>396</v>
      </c>
      <c r="R309">
        <v>2069126</v>
      </c>
      <c r="S309" t="s">
        <v>387</v>
      </c>
      <c r="U309" t="s">
        <v>543</v>
      </c>
      <c r="V309" t="s">
        <v>398</v>
      </c>
      <c r="W309" s="393">
        <v>57500</v>
      </c>
      <c r="X309" s="393">
        <v>14.88</v>
      </c>
      <c r="Y309" s="393">
        <v>129.55000000000001</v>
      </c>
      <c r="Z309" s="393">
        <v>57500</v>
      </c>
      <c r="AA309">
        <v>241</v>
      </c>
      <c r="AB309" s="400">
        <v>44460.53162519676</v>
      </c>
      <c r="AC309" t="s">
        <v>36</v>
      </c>
    </row>
    <row r="310" spans="1:29">
      <c r="A310" t="s">
        <v>382</v>
      </c>
      <c r="B310" t="s">
        <v>440</v>
      </c>
      <c r="C310" t="s">
        <v>486</v>
      </c>
      <c r="D310" t="s">
        <v>571</v>
      </c>
      <c r="E310" t="s">
        <v>390</v>
      </c>
      <c r="F310" t="s">
        <v>391</v>
      </c>
      <c r="G310">
        <v>6101901</v>
      </c>
      <c r="H310">
        <v>202109</v>
      </c>
      <c r="I310" s="400">
        <v>44442</v>
      </c>
      <c r="J310">
        <v>124932</v>
      </c>
      <c r="K310" t="s">
        <v>386</v>
      </c>
      <c r="M310" t="s">
        <v>387</v>
      </c>
      <c r="O310" t="s">
        <v>950</v>
      </c>
      <c r="P310" t="s">
        <v>951</v>
      </c>
      <c r="Q310" t="s">
        <v>396</v>
      </c>
      <c r="R310">
        <v>2069127</v>
      </c>
      <c r="S310" t="s">
        <v>387</v>
      </c>
      <c r="U310" t="s">
        <v>952</v>
      </c>
      <c r="V310" t="s">
        <v>398</v>
      </c>
      <c r="W310" s="393">
        <v>300000</v>
      </c>
      <c r="X310" s="393">
        <v>79.930000000000007</v>
      </c>
      <c r="Y310" s="393">
        <v>694.63</v>
      </c>
      <c r="Z310" s="393">
        <v>300000</v>
      </c>
      <c r="AA310">
        <v>0</v>
      </c>
      <c r="AB310" s="400">
        <v>44457.782853391203</v>
      </c>
      <c r="AC310" t="s">
        <v>36</v>
      </c>
    </row>
    <row r="311" spans="1:29">
      <c r="A311" t="s">
        <v>382</v>
      </c>
      <c r="B311" t="s">
        <v>440</v>
      </c>
      <c r="C311" t="s">
        <v>486</v>
      </c>
      <c r="D311" t="s">
        <v>571</v>
      </c>
      <c r="E311" t="s">
        <v>390</v>
      </c>
      <c r="F311" t="s">
        <v>391</v>
      </c>
      <c r="G311">
        <v>6101924</v>
      </c>
      <c r="H311">
        <v>202109</v>
      </c>
      <c r="I311" s="400">
        <v>44449</v>
      </c>
      <c r="J311">
        <v>125062</v>
      </c>
      <c r="K311" t="s">
        <v>386</v>
      </c>
      <c r="M311" t="s">
        <v>387</v>
      </c>
      <c r="O311" t="s">
        <v>849</v>
      </c>
      <c r="P311" t="s">
        <v>850</v>
      </c>
      <c r="Q311" t="s">
        <v>396</v>
      </c>
      <c r="R311">
        <v>2265787</v>
      </c>
      <c r="S311" t="s">
        <v>387</v>
      </c>
      <c r="U311" t="s">
        <v>953</v>
      </c>
      <c r="V311" t="s">
        <v>398</v>
      </c>
      <c r="W311" s="393">
        <v>95000</v>
      </c>
      <c r="X311" s="393">
        <v>24.89</v>
      </c>
      <c r="Y311" s="393">
        <v>216.87</v>
      </c>
      <c r="Z311" s="393">
        <v>95000</v>
      </c>
      <c r="AA311">
        <v>0</v>
      </c>
      <c r="AB311" s="400">
        <v>44458.709530821761</v>
      </c>
      <c r="AC311" t="s">
        <v>326</v>
      </c>
    </row>
    <row r="312" spans="1:29">
      <c r="A312" t="s">
        <v>382</v>
      </c>
      <c r="B312" t="s">
        <v>440</v>
      </c>
      <c r="C312" t="s">
        <v>486</v>
      </c>
      <c r="D312" t="s">
        <v>571</v>
      </c>
      <c r="E312" t="s">
        <v>390</v>
      </c>
      <c r="F312" t="s">
        <v>391</v>
      </c>
      <c r="G312">
        <v>6101901</v>
      </c>
      <c r="H312">
        <v>202109</v>
      </c>
      <c r="I312" s="400">
        <v>44442</v>
      </c>
      <c r="J312">
        <v>124932</v>
      </c>
      <c r="K312" t="s">
        <v>386</v>
      </c>
      <c r="M312" t="s">
        <v>387</v>
      </c>
      <c r="O312" t="s">
        <v>950</v>
      </c>
      <c r="P312" t="s">
        <v>951</v>
      </c>
      <c r="Q312" t="s">
        <v>396</v>
      </c>
      <c r="R312">
        <v>2069127</v>
      </c>
      <c r="S312" t="s">
        <v>387</v>
      </c>
      <c r="U312" t="s">
        <v>954</v>
      </c>
      <c r="V312" t="s">
        <v>398</v>
      </c>
      <c r="W312" s="393">
        <v>850000</v>
      </c>
      <c r="X312" s="393">
        <v>226.47</v>
      </c>
      <c r="Y312" s="393">
        <v>1968.12</v>
      </c>
      <c r="Z312" s="393">
        <v>850000</v>
      </c>
      <c r="AA312">
        <v>0</v>
      </c>
      <c r="AB312" s="400">
        <v>44457.782853206016</v>
      </c>
      <c r="AC312" t="s">
        <v>36</v>
      </c>
    </row>
    <row r="313" spans="1:29">
      <c r="A313" t="s">
        <v>382</v>
      </c>
      <c r="B313" t="s">
        <v>440</v>
      </c>
      <c r="C313" t="s">
        <v>486</v>
      </c>
      <c r="D313" t="s">
        <v>571</v>
      </c>
      <c r="E313" t="s">
        <v>390</v>
      </c>
      <c r="F313" t="s">
        <v>391</v>
      </c>
      <c r="G313">
        <v>6101928</v>
      </c>
      <c r="H313">
        <v>202109</v>
      </c>
      <c r="I313" s="400">
        <v>44456</v>
      </c>
      <c r="J313">
        <v>125062</v>
      </c>
      <c r="K313" t="s">
        <v>386</v>
      </c>
      <c r="M313" t="s">
        <v>387</v>
      </c>
      <c r="O313" t="s">
        <v>849</v>
      </c>
      <c r="P313" t="s">
        <v>850</v>
      </c>
      <c r="Q313" t="s">
        <v>396</v>
      </c>
      <c r="R313">
        <v>2265787</v>
      </c>
      <c r="S313" t="s">
        <v>387</v>
      </c>
      <c r="U313" t="s">
        <v>955</v>
      </c>
      <c r="V313" t="s">
        <v>398</v>
      </c>
      <c r="W313" s="393">
        <v>65000</v>
      </c>
      <c r="X313" s="393">
        <v>17.03</v>
      </c>
      <c r="Y313" s="393">
        <v>148.38999999999999</v>
      </c>
      <c r="Z313" s="393">
        <v>65000</v>
      </c>
      <c r="AA313">
        <v>0</v>
      </c>
      <c r="AB313" s="400">
        <v>44458.792522650459</v>
      </c>
      <c r="AC313" t="s">
        <v>326</v>
      </c>
    </row>
    <row r="314" spans="1:29">
      <c r="A314" t="s">
        <v>382</v>
      </c>
      <c r="B314" t="s">
        <v>440</v>
      </c>
      <c r="C314" t="s">
        <v>486</v>
      </c>
      <c r="D314" t="s">
        <v>571</v>
      </c>
      <c r="E314" t="s">
        <v>390</v>
      </c>
      <c r="F314" t="s">
        <v>391</v>
      </c>
      <c r="G314">
        <v>6101928</v>
      </c>
      <c r="H314">
        <v>202109</v>
      </c>
      <c r="I314" s="400">
        <v>44456</v>
      </c>
      <c r="J314">
        <v>125062</v>
      </c>
      <c r="K314" t="s">
        <v>386</v>
      </c>
      <c r="M314" t="s">
        <v>387</v>
      </c>
      <c r="O314" t="s">
        <v>849</v>
      </c>
      <c r="P314" t="s">
        <v>850</v>
      </c>
      <c r="Q314" t="s">
        <v>396</v>
      </c>
      <c r="R314">
        <v>2069127</v>
      </c>
      <c r="S314" t="s">
        <v>387</v>
      </c>
      <c r="U314" t="s">
        <v>956</v>
      </c>
      <c r="V314" t="s">
        <v>398</v>
      </c>
      <c r="W314" s="393">
        <v>65000</v>
      </c>
      <c r="X314" s="393">
        <v>17.03</v>
      </c>
      <c r="Y314" s="393">
        <v>148.38999999999999</v>
      </c>
      <c r="Z314" s="393">
        <v>65000</v>
      </c>
      <c r="AA314">
        <v>0</v>
      </c>
      <c r="AB314" s="400">
        <v>44458.792522997683</v>
      </c>
      <c r="AC314" t="s">
        <v>36</v>
      </c>
    </row>
    <row r="315" spans="1:29">
      <c r="A315" t="s">
        <v>382</v>
      </c>
      <c r="B315" t="s">
        <v>440</v>
      </c>
      <c r="C315" t="s">
        <v>486</v>
      </c>
      <c r="D315" t="s">
        <v>571</v>
      </c>
      <c r="E315" t="s">
        <v>390</v>
      </c>
      <c r="F315" t="s">
        <v>391</v>
      </c>
      <c r="G315">
        <v>6101928</v>
      </c>
      <c r="H315">
        <v>202109</v>
      </c>
      <c r="I315" s="400">
        <v>44456</v>
      </c>
      <c r="J315">
        <v>125062</v>
      </c>
      <c r="K315" t="s">
        <v>386</v>
      </c>
      <c r="M315" t="s">
        <v>387</v>
      </c>
      <c r="O315" t="s">
        <v>849</v>
      </c>
      <c r="P315" t="s">
        <v>850</v>
      </c>
      <c r="Q315" t="s">
        <v>396</v>
      </c>
      <c r="R315">
        <v>2265787</v>
      </c>
      <c r="S315" t="s">
        <v>387</v>
      </c>
      <c r="U315" t="s">
        <v>957</v>
      </c>
      <c r="V315" t="s">
        <v>398</v>
      </c>
      <c r="W315" s="393">
        <v>65000</v>
      </c>
      <c r="X315" s="393">
        <v>17.03</v>
      </c>
      <c r="Y315" s="393">
        <v>148.38999999999999</v>
      </c>
      <c r="Z315" s="393">
        <v>65000</v>
      </c>
      <c r="AA315">
        <v>0</v>
      </c>
      <c r="AB315" s="400">
        <v>44458.792522997683</v>
      </c>
      <c r="AC315" t="s">
        <v>326</v>
      </c>
    </row>
    <row r="316" spans="1:29">
      <c r="A316" t="s">
        <v>382</v>
      </c>
      <c r="B316" t="s">
        <v>440</v>
      </c>
      <c r="C316" t="s">
        <v>486</v>
      </c>
      <c r="D316" t="s">
        <v>571</v>
      </c>
      <c r="E316" t="s">
        <v>390</v>
      </c>
      <c r="F316" t="s">
        <v>391</v>
      </c>
      <c r="G316">
        <v>6101928</v>
      </c>
      <c r="H316">
        <v>202109</v>
      </c>
      <c r="I316" s="400">
        <v>44456</v>
      </c>
      <c r="J316">
        <v>125062</v>
      </c>
      <c r="K316" t="s">
        <v>386</v>
      </c>
      <c r="M316" t="s">
        <v>387</v>
      </c>
      <c r="O316" t="s">
        <v>849</v>
      </c>
      <c r="P316" t="s">
        <v>850</v>
      </c>
      <c r="Q316" t="s">
        <v>396</v>
      </c>
      <c r="R316">
        <v>2069127</v>
      </c>
      <c r="S316" t="s">
        <v>387</v>
      </c>
      <c r="U316" t="s">
        <v>958</v>
      </c>
      <c r="V316" t="s">
        <v>398</v>
      </c>
      <c r="W316" s="393">
        <v>65000</v>
      </c>
      <c r="X316" s="393">
        <v>17.03</v>
      </c>
      <c r="Y316" s="393">
        <v>148.38999999999999</v>
      </c>
      <c r="Z316" s="393">
        <v>65000</v>
      </c>
      <c r="AA316">
        <v>0</v>
      </c>
      <c r="AB316" s="400">
        <v>44458.792522256947</v>
      </c>
      <c r="AC316" t="s">
        <v>36</v>
      </c>
    </row>
    <row r="317" spans="1:29">
      <c r="A317" t="s">
        <v>382</v>
      </c>
      <c r="B317" t="s">
        <v>440</v>
      </c>
      <c r="C317" t="s">
        <v>486</v>
      </c>
      <c r="D317" t="s">
        <v>571</v>
      </c>
      <c r="E317" t="s">
        <v>390</v>
      </c>
      <c r="F317" t="s">
        <v>391</v>
      </c>
      <c r="G317">
        <v>6101928</v>
      </c>
      <c r="H317">
        <v>202109</v>
      </c>
      <c r="I317" s="400">
        <v>44456</v>
      </c>
      <c r="J317">
        <v>125062</v>
      </c>
      <c r="K317" t="s">
        <v>386</v>
      </c>
      <c r="M317" t="s">
        <v>387</v>
      </c>
      <c r="O317" t="s">
        <v>849</v>
      </c>
      <c r="P317" t="s">
        <v>850</v>
      </c>
      <c r="Q317" t="s">
        <v>396</v>
      </c>
      <c r="R317">
        <v>2265787</v>
      </c>
      <c r="S317" t="s">
        <v>387</v>
      </c>
      <c r="U317" t="s">
        <v>959</v>
      </c>
      <c r="V317" t="s">
        <v>398</v>
      </c>
      <c r="W317" s="393">
        <v>95000</v>
      </c>
      <c r="X317" s="393">
        <v>24.89</v>
      </c>
      <c r="Y317" s="393">
        <v>216.87</v>
      </c>
      <c r="Z317" s="393">
        <v>95000</v>
      </c>
      <c r="AA317">
        <v>0</v>
      </c>
      <c r="AB317" s="400">
        <v>44458.792522453703</v>
      </c>
      <c r="AC317" t="s">
        <v>326</v>
      </c>
    </row>
    <row r="318" spans="1:29">
      <c r="A318" t="s">
        <v>382</v>
      </c>
      <c r="B318" t="s">
        <v>440</v>
      </c>
      <c r="C318" t="s">
        <v>486</v>
      </c>
      <c r="D318" t="s">
        <v>571</v>
      </c>
      <c r="E318" t="s">
        <v>390</v>
      </c>
      <c r="F318" t="s">
        <v>391</v>
      </c>
      <c r="G318">
        <v>6101928</v>
      </c>
      <c r="H318">
        <v>202109</v>
      </c>
      <c r="I318" s="400">
        <v>44456</v>
      </c>
      <c r="J318">
        <v>125062</v>
      </c>
      <c r="K318" t="s">
        <v>386</v>
      </c>
      <c r="M318" t="s">
        <v>387</v>
      </c>
      <c r="O318" t="s">
        <v>849</v>
      </c>
      <c r="P318" t="s">
        <v>850</v>
      </c>
      <c r="Q318" t="s">
        <v>396</v>
      </c>
      <c r="R318">
        <v>2069123</v>
      </c>
      <c r="S318" t="s">
        <v>387</v>
      </c>
      <c r="U318" t="s">
        <v>960</v>
      </c>
      <c r="V318" t="s">
        <v>398</v>
      </c>
      <c r="W318" s="393">
        <v>65000</v>
      </c>
      <c r="X318" s="393">
        <v>17.03</v>
      </c>
      <c r="Y318" s="393">
        <v>148.38999999999999</v>
      </c>
      <c r="Z318" s="393">
        <v>65000</v>
      </c>
      <c r="AA318">
        <v>0</v>
      </c>
      <c r="AB318" s="400">
        <v>44458.792522650459</v>
      </c>
      <c r="AC318" t="s">
        <v>22</v>
      </c>
    </row>
    <row r="319" spans="1:29">
      <c r="A319" t="s">
        <v>382</v>
      </c>
      <c r="B319" t="s">
        <v>440</v>
      </c>
      <c r="C319" t="s">
        <v>486</v>
      </c>
      <c r="D319" t="s">
        <v>571</v>
      </c>
      <c r="E319" t="s">
        <v>390</v>
      </c>
      <c r="F319" t="s">
        <v>391</v>
      </c>
      <c r="G319">
        <v>6102044</v>
      </c>
      <c r="H319">
        <v>202109</v>
      </c>
      <c r="I319" s="400">
        <v>44463</v>
      </c>
      <c r="J319">
        <v>122536</v>
      </c>
      <c r="K319" t="s">
        <v>386</v>
      </c>
      <c r="M319" t="s">
        <v>387</v>
      </c>
      <c r="O319" t="s">
        <v>593</v>
      </c>
      <c r="P319" t="s">
        <v>594</v>
      </c>
      <c r="Q319" t="s">
        <v>396</v>
      </c>
      <c r="R319">
        <v>2069126</v>
      </c>
      <c r="S319" t="s">
        <v>387</v>
      </c>
      <c r="U319" t="s">
        <v>961</v>
      </c>
      <c r="V319" t="s">
        <v>398</v>
      </c>
      <c r="W319" s="393">
        <v>12600</v>
      </c>
      <c r="X319" s="393">
        <v>3.29</v>
      </c>
      <c r="Y319" s="393">
        <v>28.57</v>
      </c>
      <c r="Z319" s="393">
        <v>12600</v>
      </c>
      <c r="AA319">
        <v>0</v>
      </c>
      <c r="AB319" s="400">
        <v>44469.786329629627</v>
      </c>
      <c r="AC319" t="s">
        <v>36</v>
      </c>
    </row>
    <row r="320" spans="1:29">
      <c r="A320" t="s">
        <v>382</v>
      </c>
      <c r="B320" t="s">
        <v>440</v>
      </c>
      <c r="C320" t="s">
        <v>486</v>
      </c>
      <c r="D320" t="s">
        <v>571</v>
      </c>
      <c r="E320" t="s">
        <v>390</v>
      </c>
      <c r="F320" t="s">
        <v>391</v>
      </c>
      <c r="G320">
        <v>6102044</v>
      </c>
      <c r="H320">
        <v>202109</v>
      </c>
      <c r="I320" s="400">
        <v>44463</v>
      </c>
      <c r="J320">
        <v>122536</v>
      </c>
      <c r="K320" t="s">
        <v>386</v>
      </c>
      <c r="M320" t="s">
        <v>387</v>
      </c>
      <c r="O320" t="s">
        <v>708</v>
      </c>
      <c r="P320" t="s">
        <v>709</v>
      </c>
      <c r="Q320" t="s">
        <v>396</v>
      </c>
      <c r="R320">
        <v>2069126</v>
      </c>
      <c r="S320" t="s">
        <v>387</v>
      </c>
      <c r="U320" t="s">
        <v>962</v>
      </c>
      <c r="V320" t="s">
        <v>398</v>
      </c>
      <c r="W320" s="393">
        <v>39100</v>
      </c>
      <c r="X320" s="393">
        <v>10.199999999999999</v>
      </c>
      <c r="Y320" s="393">
        <v>88.66</v>
      </c>
      <c r="Z320" s="393">
        <v>39100</v>
      </c>
      <c r="AA320">
        <v>0</v>
      </c>
      <c r="AB320" s="400">
        <v>44469.786329780094</v>
      </c>
      <c r="AC320" t="s">
        <v>36</v>
      </c>
    </row>
    <row r="321" spans="1:29">
      <c r="A321" t="s">
        <v>382</v>
      </c>
      <c r="B321" t="s">
        <v>440</v>
      </c>
      <c r="C321" t="s">
        <v>486</v>
      </c>
      <c r="D321" t="s">
        <v>571</v>
      </c>
      <c r="E321" t="s">
        <v>390</v>
      </c>
      <c r="F321" t="s">
        <v>391</v>
      </c>
      <c r="G321">
        <v>6102044</v>
      </c>
      <c r="H321">
        <v>202109</v>
      </c>
      <c r="I321" s="400">
        <v>44463</v>
      </c>
      <c r="J321">
        <v>122536</v>
      </c>
      <c r="K321" t="s">
        <v>386</v>
      </c>
      <c r="M321" t="s">
        <v>387</v>
      </c>
      <c r="O321" t="s">
        <v>794</v>
      </c>
      <c r="P321" t="s">
        <v>795</v>
      </c>
      <c r="Q321" t="s">
        <v>396</v>
      </c>
      <c r="R321">
        <v>2069126</v>
      </c>
      <c r="S321" t="s">
        <v>387</v>
      </c>
      <c r="U321" t="s">
        <v>963</v>
      </c>
      <c r="V321" t="s">
        <v>398</v>
      </c>
      <c r="W321" s="393">
        <v>15000</v>
      </c>
      <c r="X321" s="393">
        <v>3.91</v>
      </c>
      <c r="Y321" s="393">
        <v>34.01</v>
      </c>
      <c r="Z321" s="393">
        <v>15000</v>
      </c>
      <c r="AA321">
        <v>0</v>
      </c>
      <c r="AB321" s="400">
        <v>44469.786329780094</v>
      </c>
      <c r="AC321" t="s">
        <v>36</v>
      </c>
    </row>
    <row r="322" spans="1:29">
      <c r="A322" t="s">
        <v>382</v>
      </c>
      <c r="B322" t="s">
        <v>440</v>
      </c>
      <c r="C322" t="s">
        <v>486</v>
      </c>
      <c r="D322" t="s">
        <v>571</v>
      </c>
      <c r="E322" t="s">
        <v>390</v>
      </c>
      <c r="F322" t="s">
        <v>391</v>
      </c>
      <c r="G322">
        <v>6102044</v>
      </c>
      <c r="H322">
        <v>202109</v>
      </c>
      <c r="I322" s="400">
        <v>44463</v>
      </c>
      <c r="J322">
        <v>122536</v>
      </c>
      <c r="K322" t="s">
        <v>386</v>
      </c>
      <c r="M322" t="s">
        <v>387</v>
      </c>
      <c r="O322" t="s">
        <v>794</v>
      </c>
      <c r="P322" t="s">
        <v>795</v>
      </c>
      <c r="Q322" t="s">
        <v>396</v>
      </c>
      <c r="R322">
        <v>2069126</v>
      </c>
      <c r="S322" t="s">
        <v>387</v>
      </c>
      <c r="U322" t="s">
        <v>964</v>
      </c>
      <c r="V322" t="s">
        <v>398</v>
      </c>
      <c r="W322" s="393">
        <v>10000</v>
      </c>
      <c r="X322" s="393">
        <v>2.61</v>
      </c>
      <c r="Y322" s="393">
        <v>22.68</v>
      </c>
      <c r="Z322" s="393">
        <v>10000</v>
      </c>
      <c r="AA322">
        <v>0</v>
      </c>
      <c r="AB322" s="400">
        <v>44469.786329780094</v>
      </c>
      <c r="AC322" t="s">
        <v>36</v>
      </c>
    </row>
    <row r="323" spans="1:29">
      <c r="A323" t="s">
        <v>382</v>
      </c>
      <c r="B323" t="s">
        <v>440</v>
      </c>
      <c r="C323" t="s">
        <v>486</v>
      </c>
      <c r="D323" t="s">
        <v>571</v>
      </c>
      <c r="E323" t="s">
        <v>390</v>
      </c>
      <c r="F323" t="s">
        <v>391</v>
      </c>
      <c r="G323">
        <v>6102044</v>
      </c>
      <c r="H323">
        <v>202109</v>
      </c>
      <c r="I323" s="400">
        <v>44463</v>
      </c>
      <c r="J323">
        <v>122536</v>
      </c>
      <c r="K323" t="s">
        <v>386</v>
      </c>
      <c r="M323" t="s">
        <v>387</v>
      </c>
      <c r="O323" t="s">
        <v>909</v>
      </c>
      <c r="P323" t="s">
        <v>910</v>
      </c>
      <c r="Q323" t="s">
        <v>396</v>
      </c>
      <c r="R323">
        <v>2069126</v>
      </c>
      <c r="S323" t="s">
        <v>387</v>
      </c>
      <c r="U323" t="s">
        <v>965</v>
      </c>
      <c r="V323" t="s">
        <v>398</v>
      </c>
      <c r="W323" s="393">
        <v>52500</v>
      </c>
      <c r="X323" s="393">
        <v>13.69</v>
      </c>
      <c r="Y323" s="393">
        <v>119.05</v>
      </c>
      <c r="Z323" s="393">
        <v>52500</v>
      </c>
      <c r="AA323">
        <v>0</v>
      </c>
      <c r="AB323" s="400">
        <v>44469.786329780094</v>
      </c>
      <c r="AC323" t="s">
        <v>36</v>
      </c>
    </row>
    <row r="324" spans="1:29">
      <c r="A324" t="s">
        <v>382</v>
      </c>
      <c r="B324" t="s">
        <v>440</v>
      </c>
      <c r="C324" t="s">
        <v>486</v>
      </c>
      <c r="D324" t="s">
        <v>571</v>
      </c>
      <c r="E324" t="s">
        <v>390</v>
      </c>
      <c r="F324" t="s">
        <v>391</v>
      </c>
      <c r="G324">
        <v>6102044</v>
      </c>
      <c r="H324">
        <v>202109</v>
      </c>
      <c r="I324" s="400">
        <v>44463</v>
      </c>
      <c r="J324">
        <v>122536</v>
      </c>
      <c r="K324" t="s">
        <v>386</v>
      </c>
      <c r="M324" t="s">
        <v>387</v>
      </c>
      <c r="O324" t="s">
        <v>966</v>
      </c>
      <c r="P324" t="s">
        <v>967</v>
      </c>
      <c r="Q324" t="s">
        <v>396</v>
      </c>
      <c r="R324">
        <v>2069126</v>
      </c>
      <c r="S324" t="s">
        <v>387</v>
      </c>
      <c r="U324" t="s">
        <v>968</v>
      </c>
      <c r="V324" t="s">
        <v>398</v>
      </c>
      <c r="W324" s="393">
        <v>10000</v>
      </c>
      <c r="X324" s="393">
        <v>2.61</v>
      </c>
      <c r="Y324" s="393">
        <v>22.68</v>
      </c>
      <c r="Z324" s="393">
        <v>10000</v>
      </c>
      <c r="AA324">
        <v>0</v>
      </c>
      <c r="AB324" s="400">
        <v>44469.786329780094</v>
      </c>
      <c r="AC324" t="s">
        <v>36</v>
      </c>
    </row>
    <row r="325" spans="1:29">
      <c r="A325" t="s">
        <v>382</v>
      </c>
      <c r="B325" t="s">
        <v>440</v>
      </c>
      <c r="C325" t="s">
        <v>486</v>
      </c>
      <c r="D325" t="s">
        <v>571</v>
      </c>
      <c r="E325" t="s">
        <v>390</v>
      </c>
      <c r="F325" t="s">
        <v>391</v>
      </c>
      <c r="G325">
        <v>6102044</v>
      </c>
      <c r="H325">
        <v>202109</v>
      </c>
      <c r="I325" s="400">
        <v>44463</v>
      </c>
      <c r="J325">
        <v>122536</v>
      </c>
      <c r="K325" t="s">
        <v>386</v>
      </c>
      <c r="M325" t="s">
        <v>387</v>
      </c>
      <c r="O325" t="s">
        <v>794</v>
      </c>
      <c r="P325" t="s">
        <v>795</v>
      </c>
      <c r="Q325" t="s">
        <v>396</v>
      </c>
      <c r="R325">
        <v>2069126</v>
      </c>
      <c r="S325" t="s">
        <v>387</v>
      </c>
      <c r="U325" t="s">
        <v>969</v>
      </c>
      <c r="V325" t="s">
        <v>398</v>
      </c>
      <c r="W325" s="393">
        <v>7700</v>
      </c>
      <c r="X325" s="393">
        <v>2.0099999999999998</v>
      </c>
      <c r="Y325" s="393">
        <v>17.46</v>
      </c>
      <c r="Z325" s="393">
        <v>7700</v>
      </c>
      <c r="AA325">
        <v>0</v>
      </c>
      <c r="AB325" s="400">
        <v>44469.786329780094</v>
      </c>
      <c r="AC325" t="s">
        <v>36</v>
      </c>
    </row>
    <row r="326" spans="1:29">
      <c r="A326" t="s">
        <v>382</v>
      </c>
      <c r="B326" t="s">
        <v>440</v>
      </c>
      <c r="C326" t="s">
        <v>486</v>
      </c>
      <c r="D326" t="s">
        <v>571</v>
      </c>
      <c r="E326" t="s">
        <v>390</v>
      </c>
      <c r="F326" t="s">
        <v>391</v>
      </c>
      <c r="G326">
        <v>6102044</v>
      </c>
      <c r="H326">
        <v>202109</v>
      </c>
      <c r="I326" s="400">
        <v>44463</v>
      </c>
      <c r="J326">
        <v>122536</v>
      </c>
      <c r="K326" t="s">
        <v>386</v>
      </c>
      <c r="M326" t="s">
        <v>387</v>
      </c>
      <c r="O326" t="s">
        <v>909</v>
      </c>
      <c r="P326" t="s">
        <v>910</v>
      </c>
      <c r="Q326" t="s">
        <v>396</v>
      </c>
      <c r="R326">
        <v>2069126</v>
      </c>
      <c r="S326" t="s">
        <v>387</v>
      </c>
      <c r="U326" t="s">
        <v>970</v>
      </c>
      <c r="V326" t="s">
        <v>398</v>
      </c>
      <c r="W326" s="393">
        <v>128800</v>
      </c>
      <c r="X326" s="393">
        <v>33.590000000000003</v>
      </c>
      <c r="Y326" s="393">
        <v>292.06</v>
      </c>
      <c r="Z326" s="393">
        <v>128800</v>
      </c>
      <c r="AA326">
        <v>0</v>
      </c>
      <c r="AB326" s="400">
        <v>44469.786329780094</v>
      </c>
      <c r="AC326" t="s">
        <v>36</v>
      </c>
    </row>
    <row r="327" spans="1:29">
      <c r="A327" t="s">
        <v>382</v>
      </c>
      <c r="B327" t="s">
        <v>440</v>
      </c>
      <c r="C327" t="s">
        <v>486</v>
      </c>
      <c r="D327" t="s">
        <v>571</v>
      </c>
      <c r="E327" t="s">
        <v>390</v>
      </c>
      <c r="F327" t="s">
        <v>391</v>
      </c>
      <c r="G327">
        <v>6102044</v>
      </c>
      <c r="H327">
        <v>202109</v>
      </c>
      <c r="I327" s="400">
        <v>44463</v>
      </c>
      <c r="J327">
        <v>122536</v>
      </c>
      <c r="K327" t="s">
        <v>386</v>
      </c>
      <c r="M327" t="s">
        <v>387</v>
      </c>
      <c r="O327" t="s">
        <v>971</v>
      </c>
      <c r="P327" t="s">
        <v>972</v>
      </c>
      <c r="Q327" t="s">
        <v>396</v>
      </c>
      <c r="R327">
        <v>2069126</v>
      </c>
      <c r="S327" t="s">
        <v>387</v>
      </c>
      <c r="U327" t="s">
        <v>973</v>
      </c>
      <c r="V327" t="s">
        <v>398</v>
      </c>
      <c r="W327" s="393">
        <v>8300</v>
      </c>
      <c r="X327" s="393">
        <v>2.16</v>
      </c>
      <c r="Y327" s="393">
        <v>18.82</v>
      </c>
      <c r="Z327" s="393">
        <v>8300</v>
      </c>
      <c r="AA327">
        <v>0</v>
      </c>
      <c r="AB327" s="400">
        <v>44469.786329780094</v>
      </c>
      <c r="AC327" t="s">
        <v>36</v>
      </c>
    </row>
    <row r="328" spans="1:29">
      <c r="A328" t="s">
        <v>382</v>
      </c>
      <c r="B328" t="s">
        <v>440</v>
      </c>
      <c r="C328" t="s">
        <v>486</v>
      </c>
      <c r="D328" t="s">
        <v>571</v>
      </c>
      <c r="E328" t="s">
        <v>390</v>
      </c>
      <c r="F328" t="s">
        <v>391</v>
      </c>
      <c r="G328">
        <v>6102044</v>
      </c>
      <c r="H328">
        <v>202109</v>
      </c>
      <c r="I328" s="400">
        <v>44463</v>
      </c>
      <c r="J328">
        <v>122536</v>
      </c>
      <c r="K328" t="s">
        <v>386</v>
      </c>
      <c r="M328" t="s">
        <v>387</v>
      </c>
      <c r="O328" t="s">
        <v>971</v>
      </c>
      <c r="P328" t="s">
        <v>972</v>
      </c>
      <c r="Q328" t="s">
        <v>396</v>
      </c>
      <c r="R328">
        <v>2069126</v>
      </c>
      <c r="S328" t="s">
        <v>387</v>
      </c>
      <c r="U328" t="s">
        <v>974</v>
      </c>
      <c r="V328" t="s">
        <v>398</v>
      </c>
      <c r="W328" s="393">
        <v>17000</v>
      </c>
      <c r="X328" s="393">
        <v>4.43</v>
      </c>
      <c r="Y328" s="393">
        <v>38.549999999999997</v>
      </c>
      <c r="Z328" s="393">
        <v>17000</v>
      </c>
      <c r="AA328">
        <v>0</v>
      </c>
      <c r="AB328" s="400">
        <v>44469.786329780094</v>
      </c>
      <c r="AC328" t="s">
        <v>36</v>
      </c>
    </row>
    <row r="329" spans="1:29">
      <c r="A329" t="s">
        <v>382</v>
      </c>
      <c r="B329" t="s">
        <v>440</v>
      </c>
      <c r="C329" t="s">
        <v>486</v>
      </c>
      <c r="D329" t="s">
        <v>571</v>
      </c>
      <c r="E329" t="s">
        <v>390</v>
      </c>
      <c r="F329" t="s">
        <v>391</v>
      </c>
      <c r="G329">
        <v>6102044</v>
      </c>
      <c r="H329">
        <v>202109</v>
      </c>
      <c r="I329" s="400">
        <v>44463</v>
      </c>
      <c r="J329">
        <v>122536</v>
      </c>
      <c r="K329" t="s">
        <v>386</v>
      </c>
      <c r="M329" t="s">
        <v>387</v>
      </c>
      <c r="O329" t="s">
        <v>975</v>
      </c>
      <c r="P329" t="s">
        <v>976</v>
      </c>
      <c r="Q329" t="s">
        <v>396</v>
      </c>
      <c r="R329">
        <v>2069126</v>
      </c>
      <c r="S329" t="s">
        <v>387</v>
      </c>
      <c r="U329" t="s">
        <v>977</v>
      </c>
      <c r="V329" t="s">
        <v>398</v>
      </c>
      <c r="W329" s="393">
        <v>9000</v>
      </c>
      <c r="X329" s="393">
        <v>2.35</v>
      </c>
      <c r="Y329" s="393">
        <v>20.41</v>
      </c>
      <c r="Z329" s="393">
        <v>9000</v>
      </c>
      <c r="AA329">
        <v>0</v>
      </c>
      <c r="AB329" s="400">
        <v>44469.786329780094</v>
      </c>
      <c r="AC329" t="s">
        <v>36</v>
      </c>
    </row>
    <row r="330" spans="1:29">
      <c r="A330" t="s">
        <v>382</v>
      </c>
      <c r="B330" t="s">
        <v>440</v>
      </c>
      <c r="C330" t="s">
        <v>486</v>
      </c>
      <c r="D330" t="s">
        <v>571</v>
      </c>
      <c r="E330" t="s">
        <v>390</v>
      </c>
      <c r="F330" t="s">
        <v>391</v>
      </c>
      <c r="G330">
        <v>6102044</v>
      </c>
      <c r="H330">
        <v>202109</v>
      </c>
      <c r="I330" s="400">
        <v>44463</v>
      </c>
      <c r="J330">
        <v>122536</v>
      </c>
      <c r="K330" t="s">
        <v>386</v>
      </c>
      <c r="M330" t="s">
        <v>387</v>
      </c>
      <c r="O330" t="s">
        <v>587</v>
      </c>
      <c r="P330" t="s">
        <v>588</v>
      </c>
      <c r="Q330" t="s">
        <v>396</v>
      </c>
      <c r="R330">
        <v>2069126</v>
      </c>
      <c r="S330" t="s">
        <v>387</v>
      </c>
      <c r="U330" t="s">
        <v>978</v>
      </c>
      <c r="V330" t="s">
        <v>398</v>
      </c>
      <c r="W330" s="393">
        <v>22000</v>
      </c>
      <c r="X330" s="393">
        <v>5.74</v>
      </c>
      <c r="Y330" s="393">
        <v>49.89</v>
      </c>
      <c r="Z330" s="393">
        <v>22000</v>
      </c>
      <c r="AA330">
        <v>0</v>
      </c>
      <c r="AB330" s="400">
        <v>44469.786329780094</v>
      </c>
      <c r="AC330" t="s">
        <v>36</v>
      </c>
    </row>
    <row r="331" spans="1:29">
      <c r="A331" t="s">
        <v>382</v>
      </c>
      <c r="B331" t="s">
        <v>440</v>
      </c>
      <c r="C331" t="s">
        <v>486</v>
      </c>
      <c r="D331" t="s">
        <v>571</v>
      </c>
      <c r="E331" t="s">
        <v>390</v>
      </c>
      <c r="F331" t="s">
        <v>391</v>
      </c>
      <c r="G331">
        <v>6102044</v>
      </c>
      <c r="H331">
        <v>202109</v>
      </c>
      <c r="I331" s="400">
        <v>44463</v>
      </c>
      <c r="J331">
        <v>122536</v>
      </c>
      <c r="K331" t="s">
        <v>386</v>
      </c>
      <c r="M331" t="s">
        <v>387</v>
      </c>
      <c r="O331" t="s">
        <v>929</v>
      </c>
      <c r="P331" t="s">
        <v>930</v>
      </c>
      <c r="Q331" t="s">
        <v>396</v>
      </c>
      <c r="R331">
        <v>2069126</v>
      </c>
      <c r="S331" t="s">
        <v>387</v>
      </c>
      <c r="U331" t="s">
        <v>979</v>
      </c>
      <c r="V331" t="s">
        <v>398</v>
      </c>
      <c r="W331" s="393">
        <v>12000</v>
      </c>
      <c r="X331" s="393">
        <v>3.13</v>
      </c>
      <c r="Y331" s="393">
        <v>27.21</v>
      </c>
      <c r="Z331" s="393">
        <v>12000</v>
      </c>
      <c r="AA331">
        <v>0</v>
      </c>
      <c r="AB331" s="400">
        <v>44469.786329629627</v>
      </c>
      <c r="AC331" t="s">
        <v>36</v>
      </c>
    </row>
    <row r="332" spans="1:29">
      <c r="A332" t="s">
        <v>382</v>
      </c>
      <c r="B332" t="s">
        <v>440</v>
      </c>
      <c r="C332" t="s">
        <v>486</v>
      </c>
      <c r="D332" t="s">
        <v>571</v>
      </c>
      <c r="E332" t="s">
        <v>390</v>
      </c>
      <c r="F332" t="s">
        <v>391</v>
      </c>
      <c r="G332">
        <v>6102044</v>
      </c>
      <c r="H332">
        <v>202109</v>
      </c>
      <c r="I332" s="400">
        <v>44463</v>
      </c>
      <c r="J332">
        <v>122536</v>
      </c>
      <c r="K332" t="s">
        <v>386</v>
      </c>
      <c r="M332" t="s">
        <v>387</v>
      </c>
      <c r="O332" t="s">
        <v>980</v>
      </c>
      <c r="P332" t="s">
        <v>981</v>
      </c>
      <c r="Q332" t="s">
        <v>396</v>
      </c>
      <c r="R332">
        <v>2069126</v>
      </c>
      <c r="S332" t="s">
        <v>387</v>
      </c>
      <c r="U332" t="s">
        <v>982</v>
      </c>
      <c r="V332" t="s">
        <v>398</v>
      </c>
      <c r="W332" s="393">
        <v>13400</v>
      </c>
      <c r="X332" s="393">
        <v>3.49</v>
      </c>
      <c r="Y332" s="393">
        <v>30.39</v>
      </c>
      <c r="Z332" s="393">
        <v>13400</v>
      </c>
      <c r="AA332">
        <v>0</v>
      </c>
      <c r="AB332" s="400">
        <v>44469.786329629627</v>
      </c>
      <c r="AC332" t="s">
        <v>36</v>
      </c>
    </row>
    <row r="333" spans="1:29">
      <c r="A333" t="s">
        <v>382</v>
      </c>
      <c r="B333" t="s">
        <v>440</v>
      </c>
      <c r="C333" t="s">
        <v>486</v>
      </c>
      <c r="D333" t="s">
        <v>571</v>
      </c>
      <c r="E333" t="s">
        <v>390</v>
      </c>
      <c r="F333" t="s">
        <v>391</v>
      </c>
      <c r="G333">
        <v>6102044</v>
      </c>
      <c r="H333">
        <v>202109</v>
      </c>
      <c r="I333" s="400">
        <v>44463</v>
      </c>
      <c r="J333">
        <v>122536</v>
      </c>
      <c r="K333" t="s">
        <v>386</v>
      </c>
      <c r="M333" t="s">
        <v>387</v>
      </c>
      <c r="O333" t="s">
        <v>725</v>
      </c>
      <c r="P333" t="s">
        <v>726</v>
      </c>
      <c r="Q333" t="s">
        <v>396</v>
      </c>
      <c r="R333">
        <v>2069126</v>
      </c>
      <c r="S333" t="s">
        <v>387</v>
      </c>
      <c r="U333" t="s">
        <v>983</v>
      </c>
      <c r="V333" t="s">
        <v>398</v>
      </c>
      <c r="W333" s="393">
        <v>13500</v>
      </c>
      <c r="X333" s="393">
        <v>3.52</v>
      </c>
      <c r="Y333" s="393">
        <v>30.61</v>
      </c>
      <c r="Z333" s="393">
        <v>13500</v>
      </c>
      <c r="AA333">
        <v>0</v>
      </c>
      <c r="AB333" s="400">
        <v>44469.786329629627</v>
      </c>
      <c r="AC333" t="s">
        <v>36</v>
      </c>
    </row>
    <row r="334" spans="1:29">
      <c r="A334" t="s">
        <v>382</v>
      </c>
      <c r="B334" t="s">
        <v>440</v>
      </c>
      <c r="C334" t="s">
        <v>486</v>
      </c>
      <c r="D334" t="s">
        <v>571</v>
      </c>
      <c r="E334" t="s">
        <v>390</v>
      </c>
      <c r="F334" t="s">
        <v>391</v>
      </c>
      <c r="G334">
        <v>6102044</v>
      </c>
      <c r="H334">
        <v>202109</v>
      </c>
      <c r="I334" s="400">
        <v>44463</v>
      </c>
      <c r="J334">
        <v>122536</v>
      </c>
      <c r="K334" t="s">
        <v>386</v>
      </c>
      <c r="M334" t="s">
        <v>387</v>
      </c>
      <c r="O334" t="s">
        <v>966</v>
      </c>
      <c r="P334" t="s">
        <v>967</v>
      </c>
      <c r="Q334" t="s">
        <v>396</v>
      </c>
      <c r="R334">
        <v>2069126</v>
      </c>
      <c r="S334" t="s">
        <v>387</v>
      </c>
      <c r="U334" t="s">
        <v>984</v>
      </c>
      <c r="V334" t="s">
        <v>398</v>
      </c>
      <c r="W334" s="393">
        <v>18000</v>
      </c>
      <c r="X334" s="393">
        <v>4.6900000000000004</v>
      </c>
      <c r="Y334" s="393">
        <v>40.82</v>
      </c>
      <c r="Z334" s="393">
        <v>18000</v>
      </c>
      <c r="AA334">
        <v>0</v>
      </c>
      <c r="AB334" s="400">
        <v>44469.786329629627</v>
      </c>
      <c r="AC334" t="s">
        <v>36</v>
      </c>
    </row>
    <row r="335" spans="1:29">
      <c r="A335" t="s">
        <v>382</v>
      </c>
      <c r="B335" t="s">
        <v>440</v>
      </c>
      <c r="C335" t="s">
        <v>486</v>
      </c>
      <c r="D335" t="s">
        <v>571</v>
      </c>
      <c r="E335" t="s">
        <v>390</v>
      </c>
      <c r="F335" t="s">
        <v>391</v>
      </c>
      <c r="G335">
        <v>6102136</v>
      </c>
      <c r="H335">
        <v>202109</v>
      </c>
      <c r="I335" s="400">
        <v>44469</v>
      </c>
      <c r="J335">
        <v>124932</v>
      </c>
      <c r="K335" t="s">
        <v>386</v>
      </c>
      <c r="M335" t="s">
        <v>387</v>
      </c>
      <c r="O335" t="s">
        <v>593</v>
      </c>
      <c r="P335" t="s">
        <v>594</v>
      </c>
      <c r="Q335" t="s">
        <v>396</v>
      </c>
      <c r="R335">
        <v>2265787</v>
      </c>
      <c r="S335" t="s">
        <v>387</v>
      </c>
      <c r="U335" t="s">
        <v>985</v>
      </c>
      <c r="V335" t="s">
        <v>398</v>
      </c>
      <c r="W335" s="393">
        <v>6500</v>
      </c>
      <c r="X335" s="393">
        <v>1.7</v>
      </c>
      <c r="Y335" s="393">
        <v>14.74</v>
      </c>
      <c r="Z335" s="393">
        <v>6500</v>
      </c>
      <c r="AA335">
        <v>0</v>
      </c>
      <c r="AB335" s="400">
        <v>44472.929121724534</v>
      </c>
      <c r="AC335" t="s">
        <v>326</v>
      </c>
    </row>
    <row r="336" spans="1:29">
      <c r="A336" t="s">
        <v>382</v>
      </c>
      <c r="B336" t="s">
        <v>440</v>
      </c>
      <c r="C336" t="s">
        <v>486</v>
      </c>
      <c r="D336" t="s">
        <v>571</v>
      </c>
      <c r="E336" t="s">
        <v>390</v>
      </c>
      <c r="F336" t="s">
        <v>391</v>
      </c>
      <c r="G336">
        <v>6102136</v>
      </c>
      <c r="H336">
        <v>202109</v>
      </c>
      <c r="I336" s="400">
        <v>44469</v>
      </c>
      <c r="J336">
        <v>124932</v>
      </c>
      <c r="K336" t="s">
        <v>386</v>
      </c>
      <c r="M336" t="s">
        <v>387</v>
      </c>
      <c r="O336" t="s">
        <v>794</v>
      </c>
      <c r="P336" t="s">
        <v>795</v>
      </c>
      <c r="Q336" t="s">
        <v>396</v>
      </c>
      <c r="R336">
        <v>2265787</v>
      </c>
      <c r="S336" t="s">
        <v>387</v>
      </c>
      <c r="U336" t="s">
        <v>986</v>
      </c>
      <c r="V336" t="s">
        <v>398</v>
      </c>
      <c r="W336" s="393">
        <v>3000</v>
      </c>
      <c r="X336" s="393">
        <v>0.78</v>
      </c>
      <c r="Y336" s="393">
        <v>6.8</v>
      </c>
      <c r="Z336" s="393">
        <v>3000</v>
      </c>
      <c r="AA336">
        <v>0</v>
      </c>
      <c r="AB336" s="400">
        <v>44472.929121724534</v>
      </c>
      <c r="AC336" t="s">
        <v>326</v>
      </c>
    </row>
    <row r="337" spans="1:29">
      <c r="A337" t="s">
        <v>382</v>
      </c>
      <c r="B337" t="s">
        <v>440</v>
      </c>
      <c r="C337" t="s">
        <v>486</v>
      </c>
      <c r="D337" t="s">
        <v>571</v>
      </c>
      <c r="E337" t="s">
        <v>390</v>
      </c>
      <c r="F337" t="s">
        <v>391</v>
      </c>
      <c r="G337">
        <v>6102130</v>
      </c>
      <c r="H337">
        <v>202109</v>
      </c>
      <c r="I337" s="400">
        <v>44468</v>
      </c>
      <c r="J337">
        <v>124932</v>
      </c>
      <c r="K337" t="s">
        <v>386</v>
      </c>
      <c r="M337" t="s">
        <v>387</v>
      </c>
      <c r="O337" t="s">
        <v>593</v>
      </c>
      <c r="P337" t="s">
        <v>594</v>
      </c>
      <c r="Q337" t="s">
        <v>396</v>
      </c>
      <c r="R337">
        <v>2265787</v>
      </c>
      <c r="S337" t="s">
        <v>387</v>
      </c>
      <c r="U337" t="s">
        <v>987</v>
      </c>
      <c r="V337" t="s">
        <v>398</v>
      </c>
      <c r="W337" s="393">
        <v>6500</v>
      </c>
      <c r="X337" s="393">
        <v>1.7</v>
      </c>
      <c r="Y337" s="393">
        <v>14.74</v>
      </c>
      <c r="Z337" s="393">
        <v>6500</v>
      </c>
      <c r="AA337">
        <v>0</v>
      </c>
      <c r="AB337" s="400">
        <v>44472.674391284723</v>
      </c>
      <c r="AC337" t="s">
        <v>326</v>
      </c>
    </row>
    <row r="338" spans="1:29">
      <c r="A338" t="s">
        <v>382</v>
      </c>
      <c r="B338" t="s">
        <v>440</v>
      </c>
      <c r="C338" t="s">
        <v>486</v>
      </c>
      <c r="D338" t="s">
        <v>571</v>
      </c>
      <c r="E338" t="s">
        <v>390</v>
      </c>
      <c r="F338" t="s">
        <v>391</v>
      </c>
      <c r="G338">
        <v>6102130</v>
      </c>
      <c r="H338">
        <v>202109</v>
      </c>
      <c r="I338" s="400">
        <v>44468</v>
      </c>
      <c r="J338">
        <v>124932</v>
      </c>
      <c r="K338" t="s">
        <v>386</v>
      </c>
      <c r="M338" t="s">
        <v>387</v>
      </c>
      <c r="O338" t="s">
        <v>988</v>
      </c>
      <c r="P338" t="s">
        <v>989</v>
      </c>
      <c r="Q338" t="s">
        <v>396</v>
      </c>
      <c r="R338">
        <v>2265787</v>
      </c>
      <c r="S338" t="s">
        <v>387</v>
      </c>
      <c r="U338" t="s">
        <v>990</v>
      </c>
      <c r="V338" t="s">
        <v>398</v>
      </c>
      <c r="W338" s="393">
        <v>10944</v>
      </c>
      <c r="X338" s="393">
        <v>2.85</v>
      </c>
      <c r="Y338" s="393">
        <v>24.82</v>
      </c>
      <c r="Z338" s="393">
        <v>10944</v>
      </c>
      <c r="AA338">
        <v>0</v>
      </c>
      <c r="AB338" s="400">
        <v>44472.674391284723</v>
      </c>
      <c r="AC338" t="s">
        <v>326</v>
      </c>
    </row>
    <row r="339" spans="1:29">
      <c r="A339" t="s">
        <v>382</v>
      </c>
      <c r="B339" t="s">
        <v>440</v>
      </c>
      <c r="C339" t="s">
        <v>486</v>
      </c>
      <c r="D339" t="s">
        <v>571</v>
      </c>
      <c r="E339" t="s">
        <v>390</v>
      </c>
      <c r="F339" t="s">
        <v>391</v>
      </c>
      <c r="G339">
        <v>6102130</v>
      </c>
      <c r="H339">
        <v>202109</v>
      </c>
      <c r="I339" s="400">
        <v>44468</v>
      </c>
      <c r="J339">
        <v>124932</v>
      </c>
      <c r="K339" t="s">
        <v>386</v>
      </c>
      <c r="M339" t="s">
        <v>387</v>
      </c>
      <c r="O339" t="s">
        <v>794</v>
      </c>
      <c r="P339" t="s">
        <v>795</v>
      </c>
      <c r="Q339" t="s">
        <v>396</v>
      </c>
      <c r="R339">
        <v>2265787</v>
      </c>
      <c r="S339" t="s">
        <v>387</v>
      </c>
      <c r="U339" t="s">
        <v>991</v>
      </c>
      <c r="V339" t="s">
        <v>398</v>
      </c>
      <c r="W339" s="393">
        <v>9000</v>
      </c>
      <c r="X339" s="393">
        <v>2.35</v>
      </c>
      <c r="Y339" s="393">
        <v>20.41</v>
      </c>
      <c r="Z339" s="393">
        <v>9000</v>
      </c>
      <c r="AA339">
        <v>0</v>
      </c>
      <c r="AB339" s="400">
        <v>44472.674391284723</v>
      </c>
      <c r="AC339" t="s">
        <v>326</v>
      </c>
    </row>
    <row r="340" spans="1:29">
      <c r="A340" t="s">
        <v>382</v>
      </c>
      <c r="B340" t="s">
        <v>440</v>
      </c>
      <c r="C340" t="s">
        <v>486</v>
      </c>
      <c r="D340" t="s">
        <v>571</v>
      </c>
      <c r="E340" t="s">
        <v>390</v>
      </c>
      <c r="F340" t="s">
        <v>391</v>
      </c>
      <c r="G340">
        <v>6102130</v>
      </c>
      <c r="H340">
        <v>202109</v>
      </c>
      <c r="I340" s="400">
        <v>44468</v>
      </c>
      <c r="J340">
        <v>124932</v>
      </c>
      <c r="K340" t="s">
        <v>386</v>
      </c>
      <c r="M340" t="s">
        <v>387</v>
      </c>
      <c r="O340" t="s">
        <v>896</v>
      </c>
      <c r="P340" t="s">
        <v>897</v>
      </c>
      <c r="Q340" t="s">
        <v>396</v>
      </c>
      <c r="R340">
        <v>2265787</v>
      </c>
      <c r="S340" t="s">
        <v>387</v>
      </c>
      <c r="U340" t="s">
        <v>992</v>
      </c>
      <c r="V340" t="s">
        <v>398</v>
      </c>
      <c r="W340" s="393">
        <v>35000</v>
      </c>
      <c r="X340" s="393">
        <v>9.1300000000000008</v>
      </c>
      <c r="Y340" s="393">
        <v>79.36</v>
      </c>
      <c r="Z340" s="393">
        <v>35000</v>
      </c>
      <c r="AA340">
        <v>0</v>
      </c>
      <c r="AB340" s="400">
        <v>44472.674391284723</v>
      </c>
      <c r="AC340" t="s">
        <v>326</v>
      </c>
    </row>
    <row r="341" spans="1:29">
      <c r="A341" t="s">
        <v>382</v>
      </c>
      <c r="B341" t="s">
        <v>440</v>
      </c>
      <c r="C341" t="s">
        <v>486</v>
      </c>
      <c r="D341" t="s">
        <v>571</v>
      </c>
      <c r="E341" t="s">
        <v>390</v>
      </c>
      <c r="F341" t="s">
        <v>391</v>
      </c>
      <c r="G341">
        <v>6102140</v>
      </c>
      <c r="H341">
        <v>202109</v>
      </c>
      <c r="I341" s="400">
        <v>44466</v>
      </c>
      <c r="J341">
        <v>124932</v>
      </c>
      <c r="K341" t="s">
        <v>386</v>
      </c>
      <c r="M341" t="s">
        <v>387</v>
      </c>
      <c r="O341" t="s">
        <v>971</v>
      </c>
      <c r="P341" t="s">
        <v>972</v>
      </c>
      <c r="Q341" t="s">
        <v>396</v>
      </c>
      <c r="R341">
        <v>2069126</v>
      </c>
      <c r="S341" t="s">
        <v>387</v>
      </c>
      <c r="U341" t="s">
        <v>993</v>
      </c>
      <c r="V341" t="s">
        <v>398</v>
      </c>
      <c r="W341" s="393">
        <v>11300</v>
      </c>
      <c r="X341" s="393">
        <v>2.95</v>
      </c>
      <c r="Y341" s="393">
        <v>25.62</v>
      </c>
      <c r="Z341" s="393">
        <v>11300</v>
      </c>
      <c r="AA341">
        <v>0</v>
      </c>
      <c r="AB341" s="400">
        <v>44473.128467824077</v>
      </c>
      <c r="AC341" t="s">
        <v>36</v>
      </c>
    </row>
    <row r="342" spans="1:29">
      <c r="A342" t="s">
        <v>382</v>
      </c>
      <c r="B342" t="s">
        <v>440</v>
      </c>
      <c r="C342" t="s">
        <v>486</v>
      </c>
      <c r="D342" t="s">
        <v>571</v>
      </c>
      <c r="E342" t="s">
        <v>390</v>
      </c>
      <c r="F342" t="s">
        <v>391</v>
      </c>
      <c r="G342">
        <v>6102140</v>
      </c>
      <c r="H342">
        <v>202109</v>
      </c>
      <c r="I342" s="400">
        <v>44466</v>
      </c>
      <c r="J342">
        <v>124932</v>
      </c>
      <c r="K342" t="s">
        <v>386</v>
      </c>
      <c r="M342" t="s">
        <v>387</v>
      </c>
      <c r="O342" t="s">
        <v>994</v>
      </c>
      <c r="P342" t="s">
        <v>995</v>
      </c>
      <c r="Q342" t="s">
        <v>396</v>
      </c>
      <c r="R342">
        <v>2069126</v>
      </c>
      <c r="S342" t="s">
        <v>387</v>
      </c>
      <c r="U342" t="s">
        <v>996</v>
      </c>
      <c r="V342" t="s">
        <v>398</v>
      </c>
      <c r="W342" s="393">
        <v>28000</v>
      </c>
      <c r="X342" s="393">
        <v>7.3</v>
      </c>
      <c r="Y342" s="393">
        <v>63.49</v>
      </c>
      <c r="Z342" s="393">
        <v>28000</v>
      </c>
      <c r="AA342">
        <v>0</v>
      </c>
      <c r="AB342" s="400">
        <v>44473.128467824077</v>
      </c>
      <c r="AC342" t="s">
        <v>36</v>
      </c>
    </row>
    <row r="343" spans="1:29">
      <c r="A343" t="s">
        <v>382</v>
      </c>
      <c r="B343" t="s">
        <v>440</v>
      </c>
      <c r="C343" t="s">
        <v>486</v>
      </c>
      <c r="D343" t="s">
        <v>571</v>
      </c>
      <c r="E343" t="s">
        <v>390</v>
      </c>
      <c r="F343" t="s">
        <v>391</v>
      </c>
      <c r="G343">
        <v>6102140</v>
      </c>
      <c r="H343">
        <v>202109</v>
      </c>
      <c r="I343" s="400">
        <v>44466</v>
      </c>
      <c r="J343">
        <v>124932</v>
      </c>
      <c r="K343" t="s">
        <v>386</v>
      </c>
      <c r="M343" t="s">
        <v>387</v>
      </c>
      <c r="O343" t="s">
        <v>997</v>
      </c>
      <c r="P343" t="s">
        <v>998</v>
      </c>
      <c r="Q343" t="s">
        <v>396</v>
      </c>
      <c r="R343">
        <v>2069126</v>
      </c>
      <c r="S343" t="s">
        <v>387</v>
      </c>
      <c r="U343" t="s">
        <v>999</v>
      </c>
      <c r="V343" t="s">
        <v>398</v>
      </c>
      <c r="W343" s="393">
        <v>35000</v>
      </c>
      <c r="X343" s="393">
        <v>9.1300000000000008</v>
      </c>
      <c r="Y343" s="393">
        <v>79.36</v>
      </c>
      <c r="Z343" s="393">
        <v>35000</v>
      </c>
      <c r="AA343">
        <v>0</v>
      </c>
      <c r="AB343" s="400">
        <v>44473.128468020834</v>
      </c>
      <c r="AC343" t="s">
        <v>36</v>
      </c>
    </row>
    <row r="344" spans="1:29">
      <c r="A344" t="s">
        <v>382</v>
      </c>
      <c r="B344" t="s">
        <v>440</v>
      </c>
      <c r="C344" t="s">
        <v>486</v>
      </c>
      <c r="D344" t="s">
        <v>571</v>
      </c>
      <c r="E344" t="s">
        <v>390</v>
      </c>
      <c r="F344" t="s">
        <v>391</v>
      </c>
      <c r="G344">
        <v>6102140</v>
      </c>
      <c r="H344">
        <v>202109</v>
      </c>
      <c r="I344" s="400">
        <v>44466</v>
      </c>
      <c r="J344">
        <v>124932</v>
      </c>
      <c r="K344" t="s">
        <v>386</v>
      </c>
      <c r="M344" t="s">
        <v>387</v>
      </c>
      <c r="O344" t="s">
        <v>971</v>
      </c>
      <c r="P344" t="s">
        <v>972</v>
      </c>
      <c r="Q344" t="s">
        <v>396</v>
      </c>
      <c r="R344">
        <v>2069126</v>
      </c>
      <c r="S344" t="s">
        <v>387</v>
      </c>
      <c r="U344" t="s">
        <v>1000</v>
      </c>
      <c r="V344" t="s">
        <v>398</v>
      </c>
      <c r="W344" s="393">
        <v>11700</v>
      </c>
      <c r="X344" s="393">
        <v>3.05</v>
      </c>
      <c r="Y344" s="393">
        <v>26.53</v>
      </c>
      <c r="Z344" s="393">
        <v>11700</v>
      </c>
      <c r="AA344">
        <v>0</v>
      </c>
      <c r="AB344" s="400">
        <v>44473.128468020834</v>
      </c>
      <c r="AC344" t="s">
        <v>36</v>
      </c>
    </row>
    <row r="345" spans="1:29">
      <c r="A345" t="s">
        <v>382</v>
      </c>
      <c r="B345" t="s">
        <v>440</v>
      </c>
      <c r="C345" t="s">
        <v>486</v>
      </c>
      <c r="D345" t="s">
        <v>571</v>
      </c>
      <c r="E345" t="s">
        <v>390</v>
      </c>
      <c r="F345" t="s">
        <v>391</v>
      </c>
      <c r="G345">
        <v>6102140</v>
      </c>
      <c r="H345">
        <v>202109</v>
      </c>
      <c r="I345" s="400">
        <v>44466</v>
      </c>
      <c r="J345">
        <v>124932</v>
      </c>
      <c r="K345" t="s">
        <v>386</v>
      </c>
      <c r="M345" t="s">
        <v>387</v>
      </c>
      <c r="O345" t="s">
        <v>1001</v>
      </c>
      <c r="P345" t="s">
        <v>1002</v>
      </c>
      <c r="Q345" t="s">
        <v>396</v>
      </c>
      <c r="R345">
        <v>2069126</v>
      </c>
      <c r="S345" t="s">
        <v>387</v>
      </c>
      <c r="U345" t="s">
        <v>1003</v>
      </c>
      <c r="V345" t="s">
        <v>398</v>
      </c>
      <c r="W345" s="393">
        <v>9100</v>
      </c>
      <c r="X345" s="393">
        <v>2.37</v>
      </c>
      <c r="Y345" s="393">
        <v>20.63</v>
      </c>
      <c r="Z345" s="393">
        <v>9100</v>
      </c>
      <c r="AA345">
        <v>0</v>
      </c>
      <c r="AB345" s="400">
        <v>44473.128468020834</v>
      </c>
      <c r="AC345" t="s">
        <v>36</v>
      </c>
    </row>
    <row r="346" spans="1:29">
      <c r="A346" t="s">
        <v>382</v>
      </c>
      <c r="B346" t="s">
        <v>440</v>
      </c>
      <c r="C346" t="s">
        <v>486</v>
      </c>
      <c r="D346" t="s">
        <v>571</v>
      </c>
      <c r="E346" t="s">
        <v>390</v>
      </c>
      <c r="F346" t="s">
        <v>391</v>
      </c>
      <c r="G346">
        <v>6102140</v>
      </c>
      <c r="H346">
        <v>202109</v>
      </c>
      <c r="I346" s="400">
        <v>44466</v>
      </c>
      <c r="J346">
        <v>124932</v>
      </c>
      <c r="K346" t="s">
        <v>386</v>
      </c>
      <c r="M346" t="s">
        <v>387</v>
      </c>
      <c r="O346" t="s">
        <v>587</v>
      </c>
      <c r="P346" t="s">
        <v>588</v>
      </c>
      <c r="Q346" t="s">
        <v>396</v>
      </c>
      <c r="R346">
        <v>2069126</v>
      </c>
      <c r="S346" t="s">
        <v>387</v>
      </c>
      <c r="U346" t="s">
        <v>1004</v>
      </c>
      <c r="V346" t="s">
        <v>398</v>
      </c>
      <c r="W346" s="393">
        <v>12000</v>
      </c>
      <c r="X346" s="393">
        <v>3.13</v>
      </c>
      <c r="Y346" s="393">
        <v>27.21</v>
      </c>
      <c r="Z346" s="393">
        <v>12000</v>
      </c>
      <c r="AA346">
        <v>0</v>
      </c>
      <c r="AB346" s="400">
        <v>44473.128468020834</v>
      </c>
      <c r="AC346" t="s">
        <v>36</v>
      </c>
    </row>
    <row r="347" spans="1:29">
      <c r="A347" t="s">
        <v>382</v>
      </c>
      <c r="B347" t="s">
        <v>440</v>
      </c>
      <c r="C347" t="s">
        <v>486</v>
      </c>
      <c r="D347" t="s">
        <v>571</v>
      </c>
      <c r="E347" t="s">
        <v>390</v>
      </c>
      <c r="F347" t="s">
        <v>391</v>
      </c>
      <c r="G347">
        <v>6102140</v>
      </c>
      <c r="H347">
        <v>202109</v>
      </c>
      <c r="I347" s="400">
        <v>44466</v>
      </c>
      <c r="J347">
        <v>124932</v>
      </c>
      <c r="K347" t="s">
        <v>386</v>
      </c>
      <c r="M347" t="s">
        <v>387</v>
      </c>
      <c r="O347" t="s">
        <v>599</v>
      </c>
      <c r="P347" t="s">
        <v>600</v>
      </c>
      <c r="Q347" t="s">
        <v>396</v>
      </c>
      <c r="R347">
        <v>2069126</v>
      </c>
      <c r="S347" t="s">
        <v>387</v>
      </c>
      <c r="U347" t="s">
        <v>1005</v>
      </c>
      <c r="V347" t="s">
        <v>398</v>
      </c>
      <c r="W347" s="393">
        <v>66000</v>
      </c>
      <c r="X347" s="393">
        <v>17.21</v>
      </c>
      <c r="Y347" s="393">
        <v>149.66</v>
      </c>
      <c r="Z347" s="393">
        <v>66000</v>
      </c>
      <c r="AA347">
        <v>0</v>
      </c>
      <c r="AB347" s="400">
        <v>44473.128468020834</v>
      </c>
      <c r="AC347" t="s">
        <v>36</v>
      </c>
    </row>
    <row r="348" spans="1:29">
      <c r="A348" t="s">
        <v>382</v>
      </c>
      <c r="B348" t="s">
        <v>440</v>
      </c>
      <c r="C348" t="s">
        <v>486</v>
      </c>
      <c r="D348" t="s">
        <v>1006</v>
      </c>
      <c r="E348" t="s">
        <v>390</v>
      </c>
      <c r="F348" t="s">
        <v>391</v>
      </c>
      <c r="G348">
        <v>6100699</v>
      </c>
      <c r="H348">
        <v>202104</v>
      </c>
      <c r="I348" s="400">
        <v>44309</v>
      </c>
      <c r="J348" t="s">
        <v>452</v>
      </c>
      <c r="K348" t="s">
        <v>386</v>
      </c>
      <c r="M348" t="s">
        <v>387</v>
      </c>
      <c r="O348" t="s">
        <v>527</v>
      </c>
      <c r="P348" t="s">
        <v>528</v>
      </c>
      <c r="Q348" t="s">
        <v>490</v>
      </c>
      <c r="R348">
        <v>2069125</v>
      </c>
      <c r="S348" t="s">
        <v>529</v>
      </c>
      <c r="U348" t="s">
        <v>530</v>
      </c>
      <c r="V348" t="s">
        <v>398</v>
      </c>
      <c r="W348" s="393">
        <v>5220000</v>
      </c>
      <c r="X348" s="393">
        <v>1435.5</v>
      </c>
      <c r="Y348" s="393">
        <v>11891.16</v>
      </c>
      <c r="Z348" s="393">
        <v>5220000</v>
      </c>
      <c r="AA348">
        <v>11</v>
      </c>
      <c r="AB348" s="400">
        <v>44318.781356747684</v>
      </c>
      <c r="AC348" t="s">
        <v>25</v>
      </c>
    </row>
    <row r="349" spans="1:29">
      <c r="A349" t="s">
        <v>382</v>
      </c>
      <c r="B349" t="s">
        <v>440</v>
      </c>
      <c r="C349" t="s">
        <v>486</v>
      </c>
      <c r="D349" t="s">
        <v>1006</v>
      </c>
      <c r="E349" t="s">
        <v>390</v>
      </c>
      <c r="F349" t="s">
        <v>391</v>
      </c>
      <c r="G349">
        <v>6101236</v>
      </c>
      <c r="H349">
        <v>202107</v>
      </c>
      <c r="I349" s="400">
        <v>44396</v>
      </c>
      <c r="J349" t="s">
        <v>452</v>
      </c>
      <c r="K349" t="s">
        <v>386</v>
      </c>
      <c r="M349" t="s">
        <v>387</v>
      </c>
      <c r="O349" t="s">
        <v>535</v>
      </c>
      <c r="P349" t="s">
        <v>536</v>
      </c>
      <c r="Q349" t="s">
        <v>490</v>
      </c>
      <c r="R349">
        <v>2069125</v>
      </c>
      <c r="S349" t="s">
        <v>537</v>
      </c>
      <c r="U349" t="s">
        <v>538</v>
      </c>
      <c r="V349" t="s">
        <v>398</v>
      </c>
      <c r="W349" s="393">
        <v>1367716</v>
      </c>
      <c r="X349" s="393">
        <v>359.71</v>
      </c>
      <c r="Y349" s="393">
        <v>3096.51</v>
      </c>
      <c r="Z349" s="393">
        <v>1367716</v>
      </c>
      <c r="AA349">
        <v>11</v>
      </c>
      <c r="AB349" s="400">
        <v>44396.819253437498</v>
      </c>
      <c r="AC349" t="s">
        <v>25</v>
      </c>
    </row>
    <row r="350" spans="1:29">
      <c r="A350" t="s">
        <v>382</v>
      </c>
      <c r="B350" t="s">
        <v>440</v>
      </c>
      <c r="C350" t="s">
        <v>486</v>
      </c>
      <c r="D350" t="s">
        <v>1006</v>
      </c>
      <c r="E350" t="s">
        <v>390</v>
      </c>
      <c r="F350" t="s">
        <v>391</v>
      </c>
      <c r="G350">
        <v>6101227</v>
      </c>
      <c r="H350">
        <v>202107</v>
      </c>
      <c r="I350" s="400">
        <v>44385</v>
      </c>
      <c r="J350" t="s">
        <v>452</v>
      </c>
      <c r="K350" t="s">
        <v>386</v>
      </c>
      <c r="M350" t="s">
        <v>387</v>
      </c>
      <c r="O350" t="s">
        <v>539</v>
      </c>
      <c r="P350" t="s">
        <v>540</v>
      </c>
      <c r="Q350" t="s">
        <v>490</v>
      </c>
      <c r="R350">
        <v>2069125</v>
      </c>
      <c r="S350" t="s">
        <v>541</v>
      </c>
      <c r="U350" t="s">
        <v>542</v>
      </c>
      <c r="V350" t="s">
        <v>398</v>
      </c>
      <c r="W350" s="393">
        <v>55294</v>
      </c>
      <c r="X350" s="393">
        <v>14.49</v>
      </c>
      <c r="Y350" s="393">
        <v>124.08</v>
      </c>
      <c r="Z350" s="393">
        <v>55294</v>
      </c>
      <c r="AA350">
        <v>166</v>
      </c>
      <c r="AB350" s="400">
        <v>44392.759670219908</v>
      </c>
      <c r="AC350" t="s">
        <v>25</v>
      </c>
    </row>
    <row r="351" spans="1:29">
      <c r="A351" t="s">
        <v>382</v>
      </c>
      <c r="B351" t="s">
        <v>440</v>
      </c>
      <c r="C351" t="s">
        <v>486</v>
      </c>
      <c r="D351" t="s">
        <v>1006</v>
      </c>
      <c r="E351" t="s">
        <v>390</v>
      </c>
      <c r="F351" t="s">
        <v>391</v>
      </c>
      <c r="G351">
        <v>6101227</v>
      </c>
      <c r="H351">
        <v>202107</v>
      </c>
      <c r="I351" s="400">
        <v>44385</v>
      </c>
      <c r="J351" t="s">
        <v>452</v>
      </c>
      <c r="K351" t="s">
        <v>386</v>
      </c>
      <c r="M351" t="s">
        <v>387</v>
      </c>
      <c r="O351" t="s">
        <v>1007</v>
      </c>
      <c r="P351" t="s">
        <v>1008</v>
      </c>
      <c r="Q351" t="s">
        <v>490</v>
      </c>
      <c r="R351">
        <v>2069125</v>
      </c>
      <c r="S351" t="s">
        <v>1009</v>
      </c>
      <c r="U351" t="s">
        <v>1010</v>
      </c>
      <c r="V351" t="s">
        <v>398</v>
      </c>
      <c r="W351" s="393">
        <v>83652</v>
      </c>
      <c r="X351" s="393">
        <v>21.92</v>
      </c>
      <c r="Y351" s="393">
        <v>187.72</v>
      </c>
      <c r="Z351" s="393">
        <v>83652</v>
      </c>
      <c r="AA351">
        <v>0</v>
      </c>
      <c r="AB351" s="400">
        <v>44392.759670057872</v>
      </c>
      <c r="AC351" t="s">
        <v>25</v>
      </c>
    </row>
    <row r="352" spans="1:29">
      <c r="A352" t="s">
        <v>382</v>
      </c>
      <c r="B352" t="s">
        <v>440</v>
      </c>
      <c r="C352" t="s">
        <v>486</v>
      </c>
      <c r="D352" t="s">
        <v>1006</v>
      </c>
      <c r="E352" t="s">
        <v>390</v>
      </c>
      <c r="F352" t="s">
        <v>391</v>
      </c>
      <c r="G352">
        <v>6102063</v>
      </c>
      <c r="H352">
        <v>202109</v>
      </c>
      <c r="I352" s="400">
        <v>44469</v>
      </c>
      <c r="J352">
        <v>122536</v>
      </c>
      <c r="K352" t="s">
        <v>386</v>
      </c>
      <c r="M352" t="s">
        <v>387</v>
      </c>
      <c r="O352" t="s">
        <v>544</v>
      </c>
      <c r="P352" t="s">
        <v>545</v>
      </c>
      <c r="Q352" t="s">
        <v>396</v>
      </c>
      <c r="R352">
        <v>2069127</v>
      </c>
      <c r="S352" t="s">
        <v>387</v>
      </c>
      <c r="U352" t="s">
        <v>546</v>
      </c>
      <c r="V352" t="s">
        <v>398</v>
      </c>
      <c r="W352" s="393">
        <v>1204200</v>
      </c>
      <c r="X352" s="393">
        <v>314.02999999999997</v>
      </c>
      <c r="Y352" s="393">
        <v>2730.6</v>
      </c>
      <c r="Z352" s="393">
        <v>1204200</v>
      </c>
      <c r="AA352">
        <v>11</v>
      </c>
      <c r="AB352" s="400">
        <v>44470.717716747684</v>
      </c>
      <c r="AC352" t="s">
        <v>36</v>
      </c>
    </row>
    <row r="353" spans="1:29">
      <c r="A353" t="s">
        <v>382</v>
      </c>
      <c r="B353" t="s">
        <v>440</v>
      </c>
      <c r="C353" t="s">
        <v>486</v>
      </c>
      <c r="D353" t="s">
        <v>1011</v>
      </c>
      <c r="E353" t="s">
        <v>390</v>
      </c>
      <c r="F353" t="s">
        <v>391</v>
      </c>
      <c r="G353">
        <v>6100283</v>
      </c>
      <c r="H353">
        <v>202102</v>
      </c>
      <c r="I353" s="400">
        <v>44253</v>
      </c>
      <c r="J353" t="s">
        <v>452</v>
      </c>
      <c r="K353" t="s">
        <v>386</v>
      </c>
      <c r="M353" t="s">
        <v>387</v>
      </c>
      <c r="O353" t="s">
        <v>1012</v>
      </c>
      <c r="P353" t="s">
        <v>1013</v>
      </c>
      <c r="Q353" t="s">
        <v>396</v>
      </c>
      <c r="R353">
        <v>2069125</v>
      </c>
      <c r="S353" t="s">
        <v>1014</v>
      </c>
      <c r="U353" t="s">
        <v>1015</v>
      </c>
      <c r="V353" t="s">
        <v>398</v>
      </c>
      <c r="W353" s="393">
        <v>112000</v>
      </c>
      <c r="X353" s="393">
        <v>31.81</v>
      </c>
      <c r="Y353" s="393">
        <v>268.91000000000003</v>
      </c>
      <c r="Z353" s="393">
        <v>112000</v>
      </c>
      <c r="AA353">
        <v>0</v>
      </c>
      <c r="AB353" s="400">
        <v>44258.894131712965</v>
      </c>
      <c r="AC353" t="s">
        <v>25</v>
      </c>
    </row>
    <row r="354" spans="1:29">
      <c r="A354" t="s">
        <v>382</v>
      </c>
      <c r="B354" t="s">
        <v>440</v>
      </c>
      <c r="C354" t="s">
        <v>486</v>
      </c>
      <c r="D354" t="s">
        <v>1011</v>
      </c>
      <c r="E354" t="s">
        <v>390</v>
      </c>
      <c r="F354" t="s">
        <v>391</v>
      </c>
      <c r="G354">
        <v>6100340</v>
      </c>
      <c r="H354">
        <v>202103</v>
      </c>
      <c r="I354" s="400">
        <v>44260</v>
      </c>
      <c r="J354" t="s">
        <v>1016</v>
      </c>
      <c r="K354" t="s">
        <v>386</v>
      </c>
      <c r="M354" t="s">
        <v>387</v>
      </c>
      <c r="O354" t="s">
        <v>587</v>
      </c>
      <c r="P354" t="s">
        <v>588</v>
      </c>
      <c r="Q354" t="s">
        <v>396</v>
      </c>
      <c r="R354">
        <v>2069125</v>
      </c>
      <c r="S354" t="s">
        <v>387</v>
      </c>
      <c r="U354" t="s">
        <v>1017</v>
      </c>
      <c r="V354" t="s">
        <v>398</v>
      </c>
      <c r="W354" s="393">
        <v>2400000</v>
      </c>
      <c r="X354" s="393">
        <v>681.6</v>
      </c>
      <c r="Y354" s="393">
        <v>5762.4</v>
      </c>
      <c r="Z354" s="393">
        <v>2400000</v>
      </c>
      <c r="AA354">
        <v>0</v>
      </c>
      <c r="AB354" s="400">
        <v>44267.739683564818</v>
      </c>
      <c r="AC354" t="s">
        <v>25</v>
      </c>
    </row>
    <row r="355" spans="1:29">
      <c r="A355" t="s">
        <v>382</v>
      </c>
      <c r="B355" t="s">
        <v>440</v>
      </c>
      <c r="C355" t="s">
        <v>486</v>
      </c>
      <c r="D355" t="s">
        <v>1011</v>
      </c>
      <c r="E355" t="s">
        <v>390</v>
      </c>
      <c r="F355" t="s">
        <v>391</v>
      </c>
      <c r="G355">
        <v>6100340</v>
      </c>
      <c r="H355">
        <v>202103</v>
      </c>
      <c r="I355" s="400">
        <v>44260</v>
      </c>
      <c r="J355" t="s">
        <v>1016</v>
      </c>
      <c r="K355" t="s">
        <v>386</v>
      </c>
      <c r="M355" t="s">
        <v>387</v>
      </c>
      <c r="O355" t="s">
        <v>1018</v>
      </c>
      <c r="P355" t="s">
        <v>1019</v>
      </c>
      <c r="Q355" t="s">
        <v>396</v>
      </c>
      <c r="R355">
        <v>2069125</v>
      </c>
      <c r="S355" t="s">
        <v>387</v>
      </c>
      <c r="U355" t="s">
        <v>1020</v>
      </c>
      <c r="V355" t="s">
        <v>398</v>
      </c>
      <c r="W355" s="393">
        <v>27360</v>
      </c>
      <c r="X355" s="393">
        <v>7.77</v>
      </c>
      <c r="Y355" s="393">
        <v>65.69</v>
      </c>
      <c r="Z355" s="393">
        <v>27360</v>
      </c>
      <c r="AA355">
        <v>0</v>
      </c>
      <c r="AB355" s="400">
        <v>44267.739683564818</v>
      </c>
      <c r="AC355" t="s">
        <v>25</v>
      </c>
    </row>
    <row r="356" spans="1:29">
      <c r="A356" t="s">
        <v>382</v>
      </c>
      <c r="B356" t="s">
        <v>440</v>
      </c>
      <c r="C356" t="s">
        <v>486</v>
      </c>
      <c r="D356" t="s">
        <v>1011</v>
      </c>
      <c r="E356" t="s">
        <v>390</v>
      </c>
      <c r="F356" t="s">
        <v>391</v>
      </c>
      <c r="G356">
        <v>6100529</v>
      </c>
      <c r="H356">
        <v>202103</v>
      </c>
      <c r="I356" s="400">
        <v>44280</v>
      </c>
      <c r="J356" t="s">
        <v>1016</v>
      </c>
      <c r="K356" t="s">
        <v>386</v>
      </c>
      <c r="M356" t="s">
        <v>387</v>
      </c>
      <c r="O356" t="s">
        <v>1012</v>
      </c>
      <c r="P356" t="s">
        <v>1013</v>
      </c>
      <c r="Q356" t="s">
        <v>490</v>
      </c>
      <c r="R356">
        <v>2069125</v>
      </c>
      <c r="S356" t="s">
        <v>387</v>
      </c>
      <c r="U356" t="s">
        <v>1021</v>
      </c>
      <c r="V356" t="s">
        <v>398</v>
      </c>
      <c r="W356" s="393">
        <v>1120000</v>
      </c>
      <c r="X356" s="393">
        <v>312.48</v>
      </c>
      <c r="Y356" s="393">
        <v>2688</v>
      </c>
      <c r="Z356" s="393">
        <v>1120000</v>
      </c>
      <c r="AA356">
        <v>0</v>
      </c>
      <c r="AB356" s="400">
        <v>44291.159031712959</v>
      </c>
      <c r="AC356" t="s">
        <v>25</v>
      </c>
    </row>
    <row r="357" spans="1:29">
      <c r="A357" t="s">
        <v>382</v>
      </c>
      <c r="B357" t="s">
        <v>440</v>
      </c>
      <c r="C357" t="s">
        <v>486</v>
      </c>
      <c r="D357" t="s">
        <v>1011</v>
      </c>
      <c r="E357" t="s">
        <v>390</v>
      </c>
      <c r="F357" t="s">
        <v>391</v>
      </c>
      <c r="G357">
        <v>6100529</v>
      </c>
      <c r="H357">
        <v>202103</v>
      </c>
      <c r="I357" s="400">
        <v>44280</v>
      </c>
      <c r="J357" t="s">
        <v>1016</v>
      </c>
      <c r="K357" t="s">
        <v>386</v>
      </c>
      <c r="M357" t="s">
        <v>387</v>
      </c>
      <c r="O357" t="s">
        <v>1018</v>
      </c>
      <c r="P357" t="s">
        <v>1019</v>
      </c>
      <c r="Q357" t="s">
        <v>490</v>
      </c>
      <c r="R357">
        <v>2069125</v>
      </c>
      <c r="S357" t="s">
        <v>387</v>
      </c>
      <c r="U357" t="s">
        <v>1022</v>
      </c>
      <c r="V357" t="s">
        <v>398</v>
      </c>
      <c r="W357" s="393">
        <v>12768</v>
      </c>
      <c r="X357" s="393">
        <v>3.56</v>
      </c>
      <c r="Y357" s="393">
        <v>30.64</v>
      </c>
      <c r="Z357" s="393">
        <v>12768</v>
      </c>
      <c r="AA357">
        <v>0</v>
      </c>
      <c r="AB357" s="400">
        <v>44291.159031712959</v>
      </c>
      <c r="AC357" t="s">
        <v>25</v>
      </c>
    </row>
    <row r="358" spans="1:29">
      <c r="A358" t="s">
        <v>382</v>
      </c>
      <c r="B358" t="s">
        <v>440</v>
      </c>
      <c r="C358" t="s">
        <v>486</v>
      </c>
      <c r="D358" t="s">
        <v>1011</v>
      </c>
      <c r="E358" t="s">
        <v>390</v>
      </c>
      <c r="F358" t="s">
        <v>391</v>
      </c>
      <c r="G358">
        <v>6100545</v>
      </c>
      <c r="H358">
        <v>202103</v>
      </c>
      <c r="I358" s="400">
        <v>44285</v>
      </c>
      <c r="J358" t="s">
        <v>1016</v>
      </c>
      <c r="K358" t="s">
        <v>386</v>
      </c>
      <c r="M358" t="s">
        <v>387</v>
      </c>
      <c r="O358" t="s">
        <v>1012</v>
      </c>
      <c r="P358" t="s">
        <v>1013</v>
      </c>
      <c r="Q358" t="s">
        <v>490</v>
      </c>
      <c r="R358">
        <v>2069125</v>
      </c>
      <c r="S358" t="s">
        <v>387</v>
      </c>
      <c r="U358" t="s">
        <v>1023</v>
      </c>
      <c r="V358" t="s">
        <v>398</v>
      </c>
      <c r="W358" s="393">
        <v>-240000</v>
      </c>
      <c r="X358" s="393">
        <v>-66.959999999999994</v>
      </c>
      <c r="Y358" s="393">
        <v>-576</v>
      </c>
      <c r="Z358" s="393">
        <v>-240000</v>
      </c>
      <c r="AA358">
        <v>0</v>
      </c>
      <c r="AB358" s="400">
        <v>44292.019698530094</v>
      </c>
      <c r="AC358" t="s">
        <v>25</v>
      </c>
    </row>
    <row r="359" spans="1:29">
      <c r="A359" t="s">
        <v>382</v>
      </c>
      <c r="B359" t="s">
        <v>440</v>
      </c>
      <c r="C359" t="s">
        <v>486</v>
      </c>
      <c r="D359" t="s">
        <v>1011</v>
      </c>
      <c r="E359" t="s">
        <v>390</v>
      </c>
      <c r="F359" t="s">
        <v>391</v>
      </c>
      <c r="G359">
        <v>6100411</v>
      </c>
      <c r="H359">
        <v>202103</v>
      </c>
      <c r="I359" s="400">
        <v>44270</v>
      </c>
      <c r="J359" t="s">
        <v>452</v>
      </c>
      <c r="K359" t="s">
        <v>386</v>
      </c>
      <c r="M359" t="s">
        <v>387</v>
      </c>
      <c r="O359" t="s">
        <v>702</v>
      </c>
      <c r="P359" t="s">
        <v>703</v>
      </c>
      <c r="Q359" t="s">
        <v>490</v>
      </c>
      <c r="R359">
        <v>2069125</v>
      </c>
      <c r="S359" t="s">
        <v>1024</v>
      </c>
      <c r="U359" t="s">
        <v>1025</v>
      </c>
      <c r="V359" t="s">
        <v>398</v>
      </c>
      <c r="W359" s="393">
        <v>170000</v>
      </c>
      <c r="X359" s="393">
        <v>48.28</v>
      </c>
      <c r="Y359" s="393">
        <v>409.7</v>
      </c>
      <c r="Z359" s="393">
        <v>170000</v>
      </c>
      <c r="AA359">
        <v>0</v>
      </c>
      <c r="AB359" s="400">
        <v>44272.95520621528</v>
      </c>
      <c r="AC359" t="s">
        <v>25</v>
      </c>
    </row>
    <row r="360" spans="1:29">
      <c r="A360" t="s">
        <v>382</v>
      </c>
      <c r="B360" t="s">
        <v>440</v>
      </c>
      <c r="C360" t="s">
        <v>486</v>
      </c>
      <c r="D360" t="s">
        <v>1011</v>
      </c>
      <c r="E360" t="s">
        <v>390</v>
      </c>
      <c r="F360" t="s">
        <v>391</v>
      </c>
      <c r="G360">
        <v>6100423</v>
      </c>
      <c r="H360">
        <v>202103</v>
      </c>
      <c r="I360" s="400">
        <v>44263</v>
      </c>
      <c r="J360" t="s">
        <v>1016</v>
      </c>
      <c r="K360" t="s">
        <v>386</v>
      </c>
      <c r="M360" t="s">
        <v>387</v>
      </c>
      <c r="O360" t="s">
        <v>1012</v>
      </c>
      <c r="P360" t="s">
        <v>1013</v>
      </c>
      <c r="Q360" t="s">
        <v>490</v>
      </c>
      <c r="R360">
        <v>2069125</v>
      </c>
      <c r="S360" t="s">
        <v>387</v>
      </c>
      <c r="U360" t="s">
        <v>1026</v>
      </c>
      <c r="V360" t="s">
        <v>398</v>
      </c>
      <c r="W360" s="393">
        <v>2000000</v>
      </c>
      <c r="X360" s="393">
        <v>568</v>
      </c>
      <c r="Y360" s="393">
        <v>4802</v>
      </c>
      <c r="Z360" s="393">
        <v>2000000</v>
      </c>
      <c r="AA360">
        <v>0</v>
      </c>
      <c r="AB360" s="400">
        <v>44278.739142627317</v>
      </c>
      <c r="AC360" t="s">
        <v>25</v>
      </c>
    </row>
    <row r="361" spans="1:29">
      <c r="A361" t="s">
        <v>382</v>
      </c>
      <c r="B361" t="s">
        <v>440</v>
      </c>
      <c r="C361" t="s">
        <v>486</v>
      </c>
      <c r="D361" t="s">
        <v>1011</v>
      </c>
      <c r="E361" t="s">
        <v>390</v>
      </c>
      <c r="F361" t="s">
        <v>391</v>
      </c>
      <c r="G361">
        <v>6100423</v>
      </c>
      <c r="H361">
        <v>202103</v>
      </c>
      <c r="I361" s="400">
        <v>44263</v>
      </c>
      <c r="J361" t="s">
        <v>1016</v>
      </c>
      <c r="K361" t="s">
        <v>386</v>
      </c>
      <c r="M361" t="s">
        <v>387</v>
      </c>
      <c r="O361" t="s">
        <v>1018</v>
      </c>
      <c r="P361" t="s">
        <v>1019</v>
      </c>
      <c r="Q361" t="s">
        <v>490</v>
      </c>
      <c r="R361">
        <v>2069125</v>
      </c>
      <c r="S361" t="s">
        <v>387</v>
      </c>
      <c r="U361" t="s">
        <v>1027</v>
      </c>
      <c r="V361" t="s">
        <v>398</v>
      </c>
      <c r="W361" s="393">
        <v>22800</v>
      </c>
      <c r="X361" s="393">
        <v>6.48</v>
      </c>
      <c r="Y361" s="393">
        <v>54.74</v>
      </c>
      <c r="Z361" s="393">
        <v>22800</v>
      </c>
      <c r="AA361">
        <v>0</v>
      </c>
      <c r="AB361" s="400">
        <v>44278.739142824073</v>
      </c>
      <c r="AC361" t="s">
        <v>25</v>
      </c>
    </row>
    <row r="362" spans="1:29">
      <c r="A362" t="s">
        <v>382</v>
      </c>
      <c r="B362" t="s">
        <v>440</v>
      </c>
      <c r="C362" t="s">
        <v>486</v>
      </c>
      <c r="D362" t="s">
        <v>1011</v>
      </c>
      <c r="E362" t="s">
        <v>390</v>
      </c>
      <c r="F362" t="s">
        <v>391</v>
      </c>
      <c r="G362">
        <v>6100994</v>
      </c>
      <c r="H362">
        <v>202106</v>
      </c>
      <c r="I362" s="400">
        <v>44362</v>
      </c>
      <c r="J362" t="s">
        <v>1016</v>
      </c>
      <c r="K362" t="s">
        <v>386</v>
      </c>
      <c r="M362" t="s">
        <v>387</v>
      </c>
      <c r="O362" t="s">
        <v>1012</v>
      </c>
      <c r="P362" t="s">
        <v>1013</v>
      </c>
      <c r="Q362" t="s">
        <v>490</v>
      </c>
      <c r="R362">
        <v>2069125</v>
      </c>
      <c r="S362" t="s">
        <v>387</v>
      </c>
      <c r="U362" t="s">
        <v>1028</v>
      </c>
      <c r="V362" t="s">
        <v>398</v>
      </c>
      <c r="W362" s="393">
        <v>12800000</v>
      </c>
      <c r="X362" s="393">
        <v>3571.2</v>
      </c>
      <c r="Y362" s="393">
        <v>29299.200000000001</v>
      </c>
      <c r="Z362" s="393">
        <v>12800000</v>
      </c>
      <c r="AA362">
        <v>0</v>
      </c>
      <c r="AB362" s="400">
        <v>44366.11307835648</v>
      </c>
      <c r="AC362" t="s">
        <v>25</v>
      </c>
    </row>
    <row r="363" spans="1:29">
      <c r="A363" t="s">
        <v>382</v>
      </c>
      <c r="B363" t="s">
        <v>440</v>
      </c>
      <c r="C363" t="s">
        <v>486</v>
      </c>
      <c r="D363" t="s">
        <v>1011</v>
      </c>
      <c r="E363" t="s">
        <v>390</v>
      </c>
      <c r="F363" t="s">
        <v>391</v>
      </c>
      <c r="G363">
        <v>6100994</v>
      </c>
      <c r="H363">
        <v>202106</v>
      </c>
      <c r="I363" s="400">
        <v>44362</v>
      </c>
      <c r="J363" t="s">
        <v>1016</v>
      </c>
      <c r="K363" t="s">
        <v>386</v>
      </c>
      <c r="M363" t="s">
        <v>387</v>
      </c>
      <c r="O363" t="s">
        <v>1018</v>
      </c>
      <c r="P363" t="s">
        <v>1019</v>
      </c>
      <c r="Q363" t="s">
        <v>490</v>
      </c>
      <c r="R363">
        <v>2069125</v>
      </c>
      <c r="S363" t="s">
        <v>387</v>
      </c>
      <c r="U363" t="s">
        <v>1029</v>
      </c>
      <c r="V363" t="s">
        <v>398</v>
      </c>
      <c r="W363" s="393">
        <v>145920</v>
      </c>
      <c r="X363" s="393">
        <v>40.71</v>
      </c>
      <c r="Y363" s="393">
        <v>334.01</v>
      </c>
      <c r="Z363" s="393">
        <v>145920</v>
      </c>
      <c r="AA363">
        <v>0</v>
      </c>
      <c r="AB363" s="400">
        <v>44366.11307835648</v>
      </c>
      <c r="AC363" t="s">
        <v>25</v>
      </c>
    </row>
    <row r="364" spans="1:29">
      <c r="A364" t="s">
        <v>382</v>
      </c>
      <c r="B364" t="s">
        <v>440</v>
      </c>
      <c r="C364" t="s">
        <v>486</v>
      </c>
      <c r="D364" t="s">
        <v>1011</v>
      </c>
      <c r="E364" t="s">
        <v>390</v>
      </c>
      <c r="F364" t="s">
        <v>391</v>
      </c>
      <c r="G364">
        <v>6101142</v>
      </c>
      <c r="H364">
        <v>202106</v>
      </c>
      <c r="I364" s="400">
        <v>44377</v>
      </c>
      <c r="J364" t="s">
        <v>452</v>
      </c>
      <c r="K364" t="s">
        <v>386</v>
      </c>
      <c r="M364" t="s">
        <v>387</v>
      </c>
      <c r="O364" t="s">
        <v>1030</v>
      </c>
      <c r="P364" t="s">
        <v>1031</v>
      </c>
      <c r="Q364" t="s">
        <v>490</v>
      </c>
      <c r="R364">
        <v>2069125</v>
      </c>
      <c r="S364" t="s">
        <v>1032</v>
      </c>
      <c r="U364" t="s">
        <v>1033</v>
      </c>
      <c r="V364" t="s">
        <v>398</v>
      </c>
      <c r="W364" s="393">
        <v>2600000</v>
      </c>
      <c r="X364" s="393">
        <v>689</v>
      </c>
      <c r="Y364" s="393">
        <v>5852.6</v>
      </c>
      <c r="Z364" s="393">
        <v>2600000</v>
      </c>
      <c r="AA364">
        <v>306</v>
      </c>
      <c r="AB364" s="400">
        <v>44380.893724386573</v>
      </c>
      <c r="AC364" t="s">
        <v>25</v>
      </c>
    </row>
    <row r="365" spans="1:29">
      <c r="A365" t="s">
        <v>382</v>
      </c>
      <c r="B365" t="s">
        <v>440</v>
      </c>
      <c r="C365" t="s">
        <v>486</v>
      </c>
      <c r="D365" t="s">
        <v>1011</v>
      </c>
      <c r="E365" t="s">
        <v>390</v>
      </c>
      <c r="F365" t="s">
        <v>391</v>
      </c>
      <c r="G365">
        <v>6101142</v>
      </c>
      <c r="H365">
        <v>202106</v>
      </c>
      <c r="I365" s="400">
        <v>44377</v>
      </c>
      <c r="J365" t="s">
        <v>452</v>
      </c>
      <c r="K365" t="s">
        <v>386</v>
      </c>
      <c r="M365" t="s">
        <v>387</v>
      </c>
      <c r="O365" t="s">
        <v>702</v>
      </c>
      <c r="P365" t="s">
        <v>703</v>
      </c>
      <c r="Q365" t="s">
        <v>490</v>
      </c>
      <c r="R365">
        <v>2069125</v>
      </c>
      <c r="S365" t="s">
        <v>1034</v>
      </c>
      <c r="U365" t="s">
        <v>1035</v>
      </c>
      <c r="V365" t="s">
        <v>398</v>
      </c>
      <c r="W365" s="393">
        <v>1100000</v>
      </c>
      <c r="X365" s="393">
        <v>291.5</v>
      </c>
      <c r="Y365" s="393">
        <v>2476.1</v>
      </c>
      <c r="Z365" s="393">
        <v>1100000</v>
      </c>
      <c r="AA365">
        <v>306</v>
      </c>
      <c r="AB365" s="400">
        <v>44380.893724386573</v>
      </c>
      <c r="AC365" t="s">
        <v>25</v>
      </c>
    </row>
    <row r="366" spans="1:29">
      <c r="A366" t="s">
        <v>382</v>
      </c>
      <c r="B366" t="s">
        <v>440</v>
      </c>
      <c r="C366" t="s">
        <v>486</v>
      </c>
      <c r="D366" t="s">
        <v>1011</v>
      </c>
      <c r="E366" t="s">
        <v>390</v>
      </c>
      <c r="F366" t="s">
        <v>391</v>
      </c>
      <c r="G366">
        <v>6101065</v>
      </c>
      <c r="H366">
        <v>202106</v>
      </c>
      <c r="I366" s="400">
        <v>44375</v>
      </c>
      <c r="J366" t="s">
        <v>1036</v>
      </c>
      <c r="K366" t="s">
        <v>386</v>
      </c>
      <c r="M366" t="s">
        <v>387</v>
      </c>
      <c r="O366" t="s">
        <v>1012</v>
      </c>
      <c r="P366" t="s">
        <v>1013</v>
      </c>
      <c r="Q366" t="s">
        <v>490</v>
      </c>
      <c r="R366">
        <v>2069125</v>
      </c>
      <c r="S366" t="s">
        <v>387</v>
      </c>
      <c r="U366" t="s">
        <v>1037</v>
      </c>
      <c r="V366" t="s">
        <v>398</v>
      </c>
      <c r="W366" s="393">
        <v>8000000</v>
      </c>
      <c r="X366" s="393">
        <v>2120</v>
      </c>
      <c r="Y366" s="393">
        <v>18008</v>
      </c>
      <c r="Z366" s="393">
        <v>8000000</v>
      </c>
      <c r="AA366">
        <v>0</v>
      </c>
      <c r="AB366" s="400">
        <v>44379.252708796295</v>
      </c>
      <c r="AC366" t="s">
        <v>25</v>
      </c>
    </row>
    <row r="367" spans="1:29">
      <c r="A367" t="s">
        <v>382</v>
      </c>
      <c r="B367" t="s">
        <v>440</v>
      </c>
      <c r="C367" t="s">
        <v>486</v>
      </c>
      <c r="D367" t="s">
        <v>1011</v>
      </c>
      <c r="E367" t="s">
        <v>390</v>
      </c>
      <c r="F367" t="s">
        <v>391</v>
      </c>
      <c r="G367">
        <v>6101065</v>
      </c>
      <c r="H367">
        <v>202106</v>
      </c>
      <c r="I367" s="400">
        <v>44375</v>
      </c>
      <c r="J367" t="s">
        <v>1036</v>
      </c>
      <c r="K367" t="s">
        <v>386</v>
      </c>
      <c r="M367" t="s">
        <v>387</v>
      </c>
      <c r="O367" t="s">
        <v>1018</v>
      </c>
      <c r="P367" t="s">
        <v>1019</v>
      </c>
      <c r="Q367" t="s">
        <v>490</v>
      </c>
      <c r="R367">
        <v>2069125</v>
      </c>
      <c r="S367" t="s">
        <v>387</v>
      </c>
      <c r="U367" t="s">
        <v>1038</v>
      </c>
      <c r="V367" t="s">
        <v>398</v>
      </c>
      <c r="W367" s="393">
        <v>91200</v>
      </c>
      <c r="X367" s="393">
        <v>24.17</v>
      </c>
      <c r="Y367" s="393">
        <v>205.29</v>
      </c>
      <c r="Z367" s="393">
        <v>91200</v>
      </c>
      <c r="AA367">
        <v>0</v>
      </c>
      <c r="AB367" s="400">
        <v>44379.252708796295</v>
      </c>
      <c r="AC367" t="s">
        <v>25</v>
      </c>
    </row>
    <row r="368" spans="1:29">
      <c r="A368" t="s">
        <v>382</v>
      </c>
      <c r="B368" t="s">
        <v>440</v>
      </c>
      <c r="C368" t="s">
        <v>486</v>
      </c>
      <c r="D368" t="s">
        <v>1011</v>
      </c>
      <c r="E368" t="s">
        <v>390</v>
      </c>
      <c r="F368" t="s">
        <v>391</v>
      </c>
      <c r="G368">
        <v>6101331</v>
      </c>
      <c r="H368">
        <v>202107</v>
      </c>
      <c r="I368" s="400">
        <v>44407</v>
      </c>
      <c r="J368">
        <v>125062</v>
      </c>
      <c r="K368" t="s">
        <v>386</v>
      </c>
      <c r="M368" t="s">
        <v>387</v>
      </c>
      <c r="O368" t="s">
        <v>950</v>
      </c>
      <c r="P368" t="s">
        <v>951</v>
      </c>
      <c r="Q368" t="s">
        <v>396</v>
      </c>
      <c r="R368">
        <v>2069121</v>
      </c>
      <c r="S368" t="s">
        <v>387</v>
      </c>
      <c r="U368" t="s">
        <v>1039</v>
      </c>
      <c r="V368" t="s">
        <v>398</v>
      </c>
      <c r="W368" s="393">
        <v>350000</v>
      </c>
      <c r="X368" s="393">
        <v>89.6</v>
      </c>
      <c r="Y368" s="393">
        <v>774.2</v>
      </c>
      <c r="Z368" s="393">
        <v>350000</v>
      </c>
      <c r="AA368">
        <v>0</v>
      </c>
      <c r="AB368" s="400">
        <v>44409.970937847225</v>
      </c>
      <c r="AC368" t="s">
        <v>19</v>
      </c>
    </row>
    <row r="369" spans="1:29">
      <c r="A369" t="s">
        <v>382</v>
      </c>
      <c r="B369" t="s">
        <v>440</v>
      </c>
      <c r="C369" t="s">
        <v>486</v>
      </c>
      <c r="D369" t="s">
        <v>1011</v>
      </c>
      <c r="E369" t="s">
        <v>390</v>
      </c>
      <c r="F369" t="s">
        <v>391</v>
      </c>
      <c r="G369">
        <v>6101361</v>
      </c>
      <c r="H369">
        <v>202107</v>
      </c>
      <c r="I369" s="400">
        <v>44406</v>
      </c>
      <c r="J369" t="s">
        <v>1016</v>
      </c>
      <c r="K369" t="s">
        <v>386</v>
      </c>
      <c r="M369" t="s">
        <v>387</v>
      </c>
      <c r="O369" t="s">
        <v>1012</v>
      </c>
      <c r="P369" t="s">
        <v>1013</v>
      </c>
      <c r="Q369" t="s">
        <v>396</v>
      </c>
      <c r="R369">
        <v>2069123</v>
      </c>
      <c r="S369" t="s">
        <v>387</v>
      </c>
      <c r="U369" t="s">
        <v>1040</v>
      </c>
      <c r="V369" t="s">
        <v>398</v>
      </c>
      <c r="W369" s="393">
        <v>4800000</v>
      </c>
      <c r="X369" s="393">
        <v>1262.4000000000001</v>
      </c>
      <c r="Y369" s="393">
        <v>10867.2</v>
      </c>
      <c r="Z369" s="393">
        <v>4800000</v>
      </c>
      <c r="AA369">
        <v>0</v>
      </c>
      <c r="AB369" s="400">
        <v>44410.905584259257</v>
      </c>
      <c r="AC369" t="s">
        <v>22</v>
      </c>
    </row>
    <row r="370" spans="1:29">
      <c r="A370" t="s">
        <v>382</v>
      </c>
      <c r="B370" t="s">
        <v>440</v>
      </c>
      <c r="C370" t="s">
        <v>486</v>
      </c>
      <c r="D370" t="s">
        <v>1011</v>
      </c>
      <c r="E370" t="s">
        <v>390</v>
      </c>
      <c r="F370" t="s">
        <v>391</v>
      </c>
      <c r="G370">
        <v>6101361</v>
      </c>
      <c r="H370">
        <v>202107</v>
      </c>
      <c r="I370" s="400">
        <v>44406</v>
      </c>
      <c r="J370" t="s">
        <v>1016</v>
      </c>
      <c r="K370" t="s">
        <v>386</v>
      </c>
      <c r="M370" t="s">
        <v>387</v>
      </c>
      <c r="O370" t="s">
        <v>1018</v>
      </c>
      <c r="P370" t="s">
        <v>1019</v>
      </c>
      <c r="Q370" t="s">
        <v>396</v>
      </c>
      <c r="R370">
        <v>2069123</v>
      </c>
      <c r="S370" t="s">
        <v>387</v>
      </c>
      <c r="U370" t="s">
        <v>1041</v>
      </c>
      <c r="V370" t="s">
        <v>398</v>
      </c>
      <c r="W370" s="393">
        <v>54720</v>
      </c>
      <c r="X370" s="393">
        <v>14.39</v>
      </c>
      <c r="Y370" s="393">
        <v>123.89</v>
      </c>
      <c r="Z370" s="393">
        <v>54720</v>
      </c>
      <c r="AA370">
        <v>0</v>
      </c>
      <c r="AB370" s="400">
        <v>44410.905584456021</v>
      </c>
      <c r="AC370" t="s">
        <v>22</v>
      </c>
    </row>
    <row r="371" spans="1:29">
      <c r="A371" t="s">
        <v>382</v>
      </c>
      <c r="B371" t="s">
        <v>440</v>
      </c>
      <c r="C371" t="s">
        <v>486</v>
      </c>
      <c r="D371" t="s">
        <v>1011</v>
      </c>
      <c r="E371" t="s">
        <v>390</v>
      </c>
      <c r="F371" t="s">
        <v>391</v>
      </c>
      <c r="G371">
        <v>6101361</v>
      </c>
      <c r="H371">
        <v>202107</v>
      </c>
      <c r="I371" s="400">
        <v>44406</v>
      </c>
      <c r="J371" t="s">
        <v>1016</v>
      </c>
      <c r="K371" t="s">
        <v>386</v>
      </c>
      <c r="M371" t="s">
        <v>387</v>
      </c>
      <c r="O371" t="s">
        <v>1012</v>
      </c>
      <c r="P371" t="s">
        <v>1013</v>
      </c>
      <c r="Q371" t="s">
        <v>396</v>
      </c>
      <c r="R371">
        <v>2069127</v>
      </c>
      <c r="S371" t="s">
        <v>387</v>
      </c>
      <c r="U371" t="s">
        <v>1042</v>
      </c>
      <c r="V371" t="s">
        <v>398</v>
      </c>
      <c r="W371" s="393">
        <v>4800000</v>
      </c>
      <c r="X371" s="393">
        <v>1262.4000000000001</v>
      </c>
      <c r="Y371" s="393">
        <v>10867.2</v>
      </c>
      <c r="Z371" s="393">
        <v>4800000</v>
      </c>
      <c r="AA371">
        <v>0</v>
      </c>
      <c r="AB371" s="400">
        <v>44410.905584456021</v>
      </c>
      <c r="AC371" t="s">
        <v>36</v>
      </c>
    </row>
    <row r="372" spans="1:29">
      <c r="A372" t="s">
        <v>382</v>
      </c>
      <c r="B372" t="s">
        <v>440</v>
      </c>
      <c r="C372" t="s">
        <v>486</v>
      </c>
      <c r="D372" t="s">
        <v>1011</v>
      </c>
      <c r="E372" t="s">
        <v>390</v>
      </c>
      <c r="F372" t="s">
        <v>391</v>
      </c>
      <c r="G372">
        <v>6101361</v>
      </c>
      <c r="H372">
        <v>202107</v>
      </c>
      <c r="I372" s="400">
        <v>44406</v>
      </c>
      <c r="J372" t="s">
        <v>1016</v>
      </c>
      <c r="K372" t="s">
        <v>386</v>
      </c>
      <c r="M372" t="s">
        <v>387</v>
      </c>
      <c r="O372" t="s">
        <v>1018</v>
      </c>
      <c r="P372" t="s">
        <v>1019</v>
      </c>
      <c r="Q372" t="s">
        <v>396</v>
      </c>
      <c r="R372">
        <v>2069127</v>
      </c>
      <c r="S372" t="s">
        <v>387</v>
      </c>
      <c r="U372" t="s">
        <v>1043</v>
      </c>
      <c r="V372" t="s">
        <v>398</v>
      </c>
      <c r="W372" s="393">
        <v>54720</v>
      </c>
      <c r="X372" s="393">
        <v>14.39</v>
      </c>
      <c r="Y372" s="393">
        <v>123.89</v>
      </c>
      <c r="Z372" s="393">
        <v>54720</v>
      </c>
      <c r="AA372">
        <v>0</v>
      </c>
      <c r="AB372" s="400">
        <v>44410.905584456021</v>
      </c>
      <c r="AC372" t="s">
        <v>36</v>
      </c>
    </row>
    <row r="373" spans="1:29">
      <c r="A373" t="s">
        <v>382</v>
      </c>
      <c r="B373" t="s">
        <v>440</v>
      </c>
      <c r="C373" t="s">
        <v>486</v>
      </c>
      <c r="D373" t="s">
        <v>1011</v>
      </c>
      <c r="E373" t="s">
        <v>390</v>
      </c>
      <c r="F373" t="s">
        <v>391</v>
      </c>
      <c r="G373">
        <v>6101508</v>
      </c>
      <c r="H373">
        <v>202108</v>
      </c>
      <c r="I373" s="400">
        <v>44421</v>
      </c>
      <c r="J373" t="s">
        <v>1016</v>
      </c>
      <c r="K373" t="s">
        <v>386</v>
      </c>
      <c r="M373" t="s">
        <v>387</v>
      </c>
      <c r="O373" t="s">
        <v>1012</v>
      </c>
      <c r="P373" t="s">
        <v>1013</v>
      </c>
      <c r="Q373" t="s">
        <v>490</v>
      </c>
      <c r="R373">
        <v>2069125</v>
      </c>
      <c r="S373" t="s">
        <v>1044</v>
      </c>
      <c r="U373" t="s">
        <v>1045</v>
      </c>
      <c r="V373" t="s">
        <v>398</v>
      </c>
      <c r="W373" s="393">
        <v>-710000</v>
      </c>
      <c r="X373" s="393">
        <v>-181.53</v>
      </c>
      <c r="Y373" s="393">
        <v>-1568.12</v>
      </c>
      <c r="Z373" s="393">
        <v>-710000</v>
      </c>
      <c r="AA373">
        <v>0</v>
      </c>
      <c r="AB373" s="400">
        <v>44426.799762696763</v>
      </c>
      <c r="AC373" t="s">
        <v>25</v>
      </c>
    </row>
    <row r="374" spans="1:29">
      <c r="A374" t="s">
        <v>382</v>
      </c>
      <c r="B374" t="s">
        <v>440</v>
      </c>
      <c r="C374" t="s">
        <v>486</v>
      </c>
      <c r="D374" t="s">
        <v>1011</v>
      </c>
      <c r="E374" t="s">
        <v>390</v>
      </c>
      <c r="F374" t="s">
        <v>391</v>
      </c>
      <c r="G374">
        <v>6101539</v>
      </c>
      <c r="H374">
        <v>202108</v>
      </c>
      <c r="I374" s="400">
        <v>44421</v>
      </c>
      <c r="J374" t="s">
        <v>1016</v>
      </c>
      <c r="K374" t="s">
        <v>386</v>
      </c>
      <c r="M374" t="s">
        <v>387</v>
      </c>
      <c r="O374" t="s">
        <v>1012</v>
      </c>
      <c r="P374" t="s">
        <v>1013</v>
      </c>
      <c r="Q374" t="s">
        <v>490</v>
      </c>
      <c r="R374">
        <v>2069125</v>
      </c>
      <c r="S374" t="s">
        <v>1046</v>
      </c>
      <c r="U374" t="s">
        <v>1047</v>
      </c>
      <c r="V374" t="s">
        <v>398</v>
      </c>
      <c r="W374" s="393">
        <v>-1300000</v>
      </c>
      <c r="X374" s="393">
        <v>-332.37</v>
      </c>
      <c r="Y374" s="393">
        <v>-2871.21</v>
      </c>
      <c r="Z374" s="393">
        <v>-1300000</v>
      </c>
      <c r="AA374">
        <v>0</v>
      </c>
      <c r="AB374" s="400">
        <v>44427.966017326391</v>
      </c>
      <c r="AC374" t="s">
        <v>25</v>
      </c>
    </row>
    <row r="375" spans="1:29">
      <c r="A375" t="s">
        <v>382</v>
      </c>
      <c r="B375" t="s">
        <v>440</v>
      </c>
      <c r="C375" t="s">
        <v>486</v>
      </c>
      <c r="D375" t="s">
        <v>1011</v>
      </c>
      <c r="E375" t="s">
        <v>390</v>
      </c>
      <c r="F375" t="s">
        <v>391</v>
      </c>
      <c r="G375">
        <v>6101773</v>
      </c>
      <c r="H375">
        <v>202108</v>
      </c>
      <c r="I375" s="400">
        <v>44438</v>
      </c>
      <c r="J375">
        <v>122536</v>
      </c>
      <c r="K375" t="s">
        <v>386</v>
      </c>
      <c r="M375" t="s">
        <v>387</v>
      </c>
      <c r="O375" t="s">
        <v>1012</v>
      </c>
      <c r="P375" t="s">
        <v>1013</v>
      </c>
      <c r="Q375" t="s">
        <v>396</v>
      </c>
      <c r="R375">
        <v>2069127</v>
      </c>
      <c r="S375" t="s">
        <v>387</v>
      </c>
      <c r="U375" t="s">
        <v>1048</v>
      </c>
      <c r="V375" t="s">
        <v>398</v>
      </c>
      <c r="W375" s="393">
        <v>-790000</v>
      </c>
      <c r="X375" s="393">
        <v>-204.4</v>
      </c>
      <c r="Y375" s="393">
        <v>-1779.96</v>
      </c>
      <c r="Z375" s="393">
        <v>-790000</v>
      </c>
      <c r="AA375">
        <v>0</v>
      </c>
      <c r="AB375" s="400">
        <v>44445.839481944444</v>
      </c>
      <c r="AC375" t="s">
        <v>36</v>
      </c>
    </row>
    <row r="376" spans="1:29">
      <c r="A376" t="s">
        <v>382</v>
      </c>
      <c r="B376" t="s">
        <v>440</v>
      </c>
      <c r="C376" t="s">
        <v>486</v>
      </c>
      <c r="D376" t="s">
        <v>1011</v>
      </c>
      <c r="E376" t="s">
        <v>390</v>
      </c>
      <c r="F376" t="s">
        <v>391</v>
      </c>
      <c r="G376">
        <v>6101689</v>
      </c>
      <c r="H376">
        <v>202108</v>
      </c>
      <c r="I376" s="400">
        <v>44439</v>
      </c>
      <c r="J376" t="s">
        <v>1049</v>
      </c>
      <c r="K376" t="s">
        <v>386</v>
      </c>
      <c r="M376" t="s">
        <v>387</v>
      </c>
      <c r="O376" t="s">
        <v>1030</v>
      </c>
      <c r="P376" t="s">
        <v>1031</v>
      </c>
      <c r="Q376" t="s">
        <v>396</v>
      </c>
      <c r="R376">
        <v>2069121</v>
      </c>
      <c r="S376" t="s">
        <v>387</v>
      </c>
      <c r="U376" t="s">
        <v>1050</v>
      </c>
      <c r="V376" t="s">
        <v>398</v>
      </c>
      <c r="W376" s="393">
        <v>320000</v>
      </c>
      <c r="X376" s="393">
        <v>82.79</v>
      </c>
      <c r="Y376" s="393">
        <v>721</v>
      </c>
      <c r="Z376" s="393">
        <v>320000</v>
      </c>
      <c r="AA376">
        <v>0</v>
      </c>
      <c r="AB376" s="400">
        <v>44442.145152048608</v>
      </c>
      <c r="AC376" t="s">
        <v>19</v>
      </c>
    </row>
    <row r="377" spans="1:29">
      <c r="A377" t="s">
        <v>382</v>
      </c>
      <c r="B377" t="s">
        <v>440</v>
      </c>
      <c r="C377" t="s">
        <v>486</v>
      </c>
      <c r="D377" t="s">
        <v>1011</v>
      </c>
      <c r="E377" t="s">
        <v>390</v>
      </c>
      <c r="F377" t="s">
        <v>391</v>
      </c>
      <c r="G377">
        <v>6101875</v>
      </c>
      <c r="H377">
        <v>202109</v>
      </c>
      <c r="I377" s="400">
        <v>44441</v>
      </c>
      <c r="J377">
        <v>122536</v>
      </c>
      <c r="K377" t="s">
        <v>386</v>
      </c>
      <c r="M377" t="s">
        <v>387</v>
      </c>
      <c r="O377" t="s">
        <v>1018</v>
      </c>
      <c r="P377" t="s">
        <v>1019</v>
      </c>
      <c r="Q377" t="s">
        <v>396</v>
      </c>
      <c r="R377">
        <v>2069127</v>
      </c>
      <c r="S377" t="s">
        <v>387</v>
      </c>
      <c r="U377" t="s">
        <v>1051</v>
      </c>
      <c r="V377" t="s">
        <v>398</v>
      </c>
      <c r="W377" s="393">
        <v>86982</v>
      </c>
      <c r="X377" s="393">
        <v>23.17</v>
      </c>
      <c r="Y377" s="393">
        <v>201.4</v>
      </c>
      <c r="Z377" s="393">
        <v>86982</v>
      </c>
      <c r="AA377">
        <v>0</v>
      </c>
      <c r="AB377" s="400">
        <v>44453.946569479165</v>
      </c>
      <c r="AC377" t="s">
        <v>36</v>
      </c>
    </row>
    <row r="378" spans="1:29">
      <c r="A378" t="s">
        <v>382</v>
      </c>
      <c r="B378" t="s">
        <v>440</v>
      </c>
      <c r="C378" t="s">
        <v>486</v>
      </c>
      <c r="D378" t="s">
        <v>1011</v>
      </c>
      <c r="E378" t="s">
        <v>390</v>
      </c>
      <c r="F378" t="s">
        <v>391</v>
      </c>
      <c r="G378">
        <v>6101875</v>
      </c>
      <c r="H378">
        <v>202109</v>
      </c>
      <c r="I378" s="400">
        <v>44441</v>
      </c>
      <c r="J378">
        <v>122536</v>
      </c>
      <c r="K378" t="s">
        <v>386</v>
      </c>
      <c r="M378" t="s">
        <v>387</v>
      </c>
      <c r="O378" t="s">
        <v>1012</v>
      </c>
      <c r="P378" t="s">
        <v>1013</v>
      </c>
      <c r="Q378" t="s">
        <v>396</v>
      </c>
      <c r="R378">
        <v>2069123</v>
      </c>
      <c r="S378" t="s">
        <v>387</v>
      </c>
      <c r="U378" t="s">
        <v>1052</v>
      </c>
      <c r="V378" t="s">
        <v>398</v>
      </c>
      <c r="W378" s="393">
        <v>990000</v>
      </c>
      <c r="X378" s="393">
        <v>263.77</v>
      </c>
      <c r="Y378" s="393">
        <v>2292.29</v>
      </c>
      <c r="Z378" s="393">
        <v>990000</v>
      </c>
      <c r="AA378">
        <v>0</v>
      </c>
      <c r="AB378" s="400">
        <v>44453.946569293985</v>
      </c>
      <c r="AC378" t="s">
        <v>22</v>
      </c>
    </row>
    <row r="379" spans="1:29">
      <c r="A379" t="s">
        <v>382</v>
      </c>
      <c r="B379" t="s">
        <v>440</v>
      </c>
      <c r="C379" t="s">
        <v>486</v>
      </c>
      <c r="D379" t="s">
        <v>1011</v>
      </c>
      <c r="E379" t="s">
        <v>390</v>
      </c>
      <c r="F379" t="s">
        <v>391</v>
      </c>
      <c r="G379">
        <v>6101875</v>
      </c>
      <c r="H379">
        <v>202109</v>
      </c>
      <c r="I379" s="400">
        <v>44441</v>
      </c>
      <c r="J379">
        <v>122536</v>
      </c>
      <c r="K379" t="s">
        <v>386</v>
      </c>
      <c r="M379" t="s">
        <v>387</v>
      </c>
      <c r="O379" t="s">
        <v>1018</v>
      </c>
      <c r="P379" t="s">
        <v>1019</v>
      </c>
      <c r="Q379" t="s">
        <v>396</v>
      </c>
      <c r="R379">
        <v>2069123</v>
      </c>
      <c r="S379" t="s">
        <v>387</v>
      </c>
      <c r="U379" t="s">
        <v>1051</v>
      </c>
      <c r="V379" t="s">
        <v>398</v>
      </c>
      <c r="W379" s="393">
        <v>11286</v>
      </c>
      <c r="X379" s="393">
        <v>3.01</v>
      </c>
      <c r="Y379" s="393">
        <v>26.13</v>
      </c>
      <c r="Z379" s="393">
        <v>11286</v>
      </c>
      <c r="AA379">
        <v>0</v>
      </c>
      <c r="AB379" s="400">
        <v>44453.946569293985</v>
      </c>
      <c r="AC379" t="s">
        <v>22</v>
      </c>
    </row>
    <row r="380" spans="1:29">
      <c r="A380" t="s">
        <v>382</v>
      </c>
      <c r="B380" t="s">
        <v>440</v>
      </c>
      <c r="C380" t="s">
        <v>486</v>
      </c>
      <c r="D380" t="s">
        <v>1011</v>
      </c>
      <c r="E380" t="s">
        <v>390</v>
      </c>
      <c r="F380" t="s">
        <v>391</v>
      </c>
      <c r="G380">
        <v>6101875</v>
      </c>
      <c r="H380">
        <v>202109</v>
      </c>
      <c r="I380" s="400">
        <v>44441</v>
      </c>
      <c r="J380">
        <v>122536</v>
      </c>
      <c r="K380" t="s">
        <v>386</v>
      </c>
      <c r="M380" t="s">
        <v>387</v>
      </c>
      <c r="O380" t="s">
        <v>1012</v>
      </c>
      <c r="P380" t="s">
        <v>1013</v>
      </c>
      <c r="Q380" t="s">
        <v>396</v>
      </c>
      <c r="R380">
        <v>2069127</v>
      </c>
      <c r="S380" t="s">
        <v>387</v>
      </c>
      <c r="U380" t="s">
        <v>1052</v>
      </c>
      <c r="V380" t="s">
        <v>398</v>
      </c>
      <c r="W380" s="393">
        <v>3815000</v>
      </c>
      <c r="X380" s="393">
        <v>1016.43</v>
      </c>
      <c r="Y380" s="393">
        <v>8833.4</v>
      </c>
      <c r="Z380" s="393">
        <v>3815000</v>
      </c>
      <c r="AA380">
        <v>0</v>
      </c>
      <c r="AB380" s="400">
        <v>44453.946569293985</v>
      </c>
      <c r="AC380" t="s">
        <v>36</v>
      </c>
    </row>
    <row r="381" spans="1:29">
      <c r="A381" t="s">
        <v>382</v>
      </c>
      <c r="B381" t="s">
        <v>440</v>
      </c>
      <c r="C381" t="s">
        <v>486</v>
      </c>
      <c r="D381" t="s">
        <v>1011</v>
      </c>
      <c r="E381" t="s">
        <v>390</v>
      </c>
      <c r="F381" t="s">
        <v>391</v>
      </c>
      <c r="G381">
        <v>6101875</v>
      </c>
      <c r="H381">
        <v>202109</v>
      </c>
      <c r="I381" s="400">
        <v>44441</v>
      </c>
      <c r="J381">
        <v>122536</v>
      </c>
      <c r="K381" t="s">
        <v>386</v>
      </c>
      <c r="M381" t="s">
        <v>387</v>
      </c>
      <c r="O381" t="s">
        <v>1012</v>
      </c>
      <c r="P381" t="s">
        <v>1013</v>
      </c>
      <c r="Q381" t="s">
        <v>396</v>
      </c>
      <c r="R381">
        <v>2069127</v>
      </c>
      <c r="S381" t="s">
        <v>387</v>
      </c>
      <c r="U381" t="s">
        <v>1052</v>
      </c>
      <c r="V381" t="s">
        <v>398</v>
      </c>
      <c r="W381" s="393">
        <v>3815000</v>
      </c>
      <c r="X381" s="393">
        <v>1016.43</v>
      </c>
      <c r="Y381" s="393">
        <v>8833.4</v>
      </c>
      <c r="Z381" s="393">
        <v>3815000</v>
      </c>
      <c r="AA381">
        <v>0</v>
      </c>
      <c r="AB381" s="400">
        <v>44453.946569293985</v>
      </c>
      <c r="AC381" t="s">
        <v>36</v>
      </c>
    </row>
    <row r="382" spans="1:29">
      <c r="A382" t="s">
        <v>382</v>
      </c>
      <c r="B382" t="s">
        <v>440</v>
      </c>
      <c r="C382" t="s">
        <v>486</v>
      </c>
      <c r="D382" t="s">
        <v>1011</v>
      </c>
      <c r="E382" t="s">
        <v>390</v>
      </c>
      <c r="F382" t="s">
        <v>391</v>
      </c>
      <c r="G382">
        <v>6102162</v>
      </c>
      <c r="H382">
        <v>202109</v>
      </c>
      <c r="I382" s="400">
        <v>44467</v>
      </c>
      <c r="J382" t="s">
        <v>1016</v>
      </c>
      <c r="K382" t="s">
        <v>386</v>
      </c>
      <c r="M382" t="s">
        <v>387</v>
      </c>
      <c r="O382" t="s">
        <v>1012</v>
      </c>
      <c r="P382" t="s">
        <v>1013</v>
      </c>
      <c r="Q382" t="s">
        <v>396</v>
      </c>
      <c r="R382">
        <v>2069132</v>
      </c>
      <c r="S382" t="s">
        <v>387</v>
      </c>
      <c r="U382" t="s">
        <v>1053</v>
      </c>
      <c r="V382" t="s">
        <v>398</v>
      </c>
      <c r="W382" s="393">
        <v>1200000</v>
      </c>
      <c r="X382" s="393">
        <v>312.94</v>
      </c>
      <c r="Y382" s="393">
        <v>2721.06</v>
      </c>
      <c r="Z382" s="393">
        <v>1200000</v>
      </c>
      <c r="AA382">
        <v>0</v>
      </c>
      <c r="AB382" s="400">
        <v>44473.764540011573</v>
      </c>
      <c r="AC382" t="s">
        <v>56</v>
      </c>
    </row>
    <row r="383" spans="1:29">
      <c r="A383" t="s">
        <v>382</v>
      </c>
      <c r="B383" t="s">
        <v>440</v>
      </c>
      <c r="C383" t="s">
        <v>486</v>
      </c>
      <c r="D383" t="s">
        <v>1011</v>
      </c>
      <c r="E383" t="s">
        <v>390</v>
      </c>
      <c r="F383" t="s">
        <v>391</v>
      </c>
      <c r="G383">
        <v>6102162</v>
      </c>
      <c r="H383">
        <v>202109</v>
      </c>
      <c r="I383" s="400">
        <v>44467</v>
      </c>
      <c r="J383" t="s">
        <v>1016</v>
      </c>
      <c r="K383" t="s">
        <v>386</v>
      </c>
      <c r="M383" t="s">
        <v>387</v>
      </c>
      <c r="O383" t="s">
        <v>1012</v>
      </c>
      <c r="P383" t="s">
        <v>1013</v>
      </c>
      <c r="Q383" t="s">
        <v>396</v>
      </c>
      <c r="R383">
        <v>2069126</v>
      </c>
      <c r="S383" t="s">
        <v>387</v>
      </c>
      <c r="U383" t="s">
        <v>1053</v>
      </c>
      <c r="V383" t="s">
        <v>398</v>
      </c>
      <c r="W383" s="393">
        <v>7630000</v>
      </c>
      <c r="X383" s="393">
        <v>1989.75</v>
      </c>
      <c r="Y383" s="393">
        <v>17301.41</v>
      </c>
      <c r="Z383" s="393">
        <v>7630000</v>
      </c>
      <c r="AA383">
        <v>0</v>
      </c>
      <c r="AB383" s="400">
        <v>44473.764540011573</v>
      </c>
      <c r="AC383" t="s">
        <v>36</v>
      </c>
    </row>
    <row r="384" spans="1:29">
      <c r="A384" t="s">
        <v>382</v>
      </c>
      <c r="B384" t="s">
        <v>440</v>
      </c>
      <c r="C384" t="s">
        <v>486</v>
      </c>
      <c r="D384" t="s">
        <v>1011</v>
      </c>
      <c r="E384" t="s">
        <v>390</v>
      </c>
      <c r="F384" t="s">
        <v>391</v>
      </c>
      <c r="G384">
        <v>6102162</v>
      </c>
      <c r="H384">
        <v>202109</v>
      </c>
      <c r="I384" s="400">
        <v>44467</v>
      </c>
      <c r="J384" t="s">
        <v>1016</v>
      </c>
      <c r="K384" t="s">
        <v>386</v>
      </c>
      <c r="M384" t="s">
        <v>387</v>
      </c>
      <c r="O384" t="s">
        <v>1012</v>
      </c>
      <c r="P384" t="s">
        <v>1013</v>
      </c>
      <c r="Q384" t="s">
        <v>396</v>
      </c>
      <c r="R384">
        <v>2069127</v>
      </c>
      <c r="S384" t="s">
        <v>387</v>
      </c>
      <c r="U384" t="s">
        <v>1053</v>
      </c>
      <c r="V384" t="s">
        <v>398</v>
      </c>
      <c r="W384" s="393">
        <v>10800000</v>
      </c>
      <c r="X384" s="393">
        <v>2816.42</v>
      </c>
      <c r="Y384" s="393">
        <v>24489.54</v>
      </c>
      <c r="Z384" s="393">
        <v>10800000</v>
      </c>
      <c r="AA384">
        <v>0</v>
      </c>
      <c r="AB384" s="400">
        <v>44473.76454019676</v>
      </c>
      <c r="AC384" t="s">
        <v>36</v>
      </c>
    </row>
    <row r="385" spans="1:29">
      <c r="A385" t="s">
        <v>382</v>
      </c>
      <c r="B385" t="s">
        <v>440</v>
      </c>
      <c r="C385" t="s">
        <v>486</v>
      </c>
      <c r="D385" t="s">
        <v>1011</v>
      </c>
      <c r="E385" t="s">
        <v>390</v>
      </c>
      <c r="F385" t="s">
        <v>391</v>
      </c>
      <c r="G385">
        <v>6102162</v>
      </c>
      <c r="H385">
        <v>202109</v>
      </c>
      <c r="I385" s="400">
        <v>44467</v>
      </c>
      <c r="J385" t="s">
        <v>1016</v>
      </c>
      <c r="K385" t="s">
        <v>386</v>
      </c>
      <c r="M385" t="s">
        <v>387</v>
      </c>
      <c r="O385" t="s">
        <v>1018</v>
      </c>
      <c r="P385" t="s">
        <v>1019</v>
      </c>
      <c r="Q385" t="s">
        <v>396</v>
      </c>
      <c r="R385">
        <v>2069132</v>
      </c>
      <c r="S385" t="s">
        <v>387</v>
      </c>
      <c r="U385" t="s">
        <v>1054</v>
      </c>
      <c r="V385" t="s">
        <v>398</v>
      </c>
      <c r="W385" s="393">
        <v>13680</v>
      </c>
      <c r="X385" s="393">
        <v>3.57</v>
      </c>
      <c r="Y385" s="393">
        <v>31.02</v>
      </c>
      <c r="Z385" s="393">
        <v>13680</v>
      </c>
      <c r="AA385">
        <v>0</v>
      </c>
      <c r="AB385" s="400">
        <v>44473.76454019676</v>
      </c>
      <c r="AC385" t="s">
        <v>56</v>
      </c>
    </row>
    <row r="386" spans="1:29">
      <c r="A386" t="s">
        <v>382</v>
      </c>
      <c r="B386" t="s">
        <v>440</v>
      </c>
      <c r="C386" t="s">
        <v>486</v>
      </c>
      <c r="D386" t="s">
        <v>1011</v>
      </c>
      <c r="E386" t="s">
        <v>390</v>
      </c>
      <c r="F386" t="s">
        <v>391</v>
      </c>
      <c r="G386">
        <v>6102162</v>
      </c>
      <c r="H386">
        <v>202109</v>
      </c>
      <c r="I386" s="400">
        <v>44467</v>
      </c>
      <c r="J386" t="s">
        <v>1016</v>
      </c>
      <c r="K386" t="s">
        <v>386</v>
      </c>
      <c r="M386" t="s">
        <v>387</v>
      </c>
      <c r="O386" t="s">
        <v>1018</v>
      </c>
      <c r="P386" t="s">
        <v>1019</v>
      </c>
      <c r="Q386" t="s">
        <v>396</v>
      </c>
      <c r="R386">
        <v>2069126</v>
      </c>
      <c r="S386" t="s">
        <v>387</v>
      </c>
      <c r="U386" t="s">
        <v>1054</v>
      </c>
      <c r="V386" t="s">
        <v>398</v>
      </c>
      <c r="W386" s="393">
        <v>86982</v>
      </c>
      <c r="X386" s="393">
        <v>22.68</v>
      </c>
      <c r="Y386" s="393">
        <v>197.24</v>
      </c>
      <c r="Z386" s="393">
        <v>86982</v>
      </c>
      <c r="AA386">
        <v>0</v>
      </c>
      <c r="AB386" s="400">
        <v>44473.76454019676</v>
      </c>
      <c r="AC386" t="s">
        <v>36</v>
      </c>
    </row>
    <row r="387" spans="1:29">
      <c r="A387" t="s">
        <v>382</v>
      </c>
      <c r="B387" t="s">
        <v>440</v>
      </c>
      <c r="C387" t="s">
        <v>486</v>
      </c>
      <c r="D387" t="s">
        <v>1011</v>
      </c>
      <c r="E387" t="s">
        <v>390</v>
      </c>
      <c r="F387" t="s">
        <v>391</v>
      </c>
      <c r="G387">
        <v>6102162</v>
      </c>
      <c r="H387">
        <v>202109</v>
      </c>
      <c r="I387" s="400">
        <v>44467</v>
      </c>
      <c r="J387" t="s">
        <v>1016</v>
      </c>
      <c r="K387" t="s">
        <v>386</v>
      </c>
      <c r="M387" t="s">
        <v>387</v>
      </c>
      <c r="O387" t="s">
        <v>1018</v>
      </c>
      <c r="P387" t="s">
        <v>1019</v>
      </c>
      <c r="Q387" t="s">
        <v>396</v>
      </c>
      <c r="R387">
        <v>2069126</v>
      </c>
      <c r="S387" t="s">
        <v>387</v>
      </c>
      <c r="U387" t="s">
        <v>1054</v>
      </c>
      <c r="V387" t="s">
        <v>398</v>
      </c>
      <c r="W387" s="393">
        <v>123120</v>
      </c>
      <c r="X387" s="393">
        <v>32.11</v>
      </c>
      <c r="Y387" s="393">
        <v>279.18</v>
      </c>
      <c r="Z387" s="393">
        <v>123120</v>
      </c>
      <c r="AA387">
        <v>0</v>
      </c>
      <c r="AB387" s="400">
        <v>44473.764540358796</v>
      </c>
      <c r="AC387" t="s">
        <v>36</v>
      </c>
    </row>
    <row r="388" spans="1:29">
      <c r="A388" t="s">
        <v>382</v>
      </c>
      <c r="B388" t="s">
        <v>440</v>
      </c>
      <c r="C388" t="s">
        <v>486</v>
      </c>
      <c r="D388" t="s">
        <v>1011</v>
      </c>
      <c r="E388" t="s">
        <v>390</v>
      </c>
      <c r="F388" t="s">
        <v>391</v>
      </c>
      <c r="G388">
        <v>6102204</v>
      </c>
      <c r="H388">
        <v>202109</v>
      </c>
      <c r="I388" s="400">
        <v>44467</v>
      </c>
      <c r="J388" t="s">
        <v>1016</v>
      </c>
      <c r="K388" t="s">
        <v>386</v>
      </c>
      <c r="M388" t="s">
        <v>387</v>
      </c>
      <c r="O388" t="s">
        <v>1012</v>
      </c>
      <c r="P388" t="s">
        <v>1013</v>
      </c>
      <c r="Q388" t="s">
        <v>396</v>
      </c>
      <c r="R388">
        <v>2069127</v>
      </c>
      <c r="S388" t="s">
        <v>387</v>
      </c>
      <c r="U388" t="s">
        <v>1055</v>
      </c>
      <c r="V388" t="s">
        <v>398</v>
      </c>
      <c r="W388" s="393">
        <v>-395000</v>
      </c>
      <c r="X388" s="393">
        <v>-103.01</v>
      </c>
      <c r="Y388" s="393">
        <v>-895.68</v>
      </c>
      <c r="Z388" s="393">
        <v>-395000</v>
      </c>
      <c r="AA388">
        <v>0</v>
      </c>
      <c r="AB388" s="400">
        <v>44474.705578356479</v>
      </c>
      <c r="AC388" t="s">
        <v>36</v>
      </c>
    </row>
    <row r="389" spans="1:29">
      <c r="A389" t="s">
        <v>382</v>
      </c>
      <c r="B389" t="s">
        <v>440</v>
      </c>
      <c r="C389" t="s">
        <v>486</v>
      </c>
      <c r="D389" t="s">
        <v>1056</v>
      </c>
      <c r="E389" t="s">
        <v>390</v>
      </c>
      <c r="F389" t="s">
        <v>391</v>
      </c>
      <c r="G389">
        <v>6100453</v>
      </c>
      <c r="H389">
        <v>202103</v>
      </c>
      <c r="I389" s="400">
        <v>44281</v>
      </c>
      <c r="J389">
        <v>122536</v>
      </c>
      <c r="K389" t="s">
        <v>386</v>
      </c>
      <c r="M389" t="s">
        <v>387</v>
      </c>
      <c r="O389" t="s">
        <v>551</v>
      </c>
      <c r="P389" t="s">
        <v>552</v>
      </c>
      <c r="Q389" t="s">
        <v>490</v>
      </c>
      <c r="R389">
        <v>2069125</v>
      </c>
      <c r="S389" t="s">
        <v>387</v>
      </c>
      <c r="U389" t="s">
        <v>1057</v>
      </c>
      <c r="V389" t="s">
        <v>398</v>
      </c>
      <c r="W389" s="393">
        <v>100000</v>
      </c>
      <c r="X389" s="393">
        <v>27.9</v>
      </c>
      <c r="Y389" s="393">
        <v>240</v>
      </c>
      <c r="Z389" s="393">
        <v>100000</v>
      </c>
      <c r="AA389">
        <v>0</v>
      </c>
      <c r="AB389" s="400">
        <v>44286.055100891201</v>
      </c>
      <c r="AC389" t="s">
        <v>25</v>
      </c>
    </row>
    <row r="390" spans="1:29">
      <c r="A390" t="s">
        <v>382</v>
      </c>
      <c r="B390" t="s">
        <v>440</v>
      </c>
      <c r="C390" t="s">
        <v>486</v>
      </c>
      <c r="D390" t="s">
        <v>1056</v>
      </c>
      <c r="E390" t="s">
        <v>390</v>
      </c>
      <c r="F390" t="s">
        <v>391</v>
      </c>
      <c r="G390">
        <v>6100503</v>
      </c>
      <c r="H390">
        <v>202103</v>
      </c>
      <c r="I390" s="400">
        <v>44284</v>
      </c>
      <c r="J390" t="s">
        <v>452</v>
      </c>
      <c r="K390" t="s">
        <v>386</v>
      </c>
      <c r="M390" t="s">
        <v>387</v>
      </c>
      <c r="O390" t="s">
        <v>551</v>
      </c>
      <c r="P390" t="s">
        <v>552</v>
      </c>
      <c r="Q390" t="s">
        <v>490</v>
      </c>
      <c r="R390">
        <v>2069125</v>
      </c>
      <c r="S390" t="s">
        <v>1058</v>
      </c>
      <c r="U390" t="s">
        <v>1059</v>
      </c>
      <c r="V390" t="s">
        <v>398</v>
      </c>
      <c r="W390" s="393">
        <v>1830000</v>
      </c>
      <c r="X390" s="393">
        <v>510.57</v>
      </c>
      <c r="Y390" s="393">
        <v>4392</v>
      </c>
      <c r="Z390" s="393">
        <v>1830000</v>
      </c>
      <c r="AA390">
        <v>318</v>
      </c>
      <c r="AB390" s="400">
        <v>44290.106625810186</v>
      </c>
      <c r="AC390" t="s">
        <v>25</v>
      </c>
    </row>
    <row r="391" spans="1:29">
      <c r="A391" t="s">
        <v>382</v>
      </c>
      <c r="B391" t="s">
        <v>440</v>
      </c>
      <c r="C391" t="s">
        <v>486</v>
      </c>
      <c r="D391" t="s">
        <v>1056</v>
      </c>
      <c r="E391" t="s">
        <v>390</v>
      </c>
      <c r="F391" t="s">
        <v>391</v>
      </c>
      <c r="G391">
        <v>6100638</v>
      </c>
      <c r="H391">
        <v>202104</v>
      </c>
      <c r="I391" s="400">
        <v>44302</v>
      </c>
      <c r="J391">
        <v>122536</v>
      </c>
      <c r="K391" t="s">
        <v>386</v>
      </c>
      <c r="M391" t="s">
        <v>387</v>
      </c>
      <c r="O391" t="s">
        <v>1060</v>
      </c>
      <c r="P391" t="s">
        <v>1061</v>
      </c>
      <c r="Q391" t="s">
        <v>490</v>
      </c>
      <c r="R391">
        <v>2069125</v>
      </c>
      <c r="S391" t="s">
        <v>387</v>
      </c>
      <c r="U391" t="s">
        <v>1062</v>
      </c>
      <c r="V391" t="s">
        <v>398</v>
      </c>
      <c r="W391" s="393">
        <v>390000</v>
      </c>
      <c r="X391" s="393">
        <v>107.25</v>
      </c>
      <c r="Y391" s="393">
        <v>908.31</v>
      </c>
      <c r="Z391" s="393">
        <v>390000</v>
      </c>
      <c r="AA391">
        <v>318</v>
      </c>
      <c r="AB391" s="400">
        <v>44310.032955706018</v>
      </c>
      <c r="AC391" t="s">
        <v>25</v>
      </c>
    </row>
    <row r="392" spans="1:29">
      <c r="A392" t="s">
        <v>382</v>
      </c>
      <c r="B392" t="s">
        <v>440</v>
      </c>
      <c r="C392" t="s">
        <v>486</v>
      </c>
      <c r="D392" t="s">
        <v>1056</v>
      </c>
      <c r="E392" t="s">
        <v>390</v>
      </c>
      <c r="F392" t="s">
        <v>391</v>
      </c>
      <c r="G392">
        <v>6100593</v>
      </c>
      <c r="H392">
        <v>202104</v>
      </c>
      <c r="I392" s="400">
        <v>44295</v>
      </c>
      <c r="J392" t="s">
        <v>452</v>
      </c>
      <c r="K392" t="s">
        <v>386</v>
      </c>
      <c r="M392" t="s">
        <v>387</v>
      </c>
      <c r="O392" t="s">
        <v>1063</v>
      </c>
      <c r="P392" t="s">
        <v>1064</v>
      </c>
      <c r="Q392" t="s">
        <v>490</v>
      </c>
      <c r="R392">
        <v>2069125</v>
      </c>
      <c r="S392" t="s">
        <v>387</v>
      </c>
      <c r="U392" t="s">
        <v>1065</v>
      </c>
      <c r="V392" t="s">
        <v>398</v>
      </c>
      <c r="W392" s="393">
        <v>750000</v>
      </c>
      <c r="X392" s="393">
        <v>206.25</v>
      </c>
      <c r="Y392" s="393">
        <v>1764.75</v>
      </c>
      <c r="Z392" s="393">
        <v>750000</v>
      </c>
      <c r="AA392">
        <v>318</v>
      </c>
      <c r="AB392" s="400">
        <v>44304.250973958333</v>
      </c>
      <c r="AC392" t="s">
        <v>25</v>
      </c>
    </row>
    <row r="393" spans="1:29">
      <c r="A393" t="s">
        <v>382</v>
      </c>
      <c r="B393" t="s">
        <v>440</v>
      </c>
      <c r="C393" t="s">
        <v>486</v>
      </c>
      <c r="D393" t="s">
        <v>1056</v>
      </c>
      <c r="E393" t="s">
        <v>390</v>
      </c>
      <c r="F393" t="s">
        <v>391</v>
      </c>
      <c r="G393">
        <v>6100811</v>
      </c>
      <c r="H393">
        <v>202105</v>
      </c>
      <c r="I393" s="400">
        <v>44323</v>
      </c>
      <c r="J393" t="s">
        <v>452</v>
      </c>
      <c r="K393" t="s">
        <v>386</v>
      </c>
      <c r="M393" t="s">
        <v>387</v>
      </c>
      <c r="O393" t="s">
        <v>1066</v>
      </c>
      <c r="P393" t="s">
        <v>1067</v>
      </c>
      <c r="Q393" t="s">
        <v>490</v>
      </c>
      <c r="R393">
        <v>2069125</v>
      </c>
      <c r="S393" t="s">
        <v>1068</v>
      </c>
      <c r="U393" t="s">
        <v>1069</v>
      </c>
      <c r="V393" t="s">
        <v>398</v>
      </c>
      <c r="W393" s="393">
        <v>570000</v>
      </c>
      <c r="X393" s="393">
        <v>148.19999999999999</v>
      </c>
      <c r="Y393" s="393">
        <v>1226.07</v>
      </c>
      <c r="Z393" s="393">
        <v>570000</v>
      </c>
      <c r="AA393">
        <v>318</v>
      </c>
      <c r="AB393" s="400">
        <v>44328.767658252313</v>
      </c>
      <c r="AC393" t="s">
        <v>25</v>
      </c>
    </row>
    <row r="394" spans="1:29">
      <c r="A394" t="s">
        <v>382</v>
      </c>
      <c r="B394" t="s">
        <v>440</v>
      </c>
      <c r="C394" t="s">
        <v>486</v>
      </c>
      <c r="D394" t="s">
        <v>1056</v>
      </c>
      <c r="E394" t="s">
        <v>390</v>
      </c>
      <c r="F394" t="s">
        <v>391</v>
      </c>
      <c r="G394">
        <v>6100811</v>
      </c>
      <c r="H394">
        <v>202105</v>
      </c>
      <c r="I394" s="400">
        <v>44323</v>
      </c>
      <c r="J394" t="s">
        <v>452</v>
      </c>
      <c r="K394" t="s">
        <v>386</v>
      </c>
      <c r="M394" t="s">
        <v>387</v>
      </c>
      <c r="O394" t="s">
        <v>551</v>
      </c>
      <c r="P394" t="s">
        <v>552</v>
      </c>
      <c r="Q394" t="s">
        <v>490</v>
      </c>
      <c r="R394">
        <v>2069125</v>
      </c>
      <c r="S394" t="s">
        <v>553</v>
      </c>
      <c r="U394" t="s">
        <v>1070</v>
      </c>
      <c r="V394" t="s">
        <v>398</v>
      </c>
      <c r="W394" s="393">
        <v>826500</v>
      </c>
      <c r="X394" s="393">
        <v>214.89</v>
      </c>
      <c r="Y394" s="393">
        <v>1777.8</v>
      </c>
      <c r="Z394" s="393">
        <v>826500</v>
      </c>
      <c r="AA394">
        <v>318</v>
      </c>
      <c r="AB394" s="400">
        <v>44328.767658993056</v>
      </c>
      <c r="AC394" t="s">
        <v>25</v>
      </c>
    </row>
    <row r="395" spans="1:29">
      <c r="A395" t="s">
        <v>382</v>
      </c>
      <c r="B395" t="s">
        <v>440</v>
      </c>
      <c r="C395" t="s">
        <v>486</v>
      </c>
      <c r="D395" t="s">
        <v>1056</v>
      </c>
      <c r="E395" t="s">
        <v>390</v>
      </c>
      <c r="F395" t="s">
        <v>391</v>
      </c>
      <c r="G395">
        <v>6100907</v>
      </c>
      <c r="H395">
        <v>202105</v>
      </c>
      <c r="I395" s="400">
        <v>44344</v>
      </c>
      <c r="J395">
        <v>122536</v>
      </c>
      <c r="K395" t="s">
        <v>386</v>
      </c>
      <c r="M395" t="s">
        <v>387</v>
      </c>
      <c r="O395" t="s">
        <v>1071</v>
      </c>
      <c r="P395" t="s">
        <v>1072</v>
      </c>
      <c r="Q395" t="s">
        <v>490</v>
      </c>
      <c r="R395">
        <v>2069125</v>
      </c>
      <c r="S395" t="s">
        <v>387</v>
      </c>
      <c r="U395" t="s">
        <v>1073</v>
      </c>
      <c r="V395" t="s">
        <v>398</v>
      </c>
      <c r="W395" s="393">
        <v>471000</v>
      </c>
      <c r="X395" s="393">
        <v>125.76</v>
      </c>
      <c r="Y395" s="393">
        <v>1032.43</v>
      </c>
      <c r="Z395" s="393">
        <v>471000</v>
      </c>
      <c r="AA395">
        <v>318</v>
      </c>
      <c r="AB395" s="400">
        <v>44347.689882175924</v>
      </c>
      <c r="AC395" t="s">
        <v>25</v>
      </c>
    </row>
    <row r="396" spans="1:29">
      <c r="A396" t="s">
        <v>382</v>
      </c>
      <c r="B396" t="s">
        <v>440</v>
      </c>
      <c r="C396" t="s">
        <v>486</v>
      </c>
      <c r="D396" t="s">
        <v>1056</v>
      </c>
      <c r="E396" t="s">
        <v>390</v>
      </c>
      <c r="F396" t="s">
        <v>391</v>
      </c>
      <c r="G396">
        <v>6101123</v>
      </c>
      <c r="H396">
        <v>202106</v>
      </c>
      <c r="I396" s="400">
        <v>44377</v>
      </c>
      <c r="J396" t="s">
        <v>452</v>
      </c>
      <c r="K396" t="s">
        <v>386</v>
      </c>
      <c r="M396" t="s">
        <v>387</v>
      </c>
      <c r="O396" t="s">
        <v>1071</v>
      </c>
      <c r="P396" t="s">
        <v>1072</v>
      </c>
      <c r="Q396" t="s">
        <v>490</v>
      </c>
      <c r="R396">
        <v>2069125</v>
      </c>
      <c r="S396" t="s">
        <v>1074</v>
      </c>
      <c r="U396" t="s">
        <v>1075</v>
      </c>
      <c r="V396" t="s">
        <v>398</v>
      </c>
      <c r="W396" s="393">
        <v>4395000</v>
      </c>
      <c r="X396" s="393">
        <v>1164.68</v>
      </c>
      <c r="Y396" s="393">
        <v>9893.15</v>
      </c>
      <c r="Z396" s="393">
        <v>4395000</v>
      </c>
      <c r="AA396">
        <v>318</v>
      </c>
      <c r="AB396" s="400">
        <v>44380.83015115741</v>
      </c>
      <c r="AC396" t="s">
        <v>25</v>
      </c>
    </row>
    <row r="397" spans="1:29">
      <c r="A397" t="s">
        <v>382</v>
      </c>
      <c r="B397" t="s">
        <v>440</v>
      </c>
      <c r="C397" t="s">
        <v>486</v>
      </c>
      <c r="D397" t="s">
        <v>1056</v>
      </c>
      <c r="E397" t="s">
        <v>390</v>
      </c>
      <c r="F397" t="s">
        <v>391</v>
      </c>
      <c r="G397">
        <v>6101385</v>
      </c>
      <c r="H397">
        <v>202107</v>
      </c>
      <c r="I397" s="400">
        <v>44407</v>
      </c>
      <c r="J397" t="s">
        <v>452</v>
      </c>
      <c r="K397" t="s">
        <v>386</v>
      </c>
      <c r="M397" t="s">
        <v>387</v>
      </c>
      <c r="O397" t="s">
        <v>551</v>
      </c>
      <c r="P397" t="s">
        <v>552</v>
      </c>
      <c r="Q397" t="s">
        <v>396</v>
      </c>
      <c r="R397">
        <v>2069121</v>
      </c>
      <c r="S397" t="s">
        <v>1076</v>
      </c>
      <c r="U397" t="s">
        <v>1077</v>
      </c>
      <c r="V397" t="s">
        <v>398</v>
      </c>
      <c r="W397" s="393">
        <v>-250</v>
      </c>
      <c r="X397" s="393">
        <v>-0.06</v>
      </c>
      <c r="Y397" s="393">
        <v>-0.55000000000000004</v>
      </c>
      <c r="Z397" s="393">
        <v>-250</v>
      </c>
      <c r="AA397">
        <v>0</v>
      </c>
      <c r="AB397" s="400">
        <v>44411.815652199075</v>
      </c>
      <c r="AC397" t="s">
        <v>19</v>
      </c>
    </row>
    <row r="398" spans="1:29">
      <c r="A398" t="s">
        <v>382</v>
      </c>
      <c r="B398" t="s">
        <v>440</v>
      </c>
      <c r="C398" t="s">
        <v>486</v>
      </c>
      <c r="D398" t="s">
        <v>1056</v>
      </c>
      <c r="E398" t="s">
        <v>390</v>
      </c>
      <c r="F398" t="s">
        <v>391</v>
      </c>
      <c r="G398">
        <v>6101385</v>
      </c>
      <c r="H398">
        <v>202107</v>
      </c>
      <c r="I398" s="400">
        <v>44407</v>
      </c>
      <c r="J398" t="s">
        <v>452</v>
      </c>
      <c r="K398" t="s">
        <v>386</v>
      </c>
      <c r="M398" t="s">
        <v>387</v>
      </c>
      <c r="O398" t="s">
        <v>551</v>
      </c>
      <c r="P398" t="s">
        <v>552</v>
      </c>
      <c r="Q398" t="s">
        <v>396</v>
      </c>
      <c r="R398">
        <v>2069121</v>
      </c>
      <c r="S398" t="s">
        <v>563</v>
      </c>
      <c r="U398" t="s">
        <v>1078</v>
      </c>
      <c r="V398" t="s">
        <v>398</v>
      </c>
      <c r="W398" s="393">
        <v>690000</v>
      </c>
      <c r="X398" s="393">
        <v>176.64</v>
      </c>
      <c r="Y398" s="393">
        <v>1526.28</v>
      </c>
      <c r="Z398" s="393">
        <v>690000</v>
      </c>
      <c r="AA398">
        <v>318</v>
      </c>
      <c r="AB398" s="400">
        <v>44411.815652199075</v>
      </c>
      <c r="AC398" t="s">
        <v>19</v>
      </c>
    </row>
    <row r="399" spans="1:29">
      <c r="A399" t="s">
        <v>382</v>
      </c>
      <c r="B399" t="s">
        <v>440</v>
      </c>
      <c r="C399" t="s">
        <v>486</v>
      </c>
      <c r="D399" t="s">
        <v>1056</v>
      </c>
      <c r="E399" t="s">
        <v>390</v>
      </c>
      <c r="F399" t="s">
        <v>391</v>
      </c>
      <c r="G399">
        <v>6101320</v>
      </c>
      <c r="H399">
        <v>202107</v>
      </c>
      <c r="I399" s="400">
        <v>44405</v>
      </c>
      <c r="J399" t="s">
        <v>452</v>
      </c>
      <c r="K399" t="s">
        <v>386</v>
      </c>
      <c r="M399" t="s">
        <v>387</v>
      </c>
      <c r="O399" t="s">
        <v>551</v>
      </c>
      <c r="P399" t="s">
        <v>552</v>
      </c>
      <c r="Q399" t="s">
        <v>396</v>
      </c>
      <c r="R399">
        <v>2069121</v>
      </c>
      <c r="S399" t="s">
        <v>561</v>
      </c>
      <c r="U399" t="s">
        <v>1079</v>
      </c>
      <c r="V399" t="s">
        <v>398</v>
      </c>
      <c r="W399" s="393">
        <v>1490000</v>
      </c>
      <c r="X399" s="393">
        <v>391.87</v>
      </c>
      <c r="Y399" s="393">
        <v>3373.36</v>
      </c>
      <c r="Z399" s="393">
        <v>1490000</v>
      </c>
      <c r="AA399">
        <v>318</v>
      </c>
      <c r="AB399" s="400">
        <v>44405.764153703705</v>
      </c>
      <c r="AC399" t="s">
        <v>19</v>
      </c>
    </row>
    <row r="400" spans="1:29">
      <c r="A400" t="s">
        <v>382</v>
      </c>
      <c r="B400" t="s">
        <v>440</v>
      </c>
      <c r="C400" t="s">
        <v>486</v>
      </c>
      <c r="D400" t="s">
        <v>1056</v>
      </c>
      <c r="E400" t="s">
        <v>390</v>
      </c>
      <c r="F400" t="s">
        <v>391</v>
      </c>
      <c r="G400">
        <v>6101320</v>
      </c>
      <c r="H400">
        <v>202107</v>
      </c>
      <c r="I400" s="400">
        <v>44405</v>
      </c>
      <c r="J400" t="s">
        <v>452</v>
      </c>
      <c r="K400" t="s">
        <v>386</v>
      </c>
      <c r="M400" t="s">
        <v>387</v>
      </c>
      <c r="O400" t="s">
        <v>557</v>
      </c>
      <c r="P400" t="s">
        <v>558</v>
      </c>
      <c r="Q400" t="s">
        <v>490</v>
      </c>
      <c r="R400">
        <v>2069125</v>
      </c>
      <c r="S400" t="s">
        <v>559</v>
      </c>
      <c r="U400" t="s">
        <v>1080</v>
      </c>
      <c r="V400" t="s">
        <v>398</v>
      </c>
      <c r="W400" s="393">
        <v>4360000</v>
      </c>
      <c r="X400" s="393">
        <v>1146.68</v>
      </c>
      <c r="Y400" s="393">
        <v>9871.0400000000009</v>
      </c>
      <c r="Z400" s="393">
        <v>4360000</v>
      </c>
      <c r="AA400">
        <v>318</v>
      </c>
      <c r="AB400" s="400">
        <v>44405.764153356482</v>
      </c>
      <c r="AC400" t="s">
        <v>25</v>
      </c>
    </row>
    <row r="401" spans="1:29">
      <c r="A401" t="s">
        <v>382</v>
      </c>
      <c r="B401" t="s">
        <v>440</v>
      </c>
      <c r="C401" t="s">
        <v>486</v>
      </c>
      <c r="D401" t="s">
        <v>1056</v>
      </c>
      <c r="E401" t="s">
        <v>390</v>
      </c>
      <c r="F401" t="s">
        <v>391</v>
      </c>
      <c r="G401">
        <v>6101293</v>
      </c>
      <c r="H401">
        <v>202107</v>
      </c>
      <c r="I401" s="400">
        <v>44396</v>
      </c>
      <c r="J401" t="s">
        <v>452</v>
      </c>
      <c r="K401" t="s">
        <v>386</v>
      </c>
      <c r="M401" t="s">
        <v>387</v>
      </c>
      <c r="O401" t="s">
        <v>488</v>
      </c>
      <c r="P401" t="s">
        <v>489</v>
      </c>
      <c r="Q401" t="s">
        <v>490</v>
      </c>
      <c r="R401">
        <v>2069125</v>
      </c>
      <c r="S401" t="s">
        <v>491</v>
      </c>
      <c r="U401" t="s">
        <v>1081</v>
      </c>
      <c r="V401" t="s">
        <v>398</v>
      </c>
      <c r="W401" s="393">
        <v>4425000</v>
      </c>
      <c r="X401" s="393">
        <v>1163.78</v>
      </c>
      <c r="Y401" s="393">
        <v>10018.200000000001</v>
      </c>
      <c r="Z401" s="393">
        <v>4425000</v>
      </c>
      <c r="AA401">
        <v>318</v>
      </c>
      <c r="AB401" s="400">
        <v>44398.725051273148</v>
      </c>
      <c r="AC401" t="s">
        <v>25</v>
      </c>
    </row>
    <row r="402" spans="1:29">
      <c r="A402" t="s">
        <v>382</v>
      </c>
      <c r="B402" t="s">
        <v>440</v>
      </c>
      <c r="C402" t="s">
        <v>486</v>
      </c>
      <c r="D402" t="s">
        <v>1056</v>
      </c>
      <c r="E402" t="s">
        <v>390</v>
      </c>
      <c r="F402" t="s">
        <v>391</v>
      </c>
      <c r="G402">
        <v>6101520</v>
      </c>
      <c r="H402">
        <v>202108</v>
      </c>
      <c r="I402" s="400">
        <v>44421</v>
      </c>
      <c r="J402">
        <v>124932</v>
      </c>
      <c r="K402" t="s">
        <v>386</v>
      </c>
      <c r="M402" t="s">
        <v>387</v>
      </c>
      <c r="O402" t="s">
        <v>565</v>
      </c>
      <c r="P402" t="s">
        <v>566</v>
      </c>
      <c r="Q402" t="s">
        <v>396</v>
      </c>
      <c r="R402">
        <v>2069123</v>
      </c>
      <c r="S402" t="s">
        <v>387</v>
      </c>
      <c r="U402" t="s">
        <v>1082</v>
      </c>
      <c r="V402" t="s">
        <v>398</v>
      </c>
      <c r="W402" s="393">
        <v>2040000</v>
      </c>
      <c r="X402" s="393">
        <v>521.57000000000005</v>
      </c>
      <c r="Y402" s="393">
        <v>4505.58</v>
      </c>
      <c r="Z402" s="393">
        <v>2040000</v>
      </c>
      <c r="AA402">
        <v>318</v>
      </c>
      <c r="AB402" s="400">
        <v>44427.769844479168</v>
      </c>
      <c r="AC402" t="s">
        <v>22</v>
      </c>
    </row>
    <row r="403" spans="1:29">
      <c r="A403" t="s">
        <v>382</v>
      </c>
      <c r="B403" t="s">
        <v>440</v>
      </c>
      <c r="C403" t="s">
        <v>486</v>
      </c>
      <c r="D403" t="s">
        <v>1056</v>
      </c>
      <c r="E403" t="s">
        <v>390</v>
      </c>
      <c r="F403" t="s">
        <v>391</v>
      </c>
      <c r="G403">
        <v>6101689</v>
      </c>
      <c r="H403">
        <v>202108</v>
      </c>
      <c r="I403" s="400">
        <v>44439</v>
      </c>
      <c r="J403" t="s">
        <v>1049</v>
      </c>
      <c r="K403" t="s">
        <v>386</v>
      </c>
      <c r="M403" t="s">
        <v>387</v>
      </c>
      <c r="O403" t="s">
        <v>551</v>
      </c>
      <c r="P403" t="s">
        <v>552</v>
      </c>
      <c r="Q403" t="s">
        <v>396</v>
      </c>
      <c r="R403">
        <v>2069121</v>
      </c>
      <c r="S403" t="s">
        <v>387</v>
      </c>
      <c r="U403" t="s">
        <v>1083</v>
      </c>
      <c r="V403" t="s">
        <v>398</v>
      </c>
      <c r="W403" s="393">
        <v>459000</v>
      </c>
      <c r="X403" s="393">
        <v>118.76</v>
      </c>
      <c r="Y403" s="393">
        <v>1034.18</v>
      </c>
      <c r="Z403" s="393">
        <v>459000</v>
      </c>
      <c r="AA403">
        <v>318</v>
      </c>
      <c r="AB403" s="400">
        <v>44442.145152048608</v>
      </c>
      <c r="AC403" t="s">
        <v>19</v>
      </c>
    </row>
    <row r="404" spans="1:29">
      <c r="A404" t="s">
        <v>382</v>
      </c>
      <c r="B404" t="s">
        <v>440</v>
      </c>
      <c r="C404" t="s">
        <v>486</v>
      </c>
      <c r="D404" t="s">
        <v>1056</v>
      </c>
      <c r="E404" t="s">
        <v>390</v>
      </c>
      <c r="F404" t="s">
        <v>391</v>
      </c>
      <c r="G404">
        <v>6101882</v>
      </c>
      <c r="H404">
        <v>202109</v>
      </c>
      <c r="I404" s="400">
        <v>44449</v>
      </c>
      <c r="J404">
        <v>122536</v>
      </c>
      <c r="K404" t="s">
        <v>386</v>
      </c>
      <c r="M404" t="s">
        <v>387</v>
      </c>
      <c r="O404" t="s">
        <v>557</v>
      </c>
      <c r="P404" t="s">
        <v>558</v>
      </c>
      <c r="Q404" t="s">
        <v>396</v>
      </c>
      <c r="R404">
        <v>2069127</v>
      </c>
      <c r="S404" t="s">
        <v>387</v>
      </c>
      <c r="U404" t="s">
        <v>1084</v>
      </c>
      <c r="V404" t="s">
        <v>398</v>
      </c>
      <c r="W404" s="393">
        <v>3120000</v>
      </c>
      <c r="X404" s="393">
        <v>817.56</v>
      </c>
      <c r="Y404" s="393">
        <v>7122.52</v>
      </c>
      <c r="Z404" s="393">
        <v>3120000</v>
      </c>
      <c r="AA404">
        <v>318</v>
      </c>
      <c r="AB404" s="400">
        <v>44454.748639351848</v>
      </c>
      <c r="AC404" t="s">
        <v>36</v>
      </c>
    </row>
    <row r="405" spans="1:29">
      <c r="A405" t="s">
        <v>382</v>
      </c>
      <c r="B405" t="s">
        <v>440</v>
      </c>
      <c r="C405" t="s">
        <v>486</v>
      </c>
      <c r="D405" t="s">
        <v>1056</v>
      </c>
      <c r="E405" t="s">
        <v>390</v>
      </c>
      <c r="F405" t="s">
        <v>391</v>
      </c>
      <c r="G405">
        <v>6101882</v>
      </c>
      <c r="H405">
        <v>202109</v>
      </c>
      <c r="I405" s="400">
        <v>44449</v>
      </c>
      <c r="J405">
        <v>122536</v>
      </c>
      <c r="K405" t="s">
        <v>386</v>
      </c>
      <c r="M405" t="s">
        <v>387</v>
      </c>
      <c r="O405" t="s">
        <v>557</v>
      </c>
      <c r="P405" t="s">
        <v>558</v>
      </c>
      <c r="Q405" t="s">
        <v>396</v>
      </c>
      <c r="R405">
        <v>2069127</v>
      </c>
      <c r="S405" t="s">
        <v>387</v>
      </c>
      <c r="U405" t="s">
        <v>1085</v>
      </c>
      <c r="V405" t="s">
        <v>398</v>
      </c>
      <c r="W405" s="393">
        <v>900000</v>
      </c>
      <c r="X405" s="393">
        <v>235.84</v>
      </c>
      <c r="Y405" s="393">
        <v>2054.5700000000002</v>
      </c>
      <c r="Z405" s="393">
        <v>900000</v>
      </c>
      <c r="AA405">
        <v>0</v>
      </c>
      <c r="AB405" s="400">
        <v>44454.748639351848</v>
      </c>
      <c r="AC405" t="s">
        <v>36</v>
      </c>
    </row>
    <row r="406" spans="1:29">
      <c r="A406" t="s">
        <v>382</v>
      </c>
      <c r="B406" t="s">
        <v>440</v>
      </c>
      <c r="C406" t="s">
        <v>486</v>
      </c>
      <c r="D406" t="s">
        <v>1056</v>
      </c>
      <c r="E406" t="s">
        <v>390</v>
      </c>
      <c r="F406" t="s">
        <v>391</v>
      </c>
      <c r="G406">
        <v>6101882</v>
      </c>
      <c r="H406">
        <v>202109</v>
      </c>
      <c r="I406" s="400">
        <v>44449</v>
      </c>
      <c r="J406">
        <v>122536</v>
      </c>
      <c r="K406" t="s">
        <v>386</v>
      </c>
      <c r="M406" t="s">
        <v>387</v>
      </c>
      <c r="O406" t="s">
        <v>557</v>
      </c>
      <c r="P406" t="s">
        <v>558</v>
      </c>
      <c r="Q406" t="s">
        <v>396</v>
      </c>
      <c r="R406">
        <v>2069127</v>
      </c>
      <c r="S406" t="s">
        <v>387</v>
      </c>
      <c r="U406" t="s">
        <v>1086</v>
      </c>
      <c r="V406" t="s">
        <v>398</v>
      </c>
      <c r="W406" s="393">
        <v>2080000</v>
      </c>
      <c r="X406" s="393">
        <v>545.04</v>
      </c>
      <c r="Y406" s="393">
        <v>4748.3500000000004</v>
      </c>
      <c r="Z406" s="393">
        <v>2080000</v>
      </c>
      <c r="AA406">
        <v>318</v>
      </c>
      <c r="AB406" s="400">
        <v>44454.748639502315</v>
      </c>
      <c r="AC406" t="s">
        <v>36</v>
      </c>
    </row>
    <row r="407" spans="1:29">
      <c r="A407" t="s">
        <v>382</v>
      </c>
      <c r="B407" t="s">
        <v>440</v>
      </c>
      <c r="C407" t="s">
        <v>486</v>
      </c>
      <c r="D407" t="s">
        <v>1056</v>
      </c>
      <c r="E407" t="s">
        <v>390</v>
      </c>
      <c r="F407" t="s">
        <v>391</v>
      </c>
      <c r="G407">
        <v>6102050</v>
      </c>
      <c r="H407">
        <v>202109</v>
      </c>
      <c r="I407" s="400">
        <v>44463</v>
      </c>
      <c r="J407">
        <v>122536</v>
      </c>
      <c r="K407" t="s">
        <v>386</v>
      </c>
      <c r="M407" t="s">
        <v>387</v>
      </c>
      <c r="O407" t="s">
        <v>551</v>
      </c>
      <c r="P407" t="s">
        <v>552</v>
      </c>
      <c r="Q407" t="s">
        <v>396</v>
      </c>
      <c r="R407">
        <v>2069126</v>
      </c>
      <c r="S407" t="s">
        <v>387</v>
      </c>
      <c r="U407" t="s">
        <v>1087</v>
      </c>
      <c r="V407" t="s">
        <v>398</v>
      </c>
      <c r="W407" s="393">
        <v>64000</v>
      </c>
      <c r="X407" s="393">
        <v>16.690000000000001</v>
      </c>
      <c r="Y407" s="393">
        <v>145.12</v>
      </c>
      <c r="Z407" s="393">
        <v>64000</v>
      </c>
      <c r="AA407">
        <v>0</v>
      </c>
      <c r="AB407" s="400">
        <v>44469.892926354165</v>
      </c>
      <c r="AC407" t="s">
        <v>36</v>
      </c>
    </row>
    <row r="408" spans="1:29">
      <c r="A408" t="s">
        <v>382</v>
      </c>
      <c r="B408" t="s">
        <v>382</v>
      </c>
      <c r="C408" t="s">
        <v>486</v>
      </c>
      <c r="D408" t="s">
        <v>1088</v>
      </c>
      <c r="E408" t="s">
        <v>518</v>
      </c>
      <c r="F408" t="s">
        <v>519</v>
      </c>
      <c r="G408">
        <v>12100576</v>
      </c>
      <c r="H408">
        <v>202103</v>
      </c>
      <c r="I408" s="400">
        <v>44259</v>
      </c>
      <c r="J408" t="s">
        <v>520</v>
      </c>
      <c r="K408" t="s">
        <v>386</v>
      </c>
      <c r="M408" t="s">
        <v>387</v>
      </c>
      <c r="O408" t="s">
        <v>509</v>
      </c>
      <c r="P408" t="s">
        <v>510</v>
      </c>
      <c r="Q408" t="s">
        <v>490</v>
      </c>
      <c r="R408">
        <v>2069125</v>
      </c>
      <c r="S408" t="s">
        <v>521</v>
      </c>
      <c r="U408" t="s">
        <v>522</v>
      </c>
      <c r="V408" t="s">
        <v>398</v>
      </c>
      <c r="W408" s="393">
        <v>273000</v>
      </c>
      <c r="X408" s="393">
        <v>77.53</v>
      </c>
      <c r="Y408" s="393">
        <v>655.47</v>
      </c>
      <c r="Z408" s="393">
        <v>273000</v>
      </c>
      <c r="AA408">
        <v>241</v>
      </c>
      <c r="AB408" s="400">
        <v>44289.718629710645</v>
      </c>
      <c r="AC408" t="s">
        <v>25</v>
      </c>
    </row>
    <row r="409" spans="1:29">
      <c r="A409" t="s">
        <v>382</v>
      </c>
      <c r="B409" t="s">
        <v>382</v>
      </c>
      <c r="C409" t="s">
        <v>486</v>
      </c>
      <c r="D409" t="s">
        <v>1088</v>
      </c>
      <c r="E409" t="s">
        <v>518</v>
      </c>
      <c r="F409" t="s">
        <v>519</v>
      </c>
      <c r="G409">
        <v>12100576</v>
      </c>
      <c r="H409">
        <v>202103</v>
      </c>
      <c r="I409" s="400">
        <v>44259</v>
      </c>
      <c r="J409" t="s">
        <v>520</v>
      </c>
      <c r="K409" t="s">
        <v>386</v>
      </c>
      <c r="M409" t="s">
        <v>387</v>
      </c>
      <c r="O409" t="s">
        <v>509</v>
      </c>
      <c r="P409" t="s">
        <v>510</v>
      </c>
      <c r="Q409" t="s">
        <v>490</v>
      </c>
      <c r="R409">
        <v>2069125</v>
      </c>
      <c r="S409" t="s">
        <v>521</v>
      </c>
      <c r="U409" t="s">
        <v>522</v>
      </c>
      <c r="V409" t="s">
        <v>398</v>
      </c>
      <c r="W409" s="393">
        <v>33500</v>
      </c>
      <c r="X409" s="393">
        <v>9.51</v>
      </c>
      <c r="Y409" s="393">
        <v>80.430000000000007</v>
      </c>
      <c r="Z409" s="393">
        <v>33500</v>
      </c>
      <c r="AA409">
        <v>0</v>
      </c>
      <c r="AB409" s="400">
        <v>44289.718629710645</v>
      </c>
      <c r="AC409" t="s">
        <v>25</v>
      </c>
    </row>
    <row r="410" spans="1:29">
      <c r="A410" t="s">
        <v>382</v>
      </c>
      <c r="B410" t="s">
        <v>382</v>
      </c>
      <c r="C410" t="s">
        <v>486</v>
      </c>
      <c r="D410" t="s">
        <v>1088</v>
      </c>
      <c r="E410" t="s">
        <v>518</v>
      </c>
      <c r="F410" t="s">
        <v>519</v>
      </c>
      <c r="G410">
        <v>12100576</v>
      </c>
      <c r="H410">
        <v>202103</v>
      </c>
      <c r="I410" s="400">
        <v>44259</v>
      </c>
      <c r="J410" t="s">
        <v>520</v>
      </c>
      <c r="K410" t="s">
        <v>386</v>
      </c>
      <c r="M410" t="s">
        <v>387</v>
      </c>
      <c r="O410" t="s">
        <v>512</v>
      </c>
      <c r="P410" t="s">
        <v>513</v>
      </c>
      <c r="Q410" t="s">
        <v>490</v>
      </c>
      <c r="R410">
        <v>2069125</v>
      </c>
      <c r="S410" t="s">
        <v>521</v>
      </c>
      <c r="U410" t="s">
        <v>522</v>
      </c>
      <c r="V410" t="s">
        <v>398</v>
      </c>
      <c r="W410" s="393">
        <v>57500</v>
      </c>
      <c r="X410" s="393">
        <v>16.329999999999998</v>
      </c>
      <c r="Y410" s="393">
        <v>138.06</v>
      </c>
      <c r="Z410" s="393">
        <v>57500</v>
      </c>
      <c r="AA410">
        <v>241</v>
      </c>
      <c r="AB410" s="400">
        <v>44289.718629861112</v>
      </c>
      <c r="AC410" t="s">
        <v>25</v>
      </c>
    </row>
    <row r="411" spans="1:29">
      <c r="A411" t="s">
        <v>382</v>
      </c>
      <c r="B411" t="s">
        <v>382</v>
      </c>
      <c r="C411" t="s">
        <v>486</v>
      </c>
      <c r="D411" t="s">
        <v>1088</v>
      </c>
      <c r="E411" t="s">
        <v>518</v>
      </c>
      <c r="F411" t="s">
        <v>519</v>
      </c>
      <c r="G411">
        <v>12100996</v>
      </c>
      <c r="H411">
        <v>202104</v>
      </c>
      <c r="I411" s="400">
        <v>44287</v>
      </c>
      <c r="J411" t="s">
        <v>520</v>
      </c>
      <c r="K411" t="s">
        <v>386</v>
      </c>
      <c r="M411" t="s">
        <v>387</v>
      </c>
      <c r="O411" t="s">
        <v>509</v>
      </c>
      <c r="P411" t="s">
        <v>510</v>
      </c>
      <c r="Q411" t="s">
        <v>490</v>
      </c>
      <c r="R411">
        <v>2069125</v>
      </c>
      <c r="S411" t="s">
        <v>521</v>
      </c>
      <c r="U411" t="s">
        <v>525</v>
      </c>
      <c r="V411" t="s">
        <v>398</v>
      </c>
      <c r="W411" s="393">
        <v>-273000</v>
      </c>
      <c r="X411" s="393">
        <v>-77.53</v>
      </c>
      <c r="Y411" s="393">
        <v>-655.47</v>
      </c>
      <c r="Z411" s="393">
        <v>-273000</v>
      </c>
      <c r="AA411">
        <v>0</v>
      </c>
      <c r="AB411" s="400">
        <v>44319.85771971065</v>
      </c>
      <c r="AC411" t="s">
        <v>25</v>
      </c>
    </row>
    <row r="412" spans="1:29">
      <c r="A412" t="s">
        <v>382</v>
      </c>
      <c r="B412" t="s">
        <v>382</v>
      </c>
      <c r="C412" t="s">
        <v>486</v>
      </c>
      <c r="D412" t="s">
        <v>1088</v>
      </c>
      <c r="E412" t="s">
        <v>518</v>
      </c>
      <c r="F412" t="s">
        <v>519</v>
      </c>
      <c r="G412">
        <v>12100996</v>
      </c>
      <c r="H412">
        <v>202104</v>
      </c>
      <c r="I412" s="400">
        <v>44287</v>
      </c>
      <c r="J412" t="s">
        <v>520</v>
      </c>
      <c r="K412" t="s">
        <v>386</v>
      </c>
      <c r="M412" t="s">
        <v>387</v>
      </c>
      <c r="O412" t="s">
        <v>509</v>
      </c>
      <c r="P412" t="s">
        <v>510</v>
      </c>
      <c r="Q412" t="s">
        <v>490</v>
      </c>
      <c r="R412">
        <v>2069125</v>
      </c>
      <c r="S412" t="s">
        <v>521</v>
      </c>
      <c r="U412" t="s">
        <v>525</v>
      </c>
      <c r="V412" t="s">
        <v>398</v>
      </c>
      <c r="W412" s="393">
        <v>-33500</v>
      </c>
      <c r="X412" s="393">
        <v>-9.51</v>
      </c>
      <c r="Y412" s="393">
        <v>-80.430000000000007</v>
      </c>
      <c r="Z412" s="393">
        <v>-33500</v>
      </c>
      <c r="AA412">
        <v>0</v>
      </c>
      <c r="AB412" s="400">
        <v>44319.85771971065</v>
      </c>
      <c r="AC412" t="s">
        <v>25</v>
      </c>
    </row>
    <row r="413" spans="1:29">
      <c r="A413" t="s">
        <v>382</v>
      </c>
      <c r="B413" t="s">
        <v>382</v>
      </c>
      <c r="C413" t="s">
        <v>486</v>
      </c>
      <c r="D413" t="s">
        <v>1088</v>
      </c>
      <c r="E413" t="s">
        <v>518</v>
      </c>
      <c r="F413" t="s">
        <v>519</v>
      </c>
      <c r="G413">
        <v>12100996</v>
      </c>
      <c r="H413">
        <v>202104</v>
      </c>
      <c r="I413" s="400">
        <v>44287</v>
      </c>
      <c r="J413" t="s">
        <v>520</v>
      </c>
      <c r="K413" t="s">
        <v>386</v>
      </c>
      <c r="M413" t="s">
        <v>387</v>
      </c>
      <c r="O413" t="s">
        <v>512</v>
      </c>
      <c r="P413" t="s">
        <v>513</v>
      </c>
      <c r="Q413" t="s">
        <v>490</v>
      </c>
      <c r="R413">
        <v>2069125</v>
      </c>
      <c r="S413" t="s">
        <v>521</v>
      </c>
      <c r="U413" t="s">
        <v>525</v>
      </c>
      <c r="V413" t="s">
        <v>398</v>
      </c>
      <c r="W413" s="393">
        <v>-57500</v>
      </c>
      <c r="X413" s="393">
        <v>-16.329999999999998</v>
      </c>
      <c r="Y413" s="393">
        <v>-138.06</v>
      </c>
      <c r="Z413" s="393">
        <v>-57500</v>
      </c>
      <c r="AA413">
        <v>0</v>
      </c>
      <c r="AB413" s="400">
        <v>44319.85771971065</v>
      </c>
      <c r="AC413" t="s">
        <v>25</v>
      </c>
    </row>
    <row r="414" spans="1:29">
      <c r="A414" t="s">
        <v>382</v>
      </c>
      <c r="B414" t="s">
        <v>440</v>
      </c>
      <c r="C414" t="s">
        <v>486</v>
      </c>
      <c r="D414" t="s">
        <v>1088</v>
      </c>
      <c r="E414" t="s">
        <v>390</v>
      </c>
      <c r="F414" t="s">
        <v>391</v>
      </c>
      <c r="G414">
        <v>6100638</v>
      </c>
      <c r="H414">
        <v>202104</v>
      </c>
      <c r="I414" s="400">
        <v>44302</v>
      </c>
      <c r="J414">
        <v>122536</v>
      </c>
      <c r="K414" t="s">
        <v>386</v>
      </c>
      <c r="M414" t="s">
        <v>387</v>
      </c>
      <c r="O414" t="s">
        <v>1060</v>
      </c>
      <c r="P414" t="s">
        <v>1061</v>
      </c>
      <c r="Q414" t="s">
        <v>490</v>
      </c>
      <c r="R414">
        <v>2069125</v>
      </c>
      <c r="S414" t="s">
        <v>387</v>
      </c>
      <c r="U414" t="s">
        <v>1062</v>
      </c>
      <c r="V414" t="s">
        <v>398</v>
      </c>
      <c r="W414" s="393">
        <v>50000</v>
      </c>
      <c r="X414" s="393">
        <v>13.75</v>
      </c>
      <c r="Y414" s="393">
        <v>116.45</v>
      </c>
      <c r="Z414" s="393">
        <v>50000</v>
      </c>
      <c r="AA414">
        <v>0</v>
      </c>
      <c r="AB414" s="400">
        <v>44310.032955868053</v>
      </c>
      <c r="AC414" t="s">
        <v>25</v>
      </c>
    </row>
    <row r="415" spans="1:29">
      <c r="A415" t="s">
        <v>382</v>
      </c>
      <c r="B415" t="s">
        <v>440</v>
      </c>
      <c r="C415" t="s">
        <v>486</v>
      </c>
      <c r="D415" t="s">
        <v>1088</v>
      </c>
      <c r="E415" t="s">
        <v>390</v>
      </c>
      <c r="F415" t="s">
        <v>391</v>
      </c>
      <c r="G415">
        <v>6101643</v>
      </c>
      <c r="H415">
        <v>202108</v>
      </c>
      <c r="I415" s="400">
        <v>44438</v>
      </c>
      <c r="J415">
        <v>124932</v>
      </c>
      <c r="K415" t="s">
        <v>386</v>
      </c>
      <c r="M415" t="s">
        <v>387</v>
      </c>
      <c r="O415" t="s">
        <v>1089</v>
      </c>
      <c r="P415" t="s">
        <v>1090</v>
      </c>
      <c r="Q415" t="s">
        <v>396</v>
      </c>
      <c r="R415">
        <v>2069123</v>
      </c>
      <c r="S415" t="s">
        <v>387</v>
      </c>
      <c r="U415" t="s">
        <v>1091</v>
      </c>
      <c r="V415" t="s">
        <v>398</v>
      </c>
      <c r="W415" s="393">
        <v>33000</v>
      </c>
      <c r="X415" s="393">
        <v>8.5399999999999991</v>
      </c>
      <c r="Y415" s="393">
        <v>74.349999999999994</v>
      </c>
      <c r="Z415" s="393">
        <v>33000</v>
      </c>
      <c r="AA415">
        <v>0</v>
      </c>
      <c r="AB415" s="400">
        <v>44441.821755358797</v>
      </c>
      <c r="AC415" t="s">
        <v>22</v>
      </c>
    </row>
    <row r="416" spans="1:29">
      <c r="A416" t="s">
        <v>382</v>
      </c>
      <c r="B416" t="s">
        <v>440</v>
      </c>
      <c r="C416" t="s">
        <v>486</v>
      </c>
      <c r="D416" t="s">
        <v>1088</v>
      </c>
      <c r="E416" t="s">
        <v>390</v>
      </c>
      <c r="F416" t="s">
        <v>391</v>
      </c>
      <c r="G416">
        <v>6101526</v>
      </c>
      <c r="H416">
        <v>202108</v>
      </c>
      <c r="I416" s="400">
        <v>44421</v>
      </c>
      <c r="J416">
        <v>124932</v>
      </c>
      <c r="K416" t="s">
        <v>386</v>
      </c>
      <c r="M416" t="s">
        <v>387</v>
      </c>
      <c r="O416" t="s">
        <v>1030</v>
      </c>
      <c r="P416" t="s">
        <v>1031</v>
      </c>
      <c r="Q416" t="s">
        <v>396</v>
      </c>
      <c r="R416">
        <v>2069123</v>
      </c>
      <c r="S416" t="s">
        <v>387</v>
      </c>
      <c r="U416" t="s">
        <v>1092</v>
      </c>
      <c r="V416" t="s">
        <v>398</v>
      </c>
      <c r="W416" s="393">
        <v>320000</v>
      </c>
      <c r="X416" s="393">
        <v>81.81</v>
      </c>
      <c r="Y416" s="393">
        <v>706.76</v>
      </c>
      <c r="Z416" s="393">
        <v>320000</v>
      </c>
      <c r="AA416">
        <v>0</v>
      </c>
      <c r="AB416" s="400">
        <v>44427.834416006946</v>
      </c>
      <c r="AC416" t="s">
        <v>22</v>
      </c>
    </row>
    <row r="417" spans="1:29">
      <c r="A417" t="s">
        <v>382</v>
      </c>
      <c r="B417" t="s">
        <v>440</v>
      </c>
      <c r="C417" t="s">
        <v>486</v>
      </c>
      <c r="D417" t="s">
        <v>1088</v>
      </c>
      <c r="E417" t="s">
        <v>390</v>
      </c>
      <c r="F417" t="s">
        <v>391</v>
      </c>
      <c r="G417">
        <v>6101937</v>
      </c>
      <c r="H417">
        <v>202109</v>
      </c>
      <c r="I417" s="400">
        <v>44456</v>
      </c>
      <c r="J417">
        <v>122536</v>
      </c>
      <c r="K417" t="s">
        <v>386</v>
      </c>
      <c r="M417" t="s">
        <v>387</v>
      </c>
      <c r="O417" t="s">
        <v>557</v>
      </c>
      <c r="P417" t="s">
        <v>558</v>
      </c>
      <c r="Q417" t="s">
        <v>396</v>
      </c>
      <c r="R417">
        <v>2069127</v>
      </c>
      <c r="S417" t="s">
        <v>387</v>
      </c>
      <c r="U417" t="s">
        <v>1093</v>
      </c>
      <c r="V417" t="s">
        <v>398</v>
      </c>
      <c r="W417" s="393">
        <v>8400000</v>
      </c>
      <c r="X417" s="393">
        <v>2201.14</v>
      </c>
      <c r="Y417" s="393">
        <v>19176.02</v>
      </c>
      <c r="Z417" s="393">
        <v>8400000</v>
      </c>
      <c r="AA417">
        <v>318</v>
      </c>
      <c r="AB417" s="400">
        <v>44458.969458946762</v>
      </c>
      <c r="AC417" t="s">
        <v>36</v>
      </c>
    </row>
    <row r="418" spans="1:29">
      <c r="A418" t="s">
        <v>382</v>
      </c>
      <c r="B418" t="s">
        <v>440</v>
      </c>
      <c r="C418" t="s">
        <v>486</v>
      </c>
      <c r="D418" t="s">
        <v>1088</v>
      </c>
      <c r="E418" t="s">
        <v>390</v>
      </c>
      <c r="F418" t="s">
        <v>391</v>
      </c>
      <c r="G418">
        <v>6102019</v>
      </c>
      <c r="H418">
        <v>202109</v>
      </c>
      <c r="I418" s="400">
        <v>44460</v>
      </c>
      <c r="J418">
        <v>122536</v>
      </c>
      <c r="K418" t="s">
        <v>386</v>
      </c>
      <c r="M418" t="s">
        <v>387</v>
      </c>
      <c r="O418" t="s">
        <v>1030</v>
      </c>
      <c r="P418" t="s">
        <v>1031</v>
      </c>
      <c r="Q418" t="s">
        <v>396</v>
      </c>
      <c r="R418">
        <v>2265776</v>
      </c>
      <c r="S418" t="s">
        <v>387</v>
      </c>
      <c r="U418" t="s">
        <v>1094</v>
      </c>
      <c r="V418" t="s">
        <v>398</v>
      </c>
      <c r="W418" s="393">
        <v>-640000</v>
      </c>
      <c r="X418" s="393">
        <v>-167.3</v>
      </c>
      <c r="Y418" s="393">
        <v>-1454.66</v>
      </c>
      <c r="Z418" s="393">
        <v>-640000</v>
      </c>
      <c r="AA418">
        <v>0</v>
      </c>
      <c r="AB418" s="400">
        <v>44461.010643981484</v>
      </c>
      <c r="AC418" t="s">
        <v>326</v>
      </c>
    </row>
    <row r="419" spans="1:29">
      <c r="A419" t="s">
        <v>382</v>
      </c>
      <c r="B419" t="s">
        <v>440</v>
      </c>
      <c r="C419" t="s">
        <v>486</v>
      </c>
      <c r="D419" t="s">
        <v>1088</v>
      </c>
      <c r="E419" t="s">
        <v>390</v>
      </c>
      <c r="F419" t="s">
        <v>391</v>
      </c>
      <c r="G419">
        <v>6101939</v>
      </c>
      <c r="H419">
        <v>202109</v>
      </c>
      <c r="I419" s="400">
        <v>44456</v>
      </c>
      <c r="J419">
        <v>122536</v>
      </c>
      <c r="K419" t="s">
        <v>386</v>
      </c>
      <c r="M419" t="s">
        <v>387</v>
      </c>
      <c r="O419" t="s">
        <v>849</v>
      </c>
      <c r="P419" t="s">
        <v>850</v>
      </c>
      <c r="Q419" t="s">
        <v>396</v>
      </c>
      <c r="R419">
        <v>2069126</v>
      </c>
      <c r="S419" t="s">
        <v>387</v>
      </c>
      <c r="U419" t="s">
        <v>1095</v>
      </c>
      <c r="V419" t="s">
        <v>398</v>
      </c>
      <c r="W419" s="393">
        <v>195000</v>
      </c>
      <c r="X419" s="393">
        <v>51.1</v>
      </c>
      <c r="Y419" s="393">
        <v>445.16</v>
      </c>
      <c r="Z419" s="393">
        <v>195000</v>
      </c>
      <c r="AA419">
        <v>318</v>
      </c>
      <c r="AB419" s="400">
        <v>44458.993526620368</v>
      </c>
      <c r="AC419" t="s">
        <v>36</v>
      </c>
    </row>
    <row r="420" spans="1:29">
      <c r="A420" t="s">
        <v>382</v>
      </c>
      <c r="B420" t="s">
        <v>440</v>
      </c>
      <c r="C420" t="s">
        <v>486</v>
      </c>
      <c r="D420" t="s">
        <v>1088</v>
      </c>
      <c r="E420" t="s">
        <v>390</v>
      </c>
      <c r="F420" t="s">
        <v>391</v>
      </c>
      <c r="G420">
        <v>6101937</v>
      </c>
      <c r="H420">
        <v>202109</v>
      </c>
      <c r="I420" s="400">
        <v>44456</v>
      </c>
      <c r="J420">
        <v>122536</v>
      </c>
      <c r="K420" t="s">
        <v>386</v>
      </c>
      <c r="M420" t="s">
        <v>387</v>
      </c>
      <c r="O420" t="s">
        <v>1030</v>
      </c>
      <c r="P420" t="s">
        <v>1031</v>
      </c>
      <c r="Q420" t="s">
        <v>396</v>
      </c>
      <c r="R420">
        <v>2069126</v>
      </c>
      <c r="S420" t="s">
        <v>387</v>
      </c>
      <c r="U420" t="s">
        <v>1096</v>
      </c>
      <c r="V420" t="s">
        <v>398</v>
      </c>
      <c r="W420" s="393">
        <v>760000</v>
      </c>
      <c r="X420" s="393">
        <v>199.15</v>
      </c>
      <c r="Y420" s="393">
        <v>1734.97</v>
      </c>
      <c r="Z420" s="393">
        <v>760000</v>
      </c>
      <c r="AA420">
        <v>0</v>
      </c>
      <c r="AB420" s="400">
        <v>44458.969458946762</v>
      </c>
      <c r="AC420" t="s">
        <v>36</v>
      </c>
    </row>
    <row r="421" spans="1:29">
      <c r="A421" t="s">
        <v>382</v>
      </c>
      <c r="B421" t="s">
        <v>440</v>
      </c>
      <c r="C421" t="s">
        <v>486</v>
      </c>
      <c r="D421" t="s">
        <v>1088</v>
      </c>
      <c r="E421" t="s">
        <v>390</v>
      </c>
      <c r="F421" t="s">
        <v>391</v>
      </c>
      <c r="G421">
        <v>6101937</v>
      </c>
      <c r="H421">
        <v>202109</v>
      </c>
      <c r="I421" s="400">
        <v>44456</v>
      </c>
      <c r="J421">
        <v>122536</v>
      </c>
      <c r="K421" t="s">
        <v>386</v>
      </c>
      <c r="M421" t="s">
        <v>387</v>
      </c>
      <c r="O421" t="s">
        <v>702</v>
      </c>
      <c r="P421" t="s">
        <v>703</v>
      </c>
      <c r="Q421" t="s">
        <v>396</v>
      </c>
      <c r="R421">
        <v>2069126</v>
      </c>
      <c r="S421" t="s">
        <v>387</v>
      </c>
      <c r="U421" t="s">
        <v>1097</v>
      </c>
      <c r="V421" t="s">
        <v>398</v>
      </c>
      <c r="W421" s="393">
        <v>2000000</v>
      </c>
      <c r="X421" s="393">
        <v>524.08000000000004</v>
      </c>
      <c r="Y421" s="393">
        <v>4565.72</v>
      </c>
      <c r="Z421" s="393">
        <v>2000000</v>
      </c>
      <c r="AA421">
        <v>306</v>
      </c>
      <c r="AB421" s="400">
        <v>44458.969459293985</v>
      </c>
      <c r="AC421" t="s">
        <v>36</v>
      </c>
    </row>
    <row r="422" spans="1:29">
      <c r="A422" t="s">
        <v>382</v>
      </c>
      <c r="B422" t="s">
        <v>440</v>
      </c>
      <c r="C422" t="s">
        <v>486</v>
      </c>
      <c r="D422" t="s">
        <v>1088</v>
      </c>
      <c r="E422" t="s">
        <v>390</v>
      </c>
      <c r="F422" t="s">
        <v>391</v>
      </c>
      <c r="G422">
        <v>6101937</v>
      </c>
      <c r="H422">
        <v>202109</v>
      </c>
      <c r="I422" s="400">
        <v>44456</v>
      </c>
      <c r="J422">
        <v>122536</v>
      </c>
      <c r="K422" t="s">
        <v>386</v>
      </c>
      <c r="M422" t="s">
        <v>387</v>
      </c>
      <c r="O422" t="s">
        <v>1030</v>
      </c>
      <c r="P422" t="s">
        <v>1031</v>
      </c>
      <c r="Q422" t="s">
        <v>396</v>
      </c>
      <c r="R422">
        <v>2265776</v>
      </c>
      <c r="S422" t="s">
        <v>387</v>
      </c>
      <c r="U422" t="s">
        <v>1098</v>
      </c>
      <c r="V422" t="s">
        <v>398</v>
      </c>
      <c r="W422" s="393">
        <v>640000</v>
      </c>
      <c r="X422" s="393">
        <v>167.71</v>
      </c>
      <c r="Y422" s="393">
        <v>1461.03</v>
      </c>
      <c r="Z422" s="393">
        <v>640000</v>
      </c>
      <c r="AA422">
        <v>0</v>
      </c>
      <c r="AB422" s="400">
        <v>44458.969459293985</v>
      </c>
      <c r="AC422" t="s">
        <v>326</v>
      </c>
    </row>
    <row r="423" spans="1:29">
      <c r="A423" t="s">
        <v>382</v>
      </c>
      <c r="B423" t="s">
        <v>382</v>
      </c>
      <c r="C423" t="s">
        <v>1099</v>
      </c>
      <c r="D423" t="s">
        <v>1100</v>
      </c>
      <c r="E423" t="s">
        <v>1101</v>
      </c>
      <c r="F423" t="s">
        <v>1102</v>
      </c>
      <c r="G423">
        <v>13100148</v>
      </c>
      <c r="H423">
        <v>202105</v>
      </c>
      <c r="I423" s="400">
        <v>44334</v>
      </c>
      <c r="J423" t="s">
        <v>1103</v>
      </c>
      <c r="K423" t="s">
        <v>386</v>
      </c>
      <c r="M423" t="s">
        <v>387</v>
      </c>
      <c r="O423" t="s">
        <v>1104</v>
      </c>
      <c r="P423" t="s">
        <v>1105</v>
      </c>
      <c r="Q423" t="s">
        <v>396</v>
      </c>
      <c r="R423">
        <v>2069120</v>
      </c>
      <c r="S423" t="s">
        <v>1106</v>
      </c>
      <c r="U423" t="s">
        <v>1107</v>
      </c>
      <c r="V423" t="s">
        <v>398</v>
      </c>
      <c r="W423" s="393">
        <v>36000</v>
      </c>
      <c r="X423" s="393">
        <v>9.9</v>
      </c>
      <c r="Y423" s="393">
        <v>83.83</v>
      </c>
      <c r="Z423" s="393">
        <v>36000</v>
      </c>
      <c r="AA423">
        <v>0</v>
      </c>
      <c r="AB423" s="400">
        <v>44335.799443750002</v>
      </c>
      <c r="AC423" t="s">
        <v>326</v>
      </c>
    </row>
    <row r="424" spans="1:29">
      <c r="A424" t="s">
        <v>382</v>
      </c>
      <c r="B424" t="s">
        <v>382</v>
      </c>
      <c r="C424" t="s">
        <v>1099</v>
      </c>
      <c r="D424" t="s">
        <v>1100</v>
      </c>
      <c r="E424" t="s">
        <v>1101</v>
      </c>
      <c r="F424" t="s">
        <v>1102</v>
      </c>
      <c r="G424">
        <v>13100148</v>
      </c>
      <c r="H424">
        <v>202105</v>
      </c>
      <c r="I424" s="400">
        <v>44334</v>
      </c>
      <c r="J424" t="s">
        <v>1103</v>
      </c>
      <c r="K424" t="s">
        <v>386</v>
      </c>
      <c r="M424" t="s">
        <v>387</v>
      </c>
      <c r="O424" t="s">
        <v>1108</v>
      </c>
      <c r="P424" t="s">
        <v>1109</v>
      </c>
      <c r="Q424" t="s">
        <v>396</v>
      </c>
      <c r="R424">
        <v>2069120</v>
      </c>
      <c r="S424" t="s">
        <v>1110</v>
      </c>
      <c r="U424" t="s">
        <v>1111</v>
      </c>
      <c r="V424" t="s">
        <v>398</v>
      </c>
      <c r="W424" s="393">
        <v>31500</v>
      </c>
      <c r="X424" s="393">
        <v>8.66</v>
      </c>
      <c r="Y424" s="393">
        <v>73.349999999999994</v>
      </c>
      <c r="Z424" s="393">
        <v>31500</v>
      </c>
      <c r="AA424">
        <v>0</v>
      </c>
      <c r="AB424" s="400">
        <v>44335.799443750002</v>
      </c>
      <c r="AC424" t="s">
        <v>326</v>
      </c>
    </row>
    <row r="425" spans="1:29">
      <c r="A425" t="s">
        <v>382</v>
      </c>
      <c r="B425" t="s">
        <v>382</v>
      </c>
      <c r="C425" t="s">
        <v>1099</v>
      </c>
      <c r="D425" t="s">
        <v>1100</v>
      </c>
      <c r="E425" t="s">
        <v>1101</v>
      </c>
      <c r="F425" t="s">
        <v>1102</v>
      </c>
      <c r="G425">
        <v>13100148</v>
      </c>
      <c r="H425">
        <v>202105</v>
      </c>
      <c r="I425" s="400">
        <v>44334</v>
      </c>
      <c r="J425" t="s">
        <v>1103</v>
      </c>
      <c r="K425" t="s">
        <v>386</v>
      </c>
      <c r="M425" t="s">
        <v>387</v>
      </c>
      <c r="O425" t="s">
        <v>1112</v>
      </c>
      <c r="P425" t="s">
        <v>1113</v>
      </c>
      <c r="Q425" t="s">
        <v>396</v>
      </c>
      <c r="R425">
        <v>2069120</v>
      </c>
      <c r="S425" t="s">
        <v>1114</v>
      </c>
      <c r="U425" t="s">
        <v>1115</v>
      </c>
      <c r="V425" t="s">
        <v>398</v>
      </c>
      <c r="W425" s="393">
        <v>23400</v>
      </c>
      <c r="X425" s="393">
        <v>6.44</v>
      </c>
      <c r="Y425" s="393">
        <v>54.49</v>
      </c>
      <c r="Z425" s="393">
        <v>23400</v>
      </c>
      <c r="AA425">
        <v>0</v>
      </c>
      <c r="AB425" s="400">
        <v>44335.799443750002</v>
      </c>
      <c r="AC425" t="s">
        <v>326</v>
      </c>
    </row>
    <row r="426" spans="1:29">
      <c r="A426" t="s">
        <v>382</v>
      </c>
      <c r="B426" t="s">
        <v>382</v>
      </c>
      <c r="C426" t="s">
        <v>1099</v>
      </c>
      <c r="D426" t="s">
        <v>1100</v>
      </c>
      <c r="E426" t="s">
        <v>1101</v>
      </c>
      <c r="F426" t="s">
        <v>1102</v>
      </c>
      <c r="G426">
        <v>13100148</v>
      </c>
      <c r="H426">
        <v>202105</v>
      </c>
      <c r="I426" s="400">
        <v>44334</v>
      </c>
      <c r="J426" t="s">
        <v>1103</v>
      </c>
      <c r="K426" t="s">
        <v>386</v>
      </c>
      <c r="M426" t="s">
        <v>387</v>
      </c>
      <c r="O426" t="s">
        <v>642</v>
      </c>
      <c r="P426" t="s">
        <v>643</v>
      </c>
      <c r="Q426" t="s">
        <v>396</v>
      </c>
      <c r="R426">
        <v>2069120</v>
      </c>
      <c r="S426" t="s">
        <v>1116</v>
      </c>
      <c r="U426" t="s">
        <v>1117</v>
      </c>
      <c r="V426" t="s">
        <v>398</v>
      </c>
      <c r="W426" s="393">
        <v>36000</v>
      </c>
      <c r="X426" s="393">
        <v>9.9</v>
      </c>
      <c r="Y426" s="393">
        <v>83.83</v>
      </c>
      <c r="Z426" s="393">
        <v>36000</v>
      </c>
      <c r="AA426">
        <v>0</v>
      </c>
      <c r="AB426" s="400">
        <v>44335.799443946758</v>
      </c>
      <c r="AC426" t="s">
        <v>326</v>
      </c>
    </row>
    <row r="427" spans="1:29">
      <c r="A427" t="s">
        <v>382</v>
      </c>
      <c r="B427" t="s">
        <v>382</v>
      </c>
      <c r="C427" t="s">
        <v>1099</v>
      </c>
      <c r="D427" t="s">
        <v>1100</v>
      </c>
      <c r="E427" t="s">
        <v>1101</v>
      </c>
      <c r="F427" t="s">
        <v>1102</v>
      </c>
      <c r="G427">
        <v>13100148</v>
      </c>
      <c r="H427">
        <v>202105</v>
      </c>
      <c r="I427" s="400">
        <v>44334</v>
      </c>
      <c r="J427" t="s">
        <v>1103</v>
      </c>
      <c r="K427" t="s">
        <v>386</v>
      </c>
      <c r="M427" t="s">
        <v>387</v>
      </c>
      <c r="O427" t="s">
        <v>642</v>
      </c>
      <c r="P427" t="s">
        <v>643</v>
      </c>
      <c r="Q427" t="s">
        <v>396</v>
      </c>
      <c r="R427">
        <v>2069120</v>
      </c>
      <c r="S427" t="s">
        <v>1116</v>
      </c>
      <c r="U427" t="s">
        <v>1118</v>
      </c>
      <c r="V427" t="s">
        <v>398</v>
      </c>
      <c r="W427" s="393">
        <v>27400</v>
      </c>
      <c r="X427" s="393">
        <v>7.54</v>
      </c>
      <c r="Y427" s="393">
        <v>63.81</v>
      </c>
      <c r="Z427" s="393">
        <v>27400</v>
      </c>
      <c r="AA427">
        <v>0</v>
      </c>
      <c r="AB427" s="400">
        <v>44335.799443946758</v>
      </c>
      <c r="AC427" t="s">
        <v>326</v>
      </c>
    </row>
    <row r="428" spans="1:29">
      <c r="A428" t="s">
        <v>382</v>
      </c>
      <c r="B428" t="s">
        <v>382</v>
      </c>
      <c r="C428" t="s">
        <v>1099</v>
      </c>
      <c r="D428" t="s">
        <v>1100</v>
      </c>
      <c r="E428" t="s">
        <v>1101</v>
      </c>
      <c r="F428" t="s">
        <v>1102</v>
      </c>
      <c r="G428">
        <v>13100148</v>
      </c>
      <c r="H428">
        <v>202105</v>
      </c>
      <c r="I428" s="400">
        <v>44334</v>
      </c>
      <c r="J428" t="s">
        <v>1103</v>
      </c>
      <c r="K428" t="s">
        <v>386</v>
      </c>
      <c r="M428" t="s">
        <v>387</v>
      </c>
      <c r="O428" t="s">
        <v>1119</v>
      </c>
      <c r="P428" t="s">
        <v>1120</v>
      </c>
      <c r="Q428" t="s">
        <v>396</v>
      </c>
      <c r="R428">
        <v>2069120</v>
      </c>
      <c r="S428" t="s">
        <v>1121</v>
      </c>
      <c r="U428" t="s">
        <v>1122</v>
      </c>
      <c r="V428" t="s">
        <v>398</v>
      </c>
      <c r="W428" s="393">
        <v>36000</v>
      </c>
      <c r="X428" s="393">
        <v>9.9</v>
      </c>
      <c r="Y428" s="393">
        <v>83.83</v>
      </c>
      <c r="Z428" s="393">
        <v>36000</v>
      </c>
      <c r="AA428">
        <v>0</v>
      </c>
      <c r="AB428" s="400">
        <v>44335.799443946758</v>
      </c>
      <c r="AC428" t="s">
        <v>326</v>
      </c>
    </row>
    <row r="429" spans="1:29">
      <c r="A429" t="s">
        <v>382</v>
      </c>
      <c r="B429" t="s">
        <v>382</v>
      </c>
      <c r="C429" t="s">
        <v>1099</v>
      </c>
      <c r="D429" t="s">
        <v>1100</v>
      </c>
      <c r="E429" t="s">
        <v>1101</v>
      </c>
      <c r="F429" t="s">
        <v>1102</v>
      </c>
      <c r="G429">
        <v>13100148</v>
      </c>
      <c r="H429">
        <v>202105</v>
      </c>
      <c r="I429" s="400">
        <v>44334</v>
      </c>
      <c r="J429" t="s">
        <v>1103</v>
      </c>
      <c r="K429" t="s">
        <v>386</v>
      </c>
      <c r="M429" t="s">
        <v>387</v>
      </c>
      <c r="O429" t="s">
        <v>587</v>
      </c>
      <c r="P429" t="s">
        <v>588</v>
      </c>
      <c r="Q429" t="s">
        <v>396</v>
      </c>
      <c r="R429">
        <v>2069120</v>
      </c>
      <c r="S429" t="s">
        <v>1123</v>
      </c>
      <c r="U429" t="s">
        <v>1124</v>
      </c>
      <c r="V429" t="s">
        <v>398</v>
      </c>
      <c r="W429" s="393">
        <v>196000</v>
      </c>
      <c r="X429" s="393">
        <v>53.9</v>
      </c>
      <c r="Y429" s="393">
        <v>456.43</v>
      </c>
      <c r="Z429" s="393">
        <v>196000</v>
      </c>
      <c r="AA429">
        <v>0</v>
      </c>
      <c r="AB429" s="400">
        <v>44335.799443946758</v>
      </c>
      <c r="AC429" t="s">
        <v>326</v>
      </c>
    </row>
    <row r="430" spans="1:29">
      <c r="A430" t="s">
        <v>382</v>
      </c>
      <c r="B430" t="s">
        <v>382</v>
      </c>
      <c r="C430" t="s">
        <v>1099</v>
      </c>
      <c r="D430" t="s">
        <v>1100</v>
      </c>
      <c r="E430" t="s">
        <v>1101</v>
      </c>
      <c r="F430" t="s">
        <v>1102</v>
      </c>
      <c r="G430">
        <v>13100148</v>
      </c>
      <c r="H430">
        <v>202105</v>
      </c>
      <c r="I430" s="400">
        <v>44334</v>
      </c>
      <c r="J430" t="s">
        <v>1103</v>
      </c>
      <c r="K430" t="s">
        <v>386</v>
      </c>
      <c r="M430" t="s">
        <v>387</v>
      </c>
      <c r="O430" t="s">
        <v>1125</v>
      </c>
      <c r="P430" t="s">
        <v>1126</v>
      </c>
      <c r="Q430" t="s">
        <v>396</v>
      </c>
      <c r="R430">
        <v>2069120</v>
      </c>
      <c r="S430" t="s">
        <v>1127</v>
      </c>
      <c r="U430" t="s">
        <v>1128</v>
      </c>
      <c r="V430" t="s">
        <v>398</v>
      </c>
      <c r="W430" s="393">
        <v>5000</v>
      </c>
      <c r="X430" s="393">
        <v>1.38</v>
      </c>
      <c r="Y430" s="393">
        <v>11.64</v>
      </c>
      <c r="Z430" s="393">
        <v>5000</v>
      </c>
      <c r="AA430">
        <v>0</v>
      </c>
      <c r="AB430" s="400">
        <v>44335.799443946758</v>
      </c>
      <c r="AC430" t="s">
        <v>326</v>
      </c>
    </row>
    <row r="431" spans="1:29">
      <c r="A431" t="s">
        <v>382</v>
      </c>
      <c r="B431" t="s">
        <v>382</v>
      </c>
      <c r="C431" t="s">
        <v>1099</v>
      </c>
      <c r="D431" t="s">
        <v>1100</v>
      </c>
      <c r="E431" t="s">
        <v>1101</v>
      </c>
      <c r="F431" t="s">
        <v>1102</v>
      </c>
      <c r="G431">
        <v>13100148</v>
      </c>
      <c r="H431">
        <v>202105</v>
      </c>
      <c r="I431" s="400">
        <v>44334</v>
      </c>
      <c r="J431" t="s">
        <v>1103</v>
      </c>
      <c r="K431" t="s">
        <v>386</v>
      </c>
      <c r="M431" t="s">
        <v>387</v>
      </c>
      <c r="O431" t="s">
        <v>642</v>
      </c>
      <c r="P431" t="s">
        <v>643</v>
      </c>
      <c r="Q431" t="s">
        <v>396</v>
      </c>
      <c r="R431">
        <v>2069120</v>
      </c>
      <c r="S431" t="s">
        <v>1116</v>
      </c>
      <c r="U431" t="s">
        <v>1129</v>
      </c>
      <c r="V431" t="s">
        <v>398</v>
      </c>
      <c r="W431" s="393">
        <v>28900</v>
      </c>
      <c r="X431" s="393">
        <v>7.95</v>
      </c>
      <c r="Y431" s="393">
        <v>67.3</v>
      </c>
      <c r="Z431" s="393">
        <v>28900</v>
      </c>
      <c r="AA431">
        <v>0</v>
      </c>
      <c r="AB431" s="400">
        <v>44335.799443946758</v>
      </c>
      <c r="AC431" t="s">
        <v>326</v>
      </c>
    </row>
    <row r="432" spans="1:29">
      <c r="A432" t="s">
        <v>382</v>
      </c>
      <c r="B432" t="s">
        <v>382</v>
      </c>
      <c r="C432" t="s">
        <v>1099</v>
      </c>
      <c r="D432" t="s">
        <v>1100</v>
      </c>
      <c r="E432" t="s">
        <v>1101</v>
      </c>
      <c r="F432" t="s">
        <v>1102</v>
      </c>
      <c r="G432">
        <v>13100148</v>
      </c>
      <c r="H432">
        <v>202105</v>
      </c>
      <c r="I432" s="400">
        <v>44334</v>
      </c>
      <c r="J432" t="s">
        <v>1103</v>
      </c>
      <c r="K432" t="s">
        <v>386</v>
      </c>
      <c r="M432" t="s">
        <v>387</v>
      </c>
      <c r="O432" t="s">
        <v>642</v>
      </c>
      <c r="P432" t="s">
        <v>643</v>
      </c>
      <c r="Q432" t="s">
        <v>396</v>
      </c>
      <c r="R432">
        <v>2069120</v>
      </c>
      <c r="S432" t="s">
        <v>1116</v>
      </c>
      <c r="U432" t="s">
        <v>1130</v>
      </c>
      <c r="V432" t="s">
        <v>398</v>
      </c>
      <c r="W432" s="393">
        <v>34900</v>
      </c>
      <c r="X432" s="393">
        <v>9.6</v>
      </c>
      <c r="Y432" s="393">
        <v>81.27</v>
      </c>
      <c r="Z432" s="393">
        <v>34900</v>
      </c>
      <c r="AA432">
        <v>0</v>
      </c>
      <c r="AB432" s="400">
        <v>44335.799443946758</v>
      </c>
      <c r="AC432" t="s">
        <v>326</v>
      </c>
    </row>
    <row r="433" spans="1:29">
      <c r="A433" t="s">
        <v>382</v>
      </c>
      <c r="B433" t="s">
        <v>382</v>
      </c>
      <c r="C433" t="s">
        <v>1099</v>
      </c>
      <c r="D433" t="s">
        <v>1100</v>
      </c>
      <c r="E433" t="s">
        <v>1131</v>
      </c>
      <c r="F433" t="s">
        <v>1132</v>
      </c>
      <c r="G433">
        <v>13100231</v>
      </c>
      <c r="H433">
        <v>202106</v>
      </c>
      <c r="I433" s="400">
        <v>44377</v>
      </c>
      <c r="J433" t="s">
        <v>1103</v>
      </c>
      <c r="K433" t="s">
        <v>386</v>
      </c>
      <c r="M433" t="s">
        <v>387</v>
      </c>
      <c r="O433" t="s">
        <v>1104</v>
      </c>
      <c r="P433" t="s">
        <v>1105</v>
      </c>
      <c r="Q433" t="s">
        <v>396</v>
      </c>
      <c r="R433">
        <v>2069120</v>
      </c>
      <c r="S433" t="s">
        <v>1106</v>
      </c>
      <c r="U433" t="s">
        <v>1133</v>
      </c>
      <c r="V433" t="s">
        <v>398</v>
      </c>
      <c r="W433" s="393">
        <v>-36000</v>
      </c>
      <c r="X433" s="393">
        <v>-9.9</v>
      </c>
      <c r="Y433" s="393">
        <v>-83.83</v>
      </c>
      <c r="Z433" s="393">
        <v>-36000</v>
      </c>
      <c r="AA433">
        <v>0</v>
      </c>
      <c r="AB433" s="400">
        <v>44384.935162499998</v>
      </c>
      <c r="AC433" t="s">
        <v>326</v>
      </c>
    </row>
    <row r="434" spans="1:29">
      <c r="A434" t="s">
        <v>382</v>
      </c>
      <c r="B434" t="s">
        <v>382</v>
      </c>
      <c r="C434" t="s">
        <v>1099</v>
      </c>
      <c r="D434" t="s">
        <v>1100</v>
      </c>
      <c r="E434" t="s">
        <v>1131</v>
      </c>
      <c r="F434" t="s">
        <v>1132</v>
      </c>
      <c r="G434">
        <v>13100231</v>
      </c>
      <c r="H434">
        <v>202106</v>
      </c>
      <c r="I434" s="400">
        <v>44377</v>
      </c>
      <c r="J434" t="s">
        <v>1103</v>
      </c>
      <c r="K434" t="s">
        <v>386</v>
      </c>
      <c r="M434" t="s">
        <v>387</v>
      </c>
      <c r="O434" t="s">
        <v>1108</v>
      </c>
      <c r="P434" t="s">
        <v>1109</v>
      </c>
      <c r="Q434" t="s">
        <v>396</v>
      </c>
      <c r="R434">
        <v>2069120</v>
      </c>
      <c r="S434" t="s">
        <v>1110</v>
      </c>
      <c r="U434" t="s">
        <v>1134</v>
      </c>
      <c r="V434" t="s">
        <v>398</v>
      </c>
      <c r="W434" s="393">
        <v>-31500</v>
      </c>
      <c r="X434" s="393">
        <v>-8.66</v>
      </c>
      <c r="Y434" s="393">
        <v>-73.349999999999994</v>
      </c>
      <c r="Z434" s="393">
        <v>-31500</v>
      </c>
      <c r="AA434">
        <v>0</v>
      </c>
      <c r="AB434" s="400">
        <v>44384.935162499998</v>
      </c>
      <c r="AC434" t="s">
        <v>326</v>
      </c>
    </row>
    <row r="435" spans="1:29">
      <c r="A435" t="s">
        <v>382</v>
      </c>
      <c r="B435" t="s">
        <v>382</v>
      </c>
      <c r="C435" t="s">
        <v>1099</v>
      </c>
      <c r="D435" t="s">
        <v>1100</v>
      </c>
      <c r="E435" t="s">
        <v>1131</v>
      </c>
      <c r="F435" t="s">
        <v>1132</v>
      </c>
      <c r="G435">
        <v>13100231</v>
      </c>
      <c r="H435">
        <v>202106</v>
      </c>
      <c r="I435" s="400">
        <v>44377</v>
      </c>
      <c r="J435" t="s">
        <v>1103</v>
      </c>
      <c r="K435" t="s">
        <v>386</v>
      </c>
      <c r="M435" t="s">
        <v>387</v>
      </c>
      <c r="O435" t="s">
        <v>1112</v>
      </c>
      <c r="P435" t="s">
        <v>1113</v>
      </c>
      <c r="Q435" t="s">
        <v>396</v>
      </c>
      <c r="R435">
        <v>2069120</v>
      </c>
      <c r="S435" t="s">
        <v>1114</v>
      </c>
      <c r="U435" t="s">
        <v>1135</v>
      </c>
      <c r="V435" t="s">
        <v>398</v>
      </c>
      <c r="W435" s="393">
        <v>-23400</v>
      </c>
      <c r="X435" s="393">
        <v>-6.44</v>
      </c>
      <c r="Y435" s="393">
        <v>-54.49</v>
      </c>
      <c r="Z435" s="393">
        <v>-23400</v>
      </c>
      <c r="AA435">
        <v>0</v>
      </c>
      <c r="AB435" s="400">
        <v>44384.935162499998</v>
      </c>
      <c r="AC435" t="s">
        <v>326</v>
      </c>
    </row>
    <row r="436" spans="1:29">
      <c r="A436" t="s">
        <v>382</v>
      </c>
      <c r="B436" t="s">
        <v>382</v>
      </c>
      <c r="C436" t="s">
        <v>1099</v>
      </c>
      <c r="D436" t="s">
        <v>1100</v>
      </c>
      <c r="E436" t="s">
        <v>1131</v>
      </c>
      <c r="F436" t="s">
        <v>1132</v>
      </c>
      <c r="G436">
        <v>13100231</v>
      </c>
      <c r="H436">
        <v>202106</v>
      </c>
      <c r="I436" s="400">
        <v>44377</v>
      </c>
      <c r="J436" t="s">
        <v>1103</v>
      </c>
      <c r="K436" t="s">
        <v>386</v>
      </c>
      <c r="M436" t="s">
        <v>387</v>
      </c>
      <c r="O436" t="s">
        <v>642</v>
      </c>
      <c r="P436" t="s">
        <v>643</v>
      </c>
      <c r="Q436" t="s">
        <v>396</v>
      </c>
      <c r="R436">
        <v>2069120</v>
      </c>
      <c r="S436" t="s">
        <v>1116</v>
      </c>
      <c r="U436" t="s">
        <v>1136</v>
      </c>
      <c r="V436" t="s">
        <v>398</v>
      </c>
      <c r="W436" s="393">
        <v>-36000</v>
      </c>
      <c r="X436" s="393">
        <v>-9.9</v>
      </c>
      <c r="Y436" s="393">
        <v>-83.83</v>
      </c>
      <c r="Z436" s="393">
        <v>-36000</v>
      </c>
      <c r="AA436">
        <v>0</v>
      </c>
      <c r="AB436" s="400">
        <v>44384.935162499998</v>
      </c>
      <c r="AC436" t="s">
        <v>326</v>
      </c>
    </row>
    <row r="437" spans="1:29">
      <c r="A437" t="s">
        <v>382</v>
      </c>
      <c r="B437" t="s">
        <v>382</v>
      </c>
      <c r="C437" t="s">
        <v>1099</v>
      </c>
      <c r="D437" t="s">
        <v>1100</v>
      </c>
      <c r="E437" t="s">
        <v>1131</v>
      </c>
      <c r="F437" t="s">
        <v>1132</v>
      </c>
      <c r="G437">
        <v>13100231</v>
      </c>
      <c r="H437">
        <v>202106</v>
      </c>
      <c r="I437" s="400">
        <v>44377</v>
      </c>
      <c r="J437" t="s">
        <v>1103</v>
      </c>
      <c r="K437" t="s">
        <v>386</v>
      </c>
      <c r="M437" t="s">
        <v>387</v>
      </c>
      <c r="O437" t="s">
        <v>642</v>
      </c>
      <c r="P437" t="s">
        <v>643</v>
      </c>
      <c r="Q437" t="s">
        <v>396</v>
      </c>
      <c r="R437">
        <v>2069120</v>
      </c>
      <c r="S437" t="s">
        <v>1116</v>
      </c>
      <c r="U437" t="s">
        <v>1137</v>
      </c>
      <c r="V437" t="s">
        <v>398</v>
      </c>
      <c r="W437" s="393">
        <v>-27400</v>
      </c>
      <c r="X437" s="393">
        <v>-7.54</v>
      </c>
      <c r="Y437" s="393">
        <v>-63.81</v>
      </c>
      <c r="Z437" s="393">
        <v>-27400</v>
      </c>
      <c r="AA437">
        <v>0</v>
      </c>
      <c r="AB437" s="400">
        <v>44384.935162499998</v>
      </c>
      <c r="AC437" t="s">
        <v>326</v>
      </c>
    </row>
    <row r="438" spans="1:29">
      <c r="A438" t="s">
        <v>382</v>
      </c>
      <c r="B438" t="s">
        <v>382</v>
      </c>
      <c r="C438" t="s">
        <v>1099</v>
      </c>
      <c r="D438" t="s">
        <v>1100</v>
      </c>
      <c r="E438" t="s">
        <v>1131</v>
      </c>
      <c r="F438" t="s">
        <v>1132</v>
      </c>
      <c r="G438">
        <v>13100231</v>
      </c>
      <c r="H438">
        <v>202106</v>
      </c>
      <c r="I438" s="400">
        <v>44377</v>
      </c>
      <c r="J438" t="s">
        <v>1103</v>
      </c>
      <c r="K438" t="s">
        <v>386</v>
      </c>
      <c r="M438" t="s">
        <v>387</v>
      </c>
      <c r="O438" t="s">
        <v>1119</v>
      </c>
      <c r="P438" t="s">
        <v>1120</v>
      </c>
      <c r="Q438" t="s">
        <v>396</v>
      </c>
      <c r="R438">
        <v>2069120</v>
      </c>
      <c r="S438" t="s">
        <v>1121</v>
      </c>
      <c r="U438" t="s">
        <v>1138</v>
      </c>
      <c r="V438" t="s">
        <v>398</v>
      </c>
      <c r="W438" s="393">
        <v>-36000</v>
      </c>
      <c r="X438" s="393">
        <v>-9.9</v>
      </c>
      <c r="Y438" s="393">
        <v>-83.83</v>
      </c>
      <c r="Z438" s="393">
        <v>-36000</v>
      </c>
      <c r="AA438">
        <v>0</v>
      </c>
      <c r="AB438" s="400">
        <v>44384.935162499998</v>
      </c>
      <c r="AC438" t="s">
        <v>326</v>
      </c>
    </row>
    <row r="439" spans="1:29">
      <c r="A439" t="s">
        <v>382</v>
      </c>
      <c r="B439" t="s">
        <v>382</v>
      </c>
      <c r="C439" t="s">
        <v>1099</v>
      </c>
      <c r="D439" t="s">
        <v>1100</v>
      </c>
      <c r="E439" t="s">
        <v>1131</v>
      </c>
      <c r="F439" t="s">
        <v>1132</v>
      </c>
      <c r="G439">
        <v>13100231</v>
      </c>
      <c r="H439">
        <v>202106</v>
      </c>
      <c r="I439" s="400">
        <v>44377</v>
      </c>
      <c r="J439" t="s">
        <v>1103</v>
      </c>
      <c r="K439" t="s">
        <v>386</v>
      </c>
      <c r="M439" t="s">
        <v>387</v>
      </c>
      <c r="O439" t="s">
        <v>587</v>
      </c>
      <c r="P439" t="s">
        <v>588</v>
      </c>
      <c r="Q439" t="s">
        <v>396</v>
      </c>
      <c r="R439">
        <v>2069120</v>
      </c>
      <c r="S439" t="s">
        <v>1123</v>
      </c>
      <c r="U439" t="s">
        <v>1139</v>
      </c>
      <c r="V439" t="s">
        <v>398</v>
      </c>
      <c r="W439" s="393">
        <v>-196000</v>
      </c>
      <c r="X439" s="393">
        <v>-53.9</v>
      </c>
      <c r="Y439" s="393">
        <v>-456.43</v>
      </c>
      <c r="Z439" s="393">
        <v>-196000</v>
      </c>
      <c r="AA439">
        <v>0</v>
      </c>
      <c r="AB439" s="400">
        <v>44384.935162499998</v>
      </c>
      <c r="AC439" t="s">
        <v>326</v>
      </c>
    </row>
    <row r="440" spans="1:29">
      <c r="A440" t="s">
        <v>382</v>
      </c>
      <c r="B440" t="s">
        <v>382</v>
      </c>
      <c r="C440" t="s">
        <v>1099</v>
      </c>
      <c r="D440" t="s">
        <v>1100</v>
      </c>
      <c r="E440" t="s">
        <v>1131</v>
      </c>
      <c r="F440" t="s">
        <v>1132</v>
      </c>
      <c r="G440">
        <v>13100231</v>
      </c>
      <c r="H440">
        <v>202106</v>
      </c>
      <c r="I440" s="400">
        <v>44377</v>
      </c>
      <c r="J440" t="s">
        <v>1103</v>
      </c>
      <c r="K440" t="s">
        <v>386</v>
      </c>
      <c r="M440" t="s">
        <v>387</v>
      </c>
      <c r="O440" t="s">
        <v>1125</v>
      </c>
      <c r="P440" t="s">
        <v>1126</v>
      </c>
      <c r="Q440" t="s">
        <v>396</v>
      </c>
      <c r="R440">
        <v>2069120</v>
      </c>
      <c r="S440" t="s">
        <v>1127</v>
      </c>
      <c r="U440" t="s">
        <v>1140</v>
      </c>
      <c r="V440" t="s">
        <v>398</v>
      </c>
      <c r="W440" s="393">
        <v>-5000</v>
      </c>
      <c r="X440" s="393">
        <v>-1.38</v>
      </c>
      <c r="Y440" s="393">
        <v>-11.64</v>
      </c>
      <c r="Z440" s="393">
        <v>-5000</v>
      </c>
      <c r="AA440">
        <v>0</v>
      </c>
      <c r="AB440" s="400">
        <v>44384.935162499998</v>
      </c>
      <c r="AC440" t="s">
        <v>326</v>
      </c>
    </row>
    <row r="441" spans="1:29">
      <c r="A441" t="s">
        <v>382</v>
      </c>
      <c r="B441" t="s">
        <v>382</v>
      </c>
      <c r="C441" t="s">
        <v>1099</v>
      </c>
      <c r="D441" t="s">
        <v>1100</v>
      </c>
      <c r="E441" t="s">
        <v>1131</v>
      </c>
      <c r="F441" t="s">
        <v>1132</v>
      </c>
      <c r="G441">
        <v>13100231</v>
      </c>
      <c r="H441">
        <v>202106</v>
      </c>
      <c r="I441" s="400">
        <v>44377</v>
      </c>
      <c r="J441" t="s">
        <v>1103</v>
      </c>
      <c r="K441" t="s">
        <v>386</v>
      </c>
      <c r="M441" t="s">
        <v>387</v>
      </c>
      <c r="O441" t="s">
        <v>642</v>
      </c>
      <c r="P441" t="s">
        <v>643</v>
      </c>
      <c r="Q441" t="s">
        <v>396</v>
      </c>
      <c r="R441">
        <v>2069120</v>
      </c>
      <c r="S441" t="s">
        <v>1116</v>
      </c>
      <c r="U441" t="s">
        <v>1141</v>
      </c>
      <c r="V441" t="s">
        <v>398</v>
      </c>
      <c r="W441" s="393">
        <v>-28900</v>
      </c>
      <c r="X441" s="393">
        <v>-7.95</v>
      </c>
      <c r="Y441" s="393">
        <v>-67.3</v>
      </c>
      <c r="Z441" s="393">
        <v>-28900</v>
      </c>
      <c r="AA441">
        <v>0</v>
      </c>
      <c r="AB441" s="400">
        <v>44384.935162499998</v>
      </c>
      <c r="AC441" t="s">
        <v>326</v>
      </c>
    </row>
    <row r="442" spans="1:29">
      <c r="A442" t="s">
        <v>382</v>
      </c>
      <c r="B442" t="s">
        <v>382</v>
      </c>
      <c r="C442" t="s">
        <v>1099</v>
      </c>
      <c r="D442" t="s">
        <v>1100</v>
      </c>
      <c r="E442" t="s">
        <v>1131</v>
      </c>
      <c r="F442" t="s">
        <v>1132</v>
      </c>
      <c r="G442">
        <v>13100231</v>
      </c>
      <c r="H442">
        <v>202106</v>
      </c>
      <c r="I442" s="400">
        <v>44377</v>
      </c>
      <c r="J442" t="s">
        <v>1103</v>
      </c>
      <c r="K442" t="s">
        <v>386</v>
      </c>
      <c r="M442" t="s">
        <v>387</v>
      </c>
      <c r="O442" t="s">
        <v>642</v>
      </c>
      <c r="P442" t="s">
        <v>643</v>
      </c>
      <c r="Q442" t="s">
        <v>396</v>
      </c>
      <c r="R442">
        <v>2069120</v>
      </c>
      <c r="S442" t="s">
        <v>1116</v>
      </c>
      <c r="U442" t="s">
        <v>1142</v>
      </c>
      <c r="V442" t="s">
        <v>398</v>
      </c>
      <c r="W442" s="393">
        <v>-34900</v>
      </c>
      <c r="X442" s="393">
        <v>-9.6</v>
      </c>
      <c r="Y442" s="393">
        <v>-81.27</v>
      </c>
      <c r="Z442" s="393">
        <v>-34900</v>
      </c>
      <c r="AA442">
        <v>0</v>
      </c>
      <c r="AB442" s="400">
        <v>44384.935162499998</v>
      </c>
      <c r="AC442" t="s">
        <v>326</v>
      </c>
    </row>
    <row r="443" spans="1:29">
      <c r="A443" t="s">
        <v>382</v>
      </c>
      <c r="B443" t="s">
        <v>440</v>
      </c>
      <c r="C443" t="s">
        <v>1143</v>
      </c>
      <c r="D443" t="s">
        <v>1144</v>
      </c>
      <c r="E443" t="s">
        <v>390</v>
      </c>
      <c r="F443" t="s">
        <v>391</v>
      </c>
      <c r="G443">
        <v>6100856</v>
      </c>
      <c r="H443">
        <v>202105</v>
      </c>
      <c r="I443" s="400">
        <v>44337</v>
      </c>
      <c r="J443" t="s">
        <v>452</v>
      </c>
      <c r="K443" t="s">
        <v>386</v>
      </c>
      <c r="M443" t="s">
        <v>387</v>
      </c>
      <c r="O443" t="s">
        <v>1145</v>
      </c>
      <c r="P443" t="s">
        <v>1146</v>
      </c>
      <c r="Q443" t="s">
        <v>450</v>
      </c>
      <c r="R443">
        <v>2069118</v>
      </c>
      <c r="S443" t="s">
        <v>387</v>
      </c>
      <c r="U443" t="s">
        <v>1147</v>
      </c>
      <c r="V443" t="s">
        <v>398</v>
      </c>
      <c r="W443" s="393">
        <v>81500</v>
      </c>
      <c r="X443" s="393">
        <v>21.19</v>
      </c>
      <c r="Y443" s="393">
        <v>173.84</v>
      </c>
      <c r="Z443" s="393">
        <v>81500</v>
      </c>
      <c r="AA443">
        <v>310</v>
      </c>
      <c r="AB443" s="400">
        <v>44338.102782175927</v>
      </c>
      <c r="AC443" t="s">
        <v>324</v>
      </c>
    </row>
    <row r="444" spans="1:29">
      <c r="A444" t="s">
        <v>382</v>
      </c>
      <c r="B444" t="s">
        <v>440</v>
      </c>
      <c r="C444" t="s">
        <v>1143</v>
      </c>
      <c r="D444" t="s">
        <v>1144</v>
      </c>
      <c r="E444" t="s">
        <v>390</v>
      </c>
      <c r="F444" t="s">
        <v>391</v>
      </c>
      <c r="G444">
        <v>6100856</v>
      </c>
      <c r="H444">
        <v>202105</v>
      </c>
      <c r="I444" s="400">
        <v>44337</v>
      </c>
      <c r="J444" t="s">
        <v>452</v>
      </c>
      <c r="K444" t="s">
        <v>386</v>
      </c>
      <c r="M444" t="s">
        <v>387</v>
      </c>
      <c r="O444" t="s">
        <v>1145</v>
      </c>
      <c r="P444" t="s">
        <v>1146</v>
      </c>
      <c r="Q444" t="s">
        <v>450</v>
      </c>
      <c r="R444">
        <v>2069118</v>
      </c>
      <c r="S444" t="s">
        <v>387</v>
      </c>
      <c r="U444" t="s">
        <v>1148</v>
      </c>
      <c r="V444" t="s">
        <v>398</v>
      </c>
      <c r="W444" s="393">
        <v>81500</v>
      </c>
      <c r="X444" s="393">
        <v>21.19</v>
      </c>
      <c r="Y444" s="393">
        <v>173.84</v>
      </c>
      <c r="Z444" s="393">
        <v>81500</v>
      </c>
      <c r="AA444">
        <v>310</v>
      </c>
      <c r="AB444" s="400">
        <v>44338.102782175927</v>
      </c>
      <c r="AC444" t="s">
        <v>324</v>
      </c>
    </row>
    <row r="445" spans="1:29">
      <c r="A445" t="s">
        <v>382</v>
      </c>
      <c r="B445" t="s">
        <v>440</v>
      </c>
      <c r="C445" t="s">
        <v>1143</v>
      </c>
      <c r="D445" t="s">
        <v>1144</v>
      </c>
      <c r="E445" t="s">
        <v>390</v>
      </c>
      <c r="F445" t="s">
        <v>391</v>
      </c>
      <c r="G445">
        <v>6101292</v>
      </c>
      <c r="H445">
        <v>202107</v>
      </c>
      <c r="I445" s="400">
        <v>44396</v>
      </c>
      <c r="J445" t="s">
        <v>452</v>
      </c>
      <c r="K445" t="s">
        <v>386</v>
      </c>
      <c r="M445" t="s">
        <v>387</v>
      </c>
      <c r="O445" t="s">
        <v>1145</v>
      </c>
      <c r="P445" t="s">
        <v>1146</v>
      </c>
      <c r="Q445" t="s">
        <v>450</v>
      </c>
      <c r="R445">
        <v>2069118</v>
      </c>
      <c r="S445" t="s">
        <v>387</v>
      </c>
      <c r="U445" t="s">
        <v>1149</v>
      </c>
      <c r="V445" t="s">
        <v>398</v>
      </c>
      <c r="W445" s="393">
        <v>112100</v>
      </c>
      <c r="X445" s="393">
        <v>29.48</v>
      </c>
      <c r="Y445" s="393">
        <v>253.79</v>
      </c>
      <c r="Z445" s="393">
        <v>112100</v>
      </c>
      <c r="AA445">
        <v>310</v>
      </c>
      <c r="AB445" s="400">
        <v>44398.649982870367</v>
      </c>
      <c r="AC445" t="s">
        <v>324</v>
      </c>
    </row>
    <row r="446" spans="1:29">
      <c r="A446" t="s">
        <v>382</v>
      </c>
      <c r="B446" t="s">
        <v>440</v>
      </c>
      <c r="C446" t="s">
        <v>1150</v>
      </c>
      <c r="D446" t="s">
        <v>1151</v>
      </c>
      <c r="E446" t="s">
        <v>427</v>
      </c>
      <c r="F446" t="s">
        <v>428</v>
      </c>
      <c r="G446">
        <v>1100273</v>
      </c>
      <c r="H446">
        <v>202102</v>
      </c>
      <c r="I446" s="400">
        <v>44255</v>
      </c>
      <c r="J446" t="s">
        <v>1152</v>
      </c>
      <c r="K446" t="s">
        <v>386</v>
      </c>
      <c r="L446">
        <v>123780</v>
      </c>
      <c r="M446" t="s">
        <v>1153</v>
      </c>
      <c r="O446" t="s">
        <v>1154</v>
      </c>
      <c r="P446" t="s">
        <v>1155</v>
      </c>
      <c r="Q446" t="s">
        <v>396</v>
      </c>
      <c r="R446">
        <v>2069201</v>
      </c>
      <c r="S446" t="s">
        <v>1156</v>
      </c>
      <c r="U446" t="s">
        <v>1156</v>
      </c>
      <c r="V446" t="s">
        <v>398</v>
      </c>
      <c r="W446" s="393">
        <v>2351912.94</v>
      </c>
      <c r="X446" s="393">
        <v>667.94</v>
      </c>
      <c r="Y446" s="393">
        <v>5646.94</v>
      </c>
      <c r="Z446" s="393">
        <v>2351912.94</v>
      </c>
      <c r="AA446">
        <v>0</v>
      </c>
      <c r="AB446" s="400">
        <v>44266.71182109954</v>
      </c>
      <c r="AC446" t="s">
        <v>22</v>
      </c>
    </row>
    <row r="447" spans="1:29">
      <c r="A447" t="s">
        <v>382</v>
      </c>
      <c r="B447" t="s">
        <v>1157</v>
      </c>
      <c r="C447" t="s">
        <v>1150</v>
      </c>
      <c r="D447" t="s">
        <v>1151</v>
      </c>
      <c r="E447" t="s">
        <v>427</v>
      </c>
      <c r="F447" t="s">
        <v>428</v>
      </c>
      <c r="G447">
        <v>1100439</v>
      </c>
      <c r="H447">
        <v>202103</v>
      </c>
      <c r="I447" s="400">
        <v>44285</v>
      </c>
      <c r="J447" t="s">
        <v>1152</v>
      </c>
      <c r="K447" t="s">
        <v>386</v>
      </c>
      <c r="L447">
        <v>119010</v>
      </c>
      <c r="M447" t="s">
        <v>1158</v>
      </c>
      <c r="O447" t="s">
        <v>1159</v>
      </c>
      <c r="P447" t="s">
        <v>1160</v>
      </c>
      <c r="Q447" t="s">
        <v>450</v>
      </c>
      <c r="R447">
        <v>2069162</v>
      </c>
      <c r="S447" t="s">
        <v>1161</v>
      </c>
      <c r="U447" t="s">
        <v>1161</v>
      </c>
      <c r="V447" t="s">
        <v>398</v>
      </c>
      <c r="W447" s="393">
        <v>6390132.0700000003</v>
      </c>
      <c r="X447" s="393">
        <v>1782.85</v>
      </c>
      <c r="Y447" s="393">
        <v>15336.32</v>
      </c>
      <c r="Z447" s="393">
        <v>6390132.0700000003</v>
      </c>
      <c r="AA447">
        <v>0</v>
      </c>
      <c r="AB447" s="400">
        <v>44299.734865590275</v>
      </c>
      <c r="AC447" t="s">
        <v>321</v>
      </c>
    </row>
    <row r="448" spans="1:29">
      <c r="A448" t="s">
        <v>382</v>
      </c>
      <c r="B448" t="s">
        <v>440</v>
      </c>
      <c r="C448" t="s">
        <v>1150</v>
      </c>
      <c r="D448" t="s">
        <v>1151</v>
      </c>
      <c r="E448" t="s">
        <v>427</v>
      </c>
      <c r="F448" t="s">
        <v>428</v>
      </c>
      <c r="G448">
        <v>1100439</v>
      </c>
      <c r="H448">
        <v>202103</v>
      </c>
      <c r="I448" s="400">
        <v>44285</v>
      </c>
      <c r="J448" t="s">
        <v>1152</v>
      </c>
      <c r="K448" t="s">
        <v>386</v>
      </c>
      <c r="L448">
        <v>123780</v>
      </c>
      <c r="M448" t="s">
        <v>1153</v>
      </c>
      <c r="O448" t="s">
        <v>1154</v>
      </c>
      <c r="P448" t="s">
        <v>1155</v>
      </c>
      <c r="Q448" t="s">
        <v>396</v>
      </c>
      <c r="R448">
        <v>2069201</v>
      </c>
      <c r="S448" t="s">
        <v>1161</v>
      </c>
      <c r="U448" t="s">
        <v>1161</v>
      </c>
      <c r="V448" t="s">
        <v>398</v>
      </c>
      <c r="W448" s="393">
        <v>4339379.07</v>
      </c>
      <c r="X448" s="393">
        <v>1210.69</v>
      </c>
      <c r="Y448" s="393">
        <v>10414.51</v>
      </c>
      <c r="Z448" s="393">
        <v>4339379.07</v>
      </c>
      <c r="AA448">
        <v>0</v>
      </c>
      <c r="AB448" s="400">
        <v>44299.734865590275</v>
      </c>
      <c r="AC448" t="s">
        <v>22</v>
      </c>
    </row>
    <row r="449" spans="1:29">
      <c r="A449" t="s">
        <v>382</v>
      </c>
      <c r="B449" t="s">
        <v>440</v>
      </c>
      <c r="C449" t="s">
        <v>1150</v>
      </c>
      <c r="D449" t="s">
        <v>1151</v>
      </c>
      <c r="E449" t="s">
        <v>427</v>
      </c>
      <c r="F449" t="s">
        <v>428</v>
      </c>
      <c r="G449">
        <v>1100439</v>
      </c>
      <c r="H449">
        <v>202103</v>
      </c>
      <c r="I449" s="400">
        <v>44285</v>
      </c>
      <c r="J449" t="s">
        <v>1152</v>
      </c>
      <c r="K449" t="s">
        <v>386</v>
      </c>
      <c r="L449" t="s">
        <v>1162</v>
      </c>
      <c r="M449" t="s">
        <v>1163</v>
      </c>
      <c r="O449" t="s">
        <v>722</v>
      </c>
      <c r="P449" t="s">
        <v>723</v>
      </c>
      <c r="Q449" t="s">
        <v>396</v>
      </c>
      <c r="R449">
        <v>2069198</v>
      </c>
      <c r="S449" t="s">
        <v>1161</v>
      </c>
      <c r="U449" t="s">
        <v>1161</v>
      </c>
      <c r="V449" t="s">
        <v>398</v>
      </c>
      <c r="W449" s="393">
        <v>2446453.2200000002</v>
      </c>
      <c r="X449" s="393">
        <v>682.56</v>
      </c>
      <c r="Y449" s="393">
        <v>5871.49</v>
      </c>
      <c r="Z449" s="393">
        <v>2446453.2200000002</v>
      </c>
      <c r="AA449">
        <v>0</v>
      </c>
      <c r="AB449" s="400">
        <v>44299.734865590275</v>
      </c>
      <c r="AC449" t="s">
        <v>22</v>
      </c>
    </row>
    <row r="450" spans="1:29">
      <c r="A450" t="s">
        <v>382</v>
      </c>
      <c r="B450" t="s">
        <v>1157</v>
      </c>
      <c r="C450" t="s">
        <v>1150</v>
      </c>
      <c r="D450" t="s">
        <v>1151</v>
      </c>
      <c r="E450" t="s">
        <v>427</v>
      </c>
      <c r="F450" t="s">
        <v>428</v>
      </c>
      <c r="G450">
        <v>1100588</v>
      </c>
      <c r="H450">
        <v>202104</v>
      </c>
      <c r="I450" s="400">
        <v>44316</v>
      </c>
      <c r="J450" t="s">
        <v>1152</v>
      </c>
      <c r="K450" t="s">
        <v>386</v>
      </c>
      <c r="L450">
        <v>119010</v>
      </c>
      <c r="M450" t="s">
        <v>1158</v>
      </c>
      <c r="O450" t="s">
        <v>1159</v>
      </c>
      <c r="P450" t="s">
        <v>1160</v>
      </c>
      <c r="Q450" t="s">
        <v>450</v>
      </c>
      <c r="R450">
        <v>2069162</v>
      </c>
      <c r="S450" t="s">
        <v>1164</v>
      </c>
      <c r="U450" t="s">
        <v>1164</v>
      </c>
      <c r="V450" t="s">
        <v>398</v>
      </c>
      <c r="W450" s="393">
        <v>6165658.8700000001</v>
      </c>
      <c r="X450" s="393">
        <v>1664.73</v>
      </c>
      <c r="Y450" s="393">
        <v>13792.58</v>
      </c>
      <c r="Z450" s="393">
        <v>6165658.8700000001</v>
      </c>
      <c r="AA450">
        <v>0</v>
      </c>
      <c r="AB450" s="400">
        <v>44327.926140277777</v>
      </c>
      <c r="AC450" t="s">
        <v>321</v>
      </c>
    </row>
    <row r="451" spans="1:29">
      <c r="A451" t="s">
        <v>382</v>
      </c>
      <c r="B451" t="s">
        <v>440</v>
      </c>
      <c r="C451" t="s">
        <v>1150</v>
      </c>
      <c r="D451" t="s">
        <v>1151</v>
      </c>
      <c r="E451" t="s">
        <v>427</v>
      </c>
      <c r="F451" t="s">
        <v>428</v>
      </c>
      <c r="G451">
        <v>1100588</v>
      </c>
      <c r="H451">
        <v>202104</v>
      </c>
      <c r="I451" s="400">
        <v>44316</v>
      </c>
      <c r="J451" t="s">
        <v>1152</v>
      </c>
      <c r="K451" t="s">
        <v>386</v>
      </c>
      <c r="L451">
        <v>123780</v>
      </c>
      <c r="M451" t="s">
        <v>1153</v>
      </c>
      <c r="O451" t="s">
        <v>1154</v>
      </c>
      <c r="P451" t="s">
        <v>1155</v>
      </c>
      <c r="Q451" t="s">
        <v>396</v>
      </c>
      <c r="R451">
        <v>2069201</v>
      </c>
      <c r="S451" t="s">
        <v>1164</v>
      </c>
      <c r="U451" t="s">
        <v>1164</v>
      </c>
      <c r="V451" t="s">
        <v>398</v>
      </c>
      <c r="W451" s="393">
        <v>4343903.87</v>
      </c>
      <c r="X451" s="393">
        <v>1172.8499999999999</v>
      </c>
      <c r="Y451" s="393">
        <v>9717.31</v>
      </c>
      <c r="Z451" s="393">
        <v>4343903.87</v>
      </c>
      <c r="AA451">
        <v>0</v>
      </c>
      <c r="AB451" s="400">
        <v>44327.926140277777</v>
      </c>
      <c r="AC451" t="s">
        <v>19</v>
      </c>
    </row>
    <row r="452" spans="1:29">
      <c r="A452" t="s">
        <v>382</v>
      </c>
      <c r="B452" t="s">
        <v>440</v>
      </c>
      <c r="C452" t="s">
        <v>1150</v>
      </c>
      <c r="D452" t="s">
        <v>1151</v>
      </c>
      <c r="E452" t="s">
        <v>427</v>
      </c>
      <c r="F452" t="s">
        <v>428</v>
      </c>
      <c r="G452">
        <v>1100588</v>
      </c>
      <c r="H452">
        <v>202104</v>
      </c>
      <c r="I452" s="400">
        <v>44316</v>
      </c>
      <c r="J452" t="s">
        <v>1152</v>
      </c>
      <c r="K452" t="s">
        <v>386</v>
      </c>
      <c r="L452">
        <v>124474</v>
      </c>
      <c r="M452" t="s">
        <v>1165</v>
      </c>
      <c r="O452" t="s">
        <v>1166</v>
      </c>
      <c r="P452" t="s">
        <v>1167</v>
      </c>
      <c r="Q452" t="s">
        <v>396</v>
      </c>
      <c r="R452">
        <v>2069151</v>
      </c>
      <c r="S452" t="s">
        <v>1164</v>
      </c>
      <c r="U452" t="s">
        <v>1164</v>
      </c>
      <c r="V452" t="s">
        <v>398</v>
      </c>
      <c r="W452" s="393">
        <v>2777499.87</v>
      </c>
      <c r="X452" s="393">
        <v>749.92</v>
      </c>
      <c r="Y452" s="393">
        <v>6213.27</v>
      </c>
      <c r="Z452" s="393">
        <v>2777499.87</v>
      </c>
      <c r="AA452">
        <v>0</v>
      </c>
      <c r="AB452" s="400">
        <v>44327.926140277777</v>
      </c>
      <c r="AC452" t="s">
        <v>321</v>
      </c>
    </row>
    <row r="453" spans="1:29">
      <c r="A453" t="s">
        <v>382</v>
      </c>
      <c r="B453" t="s">
        <v>440</v>
      </c>
      <c r="C453" t="s">
        <v>1150</v>
      </c>
      <c r="D453" t="s">
        <v>1151</v>
      </c>
      <c r="E453" t="s">
        <v>427</v>
      </c>
      <c r="F453" t="s">
        <v>428</v>
      </c>
      <c r="G453">
        <v>1100588</v>
      </c>
      <c r="H453">
        <v>202104</v>
      </c>
      <c r="I453" s="400">
        <v>44316</v>
      </c>
      <c r="J453" t="s">
        <v>1152</v>
      </c>
      <c r="K453" t="s">
        <v>386</v>
      </c>
      <c r="L453" t="s">
        <v>1162</v>
      </c>
      <c r="M453" t="s">
        <v>1163</v>
      </c>
      <c r="O453" t="s">
        <v>722</v>
      </c>
      <c r="P453" t="s">
        <v>723</v>
      </c>
      <c r="Q453" t="s">
        <v>396</v>
      </c>
      <c r="R453">
        <v>2069198</v>
      </c>
      <c r="S453" t="s">
        <v>1164</v>
      </c>
      <c r="U453" t="s">
        <v>1164</v>
      </c>
      <c r="V453" t="s">
        <v>398</v>
      </c>
      <c r="W453" s="393">
        <v>2500564.7599999998</v>
      </c>
      <c r="X453" s="393">
        <v>675.15</v>
      </c>
      <c r="Y453" s="393">
        <v>5593.76</v>
      </c>
      <c r="Z453" s="393">
        <v>2500564.7599999998</v>
      </c>
      <c r="AA453">
        <v>0</v>
      </c>
      <c r="AB453" s="400">
        <v>44327.926140277777</v>
      </c>
      <c r="AC453" t="s">
        <v>19</v>
      </c>
    </row>
    <row r="454" spans="1:29">
      <c r="A454" t="s">
        <v>382</v>
      </c>
      <c r="B454" t="s">
        <v>440</v>
      </c>
      <c r="C454" t="s">
        <v>1150</v>
      </c>
      <c r="D454" t="s">
        <v>1151</v>
      </c>
      <c r="E454" t="s">
        <v>427</v>
      </c>
      <c r="F454" t="s">
        <v>428</v>
      </c>
      <c r="G454">
        <v>1100598</v>
      </c>
      <c r="H454">
        <v>202104</v>
      </c>
      <c r="I454" s="400">
        <v>44300</v>
      </c>
      <c r="J454" t="s">
        <v>1152</v>
      </c>
      <c r="K454" t="s">
        <v>386</v>
      </c>
      <c r="L454" t="s">
        <v>1162</v>
      </c>
      <c r="M454" t="s">
        <v>1163</v>
      </c>
      <c r="O454" t="s">
        <v>722</v>
      </c>
      <c r="P454" t="s">
        <v>723</v>
      </c>
      <c r="Q454" t="s">
        <v>396</v>
      </c>
      <c r="R454">
        <v>2069198</v>
      </c>
      <c r="S454" t="s">
        <v>1168</v>
      </c>
      <c r="U454" t="s">
        <v>1169</v>
      </c>
      <c r="V454" t="s">
        <v>398</v>
      </c>
      <c r="W454" s="393">
        <v>132345</v>
      </c>
      <c r="X454" s="393">
        <v>36.39</v>
      </c>
      <c r="Y454" s="393">
        <v>311.41000000000003</v>
      </c>
      <c r="Z454" s="393">
        <v>132345</v>
      </c>
      <c r="AA454">
        <v>0</v>
      </c>
      <c r="AB454" s="400">
        <v>44328.927733067132</v>
      </c>
      <c r="AC454" t="s">
        <v>19</v>
      </c>
    </row>
    <row r="455" spans="1:29">
      <c r="A455" t="s">
        <v>382</v>
      </c>
      <c r="B455" t="s">
        <v>440</v>
      </c>
      <c r="C455" t="s">
        <v>1150</v>
      </c>
      <c r="D455" t="s">
        <v>1151</v>
      </c>
      <c r="E455" t="s">
        <v>427</v>
      </c>
      <c r="F455" t="s">
        <v>428</v>
      </c>
      <c r="G455">
        <v>1100598</v>
      </c>
      <c r="H455">
        <v>202104</v>
      </c>
      <c r="I455" s="400">
        <v>44300</v>
      </c>
      <c r="J455" t="s">
        <v>1152</v>
      </c>
      <c r="K455" t="s">
        <v>386</v>
      </c>
      <c r="L455" t="s">
        <v>1170</v>
      </c>
      <c r="M455" t="s">
        <v>1171</v>
      </c>
      <c r="O455" t="s">
        <v>1172</v>
      </c>
      <c r="P455" t="s">
        <v>1173</v>
      </c>
      <c r="Q455" t="s">
        <v>450</v>
      </c>
      <c r="R455">
        <v>2069177</v>
      </c>
      <c r="S455" t="s">
        <v>1168</v>
      </c>
      <c r="U455" t="s">
        <v>1169</v>
      </c>
      <c r="V455" t="s">
        <v>398</v>
      </c>
      <c r="W455" s="393">
        <v>129281.25</v>
      </c>
      <c r="X455" s="393">
        <v>35.549999999999997</v>
      </c>
      <c r="Y455" s="393">
        <v>304.2</v>
      </c>
      <c r="Z455" s="393">
        <v>129281.25</v>
      </c>
      <c r="AA455">
        <v>0</v>
      </c>
      <c r="AB455" s="400">
        <v>44328.927733067132</v>
      </c>
      <c r="AC455" t="s">
        <v>321</v>
      </c>
    </row>
    <row r="456" spans="1:29">
      <c r="A456" t="s">
        <v>382</v>
      </c>
      <c r="B456" t="s">
        <v>440</v>
      </c>
      <c r="C456" t="s">
        <v>1150</v>
      </c>
      <c r="D456" t="s">
        <v>1151</v>
      </c>
      <c r="E456" t="s">
        <v>427</v>
      </c>
      <c r="F456" t="s">
        <v>428</v>
      </c>
      <c r="G456">
        <v>1100589</v>
      </c>
      <c r="H456">
        <v>202104</v>
      </c>
      <c r="I456" s="400">
        <v>44316</v>
      </c>
      <c r="J456" t="s">
        <v>1152</v>
      </c>
      <c r="K456" t="s">
        <v>386</v>
      </c>
      <c r="L456" t="s">
        <v>1170</v>
      </c>
      <c r="M456" t="s">
        <v>1171</v>
      </c>
      <c r="O456" t="s">
        <v>1172</v>
      </c>
      <c r="P456" t="s">
        <v>1173</v>
      </c>
      <c r="Q456" t="s">
        <v>450</v>
      </c>
      <c r="R456">
        <v>2069177</v>
      </c>
      <c r="S456" t="s">
        <v>1164</v>
      </c>
      <c r="U456" t="s">
        <v>1164</v>
      </c>
      <c r="V456" t="s">
        <v>398</v>
      </c>
      <c r="W456" s="393">
        <v>2213954.35</v>
      </c>
      <c r="X456" s="393">
        <v>597.77</v>
      </c>
      <c r="Y456" s="393">
        <v>4952.62</v>
      </c>
      <c r="Z456" s="393">
        <v>2213954.35</v>
      </c>
      <c r="AA456">
        <v>0</v>
      </c>
      <c r="AB456" s="400">
        <v>44327.92694070602</v>
      </c>
      <c r="AC456" t="s">
        <v>321</v>
      </c>
    </row>
    <row r="457" spans="1:29">
      <c r="A457" t="s">
        <v>382</v>
      </c>
      <c r="B457" t="s">
        <v>1157</v>
      </c>
      <c r="C457" t="s">
        <v>1150</v>
      </c>
      <c r="D457" t="s">
        <v>1151</v>
      </c>
      <c r="E457" t="s">
        <v>427</v>
      </c>
      <c r="F457" t="s">
        <v>428</v>
      </c>
      <c r="G457">
        <v>1100734</v>
      </c>
      <c r="H457">
        <v>202105</v>
      </c>
      <c r="I457" s="400">
        <v>44346</v>
      </c>
      <c r="J457" t="s">
        <v>1152</v>
      </c>
      <c r="K457" t="s">
        <v>386</v>
      </c>
      <c r="L457">
        <v>119010</v>
      </c>
      <c r="M457" t="s">
        <v>1158</v>
      </c>
      <c r="O457" t="s">
        <v>1159</v>
      </c>
      <c r="P457" t="s">
        <v>1160</v>
      </c>
      <c r="Q457" t="s">
        <v>450</v>
      </c>
      <c r="R457">
        <v>2069162</v>
      </c>
      <c r="S457" t="s">
        <v>1174</v>
      </c>
      <c r="U457" t="s">
        <v>1174</v>
      </c>
      <c r="V457" t="s">
        <v>398</v>
      </c>
      <c r="W457" s="393">
        <v>6378727.1299999999</v>
      </c>
      <c r="X457" s="393">
        <v>1703.12</v>
      </c>
      <c r="Y457" s="393">
        <v>13982.17</v>
      </c>
      <c r="Z457" s="393">
        <v>6378727.1299999999</v>
      </c>
      <c r="AA457">
        <v>0</v>
      </c>
      <c r="AB457" s="400">
        <v>44358.680950543981</v>
      </c>
      <c r="AC457" t="s">
        <v>321</v>
      </c>
    </row>
    <row r="458" spans="1:29">
      <c r="A458" t="s">
        <v>382</v>
      </c>
      <c r="B458" t="s">
        <v>440</v>
      </c>
      <c r="C458" t="s">
        <v>1150</v>
      </c>
      <c r="D458" t="s">
        <v>1151</v>
      </c>
      <c r="E458" t="s">
        <v>427</v>
      </c>
      <c r="F458" t="s">
        <v>428</v>
      </c>
      <c r="G458">
        <v>1100734</v>
      </c>
      <c r="H458">
        <v>202105</v>
      </c>
      <c r="I458" s="400">
        <v>44346</v>
      </c>
      <c r="J458" t="s">
        <v>1152</v>
      </c>
      <c r="K458" t="s">
        <v>386</v>
      </c>
      <c r="L458">
        <v>123780</v>
      </c>
      <c r="M458" t="s">
        <v>1153</v>
      </c>
      <c r="O458" t="s">
        <v>1154</v>
      </c>
      <c r="P458" t="s">
        <v>1155</v>
      </c>
      <c r="Q458" t="s">
        <v>396</v>
      </c>
      <c r="R458">
        <v>2069199</v>
      </c>
      <c r="S458" t="s">
        <v>1174</v>
      </c>
      <c r="U458" t="s">
        <v>1174</v>
      </c>
      <c r="V458" t="s">
        <v>398</v>
      </c>
      <c r="W458" s="393">
        <v>4349111.13</v>
      </c>
      <c r="X458" s="393">
        <v>1161.21</v>
      </c>
      <c r="Y458" s="393">
        <v>9533.25</v>
      </c>
      <c r="Z458" s="393">
        <v>4349111.13</v>
      </c>
      <c r="AA458">
        <v>0</v>
      </c>
      <c r="AB458" s="400">
        <v>44358.680950543981</v>
      </c>
      <c r="AC458" t="s">
        <v>19</v>
      </c>
    </row>
    <row r="459" spans="1:29">
      <c r="A459" t="s">
        <v>382</v>
      </c>
      <c r="B459" t="s">
        <v>440</v>
      </c>
      <c r="C459" t="s">
        <v>1150</v>
      </c>
      <c r="D459" t="s">
        <v>1151</v>
      </c>
      <c r="E459" t="s">
        <v>427</v>
      </c>
      <c r="F459" t="s">
        <v>428</v>
      </c>
      <c r="G459">
        <v>1100734</v>
      </c>
      <c r="H459">
        <v>202105</v>
      </c>
      <c r="I459" s="400">
        <v>44346</v>
      </c>
      <c r="J459" t="s">
        <v>1152</v>
      </c>
      <c r="K459" t="s">
        <v>386</v>
      </c>
      <c r="L459">
        <v>124474</v>
      </c>
      <c r="M459" t="s">
        <v>1165</v>
      </c>
      <c r="O459" t="s">
        <v>1166</v>
      </c>
      <c r="P459" t="s">
        <v>1167</v>
      </c>
      <c r="Q459" t="s">
        <v>450</v>
      </c>
      <c r="R459">
        <v>2069171</v>
      </c>
      <c r="S459" t="s">
        <v>1174</v>
      </c>
      <c r="U459" t="s">
        <v>1174</v>
      </c>
      <c r="V459" t="s">
        <v>398</v>
      </c>
      <c r="W459" s="393">
        <v>4339457.13</v>
      </c>
      <c r="X459" s="393">
        <v>1158.6400000000001</v>
      </c>
      <c r="Y459" s="393">
        <v>9512.09</v>
      </c>
      <c r="Z459" s="393">
        <v>4339457.13</v>
      </c>
      <c r="AA459">
        <v>0</v>
      </c>
      <c r="AB459" s="400">
        <v>44358.680950543981</v>
      </c>
      <c r="AC459" t="s">
        <v>321</v>
      </c>
    </row>
    <row r="460" spans="1:29">
      <c r="A460" t="s">
        <v>382</v>
      </c>
      <c r="B460" t="s">
        <v>1157</v>
      </c>
      <c r="C460" t="s">
        <v>1150</v>
      </c>
      <c r="D460" t="s">
        <v>1151</v>
      </c>
      <c r="E460" t="s">
        <v>427</v>
      </c>
      <c r="F460" t="s">
        <v>428</v>
      </c>
      <c r="G460">
        <v>1100735</v>
      </c>
      <c r="H460">
        <v>202105</v>
      </c>
      <c r="I460" s="400">
        <v>44346</v>
      </c>
      <c r="J460" t="s">
        <v>1152</v>
      </c>
      <c r="K460" t="s">
        <v>386</v>
      </c>
      <c r="L460" t="s">
        <v>1175</v>
      </c>
      <c r="M460" t="s">
        <v>1176</v>
      </c>
      <c r="O460" t="s">
        <v>1177</v>
      </c>
      <c r="P460" t="s">
        <v>1178</v>
      </c>
      <c r="Q460" t="s">
        <v>450</v>
      </c>
      <c r="R460">
        <v>2069175</v>
      </c>
      <c r="S460" t="s">
        <v>1174</v>
      </c>
      <c r="U460" t="s">
        <v>1174</v>
      </c>
      <c r="V460" t="s">
        <v>398</v>
      </c>
      <c r="W460" s="393">
        <v>1559761.43</v>
      </c>
      <c r="X460" s="393">
        <v>416.46</v>
      </c>
      <c r="Y460" s="393">
        <v>3419</v>
      </c>
      <c r="Z460" s="393">
        <v>1559761.43</v>
      </c>
      <c r="AA460">
        <v>0</v>
      </c>
      <c r="AB460" s="400">
        <v>44358.684403090279</v>
      </c>
      <c r="AC460" t="s">
        <v>321</v>
      </c>
    </row>
    <row r="461" spans="1:29">
      <c r="A461" t="s">
        <v>382</v>
      </c>
      <c r="B461" t="s">
        <v>440</v>
      </c>
      <c r="C461" t="s">
        <v>1150</v>
      </c>
      <c r="D461" t="s">
        <v>1151</v>
      </c>
      <c r="E461" t="s">
        <v>427</v>
      </c>
      <c r="F461" t="s">
        <v>428</v>
      </c>
      <c r="G461">
        <v>1100735</v>
      </c>
      <c r="H461">
        <v>202105</v>
      </c>
      <c r="I461" s="400">
        <v>44346</v>
      </c>
      <c r="J461" t="s">
        <v>1152</v>
      </c>
      <c r="K461" t="s">
        <v>386</v>
      </c>
      <c r="L461" t="s">
        <v>1179</v>
      </c>
      <c r="M461" t="s">
        <v>1180</v>
      </c>
      <c r="O461" t="s">
        <v>1181</v>
      </c>
      <c r="P461" t="s">
        <v>1182</v>
      </c>
      <c r="Q461" t="s">
        <v>450</v>
      </c>
      <c r="R461">
        <v>2069170</v>
      </c>
      <c r="S461" t="s">
        <v>1174</v>
      </c>
      <c r="U461" t="s">
        <v>1174</v>
      </c>
      <c r="V461" t="s">
        <v>398</v>
      </c>
      <c r="W461" s="393">
        <v>750737.83</v>
      </c>
      <c r="X461" s="393">
        <v>200.45</v>
      </c>
      <c r="Y461" s="393">
        <v>1645.62</v>
      </c>
      <c r="Z461" s="393">
        <v>750737.83</v>
      </c>
      <c r="AA461">
        <v>0</v>
      </c>
      <c r="AB461" s="400">
        <v>44358.684403090279</v>
      </c>
      <c r="AC461" t="s">
        <v>321</v>
      </c>
    </row>
    <row r="462" spans="1:29">
      <c r="A462" t="s">
        <v>382</v>
      </c>
      <c r="B462" t="s">
        <v>440</v>
      </c>
      <c r="C462" t="s">
        <v>1150</v>
      </c>
      <c r="D462" t="s">
        <v>1151</v>
      </c>
      <c r="E462" t="s">
        <v>427</v>
      </c>
      <c r="F462" t="s">
        <v>428</v>
      </c>
      <c r="G462">
        <v>1100735</v>
      </c>
      <c r="H462">
        <v>202105</v>
      </c>
      <c r="I462" s="400">
        <v>44346</v>
      </c>
      <c r="J462" t="s">
        <v>1152</v>
      </c>
      <c r="K462" t="s">
        <v>386</v>
      </c>
      <c r="L462" t="s">
        <v>1162</v>
      </c>
      <c r="M462" t="s">
        <v>1163</v>
      </c>
      <c r="O462" t="s">
        <v>722</v>
      </c>
      <c r="P462" t="s">
        <v>723</v>
      </c>
      <c r="Q462" t="s">
        <v>396</v>
      </c>
      <c r="R462">
        <v>2069201</v>
      </c>
      <c r="S462" t="s">
        <v>1174</v>
      </c>
      <c r="U462" t="s">
        <v>1174</v>
      </c>
      <c r="V462" t="s">
        <v>398</v>
      </c>
      <c r="W462" s="393">
        <v>4164288.57</v>
      </c>
      <c r="X462" s="393">
        <v>1111.8699999999999</v>
      </c>
      <c r="Y462" s="393">
        <v>9128.1200000000008</v>
      </c>
      <c r="Z462" s="393">
        <v>4164288.57</v>
      </c>
      <c r="AA462">
        <v>0</v>
      </c>
      <c r="AB462" s="400">
        <v>44358.684403090279</v>
      </c>
      <c r="AC462" t="s">
        <v>19</v>
      </c>
    </row>
    <row r="463" spans="1:29">
      <c r="A463" t="s">
        <v>382</v>
      </c>
      <c r="B463" t="s">
        <v>440</v>
      </c>
      <c r="C463" t="s">
        <v>1150</v>
      </c>
      <c r="D463" t="s">
        <v>1151</v>
      </c>
      <c r="E463" t="s">
        <v>427</v>
      </c>
      <c r="F463" t="s">
        <v>428</v>
      </c>
      <c r="G463">
        <v>1100735</v>
      </c>
      <c r="H463">
        <v>202105</v>
      </c>
      <c r="I463" s="400">
        <v>44346</v>
      </c>
      <c r="J463" t="s">
        <v>1152</v>
      </c>
      <c r="K463" t="s">
        <v>386</v>
      </c>
      <c r="L463" t="s">
        <v>1183</v>
      </c>
      <c r="M463" t="s">
        <v>1184</v>
      </c>
      <c r="O463" t="s">
        <v>1185</v>
      </c>
      <c r="P463" t="s">
        <v>1186</v>
      </c>
      <c r="Q463" t="s">
        <v>450</v>
      </c>
      <c r="R463">
        <v>2069194</v>
      </c>
      <c r="S463" t="s">
        <v>1174</v>
      </c>
      <c r="U463" t="s">
        <v>1174</v>
      </c>
      <c r="V463" t="s">
        <v>398</v>
      </c>
      <c r="W463" s="393">
        <v>2662074.5699999998</v>
      </c>
      <c r="X463" s="393">
        <v>710.77</v>
      </c>
      <c r="Y463" s="393">
        <v>5835.27</v>
      </c>
      <c r="Z463" s="393">
        <v>2662074.5699999998</v>
      </c>
      <c r="AA463">
        <v>0</v>
      </c>
      <c r="AB463" s="400">
        <v>44358.684403090279</v>
      </c>
      <c r="AC463" t="s">
        <v>321</v>
      </c>
    </row>
    <row r="464" spans="1:29">
      <c r="A464" t="s">
        <v>382</v>
      </c>
      <c r="B464" t="s">
        <v>440</v>
      </c>
      <c r="C464" t="s">
        <v>1150</v>
      </c>
      <c r="D464" t="s">
        <v>1151</v>
      </c>
      <c r="E464" t="s">
        <v>427</v>
      </c>
      <c r="F464" t="s">
        <v>428</v>
      </c>
      <c r="G464">
        <v>1100735</v>
      </c>
      <c r="H464">
        <v>202105</v>
      </c>
      <c r="I464" s="400">
        <v>44346</v>
      </c>
      <c r="J464" t="s">
        <v>1152</v>
      </c>
      <c r="K464" t="s">
        <v>386</v>
      </c>
      <c r="L464" t="s">
        <v>1187</v>
      </c>
      <c r="M464" t="s">
        <v>1188</v>
      </c>
      <c r="O464" t="s">
        <v>1189</v>
      </c>
      <c r="P464" t="s">
        <v>1190</v>
      </c>
      <c r="Q464" t="s">
        <v>450</v>
      </c>
      <c r="R464">
        <v>2069173</v>
      </c>
      <c r="S464" t="s">
        <v>1174</v>
      </c>
      <c r="U464" t="s">
        <v>1174</v>
      </c>
      <c r="V464" t="s">
        <v>398</v>
      </c>
      <c r="W464" s="393">
        <v>1728392.05</v>
      </c>
      <c r="X464" s="393">
        <v>461.48</v>
      </c>
      <c r="Y464" s="393">
        <v>3788.64</v>
      </c>
      <c r="Z464" s="393">
        <v>1728392.05</v>
      </c>
      <c r="AA464">
        <v>0</v>
      </c>
      <c r="AB464" s="400">
        <v>44358.684403090279</v>
      </c>
      <c r="AC464" t="s">
        <v>321</v>
      </c>
    </row>
    <row r="465" spans="1:29">
      <c r="A465" t="s">
        <v>382</v>
      </c>
      <c r="B465" t="s">
        <v>440</v>
      </c>
      <c r="C465" t="s">
        <v>1150</v>
      </c>
      <c r="D465" t="s">
        <v>1151</v>
      </c>
      <c r="E465" t="s">
        <v>427</v>
      </c>
      <c r="F465" t="s">
        <v>428</v>
      </c>
      <c r="G465">
        <v>1100735</v>
      </c>
      <c r="H465">
        <v>202105</v>
      </c>
      <c r="I465" s="400">
        <v>44346</v>
      </c>
      <c r="J465" t="s">
        <v>1152</v>
      </c>
      <c r="K465" t="s">
        <v>386</v>
      </c>
      <c r="L465" t="s">
        <v>1191</v>
      </c>
      <c r="M465" t="s">
        <v>1192</v>
      </c>
      <c r="O465" t="s">
        <v>1193</v>
      </c>
      <c r="P465" t="s">
        <v>1194</v>
      </c>
      <c r="Q465" t="s">
        <v>450</v>
      </c>
      <c r="R465">
        <v>2069166</v>
      </c>
      <c r="S465" t="s">
        <v>1174</v>
      </c>
      <c r="U465" t="s">
        <v>1174</v>
      </c>
      <c r="V465" t="s">
        <v>398</v>
      </c>
      <c r="W465" s="393">
        <v>3299144.23</v>
      </c>
      <c r="X465" s="393">
        <v>880.87</v>
      </c>
      <c r="Y465" s="393">
        <v>7231.72</v>
      </c>
      <c r="Z465" s="393">
        <v>3299144.23</v>
      </c>
      <c r="AA465">
        <v>0</v>
      </c>
      <c r="AB465" s="400">
        <v>44358.684403090279</v>
      </c>
      <c r="AC465" t="s">
        <v>321</v>
      </c>
    </row>
    <row r="466" spans="1:29">
      <c r="A466" t="s">
        <v>382</v>
      </c>
      <c r="B466" t="s">
        <v>440</v>
      </c>
      <c r="C466" t="s">
        <v>1150</v>
      </c>
      <c r="D466" t="s">
        <v>1151</v>
      </c>
      <c r="E466" t="s">
        <v>427</v>
      </c>
      <c r="F466" t="s">
        <v>428</v>
      </c>
      <c r="G466">
        <v>1100735</v>
      </c>
      <c r="H466">
        <v>202105</v>
      </c>
      <c r="I466" s="400">
        <v>44346</v>
      </c>
      <c r="J466" t="s">
        <v>1152</v>
      </c>
      <c r="K466" t="s">
        <v>386</v>
      </c>
      <c r="L466" t="s">
        <v>1195</v>
      </c>
      <c r="M466" t="s">
        <v>1196</v>
      </c>
      <c r="O466" t="s">
        <v>1197</v>
      </c>
      <c r="P466" t="s">
        <v>1198</v>
      </c>
      <c r="Q466" t="s">
        <v>450</v>
      </c>
      <c r="R466">
        <v>2069187</v>
      </c>
      <c r="S466" t="s">
        <v>1174</v>
      </c>
      <c r="U466" t="s">
        <v>1174</v>
      </c>
      <c r="V466" t="s">
        <v>398</v>
      </c>
      <c r="W466" s="393">
        <v>1471176.63</v>
      </c>
      <c r="X466" s="393">
        <v>392.8</v>
      </c>
      <c r="Y466" s="393">
        <v>3224.82</v>
      </c>
      <c r="Z466" s="393">
        <v>1471176.63</v>
      </c>
      <c r="AA466">
        <v>0</v>
      </c>
      <c r="AB466" s="400">
        <v>44358.684403090279</v>
      </c>
      <c r="AC466" t="s">
        <v>321</v>
      </c>
    </row>
    <row r="467" spans="1:29">
      <c r="A467" t="s">
        <v>382</v>
      </c>
      <c r="B467" t="s">
        <v>440</v>
      </c>
      <c r="C467" t="s">
        <v>1150</v>
      </c>
      <c r="D467" t="s">
        <v>1151</v>
      </c>
      <c r="E467" t="s">
        <v>427</v>
      </c>
      <c r="F467" t="s">
        <v>428</v>
      </c>
      <c r="G467">
        <v>1100735</v>
      </c>
      <c r="H467">
        <v>202105</v>
      </c>
      <c r="I467" s="400">
        <v>44346</v>
      </c>
      <c r="J467" t="s">
        <v>1152</v>
      </c>
      <c r="K467" t="s">
        <v>386</v>
      </c>
      <c r="L467" t="s">
        <v>1199</v>
      </c>
      <c r="M467" t="s">
        <v>1200</v>
      </c>
      <c r="O467" t="s">
        <v>1201</v>
      </c>
      <c r="P467" t="s">
        <v>1202</v>
      </c>
      <c r="Q467" t="s">
        <v>450</v>
      </c>
      <c r="R467">
        <v>2069156</v>
      </c>
      <c r="S467" t="s">
        <v>1174</v>
      </c>
      <c r="U467" t="s">
        <v>1174</v>
      </c>
      <c r="V467" t="s">
        <v>398</v>
      </c>
      <c r="W467" s="393">
        <v>2177467.0699999998</v>
      </c>
      <c r="X467" s="393">
        <v>581.38</v>
      </c>
      <c r="Y467" s="393">
        <v>4773.01</v>
      </c>
      <c r="Z467" s="393">
        <v>2177467.0699999998</v>
      </c>
      <c r="AA467">
        <v>0</v>
      </c>
      <c r="AB467" s="400">
        <v>44358.684403090279</v>
      </c>
      <c r="AC467" t="s">
        <v>321</v>
      </c>
    </row>
    <row r="468" spans="1:29">
      <c r="A468" t="s">
        <v>382</v>
      </c>
      <c r="B468" t="s">
        <v>1157</v>
      </c>
      <c r="C468" t="s">
        <v>1150</v>
      </c>
      <c r="D468" t="s">
        <v>1151</v>
      </c>
      <c r="E468" t="s">
        <v>427</v>
      </c>
      <c r="F468" t="s">
        <v>428</v>
      </c>
      <c r="G468">
        <v>1100897</v>
      </c>
      <c r="H468">
        <v>202106</v>
      </c>
      <c r="I468" s="400">
        <v>44377</v>
      </c>
      <c r="J468" t="s">
        <v>662</v>
      </c>
      <c r="K468" t="s">
        <v>386</v>
      </c>
      <c r="L468">
        <v>119010</v>
      </c>
      <c r="M468" t="s">
        <v>1158</v>
      </c>
      <c r="O468" t="s">
        <v>1159</v>
      </c>
      <c r="P468" t="s">
        <v>1160</v>
      </c>
      <c r="Q468" t="s">
        <v>450</v>
      </c>
      <c r="R468">
        <v>2069162</v>
      </c>
      <c r="S468" t="s">
        <v>1203</v>
      </c>
      <c r="U468" t="s">
        <v>1204</v>
      </c>
      <c r="V468" t="s">
        <v>398</v>
      </c>
      <c r="W468" s="393">
        <v>6177831.5999999996</v>
      </c>
      <c r="X468" s="393">
        <v>1637.13</v>
      </c>
      <c r="Y468" s="393">
        <v>13906.3</v>
      </c>
      <c r="Z468" s="393">
        <v>6177831.5999999996</v>
      </c>
      <c r="AA468">
        <v>0</v>
      </c>
      <c r="AB468" s="400">
        <v>44392.288362037034</v>
      </c>
      <c r="AC468" t="s">
        <v>321</v>
      </c>
    </row>
    <row r="469" spans="1:29">
      <c r="A469" t="s">
        <v>382</v>
      </c>
      <c r="B469" t="s">
        <v>440</v>
      </c>
      <c r="C469" t="s">
        <v>1150</v>
      </c>
      <c r="D469" t="s">
        <v>1151</v>
      </c>
      <c r="E469" t="s">
        <v>427</v>
      </c>
      <c r="F469" t="s">
        <v>428</v>
      </c>
      <c r="G469">
        <v>1100897</v>
      </c>
      <c r="H469">
        <v>202106</v>
      </c>
      <c r="I469" s="400">
        <v>44377</v>
      </c>
      <c r="J469" t="s">
        <v>662</v>
      </c>
      <c r="K469" t="s">
        <v>386</v>
      </c>
      <c r="L469">
        <v>123780</v>
      </c>
      <c r="M469" t="s">
        <v>1153</v>
      </c>
      <c r="O469" t="s">
        <v>1154</v>
      </c>
      <c r="P469" t="s">
        <v>1155</v>
      </c>
      <c r="Q469" t="s">
        <v>396</v>
      </c>
      <c r="R469">
        <v>2069199</v>
      </c>
      <c r="S469" t="s">
        <v>1203</v>
      </c>
      <c r="U469" t="s">
        <v>1204</v>
      </c>
      <c r="V469" t="s">
        <v>398</v>
      </c>
      <c r="W469" s="393">
        <v>4349815.5999999996</v>
      </c>
      <c r="X469" s="393">
        <v>1152.7</v>
      </c>
      <c r="Y469" s="393">
        <v>9791.43</v>
      </c>
      <c r="Z469" s="393">
        <v>4349815.5999999996</v>
      </c>
      <c r="AA469">
        <v>0</v>
      </c>
      <c r="AB469" s="400">
        <v>44392.288362037034</v>
      </c>
      <c r="AC469" t="s">
        <v>22</v>
      </c>
    </row>
    <row r="470" spans="1:29">
      <c r="A470" t="s">
        <v>382</v>
      </c>
      <c r="B470" t="s">
        <v>440</v>
      </c>
      <c r="C470" t="s">
        <v>1150</v>
      </c>
      <c r="D470" t="s">
        <v>1151</v>
      </c>
      <c r="E470" t="s">
        <v>427</v>
      </c>
      <c r="F470" t="s">
        <v>428</v>
      </c>
      <c r="G470">
        <v>1100897</v>
      </c>
      <c r="H470">
        <v>202106</v>
      </c>
      <c r="I470" s="400">
        <v>44377</v>
      </c>
      <c r="J470" t="s">
        <v>662</v>
      </c>
      <c r="K470" t="s">
        <v>386</v>
      </c>
      <c r="L470">
        <v>124124</v>
      </c>
      <c r="M470" t="s">
        <v>1205</v>
      </c>
      <c r="O470" t="s">
        <v>1206</v>
      </c>
      <c r="P470" t="s">
        <v>1207</v>
      </c>
      <c r="Q470" t="s">
        <v>450</v>
      </c>
      <c r="R470">
        <v>2069183</v>
      </c>
      <c r="S470" t="s">
        <v>1203</v>
      </c>
      <c r="U470" t="s">
        <v>1204</v>
      </c>
      <c r="V470" t="s">
        <v>398</v>
      </c>
      <c r="W470" s="393">
        <v>3080831.3</v>
      </c>
      <c r="X470" s="393">
        <v>816.42</v>
      </c>
      <c r="Y470" s="393">
        <v>6934.95</v>
      </c>
      <c r="Z470" s="393">
        <v>3080831.3</v>
      </c>
      <c r="AA470">
        <v>0</v>
      </c>
      <c r="AB470" s="400">
        <v>44392.288362037034</v>
      </c>
      <c r="AC470" t="s">
        <v>321</v>
      </c>
    </row>
    <row r="471" spans="1:29">
      <c r="A471" t="s">
        <v>382</v>
      </c>
      <c r="B471" t="s">
        <v>440</v>
      </c>
      <c r="C471" t="s">
        <v>1150</v>
      </c>
      <c r="D471" t="s">
        <v>1151</v>
      </c>
      <c r="E471" t="s">
        <v>427</v>
      </c>
      <c r="F471" t="s">
        <v>428</v>
      </c>
      <c r="G471">
        <v>1100897</v>
      </c>
      <c r="H471">
        <v>202106</v>
      </c>
      <c r="I471" s="400">
        <v>44377</v>
      </c>
      <c r="J471" t="s">
        <v>662</v>
      </c>
      <c r="K471" t="s">
        <v>386</v>
      </c>
      <c r="L471">
        <v>124474</v>
      </c>
      <c r="M471" t="s">
        <v>1165</v>
      </c>
      <c r="O471" t="s">
        <v>1166</v>
      </c>
      <c r="P471" t="s">
        <v>1167</v>
      </c>
      <c r="Q471" t="s">
        <v>396</v>
      </c>
      <c r="R471">
        <v>2069151</v>
      </c>
      <c r="S471" t="s">
        <v>1203</v>
      </c>
      <c r="U471" t="s">
        <v>1204</v>
      </c>
      <c r="V471" t="s">
        <v>398</v>
      </c>
      <c r="W471" s="393">
        <v>4341079.5999999996</v>
      </c>
      <c r="X471" s="393">
        <v>1150.3900000000001</v>
      </c>
      <c r="Y471" s="393">
        <v>9771.77</v>
      </c>
      <c r="Z471" s="393">
        <v>4341079.5999999996</v>
      </c>
      <c r="AA471">
        <v>0</v>
      </c>
      <c r="AB471" s="400">
        <v>44392.288362037034</v>
      </c>
      <c r="AC471" t="s">
        <v>321</v>
      </c>
    </row>
    <row r="472" spans="1:29">
      <c r="A472" t="s">
        <v>382</v>
      </c>
      <c r="B472" t="s">
        <v>440</v>
      </c>
      <c r="C472" t="s">
        <v>1150</v>
      </c>
      <c r="D472" t="s">
        <v>1151</v>
      </c>
      <c r="E472" t="s">
        <v>427</v>
      </c>
      <c r="F472" t="s">
        <v>428</v>
      </c>
      <c r="G472">
        <v>1100897</v>
      </c>
      <c r="H472">
        <v>202106</v>
      </c>
      <c r="I472" s="400">
        <v>44377</v>
      </c>
      <c r="J472" t="s">
        <v>662</v>
      </c>
      <c r="K472" t="s">
        <v>386</v>
      </c>
      <c r="L472">
        <v>124475</v>
      </c>
      <c r="M472" t="s">
        <v>1208</v>
      </c>
      <c r="O472" t="s">
        <v>1209</v>
      </c>
      <c r="P472" t="s">
        <v>1210</v>
      </c>
      <c r="Q472" t="s">
        <v>450</v>
      </c>
      <c r="R472">
        <v>2069171</v>
      </c>
      <c r="S472" t="s">
        <v>1203</v>
      </c>
      <c r="U472" t="s">
        <v>1204</v>
      </c>
      <c r="V472" t="s">
        <v>398</v>
      </c>
      <c r="W472" s="393">
        <v>4341079.5999999996</v>
      </c>
      <c r="X472" s="393">
        <v>1150.3900000000001</v>
      </c>
      <c r="Y472" s="393">
        <v>9771.77</v>
      </c>
      <c r="Z472" s="393">
        <v>4341079.5999999996</v>
      </c>
      <c r="AA472">
        <v>0</v>
      </c>
      <c r="AB472" s="400">
        <v>44392.288362037034</v>
      </c>
      <c r="AC472" t="s">
        <v>321</v>
      </c>
    </row>
    <row r="473" spans="1:29">
      <c r="A473" t="s">
        <v>382</v>
      </c>
      <c r="B473" t="s">
        <v>1157</v>
      </c>
      <c r="C473" t="s">
        <v>1150</v>
      </c>
      <c r="D473" t="s">
        <v>1151</v>
      </c>
      <c r="E473" t="s">
        <v>427</v>
      </c>
      <c r="F473" t="s">
        <v>428</v>
      </c>
      <c r="G473">
        <v>1100897</v>
      </c>
      <c r="H473">
        <v>202106</v>
      </c>
      <c r="I473" s="400">
        <v>44377</v>
      </c>
      <c r="J473" t="s">
        <v>662</v>
      </c>
      <c r="K473" t="s">
        <v>386</v>
      </c>
      <c r="L473">
        <v>125154</v>
      </c>
      <c r="M473" t="s">
        <v>1211</v>
      </c>
      <c r="O473" t="s">
        <v>1212</v>
      </c>
      <c r="P473" t="s">
        <v>1213</v>
      </c>
      <c r="Q473" t="s">
        <v>396</v>
      </c>
      <c r="R473">
        <v>2069198</v>
      </c>
      <c r="S473" t="s">
        <v>1203</v>
      </c>
      <c r="U473" t="s">
        <v>1204</v>
      </c>
      <c r="V473" t="s">
        <v>398</v>
      </c>
      <c r="W473" s="393">
        <v>2694589.3</v>
      </c>
      <c r="X473" s="393">
        <v>714.07</v>
      </c>
      <c r="Y473" s="393">
        <v>6065.52</v>
      </c>
      <c r="Z473" s="393">
        <v>2694589.3</v>
      </c>
      <c r="AA473">
        <v>0</v>
      </c>
      <c r="AB473" s="400">
        <v>44392.288362037034</v>
      </c>
      <c r="AC473" t="s">
        <v>22</v>
      </c>
    </row>
    <row r="474" spans="1:29">
      <c r="A474" t="s">
        <v>382</v>
      </c>
      <c r="B474" t="s">
        <v>440</v>
      </c>
      <c r="C474" t="s">
        <v>1150</v>
      </c>
      <c r="D474" t="s">
        <v>1151</v>
      </c>
      <c r="E474" t="s">
        <v>427</v>
      </c>
      <c r="F474" t="s">
        <v>428</v>
      </c>
      <c r="G474">
        <v>1100897</v>
      </c>
      <c r="H474">
        <v>202106</v>
      </c>
      <c r="I474" s="400">
        <v>44377</v>
      </c>
      <c r="J474" t="s">
        <v>662</v>
      </c>
      <c r="K474" t="s">
        <v>386</v>
      </c>
      <c r="L474" t="s">
        <v>1162</v>
      </c>
      <c r="M474" t="s">
        <v>1163</v>
      </c>
      <c r="O474" t="s">
        <v>722</v>
      </c>
      <c r="P474" t="s">
        <v>723</v>
      </c>
      <c r="Q474" t="s">
        <v>396</v>
      </c>
      <c r="R474">
        <v>2069201</v>
      </c>
      <c r="S474" t="s">
        <v>1203</v>
      </c>
      <c r="U474" t="s">
        <v>1204</v>
      </c>
      <c r="V474" t="s">
        <v>398</v>
      </c>
      <c r="W474" s="393">
        <v>2530503.7799999998</v>
      </c>
      <c r="X474" s="393">
        <v>670.58</v>
      </c>
      <c r="Y474" s="393">
        <v>5696.16</v>
      </c>
      <c r="Z474" s="393">
        <v>2530503.7799999998</v>
      </c>
      <c r="AA474">
        <v>0</v>
      </c>
      <c r="AB474" s="400">
        <v>44392.288362037034</v>
      </c>
      <c r="AC474" t="s">
        <v>22</v>
      </c>
    </row>
    <row r="475" spans="1:29">
      <c r="A475" t="s">
        <v>382</v>
      </c>
      <c r="B475" t="s">
        <v>1214</v>
      </c>
      <c r="C475" t="s">
        <v>1150</v>
      </c>
      <c r="D475" t="s">
        <v>1151</v>
      </c>
      <c r="E475" t="s">
        <v>427</v>
      </c>
      <c r="F475" t="s">
        <v>428</v>
      </c>
      <c r="G475">
        <v>1100898</v>
      </c>
      <c r="H475">
        <v>202106</v>
      </c>
      <c r="I475" s="400">
        <v>44377</v>
      </c>
      <c r="J475" t="s">
        <v>662</v>
      </c>
      <c r="K475" t="s">
        <v>386</v>
      </c>
      <c r="L475" t="s">
        <v>1215</v>
      </c>
      <c r="M475" t="s">
        <v>1216</v>
      </c>
      <c r="O475" t="s">
        <v>1217</v>
      </c>
      <c r="P475" t="s">
        <v>1218</v>
      </c>
      <c r="Q475" t="s">
        <v>450</v>
      </c>
      <c r="R475">
        <v>2069189</v>
      </c>
      <c r="S475" t="s">
        <v>1203</v>
      </c>
      <c r="U475" t="s">
        <v>1204</v>
      </c>
      <c r="V475" t="s">
        <v>398</v>
      </c>
      <c r="W475" s="393">
        <v>2181400.3199999998</v>
      </c>
      <c r="X475" s="393">
        <v>578.07000000000005</v>
      </c>
      <c r="Y475" s="393">
        <v>4910.33</v>
      </c>
      <c r="Z475" s="393">
        <v>2181400.3199999998</v>
      </c>
      <c r="AA475">
        <v>0</v>
      </c>
      <c r="AB475" s="400">
        <v>44392.295339085649</v>
      </c>
      <c r="AC475" t="s">
        <v>321</v>
      </c>
    </row>
    <row r="476" spans="1:29">
      <c r="A476" t="s">
        <v>382</v>
      </c>
      <c r="B476" t="s">
        <v>1157</v>
      </c>
      <c r="C476" t="s">
        <v>1150</v>
      </c>
      <c r="D476" t="s">
        <v>1151</v>
      </c>
      <c r="E476" t="s">
        <v>427</v>
      </c>
      <c r="F476" t="s">
        <v>428</v>
      </c>
      <c r="G476">
        <v>1100898</v>
      </c>
      <c r="H476">
        <v>202106</v>
      </c>
      <c r="I476" s="400">
        <v>44377</v>
      </c>
      <c r="J476" t="s">
        <v>662</v>
      </c>
      <c r="K476" t="s">
        <v>386</v>
      </c>
      <c r="L476" t="s">
        <v>1219</v>
      </c>
      <c r="M476" t="s">
        <v>1220</v>
      </c>
      <c r="O476" t="s">
        <v>1221</v>
      </c>
      <c r="P476" t="s">
        <v>1222</v>
      </c>
      <c r="Q476" t="s">
        <v>396</v>
      </c>
      <c r="R476">
        <v>2069151</v>
      </c>
      <c r="S476" t="s">
        <v>1203</v>
      </c>
      <c r="U476" t="s">
        <v>1204</v>
      </c>
      <c r="V476" t="s">
        <v>398</v>
      </c>
      <c r="W476" s="393">
        <v>2140443.7999999998</v>
      </c>
      <c r="X476" s="393">
        <v>567.22</v>
      </c>
      <c r="Y476" s="393">
        <v>4818.1400000000003</v>
      </c>
      <c r="Z476" s="393">
        <v>2140443.7999999998</v>
      </c>
      <c r="AA476">
        <v>0</v>
      </c>
      <c r="AB476" s="400">
        <v>44392.295339085649</v>
      </c>
      <c r="AC476" t="s">
        <v>321</v>
      </c>
    </row>
    <row r="477" spans="1:29">
      <c r="A477" t="s">
        <v>382</v>
      </c>
      <c r="B477" t="s">
        <v>1157</v>
      </c>
      <c r="C477" t="s">
        <v>1150</v>
      </c>
      <c r="D477" t="s">
        <v>1151</v>
      </c>
      <c r="E477" t="s">
        <v>427</v>
      </c>
      <c r="F477" t="s">
        <v>428</v>
      </c>
      <c r="G477">
        <v>1101098</v>
      </c>
      <c r="H477">
        <v>202107</v>
      </c>
      <c r="I477" s="400">
        <v>44408</v>
      </c>
      <c r="J477" t="s">
        <v>1152</v>
      </c>
      <c r="K477" t="s">
        <v>386</v>
      </c>
      <c r="L477">
        <v>119010</v>
      </c>
      <c r="M477" t="s">
        <v>1158</v>
      </c>
      <c r="O477" t="s">
        <v>1159</v>
      </c>
      <c r="P477" t="s">
        <v>1160</v>
      </c>
      <c r="Q477" t="s">
        <v>450</v>
      </c>
      <c r="R477">
        <v>2069162</v>
      </c>
      <c r="S477" t="s">
        <v>1204</v>
      </c>
      <c r="U477" t="s">
        <v>1223</v>
      </c>
      <c r="V477" t="s">
        <v>398</v>
      </c>
      <c r="W477" s="393">
        <v>-6104455.4299999997</v>
      </c>
      <c r="X477" s="393">
        <v>-1562.74</v>
      </c>
      <c r="Y477" s="393">
        <v>-13503.06</v>
      </c>
      <c r="Z477" s="393">
        <v>-6104455.4299999997</v>
      </c>
      <c r="AA477">
        <v>0</v>
      </c>
      <c r="AB477" s="400">
        <v>44421.911056215278</v>
      </c>
      <c r="AC477" t="s">
        <v>321</v>
      </c>
    </row>
    <row r="478" spans="1:29">
      <c r="A478" t="s">
        <v>382</v>
      </c>
      <c r="B478" t="s">
        <v>1157</v>
      </c>
      <c r="C478" t="s">
        <v>1150</v>
      </c>
      <c r="D478" t="s">
        <v>1151</v>
      </c>
      <c r="E478" t="s">
        <v>427</v>
      </c>
      <c r="F478" t="s">
        <v>428</v>
      </c>
      <c r="G478">
        <v>1101100</v>
      </c>
      <c r="H478">
        <v>202107</v>
      </c>
      <c r="I478" s="400">
        <v>44407</v>
      </c>
      <c r="J478" t="s">
        <v>1152</v>
      </c>
      <c r="K478" t="s">
        <v>386</v>
      </c>
      <c r="L478">
        <v>119010</v>
      </c>
      <c r="M478" t="s">
        <v>1158</v>
      </c>
      <c r="O478" t="s">
        <v>1159</v>
      </c>
      <c r="P478" t="s">
        <v>1160</v>
      </c>
      <c r="Q478" t="s">
        <v>450</v>
      </c>
      <c r="R478">
        <v>2069162</v>
      </c>
      <c r="S478" t="s">
        <v>1224</v>
      </c>
      <c r="U478" t="s">
        <v>1224</v>
      </c>
      <c r="V478" t="s">
        <v>398</v>
      </c>
      <c r="W478" s="393">
        <v>6104455.4299999997</v>
      </c>
      <c r="X478" s="393">
        <v>1562.74</v>
      </c>
      <c r="Y478" s="393">
        <v>13503.06</v>
      </c>
      <c r="Z478" s="393">
        <v>6104455.4299999997</v>
      </c>
      <c r="AA478">
        <v>0</v>
      </c>
      <c r="AB478" s="400">
        <v>44421.919517164351</v>
      </c>
      <c r="AC478" t="s">
        <v>321</v>
      </c>
    </row>
    <row r="479" spans="1:29">
      <c r="A479" t="s">
        <v>382</v>
      </c>
      <c r="B479" t="s">
        <v>1157</v>
      </c>
      <c r="C479" t="s">
        <v>1150</v>
      </c>
      <c r="D479" t="s">
        <v>1151</v>
      </c>
      <c r="E479" t="s">
        <v>427</v>
      </c>
      <c r="F479" t="s">
        <v>428</v>
      </c>
      <c r="G479">
        <v>1101079</v>
      </c>
      <c r="H479">
        <v>202107</v>
      </c>
      <c r="I479" s="400">
        <v>44408</v>
      </c>
      <c r="J479" t="s">
        <v>662</v>
      </c>
      <c r="K479" t="s">
        <v>386</v>
      </c>
      <c r="L479">
        <v>119010</v>
      </c>
      <c r="M479" t="s">
        <v>1158</v>
      </c>
      <c r="O479" t="s">
        <v>1159</v>
      </c>
      <c r="P479" t="s">
        <v>1160</v>
      </c>
      <c r="Q479" t="s">
        <v>450</v>
      </c>
      <c r="R479">
        <v>2069162</v>
      </c>
      <c r="S479" t="s">
        <v>1204</v>
      </c>
      <c r="U479" t="s">
        <v>1204</v>
      </c>
      <c r="V479" t="s">
        <v>398</v>
      </c>
      <c r="W479" s="393">
        <v>6104455.4299999997</v>
      </c>
      <c r="X479" s="393">
        <v>1562.74</v>
      </c>
      <c r="Y479" s="393">
        <v>13503.06</v>
      </c>
      <c r="Z479" s="393">
        <v>6104455.4299999997</v>
      </c>
      <c r="AA479">
        <v>0</v>
      </c>
      <c r="AB479" s="400">
        <v>44420.361900810189</v>
      </c>
      <c r="AC479" t="s">
        <v>321</v>
      </c>
    </row>
    <row r="480" spans="1:29">
      <c r="A480" t="s">
        <v>382</v>
      </c>
      <c r="B480" t="s">
        <v>440</v>
      </c>
      <c r="C480" t="s">
        <v>1150</v>
      </c>
      <c r="D480" t="s">
        <v>1151</v>
      </c>
      <c r="E480" t="s">
        <v>427</v>
      </c>
      <c r="F480" t="s">
        <v>428</v>
      </c>
      <c r="G480">
        <v>1101100</v>
      </c>
      <c r="H480">
        <v>202107</v>
      </c>
      <c r="I480" s="400">
        <v>44407</v>
      </c>
      <c r="J480" t="s">
        <v>1152</v>
      </c>
      <c r="K480" t="s">
        <v>386</v>
      </c>
      <c r="L480">
        <v>123780</v>
      </c>
      <c r="M480" t="s">
        <v>1153</v>
      </c>
      <c r="O480" t="s">
        <v>1154</v>
      </c>
      <c r="P480" t="s">
        <v>1155</v>
      </c>
      <c r="Q480" t="s">
        <v>396</v>
      </c>
      <c r="R480">
        <v>2069199</v>
      </c>
      <c r="S480" t="s">
        <v>1224</v>
      </c>
      <c r="U480" t="s">
        <v>1224</v>
      </c>
      <c r="V480" t="s">
        <v>398</v>
      </c>
      <c r="W480" s="393">
        <v>4274872.43</v>
      </c>
      <c r="X480" s="393">
        <v>1094.3699999999999</v>
      </c>
      <c r="Y480" s="393">
        <v>9456.02</v>
      </c>
      <c r="Z480" s="393">
        <v>4274872.43</v>
      </c>
      <c r="AA480">
        <v>0</v>
      </c>
      <c r="AB480" s="400">
        <v>44421.919517164351</v>
      </c>
      <c r="AC480" t="s">
        <v>22</v>
      </c>
    </row>
    <row r="481" spans="1:29">
      <c r="A481" t="s">
        <v>382</v>
      </c>
      <c r="B481" t="s">
        <v>440</v>
      </c>
      <c r="C481" t="s">
        <v>1150</v>
      </c>
      <c r="D481" t="s">
        <v>1151</v>
      </c>
      <c r="E481" t="s">
        <v>427</v>
      </c>
      <c r="F481" t="s">
        <v>428</v>
      </c>
      <c r="G481">
        <v>1101079</v>
      </c>
      <c r="H481">
        <v>202107</v>
      </c>
      <c r="I481" s="400">
        <v>44408</v>
      </c>
      <c r="J481" t="s">
        <v>662</v>
      </c>
      <c r="K481" t="s">
        <v>386</v>
      </c>
      <c r="L481">
        <v>123780</v>
      </c>
      <c r="M481" t="s">
        <v>1153</v>
      </c>
      <c r="O481" t="s">
        <v>1154</v>
      </c>
      <c r="P481" t="s">
        <v>1155</v>
      </c>
      <c r="Q481" t="s">
        <v>396</v>
      </c>
      <c r="R481">
        <v>2069199</v>
      </c>
      <c r="S481" t="s">
        <v>1204</v>
      </c>
      <c r="U481" t="s">
        <v>1204</v>
      </c>
      <c r="V481" t="s">
        <v>398</v>
      </c>
      <c r="W481" s="393">
        <v>4274872.43</v>
      </c>
      <c r="X481" s="393">
        <v>1094.3699999999999</v>
      </c>
      <c r="Y481" s="393">
        <v>9456.02</v>
      </c>
      <c r="Z481" s="393">
        <v>4274872.43</v>
      </c>
      <c r="AA481">
        <v>0</v>
      </c>
      <c r="AB481" s="400">
        <v>44420.361900810189</v>
      </c>
      <c r="AC481" t="s">
        <v>22</v>
      </c>
    </row>
    <row r="482" spans="1:29">
      <c r="A482" t="s">
        <v>382</v>
      </c>
      <c r="B482" t="s">
        <v>440</v>
      </c>
      <c r="C482" t="s">
        <v>1150</v>
      </c>
      <c r="D482" t="s">
        <v>1151</v>
      </c>
      <c r="E482" t="s">
        <v>427</v>
      </c>
      <c r="F482" t="s">
        <v>428</v>
      </c>
      <c r="G482">
        <v>1101098</v>
      </c>
      <c r="H482">
        <v>202107</v>
      </c>
      <c r="I482" s="400">
        <v>44408</v>
      </c>
      <c r="J482" t="s">
        <v>1152</v>
      </c>
      <c r="K482" t="s">
        <v>386</v>
      </c>
      <c r="L482">
        <v>123780</v>
      </c>
      <c r="M482" t="s">
        <v>1153</v>
      </c>
      <c r="O482" t="s">
        <v>1154</v>
      </c>
      <c r="P482" t="s">
        <v>1155</v>
      </c>
      <c r="Q482" t="s">
        <v>396</v>
      </c>
      <c r="R482">
        <v>2069199</v>
      </c>
      <c r="S482" t="s">
        <v>1204</v>
      </c>
      <c r="U482" t="s">
        <v>1223</v>
      </c>
      <c r="V482" t="s">
        <v>398</v>
      </c>
      <c r="W482" s="393">
        <v>-4274872.43</v>
      </c>
      <c r="X482" s="393">
        <v>-1094.3699999999999</v>
      </c>
      <c r="Y482" s="393">
        <v>-9456.02</v>
      </c>
      <c r="Z482" s="393">
        <v>-4274872.43</v>
      </c>
      <c r="AA482">
        <v>0</v>
      </c>
      <c r="AB482" s="400">
        <v>44421.911056215278</v>
      </c>
      <c r="AC482" t="s">
        <v>22</v>
      </c>
    </row>
    <row r="483" spans="1:29">
      <c r="A483" t="s">
        <v>382</v>
      </c>
      <c r="B483" t="s">
        <v>440</v>
      </c>
      <c r="C483" t="s">
        <v>1150</v>
      </c>
      <c r="D483" t="s">
        <v>1151</v>
      </c>
      <c r="E483" t="s">
        <v>427</v>
      </c>
      <c r="F483" t="s">
        <v>428</v>
      </c>
      <c r="G483">
        <v>1101098</v>
      </c>
      <c r="H483">
        <v>202107</v>
      </c>
      <c r="I483" s="400">
        <v>44408</v>
      </c>
      <c r="J483" t="s">
        <v>1152</v>
      </c>
      <c r="K483" t="s">
        <v>386</v>
      </c>
      <c r="L483">
        <v>124474</v>
      </c>
      <c r="M483" t="s">
        <v>1165</v>
      </c>
      <c r="O483" t="s">
        <v>1166</v>
      </c>
      <c r="P483" t="s">
        <v>1167</v>
      </c>
      <c r="Q483" t="s">
        <v>396</v>
      </c>
      <c r="R483">
        <v>2069151</v>
      </c>
      <c r="S483" t="s">
        <v>1204</v>
      </c>
      <c r="U483" t="s">
        <v>1223</v>
      </c>
      <c r="V483" t="s">
        <v>398</v>
      </c>
      <c r="W483" s="393">
        <v>-4267059.43</v>
      </c>
      <c r="X483" s="393">
        <v>-1092.3699999999999</v>
      </c>
      <c r="Y483" s="393">
        <v>-9438.74</v>
      </c>
      <c r="Z483" s="393">
        <v>-4267059.43</v>
      </c>
      <c r="AA483">
        <v>0</v>
      </c>
      <c r="AB483" s="400">
        <v>44421.911056215278</v>
      </c>
      <c r="AC483" t="s">
        <v>321</v>
      </c>
    </row>
    <row r="484" spans="1:29">
      <c r="A484" t="s">
        <v>382</v>
      </c>
      <c r="B484" t="s">
        <v>440</v>
      </c>
      <c r="C484" t="s">
        <v>1150</v>
      </c>
      <c r="D484" t="s">
        <v>1151</v>
      </c>
      <c r="E484" t="s">
        <v>427</v>
      </c>
      <c r="F484" t="s">
        <v>428</v>
      </c>
      <c r="G484">
        <v>1101100</v>
      </c>
      <c r="H484">
        <v>202107</v>
      </c>
      <c r="I484" s="400">
        <v>44407</v>
      </c>
      <c r="J484" t="s">
        <v>1152</v>
      </c>
      <c r="K484" t="s">
        <v>386</v>
      </c>
      <c r="L484">
        <v>124474</v>
      </c>
      <c r="M484" t="s">
        <v>1165</v>
      </c>
      <c r="O484" t="s">
        <v>1166</v>
      </c>
      <c r="P484" t="s">
        <v>1167</v>
      </c>
      <c r="Q484" t="s">
        <v>396</v>
      </c>
      <c r="R484">
        <v>2069151</v>
      </c>
      <c r="S484" t="s">
        <v>1224</v>
      </c>
      <c r="U484" t="s">
        <v>1224</v>
      </c>
      <c r="V484" t="s">
        <v>398</v>
      </c>
      <c r="W484" s="393">
        <v>4267059.43</v>
      </c>
      <c r="X484" s="393">
        <v>1092.3699999999999</v>
      </c>
      <c r="Y484" s="393">
        <v>9438.74</v>
      </c>
      <c r="Z484" s="393">
        <v>4267059.43</v>
      </c>
      <c r="AA484">
        <v>0</v>
      </c>
      <c r="AB484" s="400">
        <v>44421.919517164351</v>
      </c>
      <c r="AC484" t="s">
        <v>321</v>
      </c>
    </row>
    <row r="485" spans="1:29">
      <c r="A485" t="s">
        <v>382</v>
      </c>
      <c r="B485" t="s">
        <v>440</v>
      </c>
      <c r="C485" t="s">
        <v>1150</v>
      </c>
      <c r="D485" t="s">
        <v>1151</v>
      </c>
      <c r="E485" t="s">
        <v>427</v>
      </c>
      <c r="F485" t="s">
        <v>428</v>
      </c>
      <c r="G485">
        <v>1101079</v>
      </c>
      <c r="H485">
        <v>202107</v>
      </c>
      <c r="I485" s="400">
        <v>44408</v>
      </c>
      <c r="J485" t="s">
        <v>662</v>
      </c>
      <c r="K485" t="s">
        <v>386</v>
      </c>
      <c r="L485">
        <v>124474</v>
      </c>
      <c r="M485" t="s">
        <v>1165</v>
      </c>
      <c r="O485" t="s">
        <v>1166</v>
      </c>
      <c r="P485" t="s">
        <v>1167</v>
      </c>
      <c r="Q485" t="s">
        <v>396</v>
      </c>
      <c r="R485">
        <v>2069151</v>
      </c>
      <c r="S485" t="s">
        <v>1204</v>
      </c>
      <c r="U485" t="s">
        <v>1204</v>
      </c>
      <c r="V485" t="s">
        <v>398</v>
      </c>
      <c r="W485" s="393">
        <v>4267059.43</v>
      </c>
      <c r="X485" s="393">
        <v>1092.3699999999999</v>
      </c>
      <c r="Y485" s="393">
        <v>9438.74</v>
      </c>
      <c r="Z485" s="393">
        <v>4267059.43</v>
      </c>
      <c r="AA485">
        <v>0</v>
      </c>
      <c r="AB485" s="400">
        <v>44420.361900810189</v>
      </c>
      <c r="AC485" t="s">
        <v>321</v>
      </c>
    </row>
    <row r="486" spans="1:29">
      <c r="A486" t="s">
        <v>382</v>
      </c>
      <c r="B486" t="s">
        <v>440</v>
      </c>
      <c r="C486" t="s">
        <v>1150</v>
      </c>
      <c r="D486" t="s">
        <v>1151</v>
      </c>
      <c r="E486" t="s">
        <v>427</v>
      </c>
      <c r="F486" t="s">
        <v>428</v>
      </c>
      <c r="G486">
        <v>1101098</v>
      </c>
      <c r="H486">
        <v>202107</v>
      </c>
      <c r="I486" s="400">
        <v>44408</v>
      </c>
      <c r="J486" t="s">
        <v>1152</v>
      </c>
      <c r="K486" t="s">
        <v>386</v>
      </c>
      <c r="L486">
        <v>124475</v>
      </c>
      <c r="M486" t="s">
        <v>1208</v>
      </c>
      <c r="O486" t="s">
        <v>1209</v>
      </c>
      <c r="P486" t="s">
        <v>1210</v>
      </c>
      <c r="Q486" t="s">
        <v>450</v>
      </c>
      <c r="R486">
        <v>2069171</v>
      </c>
      <c r="S486" t="s">
        <v>1204</v>
      </c>
      <c r="U486" t="s">
        <v>1223</v>
      </c>
      <c r="V486" t="s">
        <v>398</v>
      </c>
      <c r="W486" s="393">
        <v>-4267059.43</v>
      </c>
      <c r="X486" s="393">
        <v>-1092.3699999999999</v>
      </c>
      <c r="Y486" s="393">
        <v>-9438.74</v>
      </c>
      <c r="Z486" s="393">
        <v>-4267059.43</v>
      </c>
      <c r="AA486">
        <v>0</v>
      </c>
      <c r="AB486" s="400">
        <v>44421.911056215278</v>
      </c>
      <c r="AC486" t="s">
        <v>321</v>
      </c>
    </row>
    <row r="487" spans="1:29">
      <c r="A487" t="s">
        <v>382</v>
      </c>
      <c r="B487" t="s">
        <v>440</v>
      </c>
      <c r="C487" t="s">
        <v>1150</v>
      </c>
      <c r="D487" t="s">
        <v>1151</v>
      </c>
      <c r="E487" t="s">
        <v>427</v>
      </c>
      <c r="F487" t="s">
        <v>428</v>
      </c>
      <c r="G487">
        <v>1101079</v>
      </c>
      <c r="H487">
        <v>202107</v>
      </c>
      <c r="I487" s="400">
        <v>44408</v>
      </c>
      <c r="J487" t="s">
        <v>662</v>
      </c>
      <c r="K487" t="s">
        <v>386</v>
      </c>
      <c r="L487">
        <v>124475</v>
      </c>
      <c r="M487" t="s">
        <v>1208</v>
      </c>
      <c r="O487" t="s">
        <v>1209</v>
      </c>
      <c r="P487" t="s">
        <v>1210</v>
      </c>
      <c r="Q487" t="s">
        <v>450</v>
      </c>
      <c r="R487">
        <v>2069171</v>
      </c>
      <c r="S487" t="s">
        <v>1204</v>
      </c>
      <c r="U487" t="s">
        <v>1204</v>
      </c>
      <c r="V487" t="s">
        <v>398</v>
      </c>
      <c r="W487" s="393">
        <v>4267059.43</v>
      </c>
      <c r="X487" s="393">
        <v>1092.3699999999999</v>
      </c>
      <c r="Y487" s="393">
        <v>9438.74</v>
      </c>
      <c r="Z487" s="393">
        <v>4267059.43</v>
      </c>
      <c r="AA487">
        <v>0</v>
      </c>
      <c r="AB487" s="400">
        <v>44420.361900810189</v>
      </c>
      <c r="AC487" t="s">
        <v>321</v>
      </c>
    </row>
    <row r="488" spans="1:29">
      <c r="A488" t="s">
        <v>382</v>
      </c>
      <c r="B488" t="s">
        <v>440</v>
      </c>
      <c r="C488" t="s">
        <v>1150</v>
      </c>
      <c r="D488" t="s">
        <v>1151</v>
      </c>
      <c r="E488" t="s">
        <v>427</v>
      </c>
      <c r="F488" t="s">
        <v>428</v>
      </c>
      <c r="G488">
        <v>1101100</v>
      </c>
      <c r="H488">
        <v>202107</v>
      </c>
      <c r="I488" s="400">
        <v>44407</v>
      </c>
      <c r="J488" t="s">
        <v>1152</v>
      </c>
      <c r="K488" t="s">
        <v>386</v>
      </c>
      <c r="L488">
        <v>124475</v>
      </c>
      <c r="M488" t="s">
        <v>1208</v>
      </c>
      <c r="O488" t="s">
        <v>1209</v>
      </c>
      <c r="P488" t="s">
        <v>1210</v>
      </c>
      <c r="Q488" t="s">
        <v>450</v>
      </c>
      <c r="R488">
        <v>2069171</v>
      </c>
      <c r="S488" t="s">
        <v>1224</v>
      </c>
      <c r="U488" t="s">
        <v>1224</v>
      </c>
      <c r="V488" t="s">
        <v>398</v>
      </c>
      <c r="W488" s="393">
        <v>4267059.43</v>
      </c>
      <c r="X488" s="393">
        <v>1092.3699999999999</v>
      </c>
      <c r="Y488" s="393">
        <v>9438.74</v>
      </c>
      <c r="Z488" s="393">
        <v>4267059.43</v>
      </c>
      <c r="AA488">
        <v>0</v>
      </c>
      <c r="AB488" s="400">
        <v>44421.919517164351</v>
      </c>
      <c r="AC488" t="s">
        <v>321</v>
      </c>
    </row>
    <row r="489" spans="1:29">
      <c r="A489" t="s">
        <v>382</v>
      </c>
      <c r="B489" t="s">
        <v>1157</v>
      </c>
      <c r="C489" t="s">
        <v>1150</v>
      </c>
      <c r="D489" t="s">
        <v>1151</v>
      </c>
      <c r="E489" t="s">
        <v>390</v>
      </c>
      <c r="F489" t="s">
        <v>391</v>
      </c>
      <c r="G489">
        <v>6101316</v>
      </c>
      <c r="H489">
        <v>202107</v>
      </c>
      <c r="I489" s="400">
        <v>44400</v>
      </c>
      <c r="J489">
        <v>122536</v>
      </c>
      <c r="K489" t="s">
        <v>386</v>
      </c>
      <c r="L489">
        <v>125154</v>
      </c>
      <c r="M489" t="s">
        <v>1211</v>
      </c>
      <c r="O489" t="s">
        <v>1212</v>
      </c>
      <c r="P489" t="s">
        <v>1213</v>
      </c>
      <c r="Q489" t="s">
        <v>396</v>
      </c>
      <c r="R489">
        <v>2069198</v>
      </c>
      <c r="S489" t="s">
        <v>387</v>
      </c>
      <c r="U489" t="s">
        <v>1225</v>
      </c>
      <c r="V489" t="s">
        <v>398</v>
      </c>
      <c r="W489" s="393">
        <v>-2694589.3</v>
      </c>
      <c r="X489" s="393">
        <v>-714.07</v>
      </c>
      <c r="Y489" s="393">
        <v>-6065.52</v>
      </c>
      <c r="Z489" s="393">
        <v>-2694589.3</v>
      </c>
      <c r="AA489">
        <v>0</v>
      </c>
      <c r="AB489" s="400">
        <v>44400.790367905094</v>
      </c>
      <c r="AC489" t="s">
        <v>22</v>
      </c>
    </row>
    <row r="490" spans="1:29">
      <c r="A490" t="s">
        <v>382</v>
      </c>
      <c r="B490" t="s">
        <v>440</v>
      </c>
      <c r="C490" t="s">
        <v>1150</v>
      </c>
      <c r="D490" t="s">
        <v>1151</v>
      </c>
      <c r="E490" t="s">
        <v>427</v>
      </c>
      <c r="F490" t="s">
        <v>428</v>
      </c>
      <c r="G490">
        <v>1101079</v>
      </c>
      <c r="H490">
        <v>202107</v>
      </c>
      <c r="I490" s="400">
        <v>44408</v>
      </c>
      <c r="J490" t="s">
        <v>662</v>
      </c>
      <c r="K490" t="s">
        <v>386</v>
      </c>
      <c r="L490" t="s">
        <v>1162</v>
      </c>
      <c r="M490" t="s">
        <v>1163</v>
      </c>
      <c r="O490" t="s">
        <v>722</v>
      </c>
      <c r="P490" t="s">
        <v>723</v>
      </c>
      <c r="Q490" t="s">
        <v>396</v>
      </c>
      <c r="R490">
        <v>2069201</v>
      </c>
      <c r="S490" t="s">
        <v>1204</v>
      </c>
      <c r="U490" t="s">
        <v>1204</v>
      </c>
      <c r="V490" t="s">
        <v>398</v>
      </c>
      <c r="W490" s="393">
        <v>2484039.4300000002</v>
      </c>
      <c r="X490" s="393">
        <v>635.91</v>
      </c>
      <c r="Y490" s="393">
        <v>5494.7</v>
      </c>
      <c r="Z490" s="393">
        <v>2484039.4300000002</v>
      </c>
      <c r="AA490">
        <v>0</v>
      </c>
      <c r="AB490" s="400">
        <v>44420.361900810189</v>
      </c>
      <c r="AC490" t="s">
        <v>22</v>
      </c>
    </row>
    <row r="491" spans="1:29">
      <c r="A491" t="s">
        <v>382</v>
      </c>
      <c r="B491" t="s">
        <v>440</v>
      </c>
      <c r="C491" t="s">
        <v>1150</v>
      </c>
      <c r="D491" t="s">
        <v>1151</v>
      </c>
      <c r="E491" t="s">
        <v>427</v>
      </c>
      <c r="F491" t="s">
        <v>428</v>
      </c>
      <c r="G491">
        <v>1101100</v>
      </c>
      <c r="H491">
        <v>202107</v>
      </c>
      <c r="I491" s="400">
        <v>44407</v>
      </c>
      <c r="J491" t="s">
        <v>1152</v>
      </c>
      <c r="K491" t="s">
        <v>386</v>
      </c>
      <c r="L491" t="s">
        <v>1162</v>
      </c>
      <c r="M491" t="s">
        <v>1163</v>
      </c>
      <c r="O491" t="s">
        <v>722</v>
      </c>
      <c r="P491" t="s">
        <v>723</v>
      </c>
      <c r="Q491" t="s">
        <v>396</v>
      </c>
      <c r="R491">
        <v>2069201</v>
      </c>
      <c r="S491" t="s">
        <v>1224</v>
      </c>
      <c r="U491" t="s">
        <v>1224</v>
      </c>
      <c r="V491" t="s">
        <v>398</v>
      </c>
      <c r="W491" s="393">
        <v>2484039.4300000002</v>
      </c>
      <c r="X491" s="393">
        <v>635.91</v>
      </c>
      <c r="Y491" s="393">
        <v>5494.7</v>
      </c>
      <c r="Z491" s="393">
        <v>2484039.4300000002</v>
      </c>
      <c r="AA491">
        <v>0</v>
      </c>
      <c r="AB491" s="400">
        <v>44421.919517164351</v>
      </c>
      <c r="AC491" t="s">
        <v>22</v>
      </c>
    </row>
    <row r="492" spans="1:29">
      <c r="A492" t="s">
        <v>382</v>
      </c>
      <c r="B492" t="s">
        <v>440</v>
      </c>
      <c r="C492" t="s">
        <v>1150</v>
      </c>
      <c r="D492" t="s">
        <v>1151</v>
      </c>
      <c r="E492" t="s">
        <v>427</v>
      </c>
      <c r="F492" t="s">
        <v>428</v>
      </c>
      <c r="G492">
        <v>1101098</v>
      </c>
      <c r="H492">
        <v>202107</v>
      </c>
      <c r="I492" s="400">
        <v>44408</v>
      </c>
      <c r="J492" t="s">
        <v>1152</v>
      </c>
      <c r="K492" t="s">
        <v>386</v>
      </c>
      <c r="L492" t="s">
        <v>1162</v>
      </c>
      <c r="M492" t="s">
        <v>1163</v>
      </c>
      <c r="O492" t="s">
        <v>722</v>
      </c>
      <c r="P492" t="s">
        <v>723</v>
      </c>
      <c r="Q492" t="s">
        <v>396</v>
      </c>
      <c r="R492">
        <v>2069201</v>
      </c>
      <c r="S492" t="s">
        <v>1204</v>
      </c>
      <c r="U492" t="s">
        <v>1223</v>
      </c>
      <c r="V492" t="s">
        <v>398</v>
      </c>
      <c r="W492" s="393">
        <v>-2484039.4300000002</v>
      </c>
      <c r="X492" s="393">
        <v>-635.91</v>
      </c>
      <c r="Y492" s="393">
        <v>-5494.7</v>
      </c>
      <c r="Z492" s="393">
        <v>-2484039.4300000002</v>
      </c>
      <c r="AA492">
        <v>0</v>
      </c>
      <c r="AB492" s="400">
        <v>44421.911056215278</v>
      </c>
      <c r="AC492" t="s">
        <v>22</v>
      </c>
    </row>
    <row r="493" spans="1:29">
      <c r="A493" t="s">
        <v>382</v>
      </c>
      <c r="B493" t="s">
        <v>440</v>
      </c>
      <c r="C493" t="s">
        <v>1150</v>
      </c>
      <c r="D493" t="s">
        <v>1151</v>
      </c>
      <c r="E493" t="s">
        <v>427</v>
      </c>
      <c r="F493" t="s">
        <v>428</v>
      </c>
      <c r="G493">
        <v>1101101</v>
      </c>
      <c r="H493">
        <v>202107</v>
      </c>
      <c r="I493" s="400">
        <v>44407</v>
      </c>
      <c r="J493" t="s">
        <v>1152</v>
      </c>
      <c r="K493" t="s">
        <v>386</v>
      </c>
      <c r="L493" t="s">
        <v>1195</v>
      </c>
      <c r="M493" t="s">
        <v>1196</v>
      </c>
      <c r="O493" t="s">
        <v>1197</v>
      </c>
      <c r="P493" t="s">
        <v>1198</v>
      </c>
      <c r="Q493" t="s">
        <v>450</v>
      </c>
      <c r="R493">
        <v>2069187</v>
      </c>
      <c r="S493" t="s">
        <v>1224</v>
      </c>
      <c r="U493" t="s">
        <v>1224</v>
      </c>
      <c r="V493" t="s">
        <v>398</v>
      </c>
      <c r="W493" s="393">
        <v>3385855.22</v>
      </c>
      <c r="X493" s="393">
        <v>866.78</v>
      </c>
      <c r="Y493" s="393">
        <v>7489.51</v>
      </c>
      <c r="Z493" s="393">
        <v>3385855.22</v>
      </c>
      <c r="AA493">
        <v>0</v>
      </c>
      <c r="AB493" s="400">
        <v>44421.920988229169</v>
      </c>
      <c r="AC493" t="s">
        <v>321</v>
      </c>
    </row>
    <row r="494" spans="1:29">
      <c r="A494" t="s">
        <v>382</v>
      </c>
      <c r="B494" t="s">
        <v>440</v>
      </c>
      <c r="C494" t="s">
        <v>1150</v>
      </c>
      <c r="D494" t="s">
        <v>1151</v>
      </c>
      <c r="E494" t="s">
        <v>427</v>
      </c>
      <c r="F494" t="s">
        <v>428</v>
      </c>
      <c r="G494">
        <v>1101099</v>
      </c>
      <c r="H494">
        <v>202107</v>
      </c>
      <c r="I494" s="400">
        <v>44408</v>
      </c>
      <c r="J494" t="s">
        <v>1152</v>
      </c>
      <c r="K494" t="s">
        <v>386</v>
      </c>
      <c r="L494" t="s">
        <v>1195</v>
      </c>
      <c r="M494" t="s">
        <v>1196</v>
      </c>
      <c r="O494" t="s">
        <v>1197</v>
      </c>
      <c r="P494" t="s">
        <v>1198</v>
      </c>
      <c r="Q494" t="s">
        <v>450</v>
      </c>
      <c r="R494">
        <v>2069187</v>
      </c>
      <c r="S494" t="s">
        <v>1204</v>
      </c>
      <c r="U494" t="s">
        <v>1226</v>
      </c>
      <c r="V494" t="s">
        <v>398</v>
      </c>
      <c r="W494" s="393">
        <v>-3385855.22</v>
      </c>
      <c r="X494" s="393">
        <v>-866.78</v>
      </c>
      <c r="Y494" s="393">
        <v>-7489.51</v>
      </c>
      <c r="Z494" s="393">
        <v>-3385855.22</v>
      </c>
      <c r="AA494">
        <v>0</v>
      </c>
      <c r="AB494" s="400">
        <v>44421.916622141202</v>
      </c>
      <c r="AC494" t="s">
        <v>321</v>
      </c>
    </row>
    <row r="495" spans="1:29">
      <c r="A495" t="s">
        <v>382</v>
      </c>
      <c r="B495" t="s">
        <v>440</v>
      </c>
      <c r="C495" t="s">
        <v>1150</v>
      </c>
      <c r="D495" t="s">
        <v>1151</v>
      </c>
      <c r="E495" t="s">
        <v>427</v>
      </c>
      <c r="F495" t="s">
        <v>428</v>
      </c>
      <c r="G495">
        <v>1101080</v>
      </c>
      <c r="H495">
        <v>202107</v>
      </c>
      <c r="I495" s="400">
        <v>44408</v>
      </c>
      <c r="J495" t="s">
        <v>662</v>
      </c>
      <c r="K495" t="s">
        <v>386</v>
      </c>
      <c r="L495" t="s">
        <v>1195</v>
      </c>
      <c r="M495" t="s">
        <v>1196</v>
      </c>
      <c r="O495" t="s">
        <v>1197</v>
      </c>
      <c r="P495" t="s">
        <v>1198</v>
      </c>
      <c r="Q495" t="s">
        <v>450</v>
      </c>
      <c r="R495">
        <v>2069187</v>
      </c>
      <c r="S495" t="s">
        <v>1204</v>
      </c>
      <c r="U495" t="s">
        <v>1204</v>
      </c>
      <c r="V495" t="s">
        <v>398</v>
      </c>
      <c r="W495" s="393">
        <v>3385855.22</v>
      </c>
      <c r="X495" s="393">
        <v>866.78</v>
      </c>
      <c r="Y495" s="393">
        <v>7489.51</v>
      </c>
      <c r="Z495" s="393">
        <v>3385855.22</v>
      </c>
      <c r="AA495">
        <v>0</v>
      </c>
      <c r="AB495" s="400">
        <v>44420.364329201388</v>
      </c>
      <c r="AC495" t="s">
        <v>321</v>
      </c>
    </row>
    <row r="496" spans="1:29">
      <c r="A496" t="s">
        <v>382</v>
      </c>
      <c r="B496" t="s">
        <v>1157</v>
      </c>
      <c r="C496" t="s">
        <v>1150</v>
      </c>
      <c r="D496" t="s">
        <v>1151</v>
      </c>
      <c r="E496" t="s">
        <v>427</v>
      </c>
      <c r="F496" t="s">
        <v>428</v>
      </c>
      <c r="G496">
        <v>1101258</v>
      </c>
      <c r="H496">
        <v>202108</v>
      </c>
      <c r="I496" s="400">
        <v>44438</v>
      </c>
      <c r="J496" t="s">
        <v>1152</v>
      </c>
      <c r="K496" t="s">
        <v>386</v>
      </c>
      <c r="L496">
        <v>119010</v>
      </c>
      <c r="M496" t="s">
        <v>1158</v>
      </c>
      <c r="O496" t="s">
        <v>1159</v>
      </c>
      <c r="P496" t="s">
        <v>1160</v>
      </c>
      <c r="Q496" t="s">
        <v>450</v>
      </c>
      <c r="R496">
        <v>2069162</v>
      </c>
      <c r="S496" t="s">
        <v>1227</v>
      </c>
      <c r="U496" t="s">
        <v>1227</v>
      </c>
      <c r="V496" t="s">
        <v>398</v>
      </c>
      <c r="W496" s="393">
        <v>5910092.3899999997</v>
      </c>
      <c r="X496" s="393">
        <v>1529.12</v>
      </c>
      <c r="Y496" s="393">
        <v>13316.15</v>
      </c>
      <c r="Z496" s="393">
        <v>5910092.3899999997</v>
      </c>
      <c r="AA496">
        <v>0</v>
      </c>
      <c r="AB496" s="400">
        <v>44449.169700925922</v>
      </c>
      <c r="AC496" t="s">
        <v>321</v>
      </c>
    </row>
    <row r="497" spans="1:29">
      <c r="A497" t="s">
        <v>382</v>
      </c>
      <c r="B497" t="s">
        <v>440</v>
      </c>
      <c r="C497" t="s">
        <v>1150</v>
      </c>
      <c r="D497" t="s">
        <v>1151</v>
      </c>
      <c r="E497" t="s">
        <v>427</v>
      </c>
      <c r="F497" t="s">
        <v>428</v>
      </c>
      <c r="G497">
        <v>1101259</v>
      </c>
      <c r="H497">
        <v>202108</v>
      </c>
      <c r="I497" s="400">
        <v>44438</v>
      </c>
      <c r="J497" t="s">
        <v>1152</v>
      </c>
      <c r="K497" t="s">
        <v>386</v>
      </c>
      <c r="L497">
        <v>122377</v>
      </c>
      <c r="M497" t="s">
        <v>1228</v>
      </c>
      <c r="O497" t="s">
        <v>1229</v>
      </c>
      <c r="P497" t="s">
        <v>1230</v>
      </c>
      <c r="Q497" t="s">
        <v>450</v>
      </c>
      <c r="R497">
        <v>2069155</v>
      </c>
      <c r="S497" t="s">
        <v>1227</v>
      </c>
      <c r="U497" t="s">
        <v>1227</v>
      </c>
      <c r="V497" t="s">
        <v>398</v>
      </c>
      <c r="W497" s="393">
        <v>3617252.2</v>
      </c>
      <c r="X497" s="393">
        <v>935.89</v>
      </c>
      <c r="Y497" s="393">
        <v>8150.1</v>
      </c>
      <c r="Z497" s="393">
        <v>3617252.2</v>
      </c>
      <c r="AA497">
        <v>0</v>
      </c>
      <c r="AB497" s="400">
        <v>44449.170853321761</v>
      </c>
      <c r="AC497" t="s">
        <v>321</v>
      </c>
    </row>
    <row r="498" spans="1:29">
      <c r="A498" t="s">
        <v>382</v>
      </c>
      <c r="B498" t="s">
        <v>440</v>
      </c>
      <c r="C498" t="s">
        <v>1150</v>
      </c>
      <c r="D498" t="s">
        <v>1151</v>
      </c>
      <c r="E498" t="s">
        <v>427</v>
      </c>
      <c r="F498" t="s">
        <v>428</v>
      </c>
      <c r="G498">
        <v>1101258</v>
      </c>
      <c r="H498">
        <v>202108</v>
      </c>
      <c r="I498" s="400">
        <v>44438</v>
      </c>
      <c r="J498" t="s">
        <v>1152</v>
      </c>
      <c r="K498" t="s">
        <v>386</v>
      </c>
      <c r="L498">
        <v>123780</v>
      </c>
      <c r="M498" t="s">
        <v>1153</v>
      </c>
      <c r="O498" t="s">
        <v>1154</v>
      </c>
      <c r="P498" t="s">
        <v>1155</v>
      </c>
      <c r="Q498" t="s">
        <v>396</v>
      </c>
      <c r="R498">
        <v>2069199</v>
      </c>
      <c r="S498" t="s">
        <v>1227</v>
      </c>
      <c r="U498" t="s">
        <v>1227</v>
      </c>
      <c r="V498" t="s">
        <v>398</v>
      </c>
      <c r="W498" s="393">
        <v>4359234.3899999997</v>
      </c>
      <c r="X498" s="393">
        <v>1127.8599999999999</v>
      </c>
      <c r="Y498" s="393">
        <v>9821.8799999999992</v>
      </c>
      <c r="Z498" s="393">
        <v>4359234.3899999997</v>
      </c>
      <c r="AA498">
        <v>0</v>
      </c>
      <c r="AB498" s="400">
        <v>44449.169700925922</v>
      </c>
      <c r="AC498" t="s">
        <v>22</v>
      </c>
    </row>
    <row r="499" spans="1:29">
      <c r="A499" t="s">
        <v>382</v>
      </c>
      <c r="B499" t="s">
        <v>440</v>
      </c>
      <c r="C499" t="s">
        <v>1150</v>
      </c>
      <c r="D499" t="s">
        <v>1151</v>
      </c>
      <c r="E499" t="s">
        <v>427</v>
      </c>
      <c r="F499" t="s">
        <v>428</v>
      </c>
      <c r="G499">
        <v>1101258</v>
      </c>
      <c r="H499">
        <v>202108</v>
      </c>
      <c r="I499" s="400">
        <v>44438</v>
      </c>
      <c r="J499" t="s">
        <v>1152</v>
      </c>
      <c r="K499" t="s">
        <v>386</v>
      </c>
      <c r="L499">
        <v>124474</v>
      </c>
      <c r="M499" t="s">
        <v>1165</v>
      </c>
      <c r="O499" t="s">
        <v>1166</v>
      </c>
      <c r="P499" t="s">
        <v>1167</v>
      </c>
      <c r="Q499" t="s">
        <v>396</v>
      </c>
      <c r="R499">
        <v>2069151</v>
      </c>
      <c r="S499" t="s">
        <v>1227</v>
      </c>
      <c r="U499" t="s">
        <v>1227</v>
      </c>
      <c r="V499" t="s">
        <v>398</v>
      </c>
      <c r="W499" s="393">
        <v>4349580.3899999997</v>
      </c>
      <c r="X499" s="393">
        <v>1125.3699999999999</v>
      </c>
      <c r="Y499" s="393">
        <v>9800.1299999999992</v>
      </c>
      <c r="Z499" s="393">
        <v>4349580.3899999997</v>
      </c>
      <c r="AA499">
        <v>0</v>
      </c>
      <c r="AB499" s="400">
        <v>44449.169700925922</v>
      </c>
      <c r="AC499" t="s">
        <v>321</v>
      </c>
    </row>
    <row r="500" spans="1:29">
      <c r="A500" t="s">
        <v>382</v>
      </c>
      <c r="B500" t="s">
        <v>440</v>
      </c>
      <c r="C500" t="s">
        <v>1150</v>
      </c>
      <c r="D500" t="s">
        <v>1151</v>
      </c>
      <c r="E500" t="s">
        <v>427</v>
      </c>
      <c r="F500" t="s">
        <v>428</v>
      </c>
      <c r="G500">
        <v>1101258</v>
      </c>
      <c r="H500">
        <v>202108</v>
      </c>
      <c r="I500" s="400">
        <v>44438</v>
      </c>
      <c r="J500" t="s">
        <v>1152</v>
      </c>
      <c r="K500" t="s">
        <v>386</v>
      </c>
      <c r="L500">
        <v>126111</v>
      </c>
      <c r="M500" t="s">
        <v>1231</v>
      </c>
      <c r="O500" t="s">
        <v>1232</v>
      </c>
      <c r="P500" t="s">
        <v>1233</v>
      </c>
      <c r="Q500" t="s">
        <v>450</v>
      </c>
      <c r="R500">
        <v>2069179</v>
      </c>
      <c r="S500" t="s">
        <v>1227</v>
      </c>
      <c r="U500" t="s">
        <v>1227</v>
      </c>
      <c r="V500" t="s">
        <v>398</v>
      </c>
      <c r="W500" s="393">
        <v>3422901.39</v>
      </c>
      <c r="X500" s="393">
        <v>885.61</v>
      </c>
      <c r="Y500" s="393">
        <v>7712.21</v>
      </c>
      <c r="Z500" s="393">
        <v>3422901.39</v>
      </c>
      <c r="AA500">
        <v>0</v>
      </c>
      <c r="AB500" s="400">
        <v>44449.169700925922</v>
      </c>
      <c r="AC500" t="s">
        <v>321</v>
      </c>
    </row>
    <row r="501" spans="1:29">
      <c r="A501" t="s">
        <v>382</v>
      </c>
      <c r="B501" t="s">
        <v>1157</v>
      </c>
      <c r="C501" t="s">
        <v>1150</v>
      </c>
      <c r="D501" t="s">
        <v>1151</v>
      </c>
      <c r="E501" t="s">
        <v>427</v>
      </c>
      <c r="F501" t="s">
        <v>428</v>
      </c>
      <c r="G501">
        <v>1101259</v>
      </c>
      <c r="H501">
        <v>202108</v>
      </c>
      <c r="I501" s="400">
        <v>44438</v>
      </c>
      <c r="J501" t="s">
        <v>1152</v>
      </c>
      <c r="K501" t="s">
        <v>386</v>
      </c>
      <c r="L501" t="s">
        <v>1175</v>
      </c>
      <c r="M501" t="s">
        <v>1176</v>
      </c>
      <c r="O501" t="s">
        <v>1177</v>
      </c>
      <c r="P501" t="s">
        <v>1178</v>
      </c>
      <c r="Q501" t="s">
        <v>450</v>
      </c>
      <c r="R501">
        <v>2069175</v>
      </c>
      <c r="S501" t="s">
        <v>1227</v>
      </c>
      <c r="U501" t="s">
        <v>1227</v>
      </c>
      <c r="V501" t="s">
        <v>398</v>
      </c>
      <c r="W501" s="393">
        <v>4072163.2</v>
      </c>
      <c r="X501" s="393">
        <v>1053.5899999999999</v>
      </c>
      <c r="Y501" s="393">
        <v>9175.07</v>
      </c>
      <c r="Z501" s="393">
        <v>4072163.2</v>
      </c>
      <c r="AA501">
        <v>0</v>
      </c>
      <c r="AB501" s="400">
        <v>44449.170853321761</v>
      </c>
      <c r="AC501" t="s">
        <v>321</v>
      </c>
    </row>
    <row r="502" spans="1:29">
      <c r="A502" t="s">
        <v>382</v>
      </c>
      <c r="B502" t="s">
        <v>440</v>
      </c>
      <c r="C502" t="s">
        <v>1150</v>
      </c>
      <c r="D502" t="s">
        <v>1151</v>
      </c>
      <c r="E502" t="s">
        <v>427</v>
      </c>
      <c r="F502" t="s">
        <v>428</v>
      </c>
      <c r="G502">
        <v>1101258</v>
      </c>
      <c r="H502">
        <v>202108</v>
      </c>
      <c r="I502" s="400">
        <v>44438</v>
      </c>
      <c r="J502" t="s">
        <v>1152</v>
      </c>
      <c r="K502" t="s">
        <v>386</v>
      </c>
      <c r="L502" t="s">
        <v>1234</v>
      </c>
      <c r="M502" t="s">
        <v>1235</v>
      </c>
      <c r="O502" t="s">
        <v>1236</v>
      </c>
      <c r="P502" t="s">
        <v>1237</v>
      </c>
      <c r="Q502" t="s">
        <v>450</v>
      </c>
      <c r="R502">
        <v>2069155</v>
      </c>
      <c r="S502" t="s">
        <v>1227</v>
      </c>
      <c r="U502" t="s">
        <v>1227</v>
      </c>
      <c r="V502" t="s">
        <v>398</v>
      </c>
      <c r="W502" s="393">
        <v>1245789.28</v>
      </c>
      <c r="X502" s="393">
        <v>322.32</v>
      </c>
      <c r="Y502" s="393">
        <v>2806.91</v>
      </c>
      <c r="Z502" s="393">
        <v>1245789.28</v>
      </c>
      <c r="AA502">
        <v>0</v>
      </c>
      <c r="AB502" s="400">
        <v>44449.169700925922</v>
      </c>
      <c r="AC502" t="s">
        <v>321</v>
      </c>
    </row>
    <row r="503" spans="1:29">
      <c r="A503" t="s">
        <v>382</v>
      </c>
      <c r="B503" t="s">
        <v>440</v>
      </c>
      <c r="C503" t="s">
        <v>1150</v>
      </c>
      <c r="D503" t="s">
        <v>1151</v>
      </c>
      <c r="E503" t="s">
        <v>427</v>
      </c>
      <c r="F503" t="s">
        <v>428</v>
      </c>
      <c r="G503">
        <v>1101259</v>
      </c>
      <c r="H503">
        <v>202108</v>
      </c>
      <c r="I503" s="400">
        <v>44438</v>
      </c>
      <c r="J503" t="s">
        <v>1152</v>
      </c>
      <c r="K503" t="s">
        <v>386</v>
      </c>
      <c r="L503" t="s">
        <v>1179</v>
      </c>
      <c r="M503" t="s">
        <v>1180</v>
      </c>
      <c r="O503" t="s">
        <v>1181</v>
      </c>
      <c r="P503" t="s">
        <v>1182</v>
      </c>
      <c r="Q503" t="s">
        <v>450</v>
      </c>
      <c r="R503">
        <v>2069170</v>
      </c>
      <c r="S503" t="s">
        <v>1227</v>
      </c>
      <c r="U503" t="s">
        <v>1227</v>
      </c>
      <c r="V503" t="s">
        <v>398</v>
      </c>
      <c r="W503" s="393">
        <v>3947292.2</v>
      </c>
      <c r="X503" s="393">
        <v>1021.28</v>
      </c>
      <c r="Y503" s="393">
        <v>8893.7199999999993</v>
      </c>
      <c r="Z503" s="393">
        <v>3947292.2</v>
      </c>
      <c r="AA503">
        <v>0</v>
      </c>
      <c r="AB503" s="400">
        <v>44449.170853321761</v>
      </c>
      <c r="AC503" t="s">
        <v>321</v>
      </c>
    </row>
    <row r="504" spans="1:29">
      <c r="A504" t="s">
        <v>382</v>
      </c>
      <c r="B504" t="s">
        <v>440</v>
      </c>
      <c r="C504" t="s">
        <v>1150</v>
      </c>
      <c r="D504" t="s">
        <v>1151</v>
      </c>
      <c r="E504" t="s">
        <v>427</v>
      </c>
      <c r="F504" t="s">
        <v>428</v>
      </c>
      <c r="G504">
        <v>1101258</v>
      </c>
      <c r="H504">
        <v>202108</v>
      </c>
      <c r="I504" s="400">
        <v>44438</v>
      </c>
      <c r="J504" t="s">
        <v>1152</v>
      </c>
      <c r="K504" t="s">
        <v>386</v>
      </c>
      <c r="L504" t="s">
        <v>1162</v>
      </c>
      <c r="M504" t="s">
        <v>1163</v>
      </c>
      <c r="O504" t="s">
        <v>722</v>
      </c>
      <c r="P504" t="s">
        <v>723</v>
      </c>
      <c r="Q504" t="s">
        <v>396</v>
      </c>
      <c r="R504">
        <v>2069201</v>
      </c>
      <c r="S504" t="s">
        <v>1227</v>
      </c>
      <c r="U504" t="s">
        <v>1227</v>
      </c>
      <c r="V504" t="s">
        <v>398</v>
      </c>
      <c r="W504" s="393">
        <v>2510893.3199999998</v>
      </c>
      <c r="X504" s="393">
        <v>649.64</v>
      </c>
      <c r="Y504" s="393">
        <v>5657.34</v>
      </c>
      <c r="Z504" s="393">
        <v>2510893.3199999998</v>
      </c>
      <c r="AA504">
        <v>0</v>
      </c>
      <c r="AB504" s="400">
        <v>44449.169700925922</v>
      </c>
      <c r="AC504" t="s">
        <v>22</v>
      </c>
    </row>
    <row r="505" spans="1:29">
      <c r="A505" t="s">
        <v>382</v>
      </c>
      <c r="B505" t="s">
        <v>440</v>
      </c>
      <c r="C505" t="s">
        <v>1150</v>
      </c>
      <c r="D505" t="s">
        <v>1151</v>
      </c>
      <c r="E505" t="s">
        <v>427</v>
      </c>
      <c r="F505" t="s">
        <v>428</v>
      </c>
      <c r="G505">
        <v>1101259</v>
      </c>
      <c r="H505">
        <v>202108</v>
      </c>
      <c r="I505" s="400">
        <v>44438</v>
      </c>
      <c r="J505" t="s">
        <v>1152</v>
      </c>
      <c r="K505" t="s">
        <v>386</v>
      </c>
      <c r="L505" t="s">
        <v>1183</v>
      </c>
      <c r="M505" t="s">
        <v>1184</v>
      </c>
      <c r="O505" t="s">
        <v>1185</v>
      </c>
      <c r="P505" t="s">
        <v>1186</v>
      </c>
      <c r="Q505" t="s">
        <v>450</v>
      </c>
      <c r="R505">
        <v>2069194</v>
      </c>
      <c r="S505" t="s">
        <v>1227</v>
      </c>
      <c r="U505" t="s">
        <v>1227</v>
      </c>
      <c r="V505" t="s">
        <v>398</v>
      </c>
      <c r="W505" s="393">
        <v>1912383.42</v>
      </c>
      <c r="X505" s="393">
        <v>494.79</v>
      </c>
      <c r="Y505" s="393">
        <v>4308.83</v>
      </c>
      <c r="Z505" s="393">
        <v>1912383.42</v>
      </c>
      <c r="AA505">
        <v>0</v>
      </c>
      <c r="AB505" s="400">
        <v>44449.170853321761</v>
      </c>
      <c r="AC505" t="s">
        <v>321</v>
      </c>
    </row>
    <row r="506" spans="1:29">
      <c r="A506" t="s">
        <v>382</v>
      </c>
      <c r="B506" t="s">
        <v>440</v>
      </c>
      <c r="C506" t="s">
        <v>1150</v>
      </c>
      <c r="D506" t="s">
        <v>1151</v>
      </c>
      <c r="E506" t="s">
        <v>427</v>
      </c>
      <c r="F506" t="s">
        <v>428</v>
      </c>
      <c r="G506">
        <v>1101259</v>
      </c>
      <c r="H506">
        <v>202108</v>
      </c>
      <c r="I506" s="400">
        <v>44438</v>
      </c>
      <c r="J506" t="s">
        <v>1152</v>
      </c>
      <c r="K506" t="s">
        <v>386</v>
      </c>
      <c r="L506" t="s">
        <v>1191</v>
      </c>
      <c r="M506" t="s">
        <v>1192</v>
      </c>
      <c r="O506" t="s">
        <v>1193</v>
      </c>
      <c r="P506" t="s">
        <v>1194</v>
      </c>
      <c r="Q506" t="s">
        <v>450</v>
      </c>
      <c r="R506">
        <v>2069166</v>
      </c>
      <c r="S506" t="s">
        <v>1227</v>
      </c>
      <c r="U506" t="s">
        <v>1227</v>
      </c>
      <c r="V506" t="s">
        <v>398</v>
      </c>
      <c r="W506" s="393">
        <v>3094491.08</v>
      </c>
      <c r="X506" s="393">
        <v>800.64</v>
      </c>
      <c r="Y506" s="393">
        <v>6972.26</v>
      </c>
      <c r="Z506" s="393">
        <v>3094491.08</v>
      </c>
      <c r="AA506">
        <v>0</v>
      </c>
      <c r="AB506" s="400">
        <v>44449.170853321761</v>
      </c>
      <c r="AC506" t="s">
        <v>321</v>
      </c>
    </row>
    <row r="507" spans="1:29">
      <c r="A507" t="s">
        <v>382</v>
      </c>
      <c r="B507" t="s">
        <v>1157</v>
      </c>
      <c r="C507" t="s">
        <v>1150</v>
      </c>
      <c r="D507" t="s">
        <v>1151</v>
      </c>
      <c r="E507" t="s">
        <v>427</v>
      </c>
      <c r="F507" t="s">
        <v>428</v>
      </c>
      <c r="G507">
        <v>1101447</v>
      </c>
      <c r="H507">
        <v>202109</v>
      </c>
      <c r="I507" s="400">
        <v>44469</v>
      </c>
      <c r="J507" t="s">
        <v>1152</v>
      </c>
      <c r="K507" t="s">
        <v>386</v>
      </c>
      <c r="L507">
        <v>119010</v>
      </c>
      <c r="M507" t="s">
        <v>1158</v>
      </c>
      <c r="O507" t="s">
        <v>1159</v>
      </c>
      <c r="P507" t="s">
        <v>1160</v>
      </c>
      <c r="Q507" t="s">
        <v>450</v>
      </c>
      <c r="R507">
        <v>2069162</v>
      </c>
      <c r="S507" t="s">
        <v>1238</v>
      </c>
      <c r="U507" t="s">
        <v>1238</v>
      </c>
      <c r="V507" t="s">
        <v>398</v>
      </c>
      <c r="W507" s="393">
        <v>6118875.0300000003</v>
      </c>
      <c r="X507" s="393">
        <v>1595.68</v>
      </c>
      <c r="Y507" s="393">
        <v>13874.92</v>
      </c>
      <c r="Z507" s="393">
        <v>6118875.0300000003</v>
      </c>
      <c r="AA507">
        <v>0</v>
      </c>
      <c r="AB507" s="400">
        <v>44477.120554629633</v>
      </c>
      <c r="AC507" t="s">
        <v>321</v>
      </c>
    </row>
    <row r="508" spans="1:29">
      <c r="A508" t="s">
        <v>382</v>
      </c>
      <c r="B508" t="s">
        <v>1157</v>
      </c>
      <c r="C508" t="s">
        <v>1150</v>
      </c>
      <c r="D508" t="s">
        <v>1151</v>
      </c>
      <c r="E508" t="s">
        <v>427</v>
      </c>
      <c r="F508" t="s">
        <v>428</v>
      </c>
      <c r="G508">
        <v>1101439</v>
      </c>
      <c r="H508">
        <v>202109</v>
      </c>
      <c r="I508" s="400">
        <v>44469</v>
      </c>
      <c r="J508" t="s">
        <v>1152</v>
      </c>
      <c r="K508" t="s">
        <v>386</v>
      </c>
      <c r="L508">
        <v>119010</v>
      </c>
      <c r="M508" t="s">
        <v>1158</v>
      </c>
      <c r="O508" t="s">
        <v>1159</v>
      </c>
      <c r="P508" t="s">
        <v>1160</v>
      </c>
      <c r="Q508" t="s">
        <v>450</v>
      </c>
      <c r="R508">
        <v>2069162</v>
      </c>
      <c r="S508" t="s">
        <v>1238</v>
      </c>
      <c r="U508" t="s">
        <v>1238</v>
      </c>
      <c r="V508" t="s">
        <v>398</v>
      </c>
      <c r="W508" s="393">
        <v>6118390.7999999998</v>
      </c>
      <c r="X508" s="393">
        <v>1595.55</v>
      </c>
      <c r="Y508" s="393">
        <v>13873.82</v>
      </c>
      <c r="Z508" s="393">
        <v>6118390.7999999998</v>
      </c>
      <c r="AA508">
        <v>0</v>
      </c>
      <c r="AB508" s="400">
        <v>44476.964070983799</v>
      </c>
      <c r="AC508" t="s">
        <v>321</v>
      </c>
    </row>
    <row r="509" spans="1:29">
      <c r="A509" t="s">
        <v>382</v>
      </c>
      <c r="B509" t="s">
        <v>1157</v>
      </c>
      <c r="C509" t="s">
        <v>1150</v>
      </c>
      <c r="D509" t="s">
        <v>1151</v>
      </c>
      <c r="E509" t="s">
        <v>427</v>
      </c>
      <c r="F509" t="s">
        <v>428</v>
      </c>
      <c r="G509">
        <v>1101443</v>
      </c>
      <c r="H509">
        <v>202109</v>
      </c>
      <c r="I509" s="400">
        <v>44469</v>
      </c>
      <c r="J509" t="s">
        <v>1152</v>
      </c>
      <c r="K509" t="s">
        <v>386</v>
      </c>
      <c r="L509">
        <v>119010</v>
      </c>
      <c r="M509" t="s">
        <v>1158</v>
      </c>
      <c r="O509" t="s">
        <v>1159</v>
      </c>
      <c r="P509" t="s">
        <v>1160</v>
      </c>
      <c r="Q509" t="s">
        <v>450</v>
      </c>
      <c r="R509">
        <v>2069162</v>
      </c>
      <c r="S509" t="s">
        <v>1238</v>
      </c>
      <c r="U509" t="s">
        <v>1239</v>
      </c>
      <c r="V509" t="s">
        <v>398</v>
      </c>
      <c r="W509" s="393">
        <v>-6118390.7999999998</v>
      </c>
      <c r="X509" s="393">
        <v>-1595.55</v>
      </c>
      <c r="Y509" s="393">
        <v>-13873.82</v>
      </c>
      <c r="Z509" s="393">
        <v>-6118390.7999999998</v>
      </c>
      <c r="AA509">
        <v>0</v>
      </c>
      <c r="AB509" s="400">
        <v>44477.012322337963</v>
      </c>
      <c r="AC509" t="s">
        <v>321</v>
      </c>
    </row>
    <row r="510" spans="1:29">
      <c r="A510" t="s">
        <v>382</v>
      </c>
      <c r="B510" t="s">
        <v>440</v>
      </c>
      <c r="C510" t="s">
        <v>1150</v>
      </c>
      <c r="D510" t="s">
        <v>1151</v>
      </c>
      <c r="E510" t="s">
        <v>427</v>
      </c>
      <c r="F510" t="s">
        <v>428</v>
      </c>
      <c r="G510">
        <v>1101439</v>
      </c>
      <c r="H510">
        <v>202109</v>
      </c>
      <c r="I510" s="400">
        <v>44469</v>
      </c>
      <c r="J510" t="s">
        <v>1152</v>
      </c>
      <c r="K510" t="s">
        <v>386</v>
      </c>
      <c r="L510">
        <v>122377</v>
      </c>
      <c r="M510" t="s">
        <v>1228</v>
      </c>
      <c r="O510" t="s">
        <v>1229</v>
      </c>
      <c r="P510" t="s">
        <v>1230</v>
      </c>
      <c r="Q510" t="s">
        <v>450</v>
      </c>
      <c r="R510">
        <v>2069155</v>
      </c>
      <c r="S510" t="s">
        <v>1238</v>
      </c>
      <c r="U510" t="s">
        <v>1238</v>
      </c>
      <c r="V510" t="s">
        <v>398</v>
      </c>
      <c r="W510" s="393">
        <v>2188654.14</v>
      </c>
      <c r="X510" s="393">
        <v>570.76</v>
      </c>
      <c r="Y510" s="393">
        <v>4962.8999999999996</v>
      </c>
      <c r="Z510" s="393">
        <v>2188654.14</v>
      </c>
      <c r="AA510">
        <v>0</v>
      </c>
      <c r="AB510" s="400">
        <v>44476.964070983799</v>
      </c>
      <c r="AC510" t="s">
        <v>321</v>
      </c>
    </row>
    <row r="511" spans="1:29">
      <c r="A511" t="s">
        <v>382</v>
      </c>
      <c r="B511" t="s">
        <v>440</v>
      </c>
      <c r="C511" t="s">
        <v>1150</v>
      </c>
      <c r="D511" t="s">
        <v>1151</v>
      </c>
      <c r="E511" t="s">
        <v>427</v>
      </c>
      <c r="F511" t="s">
        <v>428</v>
      </c>
      <c r="G511">
        <v>1101443</v>
      </c>
      <c r="H511">
        <v>202109</v>
      </c>
      <c r="I511" s="400">
        <v>44469</v>
      </c>
      <c r="J511" t="s">
        <v>1152</v>
      </c>
      <c r="K511" t="s">
        <v>386</v>
      </c>
      <c r="L511">
        <v>122377</v>
      </c>
      <c r="M511" t="s">
        <v>1228</v>
      </c>
      <c r="O511" t="s">
        <v>1229</v>
      </c>
      <c r="P511" t="s">
        <v>1230</v>
      </c>
      <c r="Q511" t="s">
        <v>450</v>
      </c>
      <c r="R511">
        <v>2069155</v>
      </c>
      <c r="S511" t="s">
        <v>1238</v>
      </c>
      <c r="U511" t="s">
        <v>1239</v>
      </c>
      <c r="V511" t="s">
        <v>398</v>
      </c>
      <c r="W511" s="393">
        <v>-2188654.14</v>
      </c>
      <c r="X511" s="393">
        <v>-570.76</v>
      </c>
      <c r="Y511" s="393">
        <v>-4962.8999999999996</v>
      </c>
      <c r="Z511" s="393">
        <v>-2188654.14</v>
      </c>
      <c r="AA511">
        <v>0</v>
      </c>
      <c r="AB511" s="400">
        <v>44477.012322337963</v>
      </c>
      <c r="AC511" t="s">
        <v>321</v>
      </c>
    </row>
    <row r="512" spans="1:29">
      <c r="A512" t="s">
        <v>382</v>
      </c>
      <c r="B512" t="s">
        <v>440</v>
      </c>
      <c r="C512" t="s">
        <v>1150</v>
      </c>
      <c r="D512" t="s">
        <v>1151</v>
      </c>
      <c r="E512" t="s">
        <v>427</v>
      </c>
      <c r="F512" t="s">
        <v>428</v>
      </c>
      <c r="G512">
        <v>1101447</v>
      </c>
      <c r="H512">
        <v>202109</v>
      </c>
      <c r="I512" s="400">
        <v>44469</v>
      </c>
      <c r="J512" t="s">
        <v>1152</v>
      </c>
      <c r="K512" t="s">
        <v>386</v>
      </c>
      <c r="L512">
        <v>122377</v>
      </c>
      <c r="M512" t="s">
        <v>1228</v>
      </c>
      <c r="O512" t="s">
        <v>1229</v>
      </c>
      <c r="P512" t="s">
        <v>1230</v>
      </c>
      <c r="Q512" t="s">
        <v>450</v>
      </c>
      <c r="R512">
        <v>2069155</v>
      </c>
      <c r="S512" t="s">
        <v>1238</v>
      </c>
      <c r="U512" t="s">
        <v>1238</v>
      </c>
      <c r="V512" t="s">
        <v>398</v>
      </c>
      <c r="W512" s="393">
        <v>2188799.41</v>
      </c>
      <c r="X512" s="393">
        <v>570.79999999999995</v>
      </c>
      <c r="Y512" s="393">
        <v>4963.2299999999996</v>
      </c>
      <c r="Z512" s="393">
        <v>2188799.41</v>
      </c>
      <c r="AA512">
        <v>0</v>
      </c>
      <c r="AB512" s="400">
        <v>44477.120554629633</v>
      </c>
      <c r="AC512" t="s">
        <v>321</v>
      </c>
    </row>
    <row r="513" spans="1:29">
      <c r="A513" t="s">
        <v>382</v>
      </c>
      <c r="B513" t="s">
        <v>440</v>
      </c>
      <c r="C513" t="s">
        <v>1150</v>
      </c>
      <c r="D513" t="s">
        <v>1151</v>
      </c>
      <c r="E513" t="s">
        <v>427</v>
      </c>
      <c r="F513" t="s">
        <v>428</v>
      </c>
      <c r="G513">
        <v>1101447</v>
      </c>
      <c r="H513">
        <v>202109</v>
      </c>
      <c r="I513" s="400">
        <v>44469</v>
      </c>
      <c r="J513" t="s">
        <v>1152</v>
      </c>
      <c r="K513" t="s">
        <v>386</v>
      </c>
      <c r="L513">
        <v>122536</v>
      </c>
      <c r="M513" t="s">
        <v>1240</v>
      </c>
      <c r="O513" t="s">
        <v>1241</v>
      </c>
      <c r="P513" t="s">
        <v>1242</v>
      </c>
      <c r="Q513" t="s">
        <v>450</v>
      </c>
      <c r="R513">
        <v>2069164</v>
      </c>
      <c r="S513" t="s">
        <v>1238</v>
      </c>
      <c r="U513" t="s">
        <v>1238</v>
      </c>
      <c r="V513" t="s">
        <v>398</v>
      </c>
      <c r="W513" s="393">
        <v>429081</v>
      </c>
      <c r="X513" s="393">
        <v>111.9</v>
      </c>
      <c r="Y513" s="393">
        <v>972.97</v>
      </c>
      <c r="Z513" s="393">
        <v>429081</v>
      </c>
      <c r="AA513">
        <v>0</v>
      </c>
      <c r="AB513" s="400">
        <v>44477.120554629633</v>
      </c>
      <c r="AC513" t="s">
        <v>321</v>
      </c>
    </row>
    <row r="514" spans="1:29">
      <c r="A514" t="s">
        <v>382</v>
      </c>
      <c r="B514" t="s">
        <v>440</v>
      </c>
      <c r="C514" t="s">
        <v>1150</v>
      </c>
      <c r="D514" t="s">
        <v>1151</v>
      </c>
      <c r="E514" t="s">
        <v>427</v>
      </c>
      <c r="F514" t="s">
        <v>428</v>
      </c>
      <c r="G514">
        <v>1101443</v>
      </c>
      <c r="H514">
        <v>202109</v>
      </c>
      <c r="I514" s="400">
        <v>44469</v>
      </c>
      <c r="J514" t="s">
        <v>1152</v>
      </c>
      <c r="K514" t="s">
        <v>386</v>
      </c>
      <c r="L514">
        <v>122536</v>
      </c>
      <c r="M514" t="s">
        <v>1240</v>
      </c>
      <c r="O514" t="s">
        <v>1241</v>
      </c>
      <c r="P514" t="s">
        <v>1242</v>
      </c>
      <c r="Q514" t="s">
        <v>450</v>
      </c>
      <c r="R514">
        <v>2069164</v>
      </c>
      <c r="S514" t="s">
        <v>1238</v>
      </c>
      <c r="U514" t="s">
        <v>1239</v>
      </c>
      <c r="V514" t="s">
        <v>398</v>
      </c>
      <c r="W514" s="393">
        <v>-429032.58</v>
      </c>
      <c r="X514" s="393">
        <v>-111.88</v>
      </c>
      <c r="Y514" s="393">
        <v>-972.86</v>
      </c>
      <c r="Z514" s="393">
        <v>-429032.58</v>
      </c>
      <c r="AA514">
        <v>0</v>
      </c>
      <c r="AB514" s="400">
        <v>44477.012322337963</v>
      </c>
      <c r="AC514" t="s">
        <v>321</v>
      </c>
    </row>
    <row r="515" spans="1:29">
      <c r="A515" t="s">
        <v>382</v>
      </c>
      <c r="B515" t="s">
        <v>440</v>
      </c>
      <c r="C515" t="s">
        <v>1150</v>
      </c>
      <c r="D515" t="s">
        <v>1151</v>
      </c>
      <c r="E515" t="s">
        <v>427</v>
      </c>
      <c r="F515" t="s">
        <v>428</v>
      </c>
      <c r="G515">
        <v>1101439</v>
      </c>
      <c r="H515">
        <v>202109</v>
      </c>
      <c r="I515" s="400">
        <v>44469</v>
      </c>
      <c r="J515" t="s">
        <v>1152</v>
      </c>
      <c r="K515" t="s">
        <v>386</v>
      </c>
      <c r="L515">
        <v>122536</v>
      </c>
      <c r="M515" t="s">
        <v>1240</v>
      </c>
      <c r="O515" t="s">
        <v>1241</v>
      </c>
      <c r="P515" t="s">
        <v>1242</v>
      </c>
      <c r="Q515" t="s">
        <v>450</v>
      </c>
      <c r="R515">
        <v>2069164</v>
      </c>
      <c r="S515" t="s">
        <v>1238</v>
      </c>
      <c r="U515" t="s">
        <v>1238</v>
      </c>
      <c r="V515" t="s">
        <v>398</v>
      </c>
      <c r="W515" s="393">
        <v>429032.58</v>
      </c>
      <c r="X515" s="393">
        <v>111.88</v>
      </c>
      <c r="Y515" s="393">
        <v>972.86</v>
      </c>
      <c r="Z515" s="393">
        <v>429032.58</v>
      </c>
      <c r="AA515">
        <v>0</v>
      </c>
      <c r="AB515" s="400">
        <v>44476.964070983799</v>
      </c>
      <c r="AC515" t="s">
        <v>321</v>
      </c>
    </row>
    <row r="516" spans="1:29">
      <c r="A516" t="s">
        <v>382</v>
      </c>
      <c r="B516" t="s">
        <v>440</v>
      </c>
      <c r="C516" t="s">
        <v>1150</v>
      </c>
      <c r="D516" t="s">
        <v>1151</v>
      </c>
      <c r="E516" t="s">
        <v>427</v>
      </c>
      <c r="F516" t="s">
        <v>428</v>
      </c>
      <c r="G516">
        <v>1101439</v>
      </c>
      <c r="H516">
        <v>202109</v>
      </c>
      <c r="I516" s="400">
        <v>44469</v>
      </c>
      <c r="J516" t="s">
        <v>1152</v>
      </c>
      <c r="K516" t="s">
        <v>386</v>
      </c>
      <c r="L516">
        <v>123780</v>
      </c>
      <c r="M516" t="s">
        <v>1153</v>
      </c>
      <c r="O516" t="s">
        <v>1154</v>
      </c>
      <c r="P516" t="s">
        <v>1155</v>
      </c>
      <c r="Q516" t="s">
        <v>396</v>
      </c>
      <c r="R516">
        <v>2069199</v>
      </c>
      <c r="S516" t="s">
        <v>1238</v>
      </c>
      <c r="U516" t="s">
        <v>1238</v>
      </c>
      <c r="V516" t="s">
        <v>398</v>
      </c>
      <c r="W516" s="393">
        <v>4284503.8</v>
      </c>
      <c r="X516" s="393">
        <v>1117.31</v>
      </c>
      <c r="Y516" s="393">
        <v>9715.3700000000008</v>
      </c>
      <c r="Z516" s="393">
        <v>4284503.8</v>
      </c>
      <c r="AA516">
        <v>0</v>
      </c>
      <c r="AB516" s="400">
        <v>44476.964070983799</v>
      </c>
      <c r="AC516" t="s">
        <v>22</v>
      </c>
    </row>
    <row r="517" spans="1:29">
      <c r="A517" t="s">
        <v>382</v>
      </c>
      <c r="B517" t="s">
        <v>440</v>
      </c>
      <c r="C517" t="s">
        <v>1150</v>
      </c>
      <c r="D517" t="s">
        <v>1151</v>
      </c>
      <c r="E517" t="s">
        <v>427</v>
      </c>
      <c r="F517" t="s">
        <v>428</v>
      </c>
      <c r="G517">
        <v>1101443</v>
      </c>
      <c r="H517">
        <v>202109</v>
      </c>
      <c r="I517" s="400">
        <v>44469</v>
      </c>
      <c r="J517" t="s">
        <v>1152</v>
      </c>
      <c r="K517" t="s">
        <v>386</v>
      </c>
      <c r="L517">
        <v>123780</v>
      </c>
      <c r="M517" t="s">
        <v>1153</v>
      </c>
      <c r="O517" t="s">
        <v>1154</v>
      </c>
      <c r="P517" t="s">
        <v>1155</v>
      </c>
      <c r="Q517" t="s">
        <v>396</v>
      </c>
      <c r="R517">
        <v>2069199</v>
      </c>
      <c r="S517" t="s">
        <v>1238</v>
      </c>
      <c r="U517" t="s">
        <v>1239</v>
      </c>
      <c r="V517" t="s">
        <v>398</v>
      </c>
      <c r="W517" s="393">
        <v>-4284503.8</v>
      </c>
      <c r="X517" s="393">
        <v>-1117.31</v>
      </c>
      <c r="Y517" s="393">
        <v>-9715.3700000000008</v>
      </c>
      <c r="Z517" s="393">
        <v>-4284503.8</v>
      </c>
      <c r="AA517">
        <v>0</v>
      </c>
      <c r="AB517" s="400">
        <v>44477.012322337963</v>
      </c>
      <c r="AC517" t="s">
        <v>22</v>
      </c>
    </row>
    <row r="518" spans="1:29">
      <c r="A518" t="s">
        <v>382</v>
      </c>
      <c r="B518" t="s">
        <v>440</v>
      </c>
      <c r="C518" t="s">
        <v>1150</v>
      </c>
      <c r="D518" t="s">
        <v>1151</v>
      </c>
      <c r="E518" t="s">
        <v>427</v>
      </c>
      <c r="F518" t="s">
        <v>428</v>
      </c>
      <c r="G518">
        <v>1101447</v>
      </c>
      <c r="H518">
        <v>202109</v>
      </c>
      <c r="I518" s="400">
        <v>44469</v>
      </c>
      <c r="J518" t="s">
        <v>1152</v>
      </c>
      <c r="K518" t="s">
        <v>386</v>
      </c>
      <c r="L518">
        <v>123780</v>
      </c>
      <c r="M518" t="s">
        <v>1153</v>
      </c>
      <c r="O518" t="s">
        <v>1154</v>
      </c>
      <c r="P518" t="s">
        <v>1155</v>
      </c>
      <c r="Q518" t="s">
        <v>396</v>
      </c>
      <c r="R518">
        <v>2069199</v>
      </c>
      <c r="S518" t="s">
        <v>1238</v>
      </c>
      <c r="U518" t="s">
        <v>1238</v>
      </c>
      <c r="V518" t="s">
        <v>398</v>
      </c>
      <c r="W518" s="393">
        <v>4284988.03</v>
      </c>
      <c r="X518" s="393">
        <v>1117.44</v>
      </c>
      <c r="Y518" s="393">
        <v>9716.4699999999993</v>
      </c>
      <c r="Z518" s="393">
        <v>4284988.03</v>
      </c>
      <c r="AA518">
        <v>0</v>
      </c>
      <c r="AB518" s="400">
        <v>44477.120554629633</v>
      </c>
      <c r="AC518" t="s">
        <v>22</v>
      </c>
    </row>
    <row r="519" spans="1:29">
      <c r="A519" t="s">
        <v>382</v>
      </c>
      <c r="B519" t="s">
        <v>440</v>
      </c>
      <c r="C519" t="s">
        <v>1150</v>
      </c>
      <c r="D519" t="s">
        <v>1151</v>
      </c>
      <c r="E519" t="s">
        <v>427</v>
      </c>
      <c r="F519" t="s">
        <v>428</v>
      </c>
      <c r="G519">
        <v>1101447</v>
      </c>
      <c r="H519">
        <v>202109</v>
      </c>
      <c r="I519" s="400">
        <v>44469</v>
      </c>
      <c r="J519" t="s">
        <v>1152</v>
      </c>
      <c r="K519" t="s">
        <v>386</v>
      </c>
      <c r="L519">
        <v>124124</v>
      </c>
      <c r="M519" t="s">
        <v>1205</v>
      </c>
      <c r="O519" t="s">
        <v>1206</v>
      </c>
      <c r="P519" t="s">
        <v>1207</v>
      </c>
      <c r="Q519" t="s">
        <v>450</v>
      </c>
      <c r="R519">
        <v>2069183</v>
      </c>
      <c r="S519" t="s">
        <v>1238</v>
      </c>
      <c r="U519" t="s">
        <v>1238</v>
      </c>
      <c r="V519" t="s">
        <v>398</v>
      </c>
      <c r="W519" s="393">
        <v>1830812.41</v>
      </c>
      <c r="X519" s="393">
        <v>477.44</v>
      </c>
      <c r="Y519" s="393">
        <v>4151.4799999999996</v>
      </c>
      <c r="Z519" s="393">
        <v>1830812.41</v>
      </c>
      <c r="AA519">
        <v>0</v>
      </c>
      <c r="AB519" s="400">
        <v>44477.120554629633</v>
      </c>
      <c r="AC519" t="s">
        <v>321</v>
      </c>
    </row>
    <row r="520" spans="1:29">
      <c r="A520" t="s">
        <v>382</v>
      </c>
      <c r="B520" t="s">
        <v>440</v>
      </c>
      <c r="C520" t="s">
        <v>1150</v>
      </c>
      <c r="D520" t="s">
        <v>1151</v>
      </c>
      <c r="E520" t="s">
        <v>427</v>
      </c>
      <c r="F520" t="s">
        <v>428</v>
      </c>
      <c r="G520">
        <v>1101443</v>
      </c>
      <c r="H520">
        <v>202109</v>
      </c>
      <c r="I520" s="400">
        <v>44469</v>
      </c>
      <c r="J520" t="s">
        <v>1152</v>
      </c>
      <c r="K520" t="s">
        <v>386</v>
      </c>
      <c r="L520">
        <v>124124</v>
      </c>
      <c r="M520" t="s">
        <v>1205</v>
      </c>
      <c r="O520" t="s">
        <v>1206</v>
      </c>
      <c r="P520" t="s">
        <v>1207</v>
      </c>
      <c r="Q520" t="s">
        <v>450</v>
      </c>
      <c r="R520">
        <v>2069183</v>
      </c>
      <c r="S520" t="s">
        <v>1238</v>
      </c>
      <c r="U520" t="s">
        <v>1239</v>
      </c>
      <c r="V520" t="s">
        <v>398</v>
      </c>
      <c r="W520" s="393">
        <v>-1830667.14</v>
      </c>
      <c r="X520" s="393">
        <v>-477.4</v>
      </c>
      <c r="Y520" s="393">
        <v>-4151.1499999999996</v>
      </c>
      <c r="Z520" s="393">
        <v>-1830667.14</v>
      </c>
      <c r="AA520">
        <v>0</v>
      </c>
      <c r="AB520" s="400">
        <v>44477.012322337963</v>
      </c>
      <c r="AC520" t="s">
        <v>321</v>
      </c>
    </row>
    <row r="521" spans="1:29">
      <c r="A521" t="s">
        <v>382</v>
      </c>
      <c r="B521" t="s">
        <v>440</v>
      </c>
      <c r="C521" t="s">
        <v>1150</v>
      </c>
      <c r="D521" t="s">
        <v>1151</v>
      </c>
      <c r="E521" t="s">
        <v>427</v>
      </c>
      <c r="F521" t="s">
        <v>428</v>
      </c>
      <c r="G521">
        <v>1101439</v>
      </c>
      <c r="H521">
        <v>202109</v>
      </c>
      <c r="I521" s="400">
        <v>44469</v>
      </c>
      <c r="J521" t="s">
        <v>1152</v>
      </c>
      <c r="K521" t="s">
        <v>386</v>
      </c>
      <c r="L521">
        <v>124124</v>
      </c>
      <c r="M521" t="s">
        <v>1205</v>
      </c>
      <c r="O521" t="s">
        <v>1206</v>
      </c>
      <c r="P521" t="s">
        <v>1207</v>
      </c>
      <c r="Q521" t="s">
        <v>450</v>
      </c>
      <c r="R521">
        <v>2069183</v>
      </c>
      <c r="S521" t="s">
        <v>1238</v>
      </c>
      <c r="U521" t="s">
        <v>1238</v>
      </c>
      <c r="V521" t="s">
        <v>398</v>
      </c>
      <c r="W521" s="393">
        <v>1830667.14</v>
      </c>
      <c r="X521" s="393">
        <v>477.4</v>
      </c>
      <c r="Y521" s="393">
        <v>4151.1499999999996</v>
      </c>
      <c r="Z521" s="393">
        <v>1830667.14</v>
      </c>
      <c r="AA521">
        <v>0</v>
      </c>
      <c r="AB521" s="400">
        <v>44476.964070983799</v>
      </c>
      <c r="AC521" t="s">
        <v>321</v>
      </c>
    </row>
    <row r="522" spans="1:29">
      <c r="A522" t="s">
        <v>382</v>
      </c>
      <c r="B522" t="s">
        <v>440</v>
      </c>
      <c r="C522" t="s">
        <v>1150</v>
      </c>
      <c r="D522" t="s">
        <v>1151</v>
      </c>
      <c r="E522" t="s">
        <v>427</v>
      </c>
      <c r="F522" t="s">
        <v>428</v>
      </c>
      <c r="G522">
        <v>1101443</v>
      </c>
      <c r="H522">
        <v>202109</v>
      </c>
      <c r="I522" s="400">
        <v>44469</v>
      </c>
      <c r="J522" t="s">
        <v>1152</v>
      </c>
      <c r="K522" t="s">
        <v>386</v>
      </c>
      <c r="L522">
        <v>124474</v>
      </c>
      <c r="M522" t="s">
        <v>1165</v>
      </c>
      <c r="O522" t="s">
        <v>1166</v>
      </c>
      <c r="P522" t="s">
        <v>1167</v>
      </c>
      <c r="Q522" t="s">
        <v>396</v>
      </c>
      <c r="R522">
        <v>2069151</v>
      </c>
      <c r="S522" t="s">
        <v>1238</v>
      </c>
      <c r="U522" t="s">
        <v>1239</v>
      </c>
      <c r="V522" t="s">
        <v>398</v>
      </c>
      <c r="W522" s="393">
        <v>-4275767.8</v>
      </c>
      <c r="X522" s="393">
        <v>-1115.03</v>
      </c>
      <c r="Y522" s="393">
        <v>-9695.56</v>
      </c>
      <c r="Z522" s="393">
        <v>-4275767.8</v>
      </c>
      <c r="AA522">
        <v>0</v>
      </c>
      <c r="AB522" s="400">
        <v>44477.012322337963</v>
      </c>
      <c r="AC522" t="s">
        <v>321</v>
      </c>
    </row>
    <row r="523" spans="1:29">
      <c r="A523" t="s">
        <v>382</v>
      </c>
      <c r="B523" t="s">
        <v>440</v>
      </c>
      <c r="C523" t="s">
        <v>1150</v>
      </c>
      <c r="D523" t="s">
        <v>1151</v>
      </c>
      <c r="E523" t="s">
        <v>427</v>
      </c>
      <c r="F523" t="s">
        <v>428</v>
      </c>
      <c r="G523">
        <v>1101447</v>
      </c>
      <c r="H523">
        <v>202109</v>
      </c>
      <c r="I523" s="400">
        <v>44469</v>
      </c>
      <c r="J523" t="s">
        <v>1152</v>
      </c>
      <c r="K523" t="s">
        <v>386</v>
      </c>
      <c r="L523">
        <v>124474</v>
      </c>
      <c r="M523" t="s">
        <v>1165</v>
      </c>
      <c r="O523" t="s">
        <v>1166</v>
      </c>
      <c r="P523" t="s">
        <v>1167</v>
      </c>
      <c r="Q523" t="s">
        <v>396</v>
      </c>
      <c r="R523">
        <v>2069151</v>
      </c>
      <c r="S523" t="s">
        <v>1238</v>
      </c>
      <c r="U523" t="s">
        <v>1238</v>
      </c>
      <c r="V523" t="s">
        <v>398</v>
      </c>
      <c r="W523" s="393">
        <v>4276252.03</v>
      </c>
      <c r="X523" s="393">
        <v>1115.1600000000001</v>
      </c>
      <c r="Y523" s="393">
        <v>9696.66</v>
      </c>
      <c r="Z523" s="393">
        <v>4276252.03</v>
      </c>
      <c r="AA523">
        <v>0</v>
      </c>
      <c r="AB523" s="400">
        <v>44477.120554629633</v>
      </c>
      <c r="AC523" t="s">
        <v>321</v>
      </c>
    </row>
    <row r="524" spans="1:29">
      <c r="A524" t="s">
        <v>382</v>
      </c>
      <c r="B524" t="s">
        <v>440</v>
      </c>
      <c r="C524" t="s">
        <v>1150</v>
      </c>
      <c r="D524" t="s">
        <v>1151</v>
      </c>
      <c r="E524" t="s">
        <v>427</v>
      </c>
      <c r="F524" t="s">
        <v>428</v>
      </c>
      <c r="G524">
        <v>1101439</v>
      </c>
      <c r="H524">
        <v>202109</v>
      </c>
      <c r="I524" s="400">
        <v>44469</v>
      </c>
      <c r="J524" t="s">
        <v>1152</v>
      </c>
      <c r="K524" t="s">
        <v>386</v>
      </c>
      <c r="L524">
        <v>124474</v>
      </c>
      <c r="M524" t="s">
        <v>1165</v>
      </c>
      <c r="O524" t="s">
        <v>1166</v>
      </c>
      <c r="P524" t="s">
        <v>1167</v>
      </c>
      <c r="Q524" t="s">
        <v>396</v>
      </c>
      <c r="R524">
        <v>2069151</v>
      </c>
      <c r="S524" t="s">
        <v>1238</v>
      </c>
      <c r="U524" t="s">
        <v>1238</v>
      </c>
      <c r="V524" t="s">
        <v>398</v>
      </c>
      <c r="W524" s="393">
        <v>4275767.8</v>
      </c>
      <c r="X524" s="393">
        <v>1115.03</v>
      </c>
      <c r="Y524" s="393">
        <v>9695.56</v>
      </c>
      <c r="Z524" s="393">
        <v>4275767.8</v>
      </c>
      <c r="AA524">
        <v>0</v>
      </c>
      <c r="AB524" s="400">
        <v>44476.964070983799</v>
      </c>
      <c r="AC524" t="s">
        <v>321</v>
      </c>
    </row>
    <row r="525" spans="1:29">
      <c r="A525" t="s">
        <v>382</v>
      </c>
      <c r="B525" t="s">
        <v>440</v>
      </c>
      <c r="C525" t="s">
        <v>1150</v>
      </c>
      <c r="D525" t="s">
        <v>1151</v>
      </c>
      <c r="E525" t="s">
        <v>427</v>
      </c>
      <c r="F525" t="s">
        <v>428</v>
      </c>
      <c r="G525">
        <v>1101439</v>
      </c>
      <c r="H525">
        <v>202109</v>
      </c>
      <c r="I525" s="400">
        <v>44469</v>
      </c>
      <c r="J525" t="s">
        <v>1152</v>
      </c>
      <c r="K525" t="s">
        <v>386</v>
      </c>
      <c r="L525">
        <v>124475</v>
      </c>
      <c r="M525" t="s">
        <v>1208</v>
      </c>
      <c r="O525" t="s">
        <v>1209</v>
      </c>
      <c r="P525" t="s">
        <v>1210</v>
      </c>
      <c r="Q525" t="s">
        <v>450</v>
      </c>
      <c r="R525">
        <v>2069171</v>
      </c>
      <c r="S525" t="s">
        <v>1238</v>
      </c>
      <c r="U525" t="s">
        <v>1238</v>
      </c>
      <c r="V525" t="s">
        <v>398</v>
      </c>
      <c r="W525" s="393">
        <v>1282730.3400000001</v>
      </c>
      <c r="X525" s="393">
        <v>334.51</v>
      </c>
      <c r="Y525" s="393">
        <v>2908.67</v>
      </c>
      <c r="Z525" s="393">
        <v>1282730.3400000001</v>
      </c>
      <c r="AA525">
        <v>0</v>
      </c>
      <c r="AB525" s="400">
        <v>44476.964070983799</v>
      </c>
      <c r="AC525" t="s">
        <v>321</v>
      </c>
    </row>
    <row r="526" spans="1:29">
      <c r="A526" t="s">
        <v>382</v>
      </c>
      <c r="B526" t="s">
        <v>440</v>
      </c>
      <c r="C526" t="s">
        <v>1150</v>
      </c>
      <c r="D526" t="s">
        <v>1151</v>
      </c>
      <c r="E526" t="s">
        <v>427</v>
      </c>
      <c r="F526" t="s">
        <v>428</v>
      </c>
      <c r="G526">
        <v>1101447</v>
      </c>
      <c r="H526">
        <v>202109</v>
      </c>
      <c r="I526" s="400">
        <v>44469</v>
      </c>
      <c r="J526" t="s">
        <v>1152</v>
      </c>
      <c r="K526" t="s">
        <v>386</v>
      </c>
      <c r="L526">
        <v>124475</v>
      </c>
      <c r="M526" t="s">
        <v>1208</v>
      </c>
      <c r="O526" t="s">
        <v>1209</v>
      </c>
      <c r="P526" t="s">
        <v>1210</v>
      </c>
      <c r="Q526" t="s">
        <v>450</v>
      </c>
      <c r="R526">
        <v>2069171</v>
      </c>
      <c r="S526" t="s">
        <v>1238</v>
      </c>
      <c r="U526" t="s">
        <v>1238</v>
      </c>
      <c r="V526" t="s">
        <v>398</v>
      </c>
      <c r="W526" s="393">
        <v>1282875.6100000001</v>
      </c>
      <c r="X526" s="393">
        <v>334.55</v>
      </c>
      <c r="Y526" s="393">
        <v>2909</v>
      </c>
      <c r="Z526" s="393">
        <v>1282875.6100000001</v>
      </c>
      <c r="AA526">
        <v>0</v>
      </c>
      <c r="AB526" s="400">
        <v>44477.120554629633</v>
      </c>
      <c r="AC526" t="s">
        <v>321</v>
      </c>
    </row>
    <row r="527" spans="1:29">
      <c r="A527" t="s">
        <v>382</v>
      </c>
      <c r="B527" t="s">
        <v>440</v>
      </c>
      <c r="C527" t="s">
        <v>1150</v>
      </c>
      <c r="D527" t="s">
        <v>1151</v>
      </c>
      <c r="E527" t="s">
        <v>427</v>
      </c>
      <c r="F527" t="s">
        <v>428</v>
      </c>
      <c r="G527">
        <v>1101443</v>
      </c>
      <c r="H527">
        <v>202109</v>
      </c>
      <c r="I527" s="400">
        <v>44469</v>
      </c>
      <c r="J527" t="s">
        <v>1152</v>
      </c>
      <c r="K527" t="s">
        <v>386</v>
      </c>
      <c r="L527">
        <v>124475</v>
      </c>
      <c r="M527" t="s">
        <v>1208</v>
      </c>
      <c r="O527" t="s">
        <v>1209</v>
      </c>
      <c r="P527" t="s">
        <v>1210</v>
      </c>
      <c r="Q527" t="s">
        <v>450</v>
      </c>
      <c r="R527">
        <v>2069171</v>
      </c>
      <c r="S527" t="s">
        <v>1238</v>
      </c>
      <c r="U527" t="s">
        <v>1239</v>
      </c>
      <c r="V527" t="s">
        <v>398</v>
      </c>
      <c r="W527" s="393">
        <v>-1282730.3400000001</v>
      </c>
      <c r="X527" s="393">
        <v>-334.51</v>
      </c>
      <c r="Y527" s="393">
        <v>-2908.67</v>
      </c>
      <c r="Z527" s="393">
        <v>-1282730.3400000001</v>
      </c>
      <c r="AA527">
        <v>0</v>
      </c>
      <c r="AB527" s="400">
        <v>44477.012322337963</v>
      </c>
      <c r="AC527" t="s">
        <v>321</v>
      </c>
    </row>
    <row r="528" spans="1:29">
      <c r="A528" t="s">
        <v>382</v>
      </c>
      <c r="B528" t="s">
        <v>440</v>
      </c>
      <c r="C528" t="s">
        <v>1150</v>
      </c>
      <c r="D528" t="s">
        <v>1151</v>
      </c>
      <c r="E528" t="s">
        <v>427</v>
      </c>
      <c r="F528" t="s">
        <v>428</v>
      </c>
      <c r="G528">
        <v>1101447</v>
      </c>
      <c r="H528">
        <v>202109</v>
      </c>
      <c r="I528" s="400">
        <v>44469</v>
      </c>
      <c r="J528" t="s">
        <v>1152</v>
      </c>
      <c r="K528" t="s">
        <v>386</v>
      </c>
      <c r="L528">
        <v>125062</v>
      </c>
      <c r="M528" t="s">
        <v>1243</v>
      </c>
      <c r="O528" t="s">
        <v>1244</v>
      </c>
      <c r="P528" t="s">
        <v>1245</v>
      </c>
      <c r="Q528" t="s">
        <v>450</v>
      </c>
      <c r="R528">
        <v>2069195</v>
      </c>
      <c r="S528" t="s">
        <v>1238</v>
      </c>
      <c r="U528" t="s">
        <v>1238</v>
      </c>
      <c r="V528" t="s">
        <v>398</v>
      </c>
      <c r="W528" s="393">
        <v>347101.6</v>
      </c>
      <c r="X528" s="393">
        <v>90.52</v>
      </c>
      <c r="Y528" s="393">
        <v>787.07</v>
      </c>
      <c r="Z528" s="393">
        <v>347101.6</v>
      </c>
      <c r="AA528">
        <v>0</v>
      </c>
      <c r="AB528" s="400">
        <v>44477.120554629633</v>
      </c>
      <c r="AC528" t="s">
        <v>321</v>
      </c>
    </row>
    <row r="529" spans="1:29">
      <c r="A529" t="s">
        <v>382</v>
      </c>
      <c r="B529" t="s">
        <v>440</v>
      </c>
      <c r="C529" t="s">
        <v>1150</v>
      </c>
      <c r="D529" t="s">
        <v>1151</v>
      </c>
      <c r="E529" t="s">
        <v>427</v>
      </c>
      <c r="F529" t="s">
        <v>428</v>
      </c>
      <c r="G529">
        <v>1101443</v>
      </c>
      <c r="H529">
        <v>202109</v>
      </c>
      <c r="I529" s="400">
        <v>44469</v>
      </c>
      <c r="J529" t="s">
        <v>1152</v>
      </c>
      <c r="K529" t="s">
        <v>386</v>
      </c>
      <c r="L529">
        <v>125062</v>
      </c>
      <c r="M529" t="s">
        <v>1243</v>
      </c>
      <c r="O529" t="s">
        <v>1244</v>
      </c>
      <c r="P529" t="s">
        <v>1245</v>
      </c>
      <c r="Q529" t="s">
        <v>450</v>
      </c>
      <c r="R529">
        <v>2069195</v>
      </c>
      <c r="S529" t="s">
        <v>1238</v>
      </c>
      <c r="U529" t="s">
        <v>1239</v>
      </c>
      <c r="V529" t="s">
        <v>398</v>
      </c>
      <c r="W529" s="393">
        <v>-347053.18</v>
      </c>
      <c r="X529" s="393">
        <v>-90.5</v>
      </c>
      <c r="Y529" s="393">
        <v>-786.96</v>
      </c>
      <c r="Z529" s="393">
        <v>-347053.18</v>
      </c>
      <c r="AA529">
        <v>0</v>
      </c>
      <c r="AB529" s="400">
        <v>44477.012322337963</v>
      </c>
      <c r="AC529" t="s">
        <v>321</v>
      </c>
    </row>
    <row r="530" spans="1:29">
      <c r="A530" t="s">
        <v>382</v>
      </c>
      <c r="B530" t="s">
        <v>440</v>
      </c>
      <c r="C530" t="s">
        <v>1150</v>
      </c>
      <c r="D530" t="s">
        <v>1151</v>
      </c>
      <c r="E530" t="s">
        <v>427</v>
      </c>
      <c r="F530" t="s">
        <v>428</v>
      </c>
      <c r="G530">
        <v>1101439</v>
      </c>
      <c r="H530">
        <v>202109</v>
      </c>
      <c r="I530" s="400">
        <v>44469</v>
      </c>
      <c r="J530" t="s">
        <v>1152</v>
      </c>
      <c r="K530" t="s">
        <v>386</v>
      </c>
      <c r="L530">
        <v>125062</v>
      </c>
      <c r="M530" t="s">
        <v>1243</v>
      </c>
      <c r="O530" t="s">
        <v>1244</v>
      </c>
      <c r="P530" t="s">
        <v>1245</v>
      </c>
      <c r="Q530" t="s">
        <v>450</v>
      </c>
      <c r="R530">
        <v>2069195</v>
      </c>
      <c r="S530" t="s">
        <v>1238</v>
      </c>
      <c r="U530" t="s">
        <v>1238</v>
      </c>
      <c r="V530" t="s">
        <v>398</v>
      </c>
      <c r="W530" s="393">
        <v>347053.18</v>
      </c>
      <c r="X530" s="393">
        <v>90.5</v>
      </c>
      <c r="Y530" s="393">
        <v>786.96</v>
      </c>
      <c r="Z530" s="393">
        <v>347053.18</v>
      </c>
      <c r="AA530">
        <v>0</v>
      </c>
      <c r="AB530" s="400">
        <v>44476.964070983799</v>
      </c>
      <c r="AC530" t="s">
        <v>321</v>
      </c>
    </row>
    <row r="531" spans="1:29">
      <c r="A531" t="s">
        <v>382</v>
      </c>
      <c r="B531" t="s">
        <v>440</v>
      </c>
      <c r="C531" t="s">
        <v>1150</v>
      </c>
      <c r="D531" t="s">
        <v>1151</v>
      </c>
      <c r="E531" t="s">
        <v>427</v>
      </c>
      <c r="F531" t="s">
        <v>428</v>
      </c>
      <c r="G531">
        <v>1101440</v>
      </c>
      <c r="H531">
        <v>202109</v>
      </c>
      <c r="I531" s="400">
        <v>44469</v>
      </c>
      <c r="J531" t="s">
        <v>1152</v>
      </c>
      <c r="K531" t="s">
        <v>386</v>
      </c>
      <c r="L531" t="s">
        <v>1234</v>
      </c>
      <c r="M531" t="s">
        <v>1235</v>
      </c>
      <c r="O531" t="s">
        <v>1236</v>
      </c>
      <c r="P531" t="s">
        <v>1237</v>
      </c>
      <c r="Q531" t="s">
        <v>450</v>
      </c>
      <c r="R531">
        <v>2069155</v>
      </c>
      <c r="S531" t="s">
        <v>1238</v>
      </c>
      <c r="U531" t="s">
        <v>1238</v>
      </c>
      <c r="V531" t="s">
        <v>398</v>
      </c>
      <c r="W531" s="393">
        <v>752413.58</v>
      </c>
      <c r="X531" s="393">
        <v>196.21</v>
      </c>
      <c r="Y531" s="393">
        <v>1706.14</v>
      </c>
      <c r="Z531" s="393">
        <v>752413.58</v>
      </c>
      <c r="AA531">
        <v>0</v>
      </c>
      <c r="AB531" s="400">
        <v>44476.971625659724</v>
      </c>
      <c r="AC531" t="s">
        <v>321</v>
      </c>
    </row>
    <row r="532" spans="1:29">
      <c r="A532" t="s">
        <v>382</v>
      </c>
      <c r="B532" t="s">
        <v>440</v>
      </c>
      <c r="C532" t="s">
        <v>1150</v>
      </c>
      <c r="D532" t="s">
        <v>1151</v>
      </c>
      <c r="E532" t="s">
        <v>427</v>
      </c>
      <c r="F532" t="s">
        <v>428</v>
      </c>
      <c r="G532">
        <v>1101448</v>
      </c>
      <c r="H532">
        <v>202109</v>
      </c>
      <c r="I532" s="400">
        <v>44469</v>
      </c>
      <c r="J532" t="s">
        <v>1152</v>
      </c>
      <c r="K532" t="s">
        <v>386</v>
      </c>
      <c r="L532" t="s">
        <v>1234</v>
      </c>
      <c r="M532" t="s">
        <v>1235</v>
      </c>
      <c r="O532" t="s">
        <v>1236</v>
      </c>
      <c r="P532" t="s">
        <v>1237</v>
      </c>
      <c r="Q532" t="s">
        <v>450</v>
      </c>
      <c r="R532">
        <v>2069155</v>
      </c>
      <c r="S532" t="s">
        <v>1238</v>
      </c>
      <c r="U532" t="s">
        <v>1238</v>
      </c>
      <c r="V532" t="s">
        <v>398</v>
      </c>
      <c r="W532" s="393">
        <v>752462</v>
      </c>
      <c r="X532" s="393">
        <v>196.23</v>
      </c>
      <c r="Y532" s="393">
        <v>1706.25</v>
      </c>
      <c r="Z532" s="393">
        <v>752462</v>
      </c>
      <c r="AA532">
        <v>0</v>
      </c>
      <c r="AB532" s="400">
        <v>44477.121614039352</v>
      </c>
      <c r="AC532" t="s">
        <v>321</v>
      </c>
    </row>
    <row r="533" spans="1:29">
      <c r="A533" t="s">
        <v>382</v>
      </c>
      <c r="B533" t="s">
        <v>440</v>
      </c>
      <c r="C533" t="s">
        <v>1150</v>
      </c>
      <c r="D533" t="s">
        <v>1151</v>
      </c>
      <c r="E533" t="s">
        <v>427</v>
      </c>
      <c r="F533" t="s">
        <v>428</v>
      </c>
      <c r="G533">
        <v>1101444</v>
      </c>
      <c r="H533">
        <v>202109</v>
      </c>
      <c r="I533" s="400">
        <v>44469</v>
      </c>
      <c r="J533" t="s">
        <v>1152</v>
      </c>
      <c r="K533" t="s">
        <v>386</v>
      </c>
      <c r="L533" t="s">
        <v>1234</v>
      </c>
      <c r="M533" t="s">
        <v>1235</v>
      </c>
      <c r="O533" t="s">
        <v>1236</v>
      </c>
      <c r="P533" t="s">
        <v>1237</v>
      </c>
      <c r="Q533" t="s">
        <v>450</v>
      </c>
      <c r="R533">
        <v>2069155</v>
      </c>
      <c r="S533" t="s">
        <v>1238</v>
      </c>
      <c r="U533" t="s">
        <v>1246</v>
      </c>
      <c r="V533" t="s">
        <v>398</v>
      </c>
      <c r="W533" s="393">
        <v>-752413.58</v>
      </c>
      <c r="X533" s="393">
        <v>-196.21</v>
      </c>
      <c r="Y533" s="393">
        <v>-1706.14</v>
      </c>
      <c r="Z533" s="393">
        <v>-752413.58</v>
      </c>
      <c r="AA533">
        <v>0</v>
      </c>
      <c r="AB533" s="400">
        <v>44477.014695335645</v>
      </c>
      <c r="AC533" t="s">
        <v>321</v>
      </c>
    </row>
    <row r="534" spans="1:29">
      <c r="A534" t="s">
        <v>382</v>
      </c>
      <c r="B534" t="s">
        <v>440</v>
      </c>
      <c r="C534" t="s">
        <v>1150</v>
      </c>
      <c r="D534" t="s">
        <v>1151</v>
      </c>
      <c r="E534" t="s">
        <v>427</v>
      </c>
      <c r="F534" t="s">
        <v>428</v>
      </c>
      <c r="G534">
        <v>1101444</v>
      </c>
      <c r="H534">
        <v>202109</v>
      </c>
      <c r="I534" s="400">
        <v>44469</v>
      </c>
      <c r="J534" t="s">
        <v>1152</v>
      </c>
      <c r="K534" t="s">
        <v>386</v>
      </c>
      <c r="L534" t="s">
        <v>1179</v>
      </c>
      <c r="M534" t="s">
        <v>1180</v>
      </c>
      <c r="O534" t="s">
        <v>1181</v>
      </c>
      <c r="P534" t="s">
        <v>1182</v>
      </c>
      <c r="Q534" t="s">
        <v>450</v>
      </c>
      <c r="R534">
        <v>2069170</v>
      </c>
      <c r="S534" t="s">
        <v>1238</v>
      </c>
      <c r="U534" t="s">
        <v>1246</v>
      </c>
      <c r="V534" t="s">
        <v>398</v>
      </c>
      <c r="W534" s="393">
        <v>-850646.48</v>
      </c>
      <c r="X534" s="393">
        <v>-221.83</v>
      </c>
      <c r="Y534" s="393">
        <v>-1928.89</v>
      </c>
      <c r="Z534" s="393">
        <v>-850646.48</v>
      </c>
      <c r="AA534">
        <v>0</v>
      </c>
      <c r="AB534" s="400">
        <v>44477.014695335645</v>
      </c>
      <c r="AC534" t="s">
        <v>321</v>
      </c>
    </row>
    <row r="535" spans="1:29">
      <c r="A535" t="s">
        <v>382</v>
      </c>
      <c r="B535" t="s">
        <v>440</v>
      </c>
      <c r="C535" t="s">
        <v>1150</v>
      </c>
      <c r="D535" t="s">
        <v>1151</v>
      </c>
      <c r="E535" t="s">
        <v>427</v>
      </c>
      <c r="F535" t="s">
        <v>428</v>
      </c>
      <c r="G535">
        <v>1101448</v>
      </c>
      <c r="H535">
        <v>202109</v>
      </c>
      <c r="I535" s="400">
        <v>44469</v>
      </c>
      <c r="J535" t="s">
        <v>1152</v>
      </c>
      <c r="K535" t="s">
        <v>386</v>
      </c>
      <c r="L535" t="s">
        <v>1179</v>
      </c>
      <c r="M535" t="s">
        <v>1180</v>
      </c>
      <c r="O535" t="s">
        <v>1181</v>
      </c>
      <c r="P535" t="s">
        <v>1182</v>
      </c>
      <c r="Q535" t="s">
        <v>450</v>
      </c>
      <c r="R535">
        <v>2069170</v>
      </c>
      <c r="S535" t="s">
        <v>1238</v>
      </c>
      <c r="U535" t="s">
        <v>1238</v>
      </c>
      <c r="V535" t="s">
        <v>398</v>
      </c>
      <c r="W535" s="393">
        <v>850694.9</v>
      </c>
      <c r="X535" s="393">
        <v>221.84</v>
      </c>
      <c r="Y535" s="393">
        <v>1929</v>
      </c>
      <c r="Z535" s="393">
        <v>850694.9</v>
      </c>
      <c r="AA535">
        <v>0</v>
      </c>
      <c r="AB535" s="400">
        <v>44477.121614039352</v>
      </c>
      <c r="AC535" t="s">
        <v>321</v>
      </c>
    </row>
    <row r="536" spans="1:29">
      <c r="A536" t="s">
        <v>382</v>
      </c>
      <c r="B536" t="s">
        <v>440</v>
      </c>
      <c r="C536" t="s">
        <v>1150</v>
      </c>
      <c r="D536" t="s">
        <v>1151</v>
      </c>
      <c r="E536" t="s">
        <v>427</v>
      </c>
      <c r="F536" t="s">
        <v>428</v>
      </c>
      <c r="G536">
        <v>1101440</v>
      </c>
      <c r="H536">
        <v>202109</v>
      </c>
      <c r="I536" s="400">
        <v>44469</v>
      </c>
      <c r="J536" t="s">
        <v>1152</v>
      </c>
      <c r="K536" t="s">
        <v>386</v>
      </c>
      <c r="L536" t="s">
        <v>1179</v>
      </c>
      <c r="M536" t="s">
        <v>1180</v>
      </c>
      <c r="O536" t="s">
        <v>1181</v>
      </c>
      <c r="P536" t="s">
        <v>1182</v>
      </c>
      <c r="Q536" t="s">
        <v>450</v>
      </c>
      <c r="R536">
        <v>2069170</v>
      </c>
      <c r="S536" t="s">
        <v>1238</v>
      </c>
      <c r="U536" t="s">
        <v>1238</v>
      </c>
      <c r="V536" t="s">
        <v>398</v>
      </c>
      <c r="W536" s="393">
        <v>850646.48</v>
      </c>
      <c r="X536" s="393">
        <v>221.83</v>
      </c>
      <c r="Y536" s="393">
        <v>1928.89</v>
      </c>
      <c r="Z536" s="393">
        <v>850646.48</v>
      </c>
      <c r="AA536">
        <v>0</v>
      </c>
      <c r="AB536" s="400">
        <v>44476.971625659724</v>
      </c>
      <c r="AC536" t="s">
        <v>321</v>
      </c>
    </row>
    <row r="537" spans="1:29">
      <c r="A537" t="s">
        <v>382</v>
      </c>
      <c r="B537" t="s">
        <v>440</v>
      </c>
      <c r="C537" t="s">
        <v>1150</v>
      </c>
      <c r="D537" t="s">
        <v>1151</v>
      </c>
      <c r="E537" t="s">
        <v>427</v>
      </c>
      <c r="F537" t="s">
        <v>428</v>
      </c>
      <c r="G537">
        <v>1101440</v>
      </c>
      <c r="H537">
        <v>202109</v>
      </c>
      <c r="I537" s="400">
        <v>44469</v>
      </c>
      <c r="J537" t="s">
        <v>1152</v>
      </c>
      <c r="K537" t="s">
        <v>386</v>
      </c>
      <c r="L537" t="s">
        <v>1162</v>
      </c>
      <c r="M537" t="s">
        <v>1163</v>
      </c>
      <c r="O537" t="s">
        <v>722</v>
      </c>
      <c r="P537" t="s">
        <v>723</v>
      </c>
      <c r="Q537" t="s">
        <v>396</v>
      </c>
      <c r="R537">
        <v>2069201</v>
      </c>
      <c r="S537" t="s">
        <v>1238</v>
      </c>
      <c r="U537" t="s">
        <v>1238</v>
      </c>
      <c r="V537" t="s">
        <v>398</v>
      </c>
      <c r="W537" s="393">
        <v>4321217.28</v>
      </c>
      <c r="X537" s="393">
        <v>1126.8900000000001</v>
      </c>
      <c r="Y537" s="393">
        <v>9798.6200000000008</v>
      </c>
      <c r="Z537" s="393">
        <v>4321217.28</v>
      </c>
      <c r="AA537">
        <v>0</v>
      </c>
      <c r="AB537" s="400">
        <v>44476.971625659724</v>
      </c>
      <c r="AC537" t="s">
        <v>22</v>
      </c>
    </row>
    <row r="538" spans="1:29">
      <c r="A538" t="s">
        <v>382</v>
      </c>
      <c r="B538" t="s">
        <v>440</v>
      </c>
      <c r="C538" t="s">
        <v>1150</v>
      </c>
      <c r="D538" t="s">
        <v>1151</v>
      </c>
      <c r="E538" t="s">
        <v>427</v>
      </c>
      <c r="F538" t="s">
        <v>428</v>
      </c>
      <c r="G538">
        <v>1101444</v>
      </c>
      <c r="H538">
        <v>202109</v>
      </c>
      <c r="I538" s="400">
        <v>44469</v>
      </c>
      <c r="J538" t="s">
        <v>1152</v>
      </c>
      <c r="K538" t="s">
        <v>386</v>
      </c>
      <c r="L538" t="s">
        <v>1162</v>
      </c>
      <c r="M538" t="s">
        <v>1163</v>
      </c>
      <c r="O538" t="s">
        <v>722</v>
      </c>
      <c r="P538" t="s">
        <v>723</v>
      </c>
      <c r="Q538" t="s">
        <v>396</v>
      </c>
      <c r="R538">
        <v>2069201</v>
      </c>
      <c r="S538" t="s">
        <v>1238</v>
      </c>
      <c r="U538" t="s">
        <v>1246</v>
      </c>
      <c r="V538" t="s">
        <v>398</v>
      </c>
      <c r="W538" s="393">
        <v>-4321217.28</v>
      </c>
      <c r="X538" s="393">
        <v>-1126.8900000000001</v>
      </c>
      <c r="Y538" s="393">
        <v>-9798.6200000000008</v>
      </c>
      <c r="Z538" s="393">
        <v>-4321217.28</v>
      </c>
      <c r="AA538">
        <v>0</v>
      </c>
      <c r="AB538" s="400">
        <v>44477.014695335645</v>
      </c>
      <c r="AC538" t="s">
        <v>22</v>
      </c>
    </row>
    <row r="539" spans="1:29">
      <c r="A539" t="s">
        <v>382</v>
      </c>
      <c r="B539" t="s">
        <v>440</v>
      </c>
      <c r="C539" t="s">
        <v>1150</v>
      </c>
      <c r="D539" t="s">
        <v>1151</v>
      </c>
      <c r="E539" t="s">
        <v>427</v>
      </c>
      <c r="F539" t="s">
        <v>428</v>
      </c>
      <c r="G539">
        <v>1101448</v>
      </c>
      <c r="H539">
        <v>202109</v>
      </c>
      <c r="I539" s="400">
        <v>44469</v>
      </c>
      <c r="J539" t="s">
        <v>1152</v>
      </c>
      <c r="K539" t="s">
        <v>386</v>
      </c>
      <c r="L539" t="s">
        <v>1162</v>
      </c>
      <c r="M539" t="s">
        <v>1163</v>
      </c>
      <c r="O539" t="s">
        <v>722</v>
      </c>
      <c r="P539" t="s">
        <v>723</v>
      </c>
      <c r="Q539" t="s">
        <v>396</v>
      </c>
      <c r="R539">
        <v>2069201</v>
      </c>
      <c r="S539" t="s">
        <v>1238</v>
      </c>
      <c r="U539" t="s">
        <v>1238</v>
      </c>
      <c r="V539" t="s">
        <v>398</v>
      </c>
      <c r="W539" s="393">
        <v>4321507.82</v>
      </c>
      <c r="X539" s="393">
        <v>1126.96</v>
      </c>
      <c r="Y539" s="393">
        <v>9799.2800000000007</v>
      </c>
      <c r="Z539" s="393">
        <v>4321507.82</v>
      </c>
      <c r="AA539">
        <v>0</v>
      </c>
      <c r="AB539" s="400">
        <v>44477.121614039352</v>
      </c>
      <c r="AC539" t="s">
        <v>22</v>
      </c>
    </row>
    <row r="540" spans="1:29">
      <c r="A540" t="s">
        <v>382</v>
      </c>
      <c r="B540" t="s">
        <v>440</v>
      </c>
      <c r="C540" t="s">
        <v>1150</v>
      </c>
      <c r="D540" t="s">
        <v>1151</v>
      </c>
      <c r="E540" t="s">
        <v>427</v>
      </c>
      <c r="F540" t="s">
        <v>428</v>
      </c>
      <c r="G540">
        <v>1101444</v>
      </c>
      <c r="H540">
        <v>202109</v>
      </c>
      <c r="I540" s="400">
        <v>44469</v>
      </c>
      <c r="J540" t="s">
        <v>1152</v>
      </c>
      <c r="K540" t="s">
        <v>386</v>
      </c>
      <c r="L540" t="s">
        <v>1247</v>
      </c>
      <c r="M540" t="s">
        <v>1248</v>
      </c>
      <c r="O540" t="s">
        <v>1249</v>
      </c>
      <c r="P540" t="s">
        <v>1250</v>
      </c>
      <c r="Q540" t="s">
        <v>450</v>
      </c>
      <c r="R540">
        <v>2069193</v>
      </c>
      <c r="S540" t="s">
        <v>1238</v>
      </c>
      <c r="U540" t="s">
        <v>1246</v>
      </c>
      <c r="V540" t="s">
        <v>398</v>
      </c>
      <c r="W540" s="393">
        <v>-778900.28</v>
      </c>
      <c r="X540" s="393">
        <v>-203.12</v>
      </c>
      <c r="Y540" s="393">
        <v>-1766.2</v>
      </c>
      <c r="Z540" s="393">
        <v>-778900.28</v>
      </c>
      <c r="AA540">
        <v>0</v>
      </c>
      <c r="AB540" s="400">
        <v>44477.014695335645</v>
      </c>
      <c r="AC540" t="s">
        <v>321</v>
      </c>
    </row>
    <row r="541" spans="1:29">
      <c r="A541" t="s">
        <v>382</v>
      </c>
      <c r="B541" t="s">
        <v>440</v>
      </c>
      <c r="C541" t="s">
        <v>1150</v>
      </c>
      <c r="D541" t="s">
        <v>1151</v>
      </c>
      <c r="E541" t="s">
        <v>427</v>
      </c>
      <c r="F541" t="s">
        <v>428</v>
      </c>
      <c r="G541">
        <v>1101440</v>
      </c>
      <c r="H541">
        <v>202109</v>
      </c>
      <c r="I541" s="400">
        <v>44469</v>
      </c>
      <c r="J541" t="s">
        <v>1152</v>
      </c>
      <c r="K541" t="s">
        <v>386</v>
      </c>
      <c r="L541" t="s">
        <v>1247</v>
      </c>
      <c r="M541" t="s">
        <v>1248</v>
      </c>
      <c r="O541" t="s">
        <v>1249</v>
      </c>
      <c r="P541" t="s">
        <v>1250</v>
      </c>
      <c r="Q541" t="s">
        <v>450</v>
      </c>
      <c r="R541">
        <v>2069193</v>
      </c>
      <c r="S541" t="s">
        <v>1238</v>
      </c>
      <c r="U541" t="s">
        <v>1238</v>
      </c>
      <c r="V541" t="s">
        <v>398</v>
      </c>
      <c r="W541" s="393">
        <v>778900.28</v>
      </c>
      <c r="X541" s="393">
        <v>203.12</v>
      </c>
      <c r="Y541" s="393">
        <v>1766.2</v>
      </c>
      <c r="Z541" s="393">
        <v>778900.28</v>
      </c>
      <c r="AA541">
        <v>0</v>
      </c>
      <c r="AB541" s="400">
        <v>44476.971625659724</v>
      </c>
      <c r="AC541" t="s">
        <v>321</v>
      </c>
    </row>
    <row r="542" spans="1:29">
      <c r="A542" t="s">
        <v>382</v>
      </c>
      <c r="B542" t="s">
        <v>440</v>
      </c>
      <c r="C542" t="s">
        <v>1150</v>
      </c>
      <c r="D542" t="s">
        <v>1151</v>
      </c>
      <c r="E542" t="s">
        <v>427</v>
      </c>
      <c r="F542" t="s">
        <v>428</v>
      </c>
      <c r="G542">
        <v>1101448</v>
      </c>
      <c r="H542">
        <v>202109</v>
      </c>
      <c r="I542" s="400">
        <v>44469</v>
      </c>
      <c r="J542" t="s">
        <v>1152</v>
      </c>
      <c r="K542" t="s">
        <v>386</v>
      </c>
      <c r="L542" t="s">
        <v>1247</v>
      </c>
      <c r="M542" t="s">
        <v>1248</v>
      </c>
      <c r="O542" t="s">
        <v>1249</v>
      </c>
      <c r="P542" t="s">
        <v>1250</v>
      </c>
      <c r="Q542" t="s">
        <v>450</v>
      </c>
      <c r="R542">
        <v>2069193</v>
      </c>
      <c r="S542" t="s">
        <v>1238</v>
      </c>
      <c r="U542" t="s">
        <v>1238</v>
      </c>
      <c r="V542" t="s">
        <v>398</v>
      </c>
      <c r="W542" s="393">
        <v>778948.7</v>
      </c>
      <c r="X542" s="393">
        <v>203.13</v>
      </c>
      <c r="Y542" s="393">
        <v>1766.31</v>
      </c>
      <c r="Z542" s="393">
        <v>778948.7</v>
      </c>
      <c r="AA542">
        <v>0</v>
      </c>
      <c r="AB542" s="400">
        <v>44477.121614039352</v>
      </c>
      <c r="AC542" t="s">
        <v>321</v>
      </c>
    </row>
    <row r="543" spans="1:29">
      <c r="A543" t="s">
        <v>382</v>
      </c>
      <c r="B543" t="s">
        <v>1214</v>
      </c>
      <c r="C543" t="s">
        <v>1150</v>
      </c>
      <c r="D543" t="s">
        <v>1151</v>
      </c>
      <c r="E543" t="s">
        <v>427</v>
      </c>
      <c r="F543" t="s">
        <v>428</v>
      </c>
      <c r="G543">
        <v>1101448</v>
      </c>
      <c r="H543">
        <v>202109</v>
      </c>
      <c r="I543" s="400">
        <v>44469</v>
      </c>
      <c r="J543" t="s">
        <v>1152</v>
      </c>
      <c r="K543" t="s">
        <v>386</v>
      </c>
      <c r="L543" t="s">
        <v>1215</v>
      </c>
      <c r="M543" t="s">
        <v>1216</v>
      </c>
      <c r="O543" t="s">
        <v>1217</v>
      </c>
      <c r="P543" t="s">
        <v>1218</v>
      </c>
      <c r="Q543" t="s">
        <v>450</v>
      </c>
      <c r="R543">
        <v>2069189</v>
      </c>
      <c r="S543" t="s">
        <v>1238</v>
      </c>
      <c r="U543" t="s">
        <v>1238</v>
      </c>
      <c r="V543" t="s">
        <v>398</v>
      </c>
      <c r="W543" s="393">
        <v>2016290.21</v>
      </c>
      <c r="X543" s="393">
        <v>525.80999999999995</v>
      </c>
      <c r="Y543" s="393">
        <v>4572.0600000000004</v>
      </c>
      <c r="Z543" s="393">
        <v>2016290.21</v>
      </c>
      <c r="AA543">
        <v>0</v>
      </c>
      <c r="AB543" s="400">
        <v>44477.121614039352</v>
      </c>
      <c r="AC543" t="s">
        <v>321</v>
      </c>
    </row>
    <row r="544" spans="1:29">
      <c r="A544" t="s">
        <v>382</v>
      </c>
      <c r="B544" t="s">
        <v>1214</v>
      </c>
      <c r="C544" t="s">
        <v>1150</v>
      </c>
      <c r="D544" t="s">
        <v>1151</v>
      </c>
      <c r="E544" t="s">
        <v>427</v>
      </c>
      <c r="F544" t="s">
        <v>428</v>
      </c>
      <c r="G544">
        <v>1101444</v>
      </c>
      <c r="H544">
        <v>202109</v>
      </c>
      <c r="I544" s="400">
        <v>44469</v>
      </c>
      <c r="J544" t="s">
        <v>1152</v>
      </c>
      <c r="K544" t="s">
        <v>386</v>
      </c>
      <c r="L544" t="s">
        <v>1215</v>
      </c>
      <c r="M544" t="s">
        <v>1216</v>
      </c>
      <c r="O544" t="s">
        <v>1217</v>
      </c>
      <c r="P544" t="s">
        <v>1218</v>
      </c>
      <c r="Q544" t="s">
        <v>450</v>
      </c>
      <c r="R544">
        <v>2069189</v>
      </c>
      <c r="S544" t="s">
        <v>1238</v>
      </c>
      <c r="U544" t="s">
        <v>1246</v>
      </c>
      <c r="V544" t="s">
        <v>398</v>
      </c>
      <c r="W544" s="393">
        <v>-2016193.36</v>
      </c>
      <c r="X544" s="393">
        <v>-525.78</v>
      </c>
      <c r="Y544" s="393">
        <v>-4571.84</v>
      </c>
      <c r="Z544" s="393">
        <v>-2016193.36</v>
      </c>
      <c r="AA544">
        <v>0</v>
      </c>
      <c r="AB544" s="400">
        <v>44477.014695335645</v>
      </c>
      <c r="AC544" t="s">
        <v>321</v>
      </c>
    </row>
    <row r="545" spans="1:29">
      <c r="A545" t="s">
        <v>382</v>
      </c>
      <c r="B545" t="s">
        <v>1214</v>
      </c>
      <c r="C545" t="s">
        <v>1150</v>
      </c>
      <c r="D545" t="s">
        <v>1151</v>
      </c>
      <c r="E545" t="s">
        <v>427</v>
      </c>
      <c r="F545" t="s">
        <v>428</v>
      </c>
      <c r="G545">
        <v>1101440</v>
      </c>
      <c r="H545">
        <v>202109</v>
      </c>
      <c r="I545" s="400">
        <v>44469</v>
      </c>
      <c r="J545" t="s">
        <v>1152</v>
      </c>
      <c r="K545" t="s">
        <v>386</v>
      </c>
      <c r="L545" t="s">
        <v>1215</v>
      </c>
      <c r="M545" t="s">
        <v>1216</v>
      </c>
      <c r="O545" t="s">
        <v>1217</v>
      </c>
      <c r="P545" t="s">
        <v>1218</v>
      </c>
      <c r="Q545" t="s">
        <v>450</v>
      </c>
      <c r="R545">
        <v>2069189</v>
      </c>
      <c r="S545" t="s">
        <v>1238</v>
      </c>
      <c r="U545" t="s">
        <v>1238</v>
      </c>
      <c r="V545" t="s">
        <v>398</v>
      </c>
      <c r="W545" s="393">
        <v>2016193.36</v>
      </c>
      <c r="X545" s="393">
        <v>525.78</v>
      </c>
      <c r="Y545" s="393">
        <v>4571.84</v>
      </c>
      <c r="Z545" s="393">
        <v>2016193.36</v>
      </c>
      <c r="AA545">
        <v>0</v>
      </c>
      <c r="AB545" s="400">
        <v>44476.971625659724</v>
      </c>
      <c r="AC545" t="s">
        <v>321</v>
      </c>
    </row>
    <row r="546" spans="1:29">
      <c r="A546" t="s">
        <v>382</v>
      </c>
      <c r="B546" t="s">
        <v>440</v>
      </c>
      <c r="C546" t="s">
        <v>1150</v>
      </c>
      <c r="D546" t="s">
        <v>1151</v>
      </c>
      <c r="E546" t="s">
        <v>427</v>
      </c>
      <c r="F546" t="s">
        <v>428</v>
      </c>
      <c r="G546">
        <v>1101440</v>
      </c>
      <c r="H546">
        <v>202109</v>
      </c>
      <c r="I546" s="400">
        <v>44469</v>
      </c>
      <c r="J546" t="s">
        <v>1152</v>
      </c>
      <c r="K546" t="s">
        <v>386</v>
      </c>
      <c r="L546" t="s">
        <v>1195</v>
      </c>
      <c r="M546" t="s">
        <v>1196</v>
      </c>
      <c r="O546" t="s">
        <v>1197</v>
      </c>
      <c r="P546" t="s">
        <v>1198</v>
      </c>
      <c r="Q546" t="s">
        <v>450</v>
      </c>
      <c r="R546">
        <v>2069187</v>
      </c>
      <c r="S546" t="s">
        <v>1238</v>
      </c>
      <c r="U546" t="s">
        <v>1238</v>
      </c>
      <c r="V546" t="s">
        <v>398</v>
      </c>
      <c r="W546" s="393">
        <v>1461150.96</v>
      </c>
      <c r="X546" s="393">
        <v>381.04</v>
      </c>
      <c r="Y546" s="393">
        <v>3313.25</v>
      </c>
      <c r="Z546" s="393">
        <v>1461150.96</v>
      </c>
      <c r="AA546">
        <v>0</v>
      </c>
      <c r="AB546" s="400">
        <v>44476.971625659724</v>
      </c>
      <c r="AC546" t="s">
        <v>321</v>
      </c>
    </row>
    <row r="547" spans="1:29">
      <c r="A547" t="s">
        <v>382</v>
      </c>
      <c r="B547" t="s">
        <v>440</v>
      </c>
      <c r="C547" t="s">
        <v>1150</v>
      </c>
      <c r="D547" t="s">
        <v>1151</v>
      </c>
      <c r="E547" t="s">
        <v>427</v>
      </c>
      <c r="F547" t="s">
        <v>428</v>
      </c>
      <c r="G547">
        <v>1101444</v>
      </c>
      <c r="H547">
        <v>202109</v>
      </c>
      <c r="I547" s="400">
        <v>44469</v>
      </c>
      <c r="J547" t="s">
        <v>1152</v>
      </c>
      <c r="K547" t="s">
        <v>386</v>
      </c>
      <c r="L547" t="s">
        <v>1195</v>
      </c>
      <c r="M547" t="s">
        <v>1196</v>
      </c>
      <c r="O547" t="s">
        <v>1197</v>
      </c>
      <c r="P547" t="s">
        <v>1198</v>
      </c>
      <c r="Q547" t="s">
        <v>450</v>
      </c>
      <c r="R547">
        <v>2069187</v>
      </c>
      <c r="S547" t="s">
        <v>1238</v>
      </c>
      <c r="U547" t="s">
        <v>1246</v>
      </c>
      <c r="V547" t="s">
        <v>398</v>
      </c>
      <c r="W547" s="393">
        <v>-1461150.96</v>
      </c>
      <c r="X547" s="393">
        <v>-381.04</v>
      </c>
      <c r="Y547" s="393">
        <v>-3313.25</v>
      </c>
      <c r="Z547" s="393">
        <v>-1461150.96</v>
      </c>
      <c r="AA547">
        <v>0</v>
      </c>
      <c r="AB547" s="400">
        <v>44477.014695335645</v>
      </c>
      <c r="AC547" t="s">
        <v>321</v>
      </c>
    </row>
    <row r="548" spans="1:29">
      <c r="A548" t="s">
        <v>382</v>
      </c>
      <c r="B548" t="s">
        <v>440</v>
      </c>
      <c r="C548" t="s">
        <v>1150</v>
      </c>
      <c r="D548" t="s">
        <v>1151</v>
      </c>
      <c r="E548" t="s">
        <v>427</v>
      </c>
      <c r="F548" t="s">
        <v>428</v>
      </c>
      <c r="G548">
        <v>1101448</v>
      </c>
      <c r="H548">
        <v>202109</v>
      </c>
      <c r="I548" s="400">
        <v>44469</v>
      </c>
      <c r="J548" t="s">
        <v>1152</v>
      </c>
      <c r="K548" t="s">
        <v>386</v>
      </c>
      <c r="L548" t="s">
        <v>1195</v>
      </c>
      <c r="M548" t="s">
        <v>1196</v>
      </c>
      <c r="O548" t="s">
        <v>1197</v>
      </c>
      <c r="P548" t="s">
        <v>1198</v>
      </c>
      <c r="Q548" t="s">
        <v>450</v>
      </c>
      <c r="R548">
        <v>2069187</v>
      </c>
      <c r="S548" t="s">
        <v>1238</v>
      </c>
      <c r="U548" t="s">
        <v>1238</v>
      </c>
      <c r="V548" t="s">
        <v>398</v>
      </c>
      <c r="W548" s="393">
        <v>1461247.81</v>
      </c>
      <c r="X548" s="393">
        <v>381.06</v>
      </c>
      <c r="Y548" s="393">
        <v>3313.47</v>
      </c>
      <c r="Z548" s="393">
        <v>1461247.81</v>
      </c>
      <c r="AA548">
        <v>0</v>
      </c>
      <c r="AB548" s="400">
        <v>44477.121614039352</v>
      </c>
      <c r="AC548" t="s">
        <v>321</v>
      </c>
    </row>
    <row r="549" spans="1:29">
      <c r="A549" t="s">
        <v>382</v>
      </c>
      <c r="B549" t="s">
        <v>440</v>
      </c>
      <c r="C549" t="s">
        <v>1150</v>
      </c>
      <c r="D549" t="s">
        <v>1151</v>
      </c>
      <c r="E549" t="s">
        <v>427</v>
      </c>
      <c r="F549" t="s">
        <v>428</v>
      </c>
      <c r="G549">
        <v>1101440</v>
      </c>
      <c r="H549">
        <v>202109</v>
      </c>
      <c r="I549" s="400">
        <v>44469</v>
      </c>
      <c r="J549" t="s">
        <v>1152</v>
      </c>
      <c r="K549" t="s">
        <v>386</v>
      </c>
      <c r="L549" t="s">
        <v>1170</v>
      </c>
      <c r="M549" t="s">
        <v>1171</v>
      </c>
      <c r="O549" t="s">
        <v>1172</v>
      </c>
      <c r="P549" t="s">
        <v>1173</v>
      </c>
      <c r="Q549" t="s">
        <v>450</v>
      </c>
      <c r="R549">
        <v>2069177</v>
      </c>
      <c r="S549" t="s">
        <v>1238</v>
      </c>
      <c r="U549" t="s">
        <v>1238</v>
      </c>
      <c r="V549" t="s">
        <v>398</v>
      </c>
      <c r="W549" s="393">
        <v>630203.28</v>
      </c>
      <c r="X549" s="393">
        <v>164.34</v>
      </c>
      <c r="Y549" s="393">
        <v>1429.02</v>
      </c>
      <c r="Z549" s="393">
        <v>630203.28</v>
      </c>
      <c r="AA549">
        <v>0</v>
      </c>
      <c r="AB549" s="400">
        <v>44476.971625659724</v>
      </c>
      <c r="AC549" t="s">
        <v>321</v>
      </c>
    </row>
    <row r="550" spans="1:29">
      <c r="A550" t="s">
        <v>382</v>
      </c>
      <c r="B550" t="s">
        <v>440</v>
      </c>
      <c r="C550" t="s">
        <v>1150</v>
      </c>
      <c r="D550" t="s">
        <v>1151</v>
      </c>
      <c r="E550" t="s">
        <v>427</v>
      </c>
      <c r="F550" t="s">
        <v>428</v>
      </c>
      <c r="G550">
        <v>1101444</v>
      </c>
      <c r="H550">
        <v>202109</v>
      </c>
      <c r="I550" s="400">
        <v>44469</v>
      </c>
      <c r="J550" t="s">
        <v>1152</v>
      </c>
      <c r="K550" t="s">
        <v>386</v>
      </c>
      <c r="L550" t="s">
        <v>1170</v>
      </c>
      <c r="M550" t="s">
        <v>1171</v>
      </c>
      <c r="O550" t="s">
        <v>1172</v>
      </c>
      <c r="P550" t="s">
        <v>1173</v>
      </c>
      <c r="Q550" t="s">
        <v>450</v>
      </c>
      <c r="R550">
        <v>2069177</v>
      </c>
      <c r="S550" t="s">
        <v>1238</v>
      </c>
      <c r="U550" t="s">
        <v>1246</v>
      </c>
      <c r="V550" t="s">
        <v>398</v>
      </c>
      <c r="W550" s="393">
        <v>-630203.28</v>
      </c>
      <c r="X550" s="393">
        <v>-164.34</v>
      </c>
      <c r="Y550" s="393">
        <v>-1429.02</v>
      </c>
      <c r="Z550" s="393">
        <v>-630203.28</v>
      </c>
      <c r="AA550">
        <v>0</v>
      </c>
      <c r="AB550" s="400">
        <v>44477.014695335645</v>
      </c>
      <c r="AC550" t="s">
        <v>321</v>
      </c>
    </row>
    <row r="551" spans="1:29">
      <c r="A551" t="s">
        <v>382</v>
      </c>
      <c r="B551" t="s">
        <v>440</v>
      </c>
      <c r="C551" t="s">
        <v>1150</v>
      </c>
      <c r="D551" t="s">
        <v>1151</v>
      </c>
      <c r="E551" t="s">
        <v>427</v>
      </c>
      <c r="F551" t="s">
        <v>428</v>
      </c>
      <c r="G551">
        <v>1101448</v>
      </c>
      <c r="H551">
        <v>202109</v>
      </c>
      <c r="I551" s="400">
        <v>44469</v>
      </c>
      <c r="J551" t="s">
        <v>1152</v>
      </c>
      <c r="K551" t="s">
        <v>386</v>
      </c>
      <c r="L551" t="s">
        <v>1170</v>
      </c>
      <c r="M551" t="s">
        <v>1171</v>
      </c>
      <c r="O551" t="s">
        <v>1172</v>
      </c>
      <c r="P551" t="s">
        <v>1173</v>
      </c>
      <c r="Q551" t="s">
        <v>450</v>
      </c>
      <c r="R551">
        <v>2069177</v>
      </c>
      <c r="S551" t="s">
        <v>1238</v>
      </c>
      <c r="U551" t="s">
        <v>1238</v>
      </c>
      <c r="V551" t="s">
        <v>398</v>
      </c>
      <c r="W551" s="393">
        <v>630251.69999999995</v>
      </c>
      <c r="X551" s="393">
        <v>164.36</v>
      </c>
      <c r="Y551" s="393">
        <v>1429.13</v>
      </c>
      <c r="Z551" s="393">
        <v>630251.69999999995</v>
      </c>
      <c r="AA551">
        <v>0</v>
      </c>
      <c r="AB551" s="400">
        <v>44477.121614039352</v>
      </c>
      <c r="AC551" t="s">
        <v>321</v>
      </c>
    </row>
    <row r="552" spans="1:29">
      <c r="A552" t="s">
        <v>382</v>
      </c>
      <c r="B552" t="s">
        <v>1251</v>
      </c>
      <c r="C552" t="s">
        <v>1252</v>
      </c>
      <c r="D552" t="s">
        <v>1253</v>
      </c>
      <c r="E552" t="s">
        <v>1254</v>
      </c>
      <c r="F552" t="s">
        <v>1255</v>
      </c>
      <c r="G552">
        <v>5100155</v>
      </c>
      <c r="H552">
        <v>202108</v>
      </c>
      <c r="I552" s="400">
        <v>44435</v>
      </c>
      <c r="J552" t="s">
        <v>1049</v>
      </c>
      <c r="K552" t="s">
        <v>386</v>
      </c>
      <c r="M552" t="s">
        <v>387</v>
      </c>
      <c r="O552" t="s">
        <v>1256</v>
      </c>
      <c r="P552" t="s">
        <v>1257</v>
      </c>
      <c r="Q552" t="s">
        <v>450</v>
      </c>
      <c r="R552">
        <v>2069109</v>
      </c>
      <c r="S552" t="s">
        <v>387</v>
      </c>
      <c r="U552" t="s">
        <v>1258</v>
      </c>
      <c r="V552" t="s">
        <v>398</v>
      </c>
      <c r="W552" s="393">
        <v>168605</v>
      </c>
      <c r="X552" s="393">
        <v>43.62</v>
      </c>
      <c r="Y552" s="393">
        <v>379.89</v>
      </c>
      <c r="Z552" s="393">
        <v>168605</v>
      </c>
      <c r="AA552">
        <v>0</v>
      </c>
      <c r="AB552" s="400">
        <v>44441.774477430554</v>
      </c>
      <c r="AC552" t="s">
        <v>324</v>
      </c>
    </row>
    <row r="553" spans="1:29">
      <c r="A553" t="s">
        <v>382</v>
      </c>
      <c r="B553" t="s">
        <v>1251</v>
      </c>
      <c r="C553" t="s">
        <v>1252</v>
      </c>
      <c r="D553" t="s">
        <v>1253</v>
      </c>
      <c r="E553" t="s">
        <v>1254</v>
      </c>
      <c r="F553" t="s">
        <v>1255</v>
      </c>
      <c r="G553">
        <v>5100155</v>
      </c>
      <c r="H553">
        <v>202108</v>
      </c>
      <c r="I553" s="400">
        <v>44435</v>
      </c>
      <c r="J553" t="s">
        <v>1049</v>
      </c>
      <c r="K553" t="s">
        <v>386</v>
      </c>
      <c r="M553" t="s">
        <v>387</v>
      </c>
      <c r="O553" t="s">
        <v>1256</v>
      </c>
      <c r="P553" t="s">
        <v>1257</v>
      </c>
      <c r="Q553" t="s">
        <v>450</v>
      </c>
      <c r="R553">
        <v>2069109</v>
      </c>
      <c r="S553" t="s">
        <v>387</v>
      </c>
      <c r="U553" t="s">
        <v>1259</v>
      </c>
      <c r="V553" t="s">
        <v>398</v>
      </c>
      <c r="W553" s="393">
        <v>95000</v>
      </c>
      <c r="X553" s="393">
        <v>24.58</v>
      </c>
      <c r="Y553" s="393">
        <v>214.05</v>
      </c>
      <c r="Z553" s="393">
        <v>95000</v>
      </c>
      <c r="AA553">
        <v>0</v>
      </c>
      <c r="AB553" s="400">
        <v>44441.774477627318</v>
      </c>
      <c r="AC553" t="s">
        <v>324</v>
      </c>
    </row>
    <row r="554" spans="1:29">
      <c r="A554" t="s">
        <v>382</v>
      </c>
      <c r="B554" t="s">
        <v>1251</v>
      </c>
      <c r="C554" t="s">
        <v>1252</v>
      </c>
      <c r="D554" t="s">
        <v>1253</v>
      </c>
      <c r="E554" t="s">
        <v>1254</v>
      </c>
      <c r="F554" t="s">
        <v>1255</v>
      </c>
      <c r="G554">
        <v>5100155</v>
      </c>
      <c r="H554">
        <v>202108</v>
      </c>
      <c r="I554" s="400">
        <v>44435</v>
      </c>
      <c r="J554" t="s">
        <v>1049</v>
      </c>
      <c r="K554" t="s">
        <v>386</v>
      </c>
      <c r="M554" t="s">
        <v>387</v>
      </c>
      <c r="O554" t="s">
        <v>1256</v>
      </c>
      <c r="P554" t="s">
        <v>1257</v>
      </c>
      <c r="Q554" t="s">
        <v>450</v>
      </c>
      <c r="R554">
        <v>2069109</v>
      </c>
      <c r="S554" t="s">
        <v>387</v>
      </c>
      <c r="U554" t="s">
        <v>1260</v>
      </c>
      <c r="V554" t="s">
        <v>398</v>
      </c>
      <c r="W554" s="393">
        <v>51092</v>
      </c>
      <c r="X554" s="393">
        <v>13.22</v>
      </c>
      <c r="Y554" s="393">
        <v>115.12</v>
      </c>
      <c r="Z554" s="393">
        <v>51092</v>
      </c>
      <c r="AA554">
        <v>0</v>
      </c>
      <c r="AB554" s="400">
        <v>44441.774477627318</v>
      </c>
      <c r="AC554" t="s">
        <v>324</v>
      </c>
    </row>
    <row r="555" spans="1:29">
      <c r="A555" t="s">
        <v>382</v>
      </c>
      <c r="B555" t="s">
        <v>1251</v>
      </c>
      <c r="C555" t="s">
        <v>1252</v>
      </c>
      <c r="D555" t="s">
        <v>1253</v>
      </c>
      <c r="E555" t="s">
        <v>1254</v>
      </c>
      <c r="F555" t="s">
        <v>1255</v>
      </c>
      <c r="G555">
        <v>5100155</v>
      </c>
      <c r="H555">
        <v>202108</v>
      </c>
      <c r="I555" s="400">
        <v>44435</v>
      </c>
      <c r="J555" t="s">
        <v>1049</v>
      </c>
      <c r="K555" t="s">
        <v>386</v>
      </c>
      <c r="M555" t="s">
        <v>387</v>
      </c>
      <c r="O555" t="s">
        <v>1256</v>
      </c>
      <c r="P555" t="s">
        <v>1257</v>
      </c>
      <c r="Q555" t="s">
        <v>450</v>
      </c>
      <c r="R555">
        <v>2069109</v>
      </c>
      <c r="S555" t="s">
        <v>387</v>
      </c>
      <c r="U555" t="s">
        <v>1261</v>
      </c>
      <c r="V555" t="s">
        <v>398</v>
      </c>
      <c r="W555" s="393">
        <v>31933</v>
      </c>
      <c r="X555" s="393">
        <v>8.26</v>
      </c>
      <c r="Y555" s="393">
        <v>71.95</v>
      </c>
      <c r="Z555" s="393">
        <v>31933</v>
      </c>
      <c r="AA555">
        <v>0</v>
      </c>
      <c r="AB555" s="400">
        <v>44441.774477627318</v>
      </c>
      <c r="AC555" t="s">
        <v>324</v>
      </c>
    </row>
    <row r="556" spans="1:29">
      <c r="A556" t="s">
        <v>382</v>
      </c>
      <c r="B556" t="s">
        <v>1251</v>
      </c>
      <c r="C556" t="s">
        <v>1252</v>
      </c>
      <c r="D556" t="s">
        <v>1253</v>
      </c>
      <c r="E556" t="s">
        <v>1254</v>
      </c>
      <c r="F556" t="s">
        <v>1255</v>
      </c>
      <c r="G556">
        <v>5100155</v>
      </c>
      <c r="H556">
        <v>202108</v>
      </c>
      <c r="I556" s="400">
        <v>44435</v>
      </c>
      <c r="J556" t="s">
        <v>1049</v>
      </c>
      <c r="K556" t="s">
        <v>386</v>
      </c>
      <c r="M556" t="s">
        <v>387</v>
      </c>
      <c r="O556" t="s">
        <v>1256</v>
      </c>
      <c r="P556" t="s">
        <v>1257</v>
      </c>
      <c r="Q556" t="s">
        <v>450</v>
      </c>
      <c r="R556">
        <v>2069109</v>
      </c>
      <c r="S556" t="s">
        <v>387</v>
      </c>
      <c r="U556" t="s">
        <v>1262</v>
      </c>
      <c r="V556" t="s">
        <v>398</v>
      </c>
      <c r="W556" s="393">
        <v>399160</v>
      </c>
      <c r="X556" s="393">
        <v>103.27</v>
      </c>
      <c r="Y556" s="393">
        <v>899.36</v>
      </c>
      <c r="Z556" s="393">
        <v>399160</v>
      </c>
      <c r="AA556">
        <v>0</v>
      </c>
      <c r="AB556" s="400">
        <v>44441.774477777777</v>
      </c>
      <c r="AC556" t="s">
        <v>324</v>
      </c>
    </row>
    <row r="557" spans="1:29">
      <c r="A557" t="s">
        <v>382</v>
      </c>
      <c r="B557" t="s">
        <v>1251</v>
      </c>
      <c r="C557" t="s">
        <v>1252</v>
      </c>
      <c r="D557" t="s">
        <v>1253</v>
      </c>
      <c r="E557" t="s">
        <v>1254</v>
      </c>
      <c r="F557" t="s">
        <v>1255</v>
      </c>
      <c r="G557">
        <v>5100155</v>
      </c>
      <c r="H557">
        <v>202108</v>
      </c>
      <c r="I557" s="400">
        <v>44435</v>
      </c>
      <c r="J557" t="s">
        <v>1049</v>
      </c>
      <c r="K557" t="s">
        <v>386</v>
      </c>
      <c r="M557" t="s">
        <v>387</v>
      </c>
      <c r="O557" t="s">
        <v>1256</v>
      </c>
      <c r="P557" t="s">
        <v>1257</v>
      </c>
      <c r="Q557" t="s">
        <v>450</v>
      </c>
      <c r="R557">
        <v>2069109</v>
      </c>
      <c r="S557" t="s">
        <v>387</v>
      </c>
      <c r="U557" t="s">
        <v>1263</v>
      </c>
      <c r="V557" t="s">
        <v>398</v>
      </c>
      <c r="W557" s="393">
        <v>359244</v>
      </c>
      <c r="X557" s="393">
        <v>92.95</v>
      </c>
      <c r="Y557" s="393">
        <v>809.42</v>
      </c>
      <c r="Z557" s="393">
        <v>359244</v>
      </c>
      <c r="AA557">
        <v>0</v>
      </c>
      <c r="AB557" s="400">
        <v>44441.774477777777</v>
      </c>
      <c r="AC557" t="s">
        <v>324</v>
      </c>
    </row>
    <row r="558" spans="1:29">
      <c r="A558" t="s">
        <v>382</v>
      </c>
      <c r="B558" t="s">
        <v>1251</v>
      </c>
      <c r="C558" t="s">
        <v>1252</v>
      </c>
      <c r="D558" t="s">
        <v>1253</v>
      </c>
      <c r="E558" t="s">
        <v>1254</v>
      </c>
      <c r="F558" t="s">
        <v>1255</v>
      </c>
      <c r="G558">
        <v>5100155</v>
      </c>
      <c r="H558">
        <v>202108</v>
      </c>
      <c r="I558" s="400">
        <v>44435</v>
      </c>
      <c r="J558" t="s">
        <v>1049</v>
      </c>
      <c r="K558" t="s">
        <v>386</v>
      </c>
      <c r="M558" t="s">
        <v>387</v>
      </c>
      <c r="O558" t="s">
        <v>1256</v>
      </c>
      <c r="P558" t="s">
        <v>1257</v>
      </c>
      <c r="Q558" t="s">
        <v>450</v>
      </c>
      <c r="R558">
        <v>2069109</v>
      </c>
      <c r="S558" t="s">
        <v>387</v>
      </c>
      <c r="U558" t="s">
        <v>1264</v>
      </c>
      <c r="V558" t="s">
        <v>398</v>
      </c>
      <c r="W558" s="393">
        <v>586765</v>
      </c>
      <c r="X558" s="393">
        <v>151.81</v>
      </c>
      <c r="Y558" s="393">
        <v>1322.05</v>
      </c>
      <c r="Z558" s="393">
        <v>586765</v>
      </c>
      <c r="AA558">
        <v>0</v>
      </c>
      <c r="AB558" s="400">
        <v>44441.774477430554</v>
      </c>
      <c r="AC558" t="s">
        <v>324</v>
      </c>
    </row>
    <row r="559" spans="1:29">
      <c r="A559" t="s">
        <v>382</v>
      </c>
      <c r="B559" t="s">
        <v>1251</v>
      </c>
      <c r="C559" t="s">
        <v>1252</v>
      </c>
      <c r="D559" t="s">
        <v>1253</v>
      </c>
      <c r="E559" t="s">
        <v>1254</v>
      </c>
      <c r="F559" t="s">
        <v>1255</v>
      </c>
      <c r="G559">
        <v>5100155</v>
      </c>
      <c r="H559">
        <v>202108</v>
      </c>
      <c r="I559" s="400">
        <v>44435</v>
      </c>
      <c r="J559" t="s">
        <v>1049</v>
      </c>
      <c r="K559" t="s">
        <v>386</v>
      </c>
      <c r="M559" t="s">
        <v>387</v>
      </c>
      <c r="O559" t="s">
        <v>1256</v>
      </c>
      <c r="P559" t="s">
        <v>1257</v>
      </c>
      <c r="Q559" t="s">
        <v>450</v>
      </c>
      <c r="R559">
        <v>2069109</v>
      </c>
      <c r="S559" t="s">
        <v>1265</v>
      </c>
      <c r="U559" t="s">
        <v>1266</v>
      </c>
      <c r="V559" t="s">
        <v>398</v>
      </c>
      <c r="W559" s="393">
        <v>2013241</v>
      </c>
      <c r="X559" s="393">
        <v>520.89</v>
      </c>
      <c r="Y559" s="393">
        <v>4536.07</v>
      </c>
      <c r="Z559" s="393">
        <v>2013241</v>
      </c>
      <c r="AA559">
        <v>0</v>
      </c>
      <c r="AB559" s="400">
        <v>44441.774477083331</v>
      </c>
      <c r="AC559" t="s">
        <v>324</v>
      </c>
    </row>
    <row r="560" spans="1:29">
      <c r="A560" t="s">
        <v>382</v>
      </c>
      <c r="B560" t="s">
        <v>440</v>
      </c>
      <c r="C560" t="s">
        <v>1252</v>
      </c>
      <c r="D560" t="s">
        <v>1253</v>
      </c>
      <c r="E560" t="s">
        <v>390</v>
      </c>
      <c r="F560" t="s">
        <v>391</v>
      </c>
      <c r="G560">
        <v>6101615</v>
      </c>
      <c r="H560">
        <v>202108</v>
      </c>
      <c r="I560" s="400">
        <v>44428</v>
      </c>
      <c r="J560" t="s">
        <v>452</v>
      </c>
      <c r="K560" t="s">
        <v>386</v>
      </c>
      <c r="M560" t="s">
        <v>387</v>
      </c>
      <c r="O560" t="s">
        <v>1267</v>
      </c>
      <c r="P560" t="s">
        <v>1268</v>
      </c>
      <c r="Q560" t="s">
        <v>450</v>
      </c>
      <c r="R560">
        <v>2069109</v>
      </c>
      <c r="S560" t="s">
        <v>387</v>
      </c>
      <c r="U560" t="s">
        <v>1269</v>
      </c>
      <c r="V560" t="s">
        <v>398</v>
      </c>
      <c r="W560" s="393">
        <v>175370</v>
      </c>
      <c r="X560" s="393">
        <v>44.84</v>
      </c>
      <c r="Y560" s="393">
        <v>387.33</v>
      </c>
      <c r="Z560" s="393">
        <v>175370</v>
      </c>
      <c r="AA560">
        <v>0</v>
      </c>
      <c r="AB560" s="400">
        <v>44433.83512152778</v>
      </c>
      <c r="AC560" t="s">
        <v>324</v>
      </c>
    </row>
    <row r="561" spans="1:29">
      <c r="A561" t="s">
        <v>382</v>
      </c>
      <c r="B561" t="s">
        <v>1251</v>
      </c>
      <c r="C561" t="s">
        <v>1252</v>
      </c>
      <c r="D561" t="s">
        <v>1253</v>
      </c>
      <c r="E561" t="s">
        <v>1254</v>
      </c>
      <c r="F561" t="s">
        <v>1255</v>
      </c>
      <c r="G561">
        <v>5100165</v>
      </c>
      <c r="H561">
        <v>202108</v>
      </c>
      <c r="I561" s="400">
        <v>44439</v>
      </c>
      <c r="J561" t="s">
        <v>1036</v>
      </c>
      <c r="K561" t="s">
        <v>386</v>
      </c>
      <c r="M561" t="s">
        <v>387</v>
      </c>
      <c r="O561" t="s">
        <v>1256</v>
      </c>
      <c r="P561" t="s">
        <v>1257</v>
      </c>
      <c r="Q561" t="s">
        <v>450</v>
      </c>
      <c r="R561">
        <v>2069109</v>
      </c>
      <c r="S561" t="s">
        <v>387</v>
      </c>
      <c r="U561" t="s">
        <v>1270</v>
      </c>
      <c r="V561" t="s">
        <v>398</v>
      </c>
      <c r="W561" s="393">
        <v>168605</v>
      </c>
      <c r="X561" s="393">
        <v>43.62</v>
      </c>
      <c r="Y561" s="393">
        <v>379.89</v>
      </c>
      <c r="Z561" s="393">
        <v>168605</v>
      </c>
      <c r="AA561">
        <v>0</v>
      </c>
      <c r="AB561" s="400">
        <v>44447.817461423612</v>
      </c>
      <c r="AC561" t="s">
        <v>324</v>
      </c>
    </row>
    <row r="562" spans="1:29">
      <c r="A562" t="s">
        <v>382</v>
      </c>
      <c r="B562" t="s">
        <v>1251</v>
      </c>
      <c r="C562" t="s">
        <v>1252</v>
      </c>
      <c r="D562" t="s">
        <v>1253</v>
      </c>
      <c r="E562" t="s">
        <v>1254</v>
      </c>
      <c r="F562" t="s">
        <v>1255</v>
      </c>
      <c r="G562">
        <v>5100165</v>
      </c>
      <c r="H562">
        <v>202108</v>
      </c>
      <c r="I562" s="400">
        <v>44439</v>
      </c>
      <c r="J562" t="s">
        <v>1036</v>
      </c>
      <c r="K562" t="s">
        <v>386</v>
      </c>
      <c r="M562" t="s">
        <v>387</v>
      </c>
      <c r="O562" t="s">
        <v>1256</v>
      </c>
      <c r="P562" t="s">
        <v>1257</v>
      </c>
      <c r="Q562" t="s">
        <v>450</v>
      </c>
      <c r="R562">
        <v>2069109</v>
      </c>
      <c r="S562" t="s">
        <v>387</v>
      </c>
      <c r="U562" t="s">
        <v>1270</v>
      </c>
      <c r="V562" t="s">
        <v>398</v>
      </c>
      <c r="W562" s="393">
        <v>-95000</v>
      </c>
      <c r="X562" s="393">
        <v>-24.58</v>
      </c>
      <c r="Y562" s="393">
        <v>-214.05</v>
      </c>
      <c r="Z562" s="393">
        <v>-95000</v>
      </c>
      <c r="AA562">
        <v>0</v>
      </c>
      <c r="AB562" s="400">
        <v>44447.817461574072</v>
      </c>
      <c r="AC562" t="s">
        <v>324</v>
      </c>
    </row>
    <row r="563" spans="1:29">
      <c r="A563" t="s">
        <v>382</v>
      </c>
      <c r="B563" t="s">
        <v>1251</v>
      </c>
      <c r="C563" t="s">
        <v>1252</v>
      </c>
      <c r="D563" t="s">
        <v>1253</v>
      </c>
      <c r="E563" t="s">
        <v>1254</v>
      </c>
      <c r="F563" t="s">
        <v>1255</v>
      </c>
      <c r="G563">
        <v>5100165</v>
      </c>
      <c r="H563">
        <v>202108</v>
      </c>
      <c r="I563" s="400">
        <v>44439</v>
      </c>
      <c r="J563" t="s">
        <v>1036</v>
      </c>
      <c r="K563" t="s">
        <v>386</v>
      </c>
      <c r="M563" t="s">
        <v>387</v>
      </c>
      <c r="O563" t="s">
        <v>1256</v>
      </c>
      <c r="P563" t="s">
        <v>1257</v>
      </c>
      <c r="Q563" t="s">
        <v>450</v>
      </c>
      <c r="R563">
        <v>2069109</v>
      </c>
      <c r="S563" t="s">
        <v>387</v>
      </c>
      <c r="U563" t="s">
        <v>1270</v>
      </c>
      <c r="V563" t="s">
        <v>398</v>
      </c>
      <c r="W563" s="393">
        <v>95000</v>
      </c>
      <c r="X563" s="393">
        <v>24.58</v>
      </c>
      <c r="Y563" s="393">
        <v>214.05</v>
      </c>
      <c r="Z563" s="393">
        <v>95000</v>
      </c>
      <c r="AA563">
        <v>0</v>
      </c>
      <c r="AB563" s="400">
        <v>44447.817461574072</v>
      </c>
      <c r="AC563" t="s">
        <v>324</v>
      </c>
    </row>
    <row r="564" spans="1:29">
      <c r="A564" t="s">
        <v>382</v>
      </c>
      <c r="B564" t="s">
        <v>1251</v>
      </c>
      <c r="C564" t="s">
        <v>1252</v>
      </c>
      <c r="D564" t="s">
        <v>1253</v>
      </c>
      <c r="E564" t="s">
        <v>1254</v>
      </c>
      <c r="F564" t="s">
        <v>1255</v>
      </c>
      <c r="G564">
        <v>5100165</v>
      </c>
      <c r="H564">
        <v>202108</v>
      </c>
      <c r="I564" s="400">
        <v>44439</v>
      </c>
      <c r="J564" t="s">
        <v>1036</v>
      </c>
      <c r="K564" t="s">
        <v>386</v>
      </c>
      <c r="M564" t="s">
        <v>387</v>
      </c>
      <c r="O564" t="s">
        <v>1256</v>
      </c>
      <c r="P564" t="s">
        <v>1257</v>
      </c>
      <c r="Q564" t="s">
        <v>450</v>
      </c>
      <c r="R564">
        <v>2069109</v>
      </c>
      <c r="S564" t="s">
        <v>387</v>
      </c>
      <c r="U564" t="s">
        <v>1270</v>
      </c>
      <c r="V564" t="s">
        <v>398</v>
      </c>
      <c r="W564" s="393">
        <v>-51092</v>
      </c>
      <c r="X564" s="393">
        <v>-13.22</v>
      </c>
      <c r="Y564" s="393">
        <v>-115.12</v>
      </c>
      <c r="Z564" s="393">
        <v>-51092</v>
      </c>
      <c r="AA564">
        <v>0</v>
      </c>
      <c r="AB564" s="400">
        <v>44447.817461574072</v>
      </c>
      <c r="AC564" t="s">
        <v>324</v>
      </c>
    </row>
    <row r="565" spans="1:29">
      <c r="A565" t="s">
        <v>382</v>
      </c>
      <c r="B565" t="s">
        <v>1251</v>
      </c>
      <c r="C565" t="s">
        <v>1252</v>
      </c>
      <c r="D565" t="s">
        <v>1253</v>
      </c>
      <c r="E565" t="s">
        <v>1254</v>
      </c>
      <c r="F565" t="s">
        <v>1255</v>
      </c>
      <c r="G565">
        <v>5100165</v>
      </c>
      <c r="H565">
        <v>202108</v>
      </c>
      <c r="I565" s="400">
        <v>44439</v>
      </c>
      <c r="J565" t="s">
        <v>1036</v>
      </c>
      <c r="K565" t="s">
        <v>386</v>
      </c>
      <c r="M565" t="s">
        <v>387</v>
      </c>
      <c r="O565" t="s">
        <v>1256</v>
      </c>
      <c r="P565" t="s">
        <v>1257</v>
      </c>
      <c r="Q565" t="s">
        <v>450</v>
      </c>
      <c r="R565">
        <v>2069109</v>
      </c>
      <c r="S565" t="s">
        <v>387</v>
      </c>
      <c r="U565" t="s">
        <v>1270</v>
      </c>
      <c r="V565" t="s">
        <v>398</v>
      </c>
      <c r="W565" s="393">
        <v>51092</v>
      </c>
      <c r="X565" s="393">
        <v>13.22</v>
      </c>
      <c r="Y565" s="393">
        <v>115.12</v>
      </c>
      <c r="Z565" s="393">
        <v>51092</v>
      </c>
      <c r="AA565">
        <v>0</v>
      </c>
      <c r="AB565" s="400">
        <v>44447.817461770836</v>
      </c>
      <c r="AC565" t="s">
        <v>324</v>
      </c>
    </row>
    <row r="566" spans="1:29">
      <c r="A566" t="s">
        <v>382</v>
      </c>
      <c r="B566" t="s">
        <v>1251</v>
      </c>
      <c r="C566" t="s">
        <v>1252</v>
      </c>
      <c r="D566" t="s">
        <v>1253</v>
      </c>
      <c r="E566" t="s">
        <v>1254</v>
      </c>
      <c r="F566" t="s">
        <v>1255</v>
      </c>
      <c r="G566">
        <v>5100165</v>
      </c>
      <c r="H566">
        <v>202108</v>
      </c>
      <c r="I566" s="400">
        <v>44439</v>
      </c>
      <c r="J566" t="s">
        <v>1036</v>
      </c>
      <c r="K566" t="s">
        <v>386</v>
      </c>
      <c r="M566" t="s">
        <v>387</v>
      </c>
      <c r="O566" t="s">
        <v>1256</v>
      </c>
      <c r="P566" t="s">
        <v>1257</v>
      </c>
      <c r="Q566" t="s">
        <v>450</v>
      </c>
      <c r="R566">
        <v>2069109</v>
      </c>
      <c r="S566" t="s">
        <v>387</v>
      </c>
      <c r="U566" t="s">
        <v>1270</v>
      </c>
      <c r="V566" t="s">
        <v>398</v>
      </c>
      <c r="W566" s="393">
        <v>-586765</v>
      </c>
      <c r="X566" s="393">
        <v>-151.81</v>
      </c>
      <c r="Y566" s="393">
        <v>-1322.05</v>
      </c>
      <c r="Z566" s="393">
        <v>-586765</v>
      </c>
      <c r="AA566">
        <v>0</v>
      </c>
      <c r="AB566" s="400">
        <v>44447.817461226849</v>
      </c>
      <c r="AC566" t="s">
        <v>324</v>
      </c>
    </row>
    <row r="567" spans="1:29">
      <c r="A567" t="s">
        <v>382</v>
      </c>
      <c r="B567" t="s">
        <v>1251</v>
      </c>
      <c r="C567" t="s">
        <v>1252</v>
      </c>
      <c r="D567" t="s">
        <v>1253</v>
      </c>
      <c r="E567" t="s">
        <v>1254</v>
      </c>
      <c r="F567" t="s">
        <v>1255</v>
      </c>
      <c r="G567">
        <v>5100165</v>
      </c>
      <c r="H567">
        <v>202108</v>
      </c>
      <c r="I567" s="400">
        <v>44439</v>
      </c>
      <c r="J567" t="s">
        <v>1036</v>
      </c>
      <c r="K567" t="s">
        <v>386</v>
      </c>
      <c r="M567" t="s">
        <v>387</v>
      </c>
      <c r="O567" t="s">
        <v>1256</v>
      </c>
      <c r="P567" t="s">
        <v>1257</v>
      </c>
      <c r="Q567" t="s">
        <v>450</v>
      </c>
      <c r="R567">
        <v>2069109</v>
      </c>
      <c r="S567" t="s">
        <v>387</v>
      </c>
      <c r="U567" t="s">
        <v>1270</v>
      </c>
      <c r="V567" t="s">
        <v>398</v>
      </c>
      <c r="W567" s="393">
        <v>586765</v>
      </c>
      <c r="X567" s="393">
        <v>151.81</v>
      </c>
      <c r="Y567" s="393">
        <v>1322.05</v>
      </c>
      <c r="Z567" s="393">
        <v>586765</v>
      </c>
      <c r="AA567">
        <v>0</v>
      </c>
      <c r="AB567" s="400">
        <v>44447.817461423612</v>
      </c>
      <c r="AC567" t="s">
        <v>324</v>
      </c>
    </row>
    <row r="568" spans="1:29">
      <c r="A568" t="s">
        <v>382</v>
      </c>
      <c r="B568" t="s">
        <v>1251</v>
      </c>
      <c r="C568" t="s">
        <v>1252</v>
      </c>
      <c r="D568" t="s">
        <v>1253</v>
      </c>
      <c r="E568" t="s">
        <v>1254</v>
      </c>
      <c r="F568" t="s">
        <v>1255</v>
      </c>
      <c r="G568">
        <v>5100165</v>
      </c>
      <c r="H568">
        <v>202108</v>
      </c>
      <c r="I568" s="400">
        <v>44439</v>
      </c>
      <c r="J568" t="s">
        <v>1036</v>
      </c>
      <c r="K568" t="s">
        <v>386</v>
      </c>
      <c r="M568" t="s">
        <v>387</v>
      </c>
      <c r="O568" t="s">
        <v>1256</v>
      </c>
      <c r="P568" t="s">
        <v>1257</v>
      </c>
      <c r="Q568" t="s">
        <v>450</v>
      </c>
      <c r="R568">
        <v>2069109</v>
      </c>
      <c r="S568" t="s">
        <v>387</v>
      </c>
      <c r="U568" t="s">
        <v>1270</v>
      </c>
      <c r="V568" t="s">
        <v>398</v>
      </c>
      <c r="W568" s="393">
        <v>-168605</v>
      </c>
      <c r="X568" s="393">
        <v>-43.62</v>
      </c>
      <c r="Y568" s="393">
        <v>-379.89</v>
      </c>
      <c r="Z568" s="393">
        <v>-168605</v>
      </c>
      <c r="AA568">
        <v>0</v>
      </c>
      <c r="AB568" s="400">
        <v>44447.817461423612</v>
      </c>
      <c r="AC568" t="s">
        <v>324</v>
      </c>
    </row>
    <row r="569" spans="1:29">
      <c r="A569" t="s">
        <v>382</v>
      </c>
      <c r="B569" t="s">
        <v>1251</v>
      </c>
      <c r="C569" t="s">
        <v>1252</v>
      </c>
      <c r="D569" t="s">
        <v>1253</v>
      </c>
      <c r="E569" t="s">
        <v>1254</v>
      </c>
      <c r="F569" t="s">
        <v>1255</v>
      </c>
      <c r="G569">
        <v>5100165</v>
      </c>
      <c r="H569">
        <v>202108</v>
      </c>
      <c r="I569" s="400">
        <v>44439</v>
      </c>
      <c r="J569" t="s">
        <v>1036</v>
      </c>
      <c r="K569" t="s">
        <v>386</v>
      </c>
      <c r="M569" t="s">
        <v>387</v>
      </c>
      <c r="O569" t="s">
        <v>1256</v>
      </c>
      <c r="P569" t="s">
        <v>1257</v>
      </c>
      <c r="Q569" t="s">
        <v>450</v>
      </c>
      <c r="R569">
        <v>2069109</v>
      </c>
      <c r="S569" t="s">
        <v>387</v>
      </c>
      <c r="U569" t="s">
        <v>1270</v>
      </c>
      <c r="V569" t="s">
        <v>398</v>
      </c>
      <c r="W569" s="393">
        <v>-31933</v>
      </c>
      <c r="X569" s="393">
        <v>-8.26</v>
      </c>
      <c r="Y569" s="393">
        <v>-71.95</v>
      </c>
      <c r="Z569" s="393">
        <v>-31933</v>
      </c>
      <c r="AA569">
        <v>0</v>
      </c>
      <c r="AB569" s="400">
        <v>44447.817461770836</v>
      </c>
      <c r="AC569" t="s">
        <v>324</v>
      </c>
    </row>
    <row r="570" spans="1:29">
      <c r="A570" t="s">
        <v>382</v>
      </c>
      <c r="B570" t="s">
        <v>1251</v>
      </c>
      <c r="C570" t="s">
        <v>1252</v>
      </c>
      <c r="D570" t="s">
        <v>1253</v>
      </c>
      <c r="E570" t="s">
        <v>1254</v>
      </c>
      <c r="F570" t="s">
        <v>1255</v>
      </c>
      <c r="G570">
        <v>5100165</v>
      </c>
      <c r="H570">
        <v>202108</v>
      </c>
      <c r="I570" s="400">
        <v>44439</v>
      </c>
      <c r="J570" t="s">
        <v>1036</v>
      </c>
      <c r="K570" t="s">
        <v>386</v>
      </c>
      <c r="M570" t="s">
        <v>387</v>
      </c>
      <c r="O570" t="s">
        <v>1256</v>
      </c>
      <c r="P570" t="s">
        <v>1257</v>
      </c>
      <c r="Q570" t="s">
        <v>450</v>
      </c>
      <c r="R570">
        <v>2069109</v>
      </c>
      <c r="S570" t="s">
        <v>387</v>
      </c>
      <c r="U570" t="s">
        <v>1270</v>
      </c>
      <c r="V570" t="s">
        <v>398</v>
      </c>
      <c r="W570" s="393">
        <v>31933</v>
      </c>
      <c r="X570" s="393">
        <v>8.26</v>
      </c>
      <c r="Y570" s="393">
        <v>71.95</v>
      </c>
      <c r="Z570" s="393">
        <v>31933</v>
      </c>
      <c r="AA570">
        <v>0</v>
      </c>
      <c r="AB570" s="400">
        <v>44447.817461770836</v>
      </c>
      <c r="AC570" t="s">
        <v>324</v>
      </c>
    </row>
    <row r="571" spans="1:29">
      <c r="A571" t="s">
        <v>382</v>
      </c>
      <c r="B571" t="s">
        <v>1251</v>
      </c>
      <c r="C571" t="s">
        <v>1252</v>
      </c>
      <c r="D571" t="s">
        <v>1253</v>
      </c>
      <c r="E571" t="s">
        <v>1254</v>
      </c>
      <c r="F571" t="s">
        <v>1255</v>
      </c>
      <c r="G571">
        <v>5100165</v>
      </c>
      <c r="H571">
        <v>202108</v>
      </c>
      <c r="I571" s="400">
        <v>44439</v>
      </c>
      <c r="J571" t="s">
        <v>1036</v>
      </c>
      <c r="K571" t="s">
        <v>386</v>
      </c>
      <c r="M571" t="s">
        <v>387</v>
      </c>
      <c r="O571" t="s">
        <v>1256</v>
      </c>
      <c r="P571" t="s">
        <v>1257</v>
      </c>
      <c r="Q571" t="s">
        <v>450</v>
      </c>
      <c r="R571">
        <v>2069109</v>
      </c>
      <c r="S571" t="s">
        <v>387</v>
      </c>
      <c r="U571" t="s">
        <v>1270</v>
      </c>
      <c r="V571" t="s">
        <v>398</v>
      </c>
      <c r="W571" s="393">
        <v>-399160</v>
      </c>
      <c r="X571" s="393">
        <v>-103.27</v>
      </c>
      <c r="Y571" s="393">
        <v>-899.36</v>
      </c>
      <c r="Z571" s="393">
        <v>-399160</v>
      </c>
      <c r="AA571">
        <v>0</v>
      </c>
      <c r="AB571" s="400">
        <v>44447.817461956016</v>
      </c>
      <c r="AC571" t="s">
        <v>324</v>
      </c>
    </row>
    <row r="572" spans="1:29">
      <c r="A572" t="s">
        <v>382</v>
      </c>
      <c r="B572" t="s">
        <v>1251</v>
      </c>
      <c r="C572" t="s">
        <v>1252</v>
      </c>
      <c r="D572" t="s">
        <v>1253</v>
      </c>
      <c r="E572" t="s">
        <v>1254</v>
      </c>
      <c r="F572" t="s">
        <v>1255</v>
      </c>
      <c r="G572">
        <v>5100165</v>
      </c>
      <c r="H572">
        <v>202108</v>
      </c>
      <c r="I572" s="400">
        <v>44439</v>
      </c>
      <c r="J572" t="s">
        <v>1036</v>
      </c>
      <c r="K572" t="s">
        <v>386</v>
      </c>
      <c r="M572" t="s">
        <v>387</v>
      </c>
      <c r="O572" t="s">
        <v>1256</v>
      </c>
      <c r="P572" t="s">
        <v>1257</v>
      </c>
      <c r="Q572" t="s">
        <v>450</v>
      </c>
      <c r="R572">
        <v>2069109</v>
      </c>
      <c r="S572" t="s">
        <v>387</v>
      </c>
      <c r="U572" t="s">
        <v>1270</v>
      </c>
      <c r="V572" t="s">
        <v>398</v>
      </c>
      <c r="W572" s="393">
        <v>399160</v>
      </c>
      <c r="X572" s="393">
        <v>103.27</v>
      </c>
      <c r="Y572" s="393">
        <v>899.36</v>
      </c>
      <c r="Z572" s="393">
        <v>399160</v>
      </c>
      <c r="AA572">
        <v>0</v>
      </c>
      <c r="AB572" s="400">
        <v>44447.817461956016</v>
      </c>
      <c r="AC572" t="s">
        <v>324</v>
      </c>
    </row>
    <row r="573" spans="1:29">
      <c r="A573" t="s">
        <v>382</v>
      </c>
      <c r="B573" t="s">
        <v>1251</v>
      </c>
      <c r="C573" t="s">
        <v>1252</v>
      </c>
      <c r="D573" t="s">
        <v>1253</v>
      </c>
      <c r="E573" t="s">
        <v>1254</v>
      </c>
      <c r="F573" t="s">
        <v>1255</v>
      </c>
      <c r="G573">
        <v>5100165</v>
      </c>
      <c r="H573">
        <v>202108</v>
      </c>
      <c r="I573" s="400">
        <v>44439</v>
      </c>
      <c r="J573" t="s">
        <v>1036</v>
      </c>
      <c r="K573" t="s">
        <v>386</v>
      </c>
      <c r="M573" t="s">
        <v>387</v>
      </c>
      <c r="O573" t="s">
        <v>1256</v>
      </c>
      <c r="P573" t="s">
        <v>1257</v>
      </c>
      <c r="Q573" t="s">
        <v>450</v>
      </c>
      <c r="R573">
        <v>2069109</v>
      </c>
      <c r="S573" t="s">
        <v>387</v>
      </c>
      <c r="U573" t="s">
        <v>1270</v>
      </c>
      <c r="V573" t="s">
        <v>398</v>
      </c>
      <c r="W573" s="393">
        <v>-359244</v>
      </c>
      <c r="X573" s="393">
        <v>-92.95</v>
      </c>
      <c r="Y573" s="393">
        <v>-809.42</v>
      </c>
      <c r="Z573" s="393">
        <v>-359244</v>
      </c>
      <c r="AA573">
        <v>0</v>
      </c>
      <c r="AB573" s="400">
        <v>44447.817461956016</v>
      </c>
      <c r="AC573" t="s">
        <v>324</v>
      </c>
    </row>
    <row r="574" spans="1:29">
      <c r="A574" t="s">
        <v>382</v>
      </c>
      <c r="B574" t="s">
        <v>1251</v>
      </c>
      <c r="C574" t="s">
        <v>1252</v>
      </c>
      <c r="D574" t="s">
        <v>1253</v>
      </c>
      <c r="E574" t="s">
        <v>1254</v>
      </c>
      <c r="F574" t="s">
        <v>1255</v>
      </c>
      <c r="G574">
        <v>5100165</v>
      </c>
      <c r="H574">
        <v>202108</v>
      </c>
      <c r="I574" s="400">
        <v>44439</v>
      </c>
      <c r="J574" t="s">
        <v>1036</v>
      </c>
      <c r="K574" t="s">
        <v>386</v>
      </c>
      <c r="M574" t="s">
        <v>387</v>
      </c>
      <c r="O574" t="s">
        <v>1256</v>
      </c>
      <c r="P574" t="s">
        <v>1257</v>
      </c>
      <c r="Q574" t="s">
        <v>450</v>
      </c>
      <c r="R574">
        <v>2069109</v>
      </c>
      <c r="S574" t="s">
        <v>387</v>
      </c>
      <c r="U574" t="s">
        <v>1270</v>
      </c>
      <c r="V574" t="s">
        <v>398</v>
      </c>
      <c r="W574" s="393">
        <v>359244</v>
      </c>
      <c r="X574" s="393">
        <v>92.95</v>
      </c>
      <c r="Y574" s="393">
        <v>809.42</v>
      </c>
      <c r="Z574" s="393">
        <v>359244</v>
      </c>
      <c r="AA574">
        <v>0</v>
      </c>
      <c r="AB574" s="400">
        <v>44447.817462118059</v>
      </c>
      <c r="AC574" t="s">
        <v>324</v>
      </c>
    </row>
    <row r="575" spans="1:29">
      <c r="A575" t="s">
        <v>382</v>
      </c>
      <c r="B575" t="s">
        <v>440</v>
      </c>
      <c r="C575" t="s">
        <v>1252</v>
      </c>
      <c r="D575" t="s">
        <v>1271</v>
      </c>
      <c r="E575" t="s">
        <v>390</v>
      </c>
      <c r="F575" t="s">
        <v>391</v>
      </c>
      <c r="G575">
        <v>6101615</v>
      </c>
      <c r="H575">
        <v>202108</v>
      </c>
      <c r="I575" s="400">
        <v>44428</v>
      </c>
      <c r="J575" t="s">
        <v>452</v>
      </c>
      <c r="K575" t="s">
        <v>386</v>
      </c>
      <c r="M575" t="s">
        <v>387</v>
      </c>
      <c r="O575" t="s">
        <v>1267</v>
      </c>
      <c r="P575" t="s">
        <v>1268</v>
      </c>
      <c r="Q575" t="s">
        <v>450</v>
      </c>
      <c r="R575">
        <v>2069109</v>
      </c>
      <c r="S575" t="s">
        <v>387</v>
      </c>
      <c r="U575" t="s">
        <v>1269</v>
      </c>
      <c r="V575" t="s">
        <v>398</v>
      </c>
      <c r="W575" s="393">
        <v>923000</v>
      </c>
      <c r="X575" s="393">
        <v>235.98</v>
      </c>
      <c r="Y575" s="393">
        <v>2038.56</v>
      </c>
      <c r="Z575" s="393">
        <v>923000</v>
      </c>
      <c r="AA575">
        <v>37</v>
      </c>
      <c r="AB575" s="400">
        <v>44433.835120254633</v>
      </c>
      <c r="AC575" t="s">
        <v>324</v>
      </c>
    </row>
    <row r="576" spans="1:29">
      <c r="A576" t="s">
        <v>382</v>
      </c>
      <c r="B576" t="s">
        <v>1251</v>
      </c>
      <c r="C576" t="s">
        <v>1252</v>
      </c>
      <c r="D576" t="s">
        <v>1271</v>
      </c>
      <c r="E576" t="s">
        <v>1254</v>
      </c>
      <c r="F576" t="s">
        <v>1255</v>
      </c>
      <c r="G576">
        <v>5100155</v>
      </c>
      <c r="H576">
        <v>202108</v>
      </c>
      <c r="I576" s="400">
        <v>44435</v>
      </c>
      <c r="J576" t="s">
        <v>1049</v>
      </c>
      <c r="K576" t="s">
        <v>386</v>
      </c>
      <c r="M576" t="s">
        <v>387</v>
      </c>
      <c r="O576" t="s">
        <v>1256</v>
      </c>
      <c r="P576" t="s">
        <v>1257</v>
      </c>
      <c r="Q576" t="s">
        <v>450</v>
      </c>
      <c r="R576">
        <v>2069109</v>
      </c>
      <c r="S576" t="s">
        <v>387</v>
      </c>
      <c r="U576" t="s">
        <v>1264</v>
      </c>
      <c r="V576" t="s">
        <v>398</v>
      </c>
      <c r="W576" s="393">
        <v>3088235</v>
      </c>
      <c r="X576" s="393">
        <v>799.02</v>
      </c>
      <c r="Y576" s="393">
        <v>6958.16</v>
      </c>
      <c r="Z576" s="393">
        <v>3088235</v>
      </c>
      <c r="AA576">
        <v>185</v>
      </c>
      <c r="AB576" s="400">
        <v>44441.774476354163</v>
      </c>
      <c r="AC576" t="s">
        <v>324</v>
      </c>
    </row>
    <row r="577" spans="1:29">
      <c r="A577" t="s">
        <v>382</v>
      </c>
      <c r="B577" t="s">
        <v>1251</v>
      </c>
      <c r="C577" t="s">
        <v>1252</v>
      </c>
      <c r="D577" t="s">
        <v>1271</v>
      </c>
      <c r="E577" t="s">
        <v>1254</v>
      </c>
      <c r="F577" t="s">
        <v>1255</v>
      </c>
      <c r="G577">
        <v>5100155</v>
      </c>
      <c r="H577">
        <v>202108</v>
      </c>
      <c r="I577" s="400">
        <v>44435</v>
      </c>
      <c r="J577" t="s">
        <v>1049</v>
      </c>
      <c r="K577" t="s">
        <v>386</v>
      </c>
      <c r="M577" t="s">
        <v>387</v>
      </c>
      <c r="O577" t="s">
        <v>1256</v>
      </c>
      <c r="P577" t="s">
        <v>1257</v>
      </c>
      <c r="Q577" t="s">
        <v>450</v>
      </c>
      <c r="R577">
        <v>2069109</v>
      </c>
      <c r="S577" t="s">
        <v>387</v>
      </c>
      <c r="U577" t="s">
        <v>1258</v>
      </c>
      <c r="V577" t="s">
        <v>398</v>
      </c>
      <c r="W577" s="393">
        <v>887395</v>
      </c>
      <c r="X577" s="393">
        <v>229.6</v>
      </c>
      <c r="Y577" s="393">
        <v>1999.41</v>
      </c>
      <c r="Z577" s="393">
        <v>887395</v>
      </c>
      <c r="AA577">
        <v>185</v>
      </c>
      <c r="AB577" s="400">
        <v>44441.774476539351</v>
      </c>
      <c r="AC577" t="s">
        <v>324</v>
      </c>
    </row>
    <row r="578" spans="1:29">
      <c r="A578" t="s">
        <v>382</v>
      </c>
      <c r="B578" t="s">
        <v>1251</v>
      </c>
      <c r="C578" t="s">
        <v>1252</v>
      </c>
      <c r="D578" t="s">
        <v>1271</v>
      </c>
      <c r="E578" t="s">
        <v>1254</v>
      </c>
      <c r="F578" t="s">
        <v>1255</v>
      </c>
      <c r="G578">
        <v>5100155</v>
      </c>
      <c r="H578">
        <v>202108</v>
      </c>
      <c r="I578" s="400">
        <v>44435</v>
      </c>
      <c r="J578" t="s">
        <v>1049</v>
      </c>
      <c r="K578" t="s">
        <v>386</v>
      </c>
      <c r="M578" t="s">
        <v>387</v>
      </c>
      <c r="O578" t="s">
        <v>1256</v>
      </c>
      <c r="P578" t="s">
        <v>1257</v>
      </c>
      <c r="Q578" t="s">
        <v>450</v>
      </c>
      <c r="R578">
        <v>2069109</v>
      </c>
      <c r="S578" t="s">
        <v>387</v>
      </c>
      <c r="U578" t="s">
        <v>1259</v>
      </c>
      <c r="V578" t="s">
        <v>398</v>
      </c>
      <c r="W578" s="393">
        <v>500000</v>
      </c>
      <c r="X578" s="393">
        <v>129.37</v>
      </c>
      <c r="Y578" s="393">
        <v>1126.56</v>
      </c>
      <c r="Z578" s="393">
        <v>500000</v>
      </c>
      <c r="AA578">
        <v>185</v>
      </c>
      <c r="AB578" s="400">
        <v>44441.774476539351</v>
      </c>
      <c r="AC578" t="s">
        <v>324</v>
      </c>
    </row>
    <row r="579" spans="1:29">
      <c r="A579" t="s">
        <v>382</v>
      </c>
      <c r="B579" t="s">
        <v>1251</v>
      </c>
      <c r="C579" t="s">
        <v>1252</v>
      </c>
      <c r="D579" t="s">
        <v>1271</v>
      </c>
      <c r="E579" t="s">
        <v>1254</v>
      </c>
      <c r="F579" t="s">
        <v>1255</v>
      </c>
      <c r="G579">
        <v>5100155</v>
      </c>
      <c r="H579">
        <v>202108</v>
      </c>
      <c r="I579" s="400">
        <v>44435</v>
      </c>
      <c r="J579" t="s">
        <v>1049</v>
      </c>
      <c r="K579" t="s">
        <v>386</v>
      </c>
      <c r="M579" t="s">
        <v>387</v>
      </c>
      <c r="O579" t="s">
        <v>1256</v>
      </c>
      <c r="P579" t="s">
        <v>1257</v>
      </c>
      <c r="Q579" t="s">
        <v>450</v>
      </c>
      <c r="R579">
        <v>2069109</v>
      </c>
      <c r="S579" t="s">
        <v>387</v>
      </c>
      <c r="U579" t="s">
        <v>1260</v>
      </c>
      <c r="V579" t="s">
        <v>398</v>
      </c>
      <c r="W579" s="393">
        <v>268907</v>
      </c>
      <c r="X579" s="393">
        <v>69.569999999999993</v>
      </c>
      <c r="Y579" s="393">
        <v>605.88</v>
      </c>
      <c r="Z579" s="393">
        <v>268907</v>
      </c>
      <c r="AA579">
        <v>185</v>
      </c>
      <c r="AB579" s="400">
        <v>44441.774476539351</v>
      </c>
      <c r="AC579" t="s">
        <v>324</v>
      </c>
    </row>
    <row r="580" spans="1:29">
      <c r="A580" t="s">
        <v>382</v>
      </c>
      <c r="B580" t="s">
        <v>1251</v>
      </c>
      <c r="C580" t="s">
        <v>1252</v>
      </c>
      <c r="D580" t="s">
        <v>1271</v>
      </c>
      <c r="E580" t="s">
        <v>1254</v>
      </c>
      <c r="F580" t="s">
        <v>1255</v>
      </c>
      <c r="G580">
        <v>5100155</v>
      </c>
      <c r="H580">
        <v>202108</v>
      </c>
      <c r="I580" s="400">
        <v>44435</v>
      </c>
      <c r="J580" t="s">
        <v>1049</v>
      </c>
      <c r="K580" t="s">
        <v>386</v>
      </c>
      <c r="M580" t="s">
        <v>387</v>
      </c>
      <c r="O580" t="s">
        <v>1256</v>
      </c>
      <c r="P580" t="s">
        <v>1257</v>
      </c>
      <c r="Q580" t="s">
        <v>450</v>
      </c>
      <c r="R580">
        <v>2069109</v>
      </c>
      <c r="S580" t="s">
        <v>387</v>
      </c>
      <c r="U580" t="s">
        <v>1261</v>
      </c>
      <c r="V580" t="s">
        <v>398</v>
      </c>
      <c r="W580" s="393">
        <v>168067</v>
      </c>
      <c r="X580" s="393">
        <v>43.48</v>
      </c>
      <c r="Y580" s="393">
        <v>378.68</v>
      </c>
      <c r="Z580" s="393">
        <v>168067</v>
      </c>
      <c r="AA580">
        <v>185</v>
      </c>
      <c r="AB580" s="400">
        <v>44441.774476539351</v>
      </c>
      <c r="AC580" t="s">
        <v>324</v>
      </c>
    </row>
    <row r="581" spans="1:29">
      <c r="A581" t="s">
        <v>382</v>
      </c>
      <c r="B581" t="s">
        <v>1251</v>
      </c>
      <c r="C581" t="s">
        <v>1252</v>
      </c>
      <c r="D581" t="s">
        <v>1271</v>
      </c>
      <c r="E581" t="s">
        <v>1254</v>
      </c>
      <c r="F581" t="s">
        <v>1255</v>
      </c>
      <c r="G581">
        <v>5100155</v>
      </c>
      <c r="H581">
        <v>202108</v>
      </c>
      <c r="I581" s="400">
        <v>44435</v>
      </c>
      <c r="J581" t="s">
        <v>1049</v>
      </c>
      <c r="K581" t="s">
        <v>386</v>
      </c>
      <c r="M581" t="s">
        <v>387</v>
      </c>
      <c r="O581" t="s">
        <v>1256</v>
      </c>
      <c r="P581" t="s">
        <v>1257</v>
      </c>
      <c r="Q581" t="s">
        <v>450</v>
      </c>
      <c r="R581">
        <v>2069109</v>
      </c>
      <c r="S581" t="s">
        <v>387</v>
      </c>
      <c r="U581" t="s">
        <v>1262</v>
      </c>
      <c r="V581" t="s">
        <v>398</v>
      </c>
      <c r="W581" s="393">
        <v>2100840</v>
      </c>
      <c r="X581" s="393">
        <v>543.54999999999995</v>
      </c>
      <c r="Y581" s="393">
        <v>4733.4399999999996</v>
      </c>
      <c r="Z581" s="393">
        <v>2100840</v>
      </c>
      <c r="AA581">
        <v>185</v>
      </c>
      <c r="AB581" s="400">
        <v>44441.774476539351</v>
      </c>
      <c r="AC581" t="s">
        <v>324</v>
      </c>
    </row>
    <row r="582" spans="1:29">
      <c r="A582" t="s">
        <v>382</v>
      </c>
      <c r="B582" t="s">
        <v>1251</v>
      </c>
      <c r="C582" t="s">
        <v>1252</v>
      </c>
      <c r="D582" t="s">
        <v>1271</v>
      </c>
      <c r="E582" t="s">
        <v>1254</v>
      </c>
      <c r="F582" t="s">
        <v>1255</v>
      </c>
      <c r="G582">
        <v>5100165</v>
      </c>
      <c r="H582">
        <v>202108</v>
      </c>
      <c r="I582" s="400">
        <v>44439</v>
      </c>
      <c r="J582" t="s">
        <v>1036</v>
      </c>
      <c r="K582" t="s">
        <v>386</v>
      </c>
      <c r="M582" t="s">
        <v>387</v>
      </c>
      <c r="O582" t="s">
        <v>1256</v>
      </c>
      <c r="P582" t="s">
        <v>1257</v>
      </c>
      <c r="Q582" t="s">
        <v>450</v>
      </c>
      <c r="R582">
        <v>2069109</v>
      </c>
      <c r="S582" t="s">
        <v>387</v>
      </c>
      <c r="U582" t="s">
        <v>1270</v>
      </c>
      <c r="V582" t="s">
        <v>398</v>
      </c>
      <c r="W582" s="393">
        <v>-500000</v>
      </c>
      <c r="X582" s="393">
        <v>-129.37</v>
      </c>
      <c r="Y582" s="393">
        <v>-1126.56</v>
      </c>
      <c r="Z582" s="393">
        <v>-500000</v>
      </c>
      <c r="AA582">
        <v>185</v>
      </c>
      <c r="AB582" s="400">
        <v>44447.817460682869</v>
      </c>
      <c r="AC582" t="s">
        <v>324</v>
      </c>
    </row>
    <row r="583" spans="1:29">
      <c r="A583" t="s">
        <v>382</v>
      </c>
      <c r="B583" t="s">
        <v>1251</v>
      </c>
      <c r="C583" t="s">
        <v>1252</v>
      </c>
      <c r="D583" t="s">
        <v>1271</v>
      </c>
      <c r="E583" t="s">
        <v>1254</v>
      </c>
      <c r="F583" t="s">
        <v>1255</v>
      </c>
      <c r="G583">
        <v>5100165</v>
      </c>
      <c r="H583">
        <v>202108</v>
      </c>
      <c r="I583" s="400">
        <v>44439</v>
      </c>
      <c r="J583" t="s">
        <v>1036</v>
      </c>
      <c r="K583" t="s">
        <v>386</v>
      </c>
      <c r="M583" t="s">
        <v>387</v>
      </c>
      <c r="O583" t="s">
        <v>1256</v>
      </c>
      <c r="P583" t="s">
        <v>1257</v>
      </c>
      <c r="Q583" t="s">
        <v>450</v>
      </c>
      <c r="R583">
        <v>2069109</v>
      </c>
      <c r="S583" t="s">
        <v>387</v>
      </c>
      <c r="U583" t="s">
        <v>1270</v>
      </c>
      <c r="V583" t="s">
        <v>398</v>
      </c>
      <c r="W583" s="393">
        <v>500000</v>
      </c>
      <c r="X583" s="393">
        <v>129.37</v>
      </c>
      <c r="Y583" s="393">
        <v>1126.56</v>
      </c>
      <c r="Z583" s="393">
        <v>500000</v>
      </c>
      <c r="AA583">
        <v>37</v>
      </c>
      <c r="AB583" s="400">
        <v>44447.817460682869</v>
      </c>
      <c r="AC583" t="s">
        <v>324</v>
      </c>
    </row>
    <row r="584" spans="1:29">
      <c r="A584" t="s">
        <v>382</v>
      </c>
      <c r="B584" t="s">
        <v>1251</v>
      </c>
      <c r="C584" t="s">
        <v>1252</v>
      </c>
      <c r="D584" t="s">
        <v>1271</v>
      </c>
      <c r="E584" t="s">
        <v>1254</v>
      </c>
      <c r="F584" t="s">
        <v>1255</v>
      </c>
      <c r="G584">
        <v>5100165</v>
      </c>
      <c r="H584">
        <v>202108</v>
      </c>
      <c r="I584" s="400">
        <v>44439</v>
      </c>
      <c r="J584" t="s">
        <v>1036</v>
      </c>
      <c r="K584" t="s">
        <v>386</v>
      </c>
      <c r="M584" t="s">
        <v>387</v>
      </c>
      <c r="O584" t="s">
        <v>1256</v>
      </c>
      <c r="P584" t="s">
        <v>1257</v>
      </c>
      <c r="Q584" t="s">
        <v>450</v>
      </c>
      <c r="R584">
        <v>2069109</v>
      </c>
      <c r="S584" t="s">
        <v>387</v>
      </c>
      <c r="U584" t="s">
        <v>1270</v>
      </c>
      <c r="V584" t="s">
        <v>398</v>
      </c>
      <c r="W584" s="393">
        <v>-268907</v>
      </c>
      <c r="X584" s="393">
        <v>-69.569999999999993</v>
      </c>
      <c r="Y584" s="393">
        <v>-605.88</v>
      </c>
      <c r="Z584" s="393">
        <v>-268907</v>
      </c>
      <c r="AA584">
        <v>185</v>
      </c>
      <c r="AB584" s="400">
        <v>44447.817460879633</v>
      </c>
      <c r="AC584" t="s">
        <v>324</v>
      </c>
    </row>
    <row r="585" spans="1:29">
      <c r="A585" t="s">
        <v>382</v>
      </c>
      <c r="B585" t="s">
        <v>1251</v>
      </c>
      <c r="C585" t="s">
        <v>1252</v>
      </c>
      <c r="D585" t="s">
        <v>1271</v>
      </c>
      <c r="E585" t="s">
        <v>1254</v>
      </c>
      <c r="F585" t="s">
        <v>1255</v>
      </c>
      <c r="G585">
        <v>5100165</v>
      </c>
      <c r="H585">
        <v>202108</v>
      </c>
      <c r="I585" s="400">
        <v>44439</v>
      </c>
      <c r="J585" t="s">
        <v>1036</v>
      </c>
      <c r="K585" t="s">
        <v>386</v>
      </c>
      <c r="M585" t="s">
        <v>387</v>
      </c>
      <c r="O585" t="s">
        <v>1256</v>
      </c>
      <c r="P585" t="s">
        <v>1257</v>
      </c>
      <c r="Q585" t="s">
        <v>450</v>
      </c>
      <c r="R585">
        <v>2069109</v>
      </c>
      <c r="S585" t="s">
        <v>387</v>
      </c>
      <c r="U585" t="s">
        <v>1270</v>
      </c>
      <c r="V585" t="s">
        <v>398</v>
      </c>
      <c r="W585" s="393">
        <v>268907</v>
      </c>
      <c r="X585" s="393">
        <v>69.569999999999993</v>
      </c>
      <c r="Y585" s="393">
        <v>605.88</v>
      </c>
      <c r="Z585" s="393">
        <v>268907</v>
      </c>
      <c r="AA585">
        <v>37</v>
      </c>
      <c r="AB585" s="400">
        <v>44447.817460879633</v>
      </c>
      <c r="AC585" t="s">
        <v>324</v>
      </c>
    </row>
    <row r="586" spans="1:29">
      <c r="A586" t="s">
        <v>382</v>
      </c>
      <c r="B586" t="s">
        <v>1251</v>
      </c>
      <c r="C586" t="s">
        <v>1252</v>
      </c>
      <c r="D586" t="s">
        <v>1271</v>
      </c>
      <c r="E586" t="s">
        <v>1254</v>
      </c>
      <c r="F586" t="s">
        <v>1255</v>
      </c>
      <c r="G586">
        <v>5100165</v>
      </c>
      <c r="H586">
        <v>202108</v>
      </c>
      <c r="I586" s="400">
        <v>44439</v>
      </c>
      <c r="J586" t="s">
        <v>1036</v>
      </c>
      <c r="K586" t="s">
        <v>386</v>
      </c>
      <c r="M586" t="s">
        <v>387</v>
      </c>
      <c r="O586" t="s">
        <v>1256</v>
      </c>
      <c r="P586" t="s">
        <v>1257</v>
      </c>
      <c r="Q586" t="s">
        <v>450</v>
      </c>
      <c r="R586">
        <v>2069109</v>
      </c>
      <c r="S586" t="s">
        <v>387</v>
      </c>
      <c r="U586" t="s">
        <v>1270</v>
      </c>
      <c r="V586" t="s">
        <v>398</v>
      </c>
      <c r="W586" s="393">
        <v>-168067</v>
      </c>
      <c r="X586" s="393">
        <v>-43.48</v>
      </c>
      <c r="Y586" s="393">
        <v>-378.68</v>
      </c>
      <c r="Z586" s="393">
        <v>-168067</v>
      </c>
      <c r="AA586">
        <v>185</v>
      </c>
      <c r="AB586" s="400">
        <v>44447.817460879633</v>
      </c>
      <c r="AC586" t="s">
        <v>324</v>
      </c>
    </row>
    <row r="587" spans="1:29">
      <c r="A587" t="s">
        <v>382</v>
      </c>
      <c r="B587" t="s">
        <v>1251</v>
      </c>
      <c r="C587" t="s">
        <v>1252</v>
      </c>
      <c r="D587" t="s">
        <v>1271</v>
      </c>
      <c r="E587" t="s">
        <v>1254</v>
      </c>
      <c r="F587" t="s">
        <v>1255</v>
      </c>
      <c r="G587">
        <v>5100165</v>
      </c>
      <c r="H587">
        <v>202108</v>
      </c>
      <c r="I587" s="400">
        <v>44439</v>
      </c>
      <c r="J587" t="s">
        <v>1036</v>
      </c>
      <c r="K587" t="s">
        <v>386</v>
      </c>
      <c r="M587" t="s">
        <v>387</v>
      </c>
      <c r="O587" t="s">
        <v>1256</v>
      </c>
      <c r="P587" t="s">
        <v>1257</v>
      </c>
      <c r="Q587" t="s">
        <v>450</v>
      </c>
      <c r="R587">
        <v>2069109</v>
      </c>
      <c r="S587" t="s">
        <v>387</v>
      </c>
      <c r="U587" t="s">
        <v>1270</v>
      </c>
      <c r="V587" t="s">
        <v>398</v>
      </c>
      <c r="W587" s="393">
        <v>168067</v>
      </c>
      <c r="X587" s="393">
        <v>43.48</v>
      </c>
      <c r="Y587" s="393">
        <v>378.68</v>
      </c>
      <c r="Z587" s="393">
        <v>168067</v>
      </c>
      <c r="AA587">
        <v>37</v>
      </c>
      <c r="AB587" s="400">
        <v>44447.817460879633</v>
      </c>
      <c r="AC587" t="s">
        <v>324</v>
      </c>
    </row>
    <row r="588" spans="1:29">
      <c r="A588" t="s">
        <v>382</v>
      </c>
      <c r="B588" t="s">
        <v>1251</v>
      </c>
      <c r="C588" t="s">
        <v>1252</v>
      </c>
      <c r="D588" t="s">
        <v>1271</v>
      </c>
      <c r="E588" t="s">
        <v>1254</v>
      </c>
      <c r="F588" t="s">
        <v>1255</v>
      </c>
      <c r="G588">
        <v>5100165</v>
      </c>
      <c r="H588">
        <v>202108</v>
      </c>
      <c r="I588" s="400">
        <v>44439</v>
      </c>
      <c r="J588" t="s">
        <v>1036</v>
      </c>
      <c r="K588" t="s">
        <v>386</v>
      </c>
      <c r="M588" t="s">
        <v>387</v>
      </c>
      <c r="O588" t="s">
        <v>1256</v>
      </c>
      <c r="P588" t="s">
        <v>1257</v>
      </c>
      <c r="Q588" t="s">
        <v>450</v>
      </c>
      <c r="R588">
        <v>2069109</v>
      </c>
      <c r="S588" t="s">
        <v>387</v>
      </c>
      <c r="U588" t="s">
        <v>1270</v>
      </c>
      <c r="V588" t="s">
        <v>398</v>
      </c>
      <c r="W588" s="393">
        <v>-2100840</v>
      </c>
      <c r="X588" s="393">
        <v>-543.54999999999995</v>
      </c>
      <c r="Y588" s="393">
        <v>-4733.4399999999996</v>
      </c>
      <c r="Z588" s="393">
        <v>-2100840</v>
      </c>
      <c r="AA588">
        <v>185</v>
      </c>
      <c r="AB588" s="400">
        <v>44447.817460879633</v>
      </c>
      <c r="AC588" t="s">
        <v>324</v>
      </c>
    </row>
    <row r="589" spans="1:29">
      <c r="A589" t="s">
        <v>382</v>
      </c>
      <c r="B589" t="s">
        <v>1251</v>
      </c>
      <c r="C589" t="s">
        <v>1252</v>
      </c>
      <c r="D589" t="s">
        <v>1271</v>
      </c>
      <c r="E589" t="s">
        <v>1254</v>
      </c>
      <c r="F589" t="s">
        <v>1255</v>
      </c>
      <c r="G589">
        <v>5100165</v>
      </c>
      <c r="H589">
        <v>202108</v>
      </c>
      <c r="I589" s="400">
        <v>44439</v>
      </c>
      <c r="J589" t="s">
        <v>1036</v>
      </c>
      <c r="K589" t="s">
        <v>386</v>
      </c>
      <c r="M589" t="s">
        <v>387</v>
      </c>
      <c r="O589" t="s">
        <v>1256</v>
      </c>
      <c r="P589" t="s">
        <v>1257</v>
      </c>
      <c r="Q589" t="s">
        <v>450</v>
      </c>
      <c r="R589">
        <v>2069109</v>
      </c>
      <c r="S589" t="s">
        <v>387</v>
      </c>
      <c r="U589" t="s">
        <v>1270</v>
      </c>
      <c r="V589" t="s">
        <v>398</v>
      </c>
      <c r="W589" s="393">
        <v>2100840</v>
      </c>
      <c r="X589" s="393">
        <v>543.54999999999995</v>
      </c>
      <c r="Y589" s="393">
        <v>4733.4399999999996</v>
      </c>
      <c r="Z589" s="393">
        <v>2100840</v>
      </c>
      <c r="AA589">
        <v>37</v>
      </c>
      <c r="AB589" s="400">
        <v>44447.817460879633</v>
      </c>
      <c r="AC589" t="s">
        <v>324</v>
      </c>
    </row>
    <row r="590" spans="1:29">
      <c r="A590" t="s">
        <v>382</v>
      </c>
      <c r="B590" t="s">
        <v>1251</v>
      </c>
      <c r="C590" t="s">
        <v>1252</v>
      </c>
      <c r="D590" t="s">
        <v>1271</v>
      </c>
      <c r="E590" t="s">
        <v>1254</v>
      </c>
      <c r="F590" t="s">
        <v>1255</v>
      </c>
      <c r="G590">
        <v>5100165</v>
      </c>
      <c r="H590">
        <v>202108</v>
      </c>
      <c r="I590" s="400">
        <v>44439</v>
      </c>
      <c r="J590" t="s">
        <v>1036</v>
      </c>
      <c r="K590" t="s">
        <v>386</v>
      </c>
      <c r="M590" t="s">
        <v>387</v>
      </c>
      <c r="O590" t="s">
        <v>1256</v>
      </c>
      <c r="P590" t="s">
        <v>1257</v>
      </c>
      <c r="Q590" t="s">
        <v>450</v>
      </c>
      <c r="R590">
        <v>2069109</v>
      </c>
      <c r="S590" t="s">
        <v>387</v>
      </c>
      <c r="U590" t="s">
        <v>1270</v>
      </c>
      <c r="V590" t="s">
        <v>398</v>
      </c>
      <c r="W590" s="393">
        <v>-1890756</v>
      </c>
      <c r="X590" s="393">
        <v>-489.2</v>
      </c>
      <c r="Y590" s="393">
        <v>-4260.1000000000004</v>
      </c>
      <c r="Z590" s="393">
        <v>-1890756</v>
      </c>
      <c r="AA590">
        <v>185</v>
      </c>
      <c r="AB590" s="400">
        <v>44447.817460879633</v>
      </c>
      <c r="AC590" t="s">
        <v>324</v>
      </c>
    </row>
    <row r="591" spans="1:29">
      <c r="A591" t="s">
        <v>382</v>
      </c>
      <c r="B591" t="s">
        <v>1251</v>
      </c>
      <c r="C591" t="s">
        <v>1252</v>
      </c>
      <c r="D591" t="s">
        <v>1271</v>
      </c>
      <c r="E591" t="s">
        <v>1254</v>
      </c>
      <c r="F591" t="s">
        <v>1255</v>
      </c>
      <c r="G591">
        <v>5100165</v>
      </c>
      <c r="H591">
        <v>202108</v>
      </c>
      <c r="I591" s="400">
        <v>44439</v>
      </c>
      <c r="J591" t="s">
        <v>1036</v>
      </c>
      <c r="K591" t="s">
        <v>386</v>
      </c>
      <c r="M591" t="s">
        <v>387</v>
      </c>
      <c r="O591" t="s">
        <v>1256</v>
      </c>
      <c r="P591" t="s">
        <v>1257</v>
      </c>
      <c r="Q591" t="s">
        <v>450</v>
      </c>
      <c r="R591">
        <v>2069109</v>
      </c>
      <c r="S591" t="s">
        <v>387</v>
      </c>
      <c r="U591" t="s">
        <v>1270</v>
      </c>
      <c r="V591" t="s">
        <v>398</v>
      </c>
      <c r="W591" s="393">
        <v>1890756</v>
      </c>
      <c r="X591" s="393">
        <v>489.2</v>
      </c>
      <c r="Y591" s="393">
        <v>4260.1000000000004</v>
      </c>
      <c r="Z591" s="393">
        <v>1890756</v>
      </c>
      <c r="AA591">
        <v>37</v>
      </c>
      <c r="AB591" s="400">
        <v>44447.817460879633</v>
      </c>
      <c r="AC591" t="s">
        <v>324</v>
      </c>
    </row>
    <row r="592" spans="1:29">
      <c r="A592" t="s">
        <v>382</v>
      </c>
      <c r="B592" t="s">
        <v>1251</v>
      </c>
      <c r="C592" t="s">
        <v>1252</v>
      </c>
      <c r="D592" t="s">
        <v>1271</v>
      </c>
      <c r="E592" t="s">
        <v>1254</v>
      </c>
      <c r="F592" t="s">
        <v>1255</v>
      </c>
      <c r="G592">
        <v>5100165</v>
      </c>
      <c r="H592">
        <v>202108</v>
      </c>
      <c r="I592" s="400">
        <v>44439</v>
      </c>
      <c r="J592" t="s">
        <v>1036</v>
      </c>
      <c r="K592" t="s">
        <v>386</v>
      </c>
      <c r="M592" t="s">
        <v>387</v>
      </c>
      <c r="O592" t="s">
        <v>1256</v>
      </c>
      <c r="P592" t="s">
        <v>1257</v>
      </c>
      <c r="Q592" t="s">
        <v>450</v>
      </c>
      <c r="R592">
        <v>2069109</v>
      </c>
      <c r="S592" t="s">
        <v>387</v>
      </c>
      <c r="U592" t="s">
        <v>1270</v>
      </c>
      <c r="V592" t="s">
        <v>398</v>
      </c>
      <c r="W592" s="393">
        <v>1</v>
      </c>
      <c r="X592" s="393">
        <v>0</v>
      </c>
      <c r="Y592" s="393">
        <v>0</v>
      </c>
      <c r="Z592" s="393">
        <v>1</v>
      </c>
      <c r="AA592">
        <v>314</v>
      </c>
      <c r="AB592" s="400">
        <v>44447.817461030092</v>
      </c>
      <c r="AC592" t="s">
        <v>324</v>
      </c>
    </row>
    <row r="593" spans="1:29">
      <c r="A593" t="s">
        <v>382</v>
      </c>
      <c r="B593" t="s">
        <v>1251</v>
      </c>
      <c r="C593" t="s">
        <v>1252</v>
      </c>
      <c r="D593" t="s">
        <v>1271</v>
      </c>
      <c r="E593" t="s">
        <v>1254</v>
      </c>
      <c r="F593" t="s">
        <v>1255</v>
      </c>
      <c r="G593">
        <v>5100165</v>
      </c>
      <c r="H593">
        <v>202108</v>
      </c>
      <c r="I593" s="400">
        <v>44439</v>
      </c>
      <c r="J593" t="s">
        <v>1036</v>
      </c>
      <c r="K593" t="s">
        <v>386</v>
      </c>
      <c r="M593" t="s">
        <v>387</v>
      </c>
      <c r="O593" t="s">
        <v>1256</v>
      </c>
      <c r="P593" t="s">
        <v>1257</v>
      </c>
      <c r="Q593" t="s">
        <v>450</v>
      </c>
      <c r="R593">
        <v>2069109</v>
      </c>
      <c r="S593" t="s">
        <v>387</v>
      </c>
      <c r="U593" t="s">
        <v>1270</v>
      </c>
      <c r="V593" t="s">
        <v>398</v>
      </c>
      <c r="W593" s="393">
        <v>-3088235</v>
      </c>
      <c r="X593" s="393">
        <v>-799.02</v>
      </c>
      <c r="Y593" s="393">
        <v>-6958.16</v>
      </c>
      <c r="Z593" s="393">
        <v>-3088235</v>
      </c>
      <c r="AA593">
        <v>185</v>
      </c>
      <c r="AB593" s="400">
        <v>44447.817460682869</v>
      </c>
      <c r="AC593" t="s">
        <v>324</v>
      </c>
    </row>
    <row r="594" spans="1:29">
      <c r="A594" t="s">
        <v>382</v>
      </c>
      <c r="B594" t="s">
        <v>1251</v>
      </c>
      <c r="C594" t="s">
        <v>1252</v>
      </c>
      <c r="D594" t="s">
        <v>1271</v>
      </c>
      <c r="E594" t="s">
        <v>1254</v>
      </c>
      <c r="F594" t="s">
        <v>1255</v>
      </c>
      <c r="G594">
        <v>5100165</v>
      </c>
      <c r="H594">
        <v>202108</v>
      </c>
      <c r="I594" s="400">
        <v>44439</v>
      </c>
      <c r="J594" t="s">
        <v>1036</v>
      </c>
      <c r="K594" t="s">
        <v>386</v>
      </c>
      <c r="M594" t="s">
        <v>387</v>
      </c>
      <c r="O594" t="s">
        <v>1256</v>
      </c>
      <c r="P594" t="s">
        <v>1257</v>
      </c>
      <c r="Q594" t="s">
        <v>450</v>
      </c>
      <c r="R594">
        <v>2069109</v>
      </c>
      <c r="S594" t="s">
        <v>387</v>
      </c>
      <c r="U594" t="s">
        <v>1270</v>
      </c>
      <c r="V594" t="s">
        <v>398</v>
      </c>
      <c r="W594" s="393">
        <v>3088235</v>
      </c>
      <c r="X594" s="393">
        <v>799.02</v>
      </c>
      <c r="Y594" s="393">
        <v>6958.16</v>
      </c>
      <c r="Z594" s="393">
        <v>3088235</v>
      </c>
      <c r="AA594">
        <v>37</v>
      </c>
      <c r="AB594" s="400">
        <v>44447.817460682869</v>
      </c>
      <c r="AC594" t="s">
        <v>324</v>
      </c>
    </row>
    <row r="595" spans="1:29">
      <c r="A595" t="s">
        <v>382</v>
      </c>
      <c r="B595" t="s">
        <v>1251</v>
      </c>
      <c r="C595" t="s">
        <v>1252</v>
      </c>
      <c r="D595" t="s">
        <v>1271</v>
      </c>
      <c r="E595" t="s">
        <v>1254</v>
      </c>
      <c r="F595" t="s">
        <v>1255</v>
      </c>
      <c r="G595">
        <v>5100165</v>
      </c>
      <c r="H595">
        <v>202108</v>
      </c>
      <c r="I595" s="400">
        <v>44439</v>
      </c>
      <c r="J595" t="s">
        <v>1036</v>
      </c>
      <c r="K595" t="s">
        <v>386</v>
      </c>
      <c r="M595" t="s">
        <v>387</v>
      </c>
      <c r="O595" t="s">
        <v>1256</v>
      </c>
      <c r="P595" t="s">
        <v>1257</v>
      </c>
      <c r="Q595" t="s">
        <v>450</v>
      </c>
      <c r="R595">
        <v>2069109</v>
      </c>
      <c r="S595" t="s">
        <v>387</v>
      </c>
      <c r="U595" t="s">
        <v>1270</v>
      </c>
      <c r="V595" t="s">
        <v>398</v>
      </c>
      <c r="W595" s="393">
        <v>-887395</v>
      </c>
      <c r="X595" s="393">
        <v>-229.6</v>
      </c>
      <c r="Y595" s="393">
        <v>-1999.41</v>
      </c>
      <c r="Z595" s="393">
        <v>-887395</v>
      </c>
      <c r="AA595">
        <v>185</v>
      </c>
      <c r="AB595" s="400">
        <v>44447.817460682869</v>
      </c>
      <c r="AC595" t="s">
        <v>324</v>
      </c>
    </row>
    <row r="596" spans="1:29">
      <c r="A596" t="s">
        <v>382</v>
      </c>
      <c r="B596" t="s">
        <v>1251</v>
      </c>
      <c r="C596" t="s">
        <v>1252</v>
      </c>
      <c r="D596" t="s">
        <v>1271</v>
      </c>
      <c r="E596" t="s">
        <v>1254</v>
      </c>
      <c r="F596" t="s">
        <v>1255</v>
      </c>
      <c r="G596">
        <v>5100165</v>
      </c>
      <c r="H596">
        <v>202108</v>
      </c>
      <c r="I596" s="400">
        <v>44439</v>
      </c>
      <c r="J596" t="s">
        <v>1036</v>
      </c>
      <c r="K596" t="s">
        <v>386</v>
      </c>
      <c r="M596" t="s">
        <v>387</v>
      </c>
      <c r="O596" t="s">
        <v>1256</v>
      </c>
      <c r="P596" t="s">
        <v>1257</v>
      </c>
      <c r="Q596" t="s">
        <v>450</v>
      </c>
      <c r="R596">
        <v>2069109</v>
      </c>
      <c r="S596" t="s">
        <v>387</v>
      </c>
      <c r="U596" t="s">
        <v>1270</v>
      </c>
      <c r="V596" t="s">
        <v>398</v>
      </c>
      <c r="W596" s="393">
        <v>887395</v>
      </c>
      <c r="X596" s="393">
        <v>229.6</v>
      </c>
      <c r="Y596" s="393">
        <v>1999.41</v>
      </c>
      <c r="Z596" s="393">
        <v>887395</v>
      </c>
      <c r="AA596">
        <v>37</v>
      </c>
      <c r="AB596" s="400">
        <v>44447.817460682869</v>
      </c>
      <c r="AC596" t="s">
        <v>324</v>
      </c>
    </row>
    <row r="597" spans="1:29">
      <c r="A597" t="s">
        <v>382</v>
      </c>
      <c r="B597" t="s">
        <v>1251</v>
      </c>
      <c r="C597" t="s">
        <v>1252</v>
      </c>
      <c r="D597" t="s">
        <v>1271</v>
      </c>
      <c r="E597" t="s">
        <v>1254</v>
      </c>
      <c r="F597" t="s">
        <v>1255</v>
      </c>
      <c r="G597">
        <v>5100155</v>
      </c>
      <c r="H597">
        <v>202108</v>
      </c>
      <c r="I597" s="400">
        <v>44435</v>
      </c>
      <c r="J597" t="s">
        <v>1049</v>
      </c>
      <c r="K597" t="s">
        <v>386</v>
      </c>
      <c r="M597" t="s">
        <v>387</v>
      </c>
      <c r="O597" t="s">
        <v>1256</v>
      </c>
      <c r="P597" t="s">
        <v>1257</v>
      </c>
      <c r="Q597" t="s">
        <v>450</v>
      </c>
      <c r="R597">
        <v>2069109</v>
      </c>
      <c r="S597" t="s">
        <v>387</v>
      </c>
      <c r="U597" t="s">
        <v>1263</v>
      </c>
      <c r="V597" t="s">
        <v>398</v>
      </c>
      <c r="W597" s="393">
        <v>1890756</v>
      </c>
      <c r="X597" s="393">
        <v>489.2</v>
      </c>
      <c r="Y597" s="393">
        <v>4260.1000000000004</v>
      </c>
      <c r="Z597" s="393">
        <v>1890756</v>
      </c>
      <c r="AA597">
        <v>185</v>
      </c>
      <c r="AB597" s="400">
        <v>44441.774476539351</v>
      </c>
      <c r="AC597" t="s">
        <v>324</v>
      </c>
    </row>
    <row r="598" spans="1:29">
      <c r="A598" t="s">
        <v>382</v>
      </c>
      <c r="B598" t="s">
        <v>440</v>
      </c>
      <c r="C598" t="s">
        <v>1272</v>
      </c>
      <c r="D598" t="s">
        <v>1273</v>
      </c>
      <c r="E598" t="s">
        <v>390</v>
      </c>
      <c r="F598" t="s">
        <v>391</v>
      </c>
      <c r="G598">
        <v>6101473</v>
      </c>
      <c r="H598">
        <v>202107</v>
      </c>
      <c r="I598" s="400">
        <v>44396</v>
      </c>
      <c r="J598" t="s">
        <v>452</v>
      </c>
      <c r="K598" t="s">
        <v>386</v>
      </c>
      <c r="M598" t="s">
        <v>387</v>
      </c>
      <c r="O598" t="s">
        <v>1274</v>
      </c>
      <c r="P598" t="s">
        <v>1275</v>
      </c>
      <c r="Q598" t="s">
        <v>450</v>
      </c>
      <c r="R598">
        <v>2069107</v>
      </c>
      <c r="S598" t="s">
        <v>387</v>
      </c>
      <c r="U598" t="s">
        <v>1276</v>
      </c>
      <c r="V598" t="s">
        <v>398</v>
      </c>
      <c r="W598" s="393">
        <v>66405</v>
      </c>
      <c r="X598" s="393">
        <v>17.46</v>
      </c>
      <c r="Y598" s="393">
        <v>150.34</v>
      </c>
      <c r="Z598" s="393">
        <v>66405</v>
      </c>
      <c r="AA598">
        <v>0</v>
      </c>
      <c r="AB598" s="400">
        <v>44412.931741550929</v>
      </c>
      <c r="AC598" t="s">
        <v>324</v>
      </c>
    </row>
    <row r="599" spans="1:29">
      <c r="A599" t="s">
        <v>382</v>
      </c>
      <c r="B599" t="s">
        <v>440</v>
      </c>
      <c r="C599" t="s">
        <v>1272</v>
      </c>
      <c r="D599" t="s">
        <v>1273</v>
      </c>
      <c r="E599" t="s">
        <v>390</v>
      </c>
      <c r="F599" t="s">
        <v>391</v>
      </c>
      <c r="G599">
        <v>6101280</v>
      </c>
      <c r="H599">
        <v>202107</v>
      </c>
      <c r="I599" s="400">
        <v>44396</v>
      </c>
      <c r="J599" t="s">
        <v>452</v>
      </c>
      <c r="K599" t="s">
        <v>386</v>
      </c>
      <c r="M599" t="s">
        <v>387</v>
      </c>
      <c r="O599" t="s">
        <v>1277</v>
      </c>
      <c r="P599" t="s">
        <v>1278</v>
      </c>
      <c r="Q599" t="s">
        <v>450</v>
      </c>
      <c r="R599">
        <v>2069107</v>
      </c>
      <c r="S599" t="s">
        <v>387</v>
      </c>
      <c r="U599" t="s">
        <v>1279</v>
      </c>
      <c r="V599" t="s">
        <v>398</v>
      </c>
      <c r="W599" s="393">
        <v>34200</v>
      </c>
      <c r="X599" s="393">
        <v>8.99</v>
      </c>
      <c r="Y599" s="393">
        <v>77.430000000000007</v>
      </c>
      <c r="Z599" s="393">
        <v>34200</v>
      </c>
      <c r="AA599">
        <v>0</v>
      </c>
      <c r="AB599" s="400">
        <v>44398.025656678241</v>
      </c>
      <c r="AC599" t="s">
        <v>324</v>
      </c>
    </row>
    <row r="600" spans="1:29">
      <c r="A600" t="s">
        <v>382</v>
      </c>
      <c r="B600" t="s">
        <v>440</v>
      </c>
      <c r="C600" t="s">
        <v>1272</v>
      </c>
      <c r="D600" t="s">
        <v>1280</v>
      </c>
      <c r="E600" t="s">
        <v>390</v>
      </c>
      <c r="F600" t="s">
        <v>391</v>
      </c>
      <c r="G600">
        <v>6101280</v>
      </c>
      <c r="H600">
        <v>202107</v>
      </c>
      <c r="I600" s="400">
        <v>44396</v>
      </c>
      <c r="J600" t="s">
        <v>452</v>
      </c>
      <c r="K600" t="s">
        <v>386</v>
      </c>
      <c r="M600" t="s">
        <v>387</v>
      </c>
      <c r="O600" t="s">
        <v>1277</v>
      </c>
      <c r="P600" t="s">
        <v>1278</v>
      </c>
      <c r="Q600" t="s">
        <v>450</v>
      </c>
      <c r="R600">
        <v>2069107</v>
      </c>
      <c r="S600" t="s">
        <v>387</v>
      </c>
      <c r="U600" t="s">
        <v>1279</v>
      </c>
      <c r="V600" t="s">
        <v>398</v>
      </c>
      <c r="W600" s="393">
        <v>180000</v>
      </c>
      <c r="X600" s="393">
        <v>47.34</v>
      </c>
      <c r="Y600" s="393">
        <v>407.52</v>
      </c>
      <c r="Z600" s="393">
        <v>180000</v>
      </c>
      <c r="AA600">
        <v>116</v>
      </c>
      <c r="AB600" s="400">
        <v>44398.025656331018</v>
      </c>
      <c r="AC600" t="s">
        <v>324</v>
      </c>
    </row>
    <row r="601" spans="1:29">
      <c r="A601" t="s">
        <v>382</v>
      </c>
      <c r="B601" t="s">
        <v>440</v>
      </c>
      <c r="C601" t="s">
        <v>1272</v>
      </c>
      <c r="D601" t="s">
        <v>1280</v>
      </c>
      <c r="E601" t="s">
        <v>390</v>
      </c>
      <c r="F601" t="s">
        <v>391</v>
      </c>
      <c r="G601">
        <v>6101473</v>
      </c>
      <c r="H601">
        <v>202107</v>
      </c>
      <c r="I601" s="400">
        <v>44396</v>
      </c>
      <c r="J601" t="s">
        <v>452</v>
      </c>
      <c r="K601" t="s">
        <v>386</v>
      </c>
      <c r="M601" t="s">
        <v>387</v>
      </c>
      <c r="O601" t="s">
        <v>1274</v>
      </c>
      <c r="P601" t="s">
        <v>1275</v>
      </c>
      <c r="Q601" t="s">
        <v>450</v>
      </c>
      <c r="R601">
        <v>2069107</v>
      </c>
      <c r="S601" t="s">
        <v>387</v>
      </c>
      <c r="U601" t="s">
        <v>1276</v>
      </c>
      <c r="V601" t="s">
        <v>398</v>
      </c>
      <c r="W601" s="393">
        <v>349500</v>
      </c>
      <c r="X601" s="393">
        <v>91.92</v>
      </c>
      <c r="Y601" s="393">
        <v>791.27</v>
      </c>
      <c r="Z601" s="393">
        <v>349500</v>
      </c>
      <c r="AA601">
        <v>186</v>
      </c>
      <c r="AB601" s="400">
        <v>44412.931741354165</v>
      </c>
      <c r="AC601" t="s">
        <v>324</v>
      </c>
    </row>
    <row r="602" spans="1:29">
      <c r="A602" t="s">
        <v>382</v>
      </c>
      <c r="B602" t="s">
        <v>440</v>
      </c>
      <c r="C602" t="s">
        <v>1272</v>
      </c>
      <c r="D602" t="s">
        <v>1280</v>
      </c>
      <c r="E602" t="s">
        <v>390</v>
      </c>
      <c r="F602" t="s">
        <v>391</v>
      </c>
      <c r="G602">
        <v>6102174</v>
      </c>
      <c r="H602">
        <v>202109</v>
      </c>
      <c r="I602" s="400">
        <v>44469</v>
      </c>
      <c r="J602">
        <v>122536</v>
      </c>
      <c r="K602" t="s">
        <v>386</v>
      </c>
      <c r="M602" t="s">
        <v>387</v>
      </c>
      <c r="O602" t="s">
        <v>1281</v>
      </c>
      <c r="P602" t="s">
        <v>1282</v>
      </c>
      <c r="Q602" t="s">
        <v>450</v>
      </c>
      <c r="R602">
        <v>2069107</v>
      </c>
      <c r="S602" t="s">
        <v>387</v>
      </c>
      <c r="U602" t="s">
        <v>1283</v>
      </c>
      <c r="V602" t="s">
        <v>398</v>
      </c>
      <c r="W602" s="393">
        <v>626130</v>
      </c>
      <c r="X602" s="393">
        <v>163.28</v>
      </c>
      <c r="Y602" s="393">
        <v>1419.79</v>
      </c>
      <c r="Z602" s="393">
        <v>626130</v>
      </c>
      <c r="AA602">
        <v>317</v>
      </c>
      <c r="AB602" s="400">
        <v>44473.81901655093</v>
      </c>
      <c r="AC602" t="s">
        <v>324</v>
      </c>
    </row>
    <row r="603" spans="1:29">
      <c r="A603" t="s">
        <v>382</v>
      </c>
      <c r="B603" t="s">
        <v>440</v>
      </c>
      <c r="C603" t="s">
        <v>1272</v>
      </c>
      <c r="D603" t="s">
        <v>1280</v>
      </c>
      <c r="E603" t="s">
        <v>390</v>
      </c>
      <c r="F603" t="s">
        <v>391</v>
      </c>
      <c r="G603">
        <v>6102174</v>
      </c>
      <c r="H603">
        <v>202109</v>
      </c>
      <c r="I603" s="400">
        <v>44469</v>
      </c>
      <c r="J603">
        <v>122536</v>
      </c>
      <c r="K603" t="s">
        <v>386</v>
      </c>
      <c r="M603" t="s">
        <v>387</v>
      </c>
      <c r="O603" t="s">
        <v>1281</v>
      </c>
      <c r="P603" t="s">
        <v>1282</v>
      </c>
      <c r="Q603" t="s">
        <v>450</v>
      </c>
      <c r="R603">
        <v>2069107</v>
      </c>
      <c r="S603" t="s">
        <v>387</v>
      </c>
      <c r="U603" t="s">
        <v>1283</v>
      </c>
      <c r="V603" t="s">
        <v>398</v>
      </c>
      <c r="W603" s="393">
        <v>3130650</v>
      </c>
      <c r="X603" s="393">
        <v>816.41</v>
      </c>
      <c r="Y603" s="393">
        <v>7098.94</v>
      </c>
      <c r="Z603" s="393">
        <v>3130650</v>
      </c>
      <c r="AA603">
        <v>0</v>
      </c>
      <c r="AB603" s="400">
        <v>44473.81901655093</v>
      </c>
      <c r="AC603" t="s">
        <v>324</v>
      </c>
    </row>
    <row r="604" spans="1:29">
      <c r="A604" t="s">
        <v>382</v>
      </c>
      <c r="B604" t="s">
        <v>382</v>
      </c>
      <c r="C604" t="s">
        <v>1284</v>
      </c>
      <c r="D604" t="s">
        <v>1285</v>
      </c>
      <c r="E604" t="s">
        <v>390</v>
      </c>
      <c r="F604" t="s">
        <v>391</v>
      </c>
      <c r="G604">
        <v>6101096</v>
      </c>
      <c r="H604">
        <v>202106</v>
      </c>
      <c r="I604" s="400">
        <v>44376</v>
      </c>
      <c r="J604">
        <v>124932</v>
      </c>
      <c r="K604" t="s">
        <v>386</v>
      </c>
      <c r="M604" t="s">
        <v>387</v>
      </c>
      <c r="O604" t="s">
        <v>1286</v>
      </c>
      <c r="P604" t="s">
        <v>1287</v>
      </c>
      <c r="Q604" t="s">
        <v>450</v>
      </c>
      <c r="R604">
        <v>2069104</v>
      </c>
      <c r="S604" t="s">
        <v>387</v>
      </c>
      <c r="U604" t="s">
        <v>1288</v>
      </c>
      <c r="V604" t="s">
        <v>398</v>
      </c>
      <c r="W604" s="393">
        <v>4279</v>
      </c>
      <c r="X604" s="393">
        <v>1.1299999999999999</v>
      </c>
      <c r="Y604" s="393">
        <v>9.6300000000000008</v>
      </c>
      <c r="Z604" s="393">
        <v>4279</v>
      </c>
      <c r="AA604">
        <v>0</v>
      </c>
      <c r="AB604" s="400">
        <v>44380.645140590277</v>
      </c>
      <c r="AC604" t="s">
        <v>324</v>
      </c>
    </row>
    <row r="605" spans="1:29">
      <c r="A605" t="s">
        <v>382</v>
      </c>
      <c r="B605" t="s">
        <v>440</v>
      </c>
      <c r="C605" t="s">
        <v>1284</v>
      </c>
      <c r="D605" t="s">
        <v>1285</v>
      </c>
      <c r="E605" t="s">
        <v>390</v>
      </c>
      <c r="F605" t="s">
        <v>391</v>
      </c>
      <c r="G605">
        <v>6101473</v>
      </c>
      <c r="H605">
        <v>202107</v>
      </c>
      <c r="I605" s="400">
        <v>44396</v>
      </c>
      <c r="J605" t="s">
        <v>452</v>
      </c>
      <c r="K605" t="s">
        <v>386</v>
      </c>
      <c r="M605" t="s">
        <v>387</v>
      </c>
      <c r="O605" t="s">
        <v>1274</v>
      </c>
      <c r="P605" t="s">
        <v>1275</v>
      </c>
      <c r="Q605" t="s">
        <v>450</v>
      </c>
      <c r="R605">
        <v>2069107</v>
      </c>
      <c r="S605" t="s">
        <v>387</v>
      </c>
      <c r="U605" t="s">
        <v>1276</v>
      </c>
      <c r="V605" t="s">
        <v>398</v>
      </c>
      <c r="W605" s="393">
        <v>-66405</v>
      </c>
      <c r="X605" s="393">
        <v>-17.46</v>
      </c>
      <c r="Y605" s="393">
        <v>-150.34</v>
      </c>
      <c r="Z605" s="393">
        <v>-66405</v>
      </c>
      <c r="AA605">
        <v>0</v>
      </c>
      <c r="AB605" s="400">
        <v>44412.931741354165</v>
      </c>
      <c r="AC605" t="s">
        <v>324</v>
      </c>
    </row>
    <row r="606" spans="1:29">
      <c r="A606" t="s">
        <v>382</v>
      </c>
      <c r="B606" t="s">
        <v>440</v>
      </c>
      <c r="C606" t="s">
        <v>1284</v>
      </c>
      <c r="D606" t="s">
        <v>1285</v>
      </c>
      <c r="E606" t="s">
        <v>390</v>
      </c>
      <c r="F606" t="s">
        <v>391</v>
      </c>
      <c r="G606">
        <v>6101366</v>
      </c>
      <c r="H606">
        <v>202107</v>
      </c>
      <c r="I606" s="400">
        <v>44407</v>
      </c>
      <c r="J606" t="s">
        <v>452</v>
      </c>
      <c r="K606" t="s">
        <v>386</v>
      </c>
      <c r="M606" t="s">
        <v>387</v>
      </c>
      <c r="O606" t="s">
        <v>544</v>
      </c>
      <c r="P606" t="s">
        <v>545</v>
      </c>
      <c r="Q606" t="s">
        <v>450</v>
      </c>
      <c r="R606">
        <v>2069104</v>
      </c>
      <c r="S606" t="s">
        <v>387</v>
      </c>
      <c r="U606" t="s">
        <v>1289</v>
      </c>
      <c r="V606" t="s">
        <v>398</v>
      </c>
      <c r="W606" s="393">
        <v>76807.5</v>
      </c>
      <c r="X606" s="393">
        <v>19.66</v>
      </c>
      <c r="Y606" s="393">
        <v>169.9</v>
      </c>
      <c r="Z606" s="393">
        <v>76807.5</v>
      </c>
      <c r="AA606">
        <v>0</v>
      </c>
      <c r="AB606" s="400">
        <v>44410.978266631944</v>
      </c>
      <c r="AC606" t="s">
        <v>324</v>
      </c>
    </row>
    <row r="607" spans="1:29">
      <c r="A607" t="s">
        <v>382</v>
      </c>
      <c r="B607" t="s">
        <v>440</v>
      </c>
      <c r="C607" t="s">
        <v>1284</v>
      </c>
      <c r="D607" t="s">
        <v>1285</v>
      </c>
      <c r="E607" t="s">
        <v>390</v>
      </c>
      <c r="F607" t="s">
        <v>391</v>
      </c>
      <c r="G607">
        <v>6101280</v>
      </c>
      <c r="H607">
        <v>202107</v>
      </c>
      <c r="I607" s="400">
        <v>44396</v>
      </c>
      <c r="J607" t="s">
        <v>452</v>
      </c>
      <c r="K607" t="s">
        <v>386</v>
      </c>
      <c r="M607" t="s">
        <v>387</v>
      </c>
      <c r="O607" t="s">
        <v>1274</v>
      </c>
      <c r="P607" t="s">
        <v>1275</v>
      </c>
      <c r="Q607" t="s">
        <v>450</v>
      </c>
      <c r="R607">
        <v>2069107</v>
      </c>
      <c r="S607" t="s">
        <v>387</v>
      </c>
      <c r="U607" t="s">
        <v>1290</v>
      </c>
      <c r="V607" t="s">
        <v>398</v>
      </c>
      <c r="W607" s="393">
        <v>66405</v>
      </c>
      <c r="X607" s="393">
        <v>17.46</v>
      </c>
      <c r="Y607" s="393">
        <v>150.34</v>
      </c>
      <c r="Z607" s="393">
        <v>66405</v>
      </c>
      <c r="AA607">
        <v>0</v>
      </c>
      <c r="AB607" s="400">
        <v>44398.025656678241</v>
      </c>
      <c r="AC607" t="s">
        <v>324</v>
      </c>
    </row>
    <row r="608" spans="1:29">
      <c r="A608" t="s">
        <v>382</v>
      </c>
      <c r="B608" t="s">
        <v>440</v>
      </c>
      <c r="C608" t="s">
        <v>1284</v>
      </c>
      <c r="D608" t="s">
        <v>1285</v>
      </c>
      <c r="E608" t="s">
        <v>390</v>
      </c>
      <c r="F608" t="s">
        <v>391</v>
      </c>
      <c r="G608">
        <v>6101235</v>
      </c>
      <c r="H608">
        <v>202107</v>
      </c>
      <c r="I608" s="400">
        <v>44396</v>
      </c>
      <c r="J608" t="s">
        <v>452</v>
      </c>
      <c r="K608" t="s">
        <v>386</v>
      </c>
      <c r="M608" t="s">
        <v>387</v>
      </c>
      <c r="O608" t="s">
        <v>1291</v>
      </c>
      <c r="P608" t="s">
        <v>1292</v>
      </c>
      <c r="Q608" t="s">
        <v>450</v>
      </c>
      <c r="R608">
        <v>2069104</v>
      </c>
      <c r="S608" t="s">
        <v>387</v>
      </c>
      <c r="U608" t="s">
        <v>1293</v>
      </c>
      <c r="V608" t="s">
        <v>398</v>
      </c>
      <c r="W608" s="393">
        <v>6566</v>
      </c>
      <c r="X608" s="393">
        <v>1.73</v>
      </c>
      <c r="Y608" s="393">
        <v>14.87</v>
      </c>
      <c r="Z608" s="393">
        <v>6566</v>
      </c>
      <c r="AA608">
        <v>0</v>
      </c>
      <c r="AB608" s="400">
        <v>44396.743238807867</v>
      </c>
      <c r="AC608" t="s">
        <v>324</v>
      </c>
    </row>
    <row r="609" spans="1:29">
      <c r="A609" t="s">
        <v>382</v>
      </c>
      <c r="B609" t="s">
        <v>440</v>
      </c>
      <c r="C609" t="s">
        <v>1284</v>
      </c>
      <c r="D609" t="s">
        <v>1285</v>
      </c>
      <c r="E609" t="s">
        <v>390</v>
      </c>
      <c r="F609" t="s">
        <v>391</v>
      </c>
      <c r="G609">
        <v>6101527</v>
      </c>
      <c r="H609">
        <v>202108</v>
      </c>
      <c r="I609" s="400">
        <v>44427</v>
      </c>
      <c r="J609" t="s">
        <v>452</v>
      </c>
      <c r="K609" t="s">
        <v>386</v>
      </c>
      <c r="M609" t="s">
        <v>387</v>
      </c>
      <c r="O609" t="s">
        <v>1294</v>
      </c>
      <c r="P609" t="s">
        <v>1295</v>
      </c>
      <c r="Q609" t="s">
        <v>450</v>
      </c>
      <c r="R609">
        <v>2069104</v>
      </c>
      <c r="S609" t="s">
        <v>1296</v>
      </c>
      <c r="U609" t="s">
        <v>1297</v>
      </c>
      <c r="V609" t="s">
        <v>398</v>
      </c>
      <c r="W609" s="393">
        <v>19144</v>
      </c>
      <c r="X609" s="393">
        <v>4.8899999999999997</v>
      </c>
      <c r="Y609" s="393">
        <v>42.28</v>
      </c>
      <c r="Z609" s="393">
        <v>19144</v>
      </c>
      <c r="AA609">
        <v>0</v>
      </c>
      <c r="AB609" s="400">
        <v>44427.847054050922</v>
      </c>
      <c r="AC609" t="s">
        <v>324</v>
      </c>
    </row>
    <row r="610" spans="1:29">
      <c r="A610" t="s">
        <v>382</v>
      </c>
      <c r="B610" t="s">
        <v>440</v>
      </c>
      <c r="C610" t="s">
        <v>1284</v>
      </c>
      <c r="D610" t="s">
        <v>1285</v>
      </c>
      <c r="E610" t="s">
        <v>390</v>
      </c>
      <c r="F610" t="s">
        <v>391</v>
      </c>
      <c r="G610">
        <v>6101527</v>
      </c>
      <c r="H610">
        <v>202108</v>
      </c>
      <c r="I610" s="400">
        <v>44427</v>
      </c>
      <c r="J610" t="s">
        <v>452</v>
      </c>
      <c r="K610" t="s">
        <v>386</v>
      </c>
      <c r="M610" t="s">
        <v>387</v>
      </c>
      <c r="O610" t="s">
        <v>1298</v>
      </c>
      <c r="P610" t="s">
        <v>1299</v>
      </c>
      <c r="Q610" t="s">
        <v>450</v>
      </c>
      <c r="R610">
        <v>2069104</v>
      </c>
      <c r="S610" t="s">
        <v>1300</v>
      </c>
      <c r="U610" t="s">
        <v>1301</v>
      </c>
      <c r="V610" t="s">
        <v>398</v>
      </c>
      <c r="W610" s="393">
        <v>10680</v>
      </c>
      <c r="X610" s="393">
        <v>2.73</v>
      </c>
      <c r="Y610" s="393">
        <v>23.59</v>
      </c>
      <c r="Z610" s="393">
        <v>10680</v>
      </c>
      <c r="AA610">
        <v>0</v>
      </c>
      <c r="AB610" s="400">
        <v>44427.847054247686</v>
      </c>
      <c r="AC610" t="s">
        <v>324</v>
      </c>
    </row>
    <row r="611" spans="1:29">
      <c r="A611" t="s">
        <v>382</v>
      </c>
      <c r="B611" t="s">
        <v>440</v>
      </c>
      <c r="C611" t="s">
        <v>1284</v>
      </c>
      <c r="D611" t="s">
        <v>1302</v>
      </c>
      <c r="E611" t="s">
        <v>390</v>
      </c>
      <c r="F611" t="s">
        <v>391</v>
      </c>
      <c r="G611">
        <v>6101289</v>
      </c>
      <c r="H611">
        <v>202107</v>
      </c>
      <c r="I611" s="400">
        <v>44396</v>
      </c>
      <c r="J611" t="s">
        <v>452</v>
      </c>
      <c r="K611" t="s">
        <v>386</v>
      </c>
      <c r="M611" t="s">
        <v>387</v>
      </c>
      <c r="O611" t="s">
        <v>1291</v>
      </c>
      <c r="P611" t="s">
        <v>1292</v>
      </c>
      <c r="Q611" t="s">
        <v>450</v>
      </c>
      <c r="R611">
        <v>2069104</v>
      </c>
      <c r="S611" t="s">
        <v>387</v>
      </c>
      <c r="U611" t="s">
        <v>1303</v>
      </c>
      <c r="V611" t="s">
        <v>398</v>
      </c>
      <c r="W611" s="393">
        <v>4</v>
      </c>
      <c r="X611" s="393">
        <v>0</v>
      </c>
      <c r="Y611" s="393">
        <v>0.01</v>
      </c>
      <c r="Z611" s="393">
        <v>4</v>
      </c>
      <c r="AA611">
        <v>0</v>
      </c>
      <c r="AB611" s="400">
        <v>44398.079199155094</v>
      </c>
      <c r="AC611" t="s">
        <v>324</v>
      </c>
    </row>
    <row r="612" spans="1:29">
      <c r="A612" t="s">
        <v>382</v>
      </c>
      <c r="B612" t="s">
        <v>440</v>
      </c>
      <c r="C612" t="s">
        <v>1284</v>
      </c>
      <c r="D612" t="s">
        <v>1302</v>
      </c>
      <c r="E612" t="s">
        <v>390</v>
      </c>
      <c r="F612" t="s">
        <v>391</v>
      </c>
      <c r="G612">
        <v>6101235</v>
      </c>
      <c r="H612">
        <v>202107</v>
      </c>
      <c r="I612" s="400">
        <v>44396</v>
      </c>
      <c r="J612" t="s">
        <v>452</v>
      </c>
      <c r="K612" t="s">
        <v>386</v>
      </c>
      <c r="M612" t="s">
        <v>387</v>
      </c>
      <c r="O612" t="s">
        <v>1304</v>
      </c>
      <c r="P612" t="s">
        <v>1305</v>
      </c>
      <c r="Q612" t="s">
        <v>450</v>
      </c>
      <c r="R612">
        <v>2069104</v>
      </c>
      <c r="S612" t="s">
        <v>387</v>
      </c>
      <c r="U612" t="s">
        <v>1306</v>
      </c>
      <c r="V612" t="s">
        <v>398</v>
      </c>
      <c r="W612" s="393">
        <v>7000</v>
      </c>
      <c r="X612" s="393">
        <v>1.84</v>
      </c>
      <c r="Y612" s="393">
        <v>15.85</v>
      </c>
      <c r="Z612" s="393">
        <v>7000</v>
      </c>
      <c r="AA612">
        <v>0</v>
      </c>
      <c r="AB612" s="400">
        <v>44396.743238460651</v>
      </c>
      <c r="AC612" t="s">
        <v>324</v>
      </c>
    </row>
    <row r="613" spans="1:29">
      <c r="A613" t="s">
        <v>382</v>
      </c>
      <c r="B613" t="s">
        <v>440</v>
      </c>
      <c r="C613" t="s">
        <v>1284</v>
      </c>
      <c r="D613" t="s">
        <v>1302</v>
      </c>
      <c r="E613" t="s">
        <v>390</v>
      </c>
      <c r="F613" t="s">
        <v>391</v>
      </c>
      <c r="G613">
        <v>6101235</v>
      </c>
      <c r="H613">
        <v>202107</v>
      </c>
      <c r="I613" s="400">
        <v>44396</v>
      </c>
      <c r="J613" t="s">
        <v>452</v>
      </c>
      <c r="K613" t="s">
        <v>386</v>
      </c>
      <c r="M613" t="s">
        <v>387</v>
      </c>
      <c r="O613" t="s">
        <v>1291</v>
      </c>
      <c r="P613" t="s">
        <v>1292</v>
      </c>
      <c r="Q613" t="s">
        <v>450</v>
      </c>
      <c r="R613">
        <v>2069104</v>
      </c>
      <c r="S613" t="s">
        <v>387</v>
      </c>
      <c r="U613" t="s">
        <v>1293</v>
      </c>
      <c r="V613" t="s">
        <v>398</v>
      </c>
      <c r="W613" s="393">
        <v>34560</v>
      </c>
      <c r="X613" s="393">
        <v>9.09</v>
      </c>
      <c r="Y613" s="393">
        <v>78.239999999999995</v>
      </c>
      <c r="Z613" s="393">
        <v>34560</v>
      </c>
      <c r="AA613">
        <v>192</v>
      </c>
      <c r="AB613" s="400">
        <v>44396.743238460651</v>
      </c>
      <c r="AC613" t="s">
        <v>324</v>
      </c>
    </row>
    <row r="614" spans="1:29">
      <c r="A614" t="s">
        <v>382</v>
      </c>
      <c r="B614" t="s">
        <v>440</v>
      </c>
      <c r="C614" t="s">
        <v>1284</v>
      </c>
      <c r="D614" t="s">
        <v>1307</v>
      </c>
      <c r="E614" t="s">
        <v>390</v>
      </c>
      <c r="F614" t="s">
        <v>391</v>
      </c>
      <c r="G614">
        <v>6101366</v>
      </c>
      <c r="H614">
        <v>202107</v>
      </c>
      <c r="I614" s="400">
        <v>44407</v>
      </c>
      <c r="J614" t="s">
        <v>452</v>
      </c>
      <c r="K614" t="s">
        <v>386</v>
      </c>
      <c r="M614" t="s">
        <v>387</v>
      </c>
      <c r="O614" t="s">
        <v>544</v>
      </c>
      <c r="P614" t="s">
        <v>545</v>
      </c>
      <c r="Q614" t="s">
        <v>450</v>
      </c>
      <c r="R614">
        <v>2069104</v>
      </c>
      <c r="S614" t="s">
        <v>387</v>
      </c>
      <c r="U614" t="s">
        <v>1289</v>
      </c>
      <c r="V614" t="s">
        <v>398</v>
      </c>
      <c r="W614" s="393">
        <v>404250</v>
      </c>
      <c r="X614" s="393">
        <v>103.49</v>
      </c>
      <c r="Y614" s="393">
        <v>894.2</v>
      </c>
      <c r="Z614" s="393">
        <v>404250</v>
      </c>
      <c r="AA614">
        <v>192</v>
      </c>
      <c r="AB614" s="400">
        <v>44410.978266435188</v>
      </c>
      <c r="AC614" t="s">
        <v>324</v>
      </c>
    </row>
    <row r="615" spans="1:29">
      <c r="A615" t="s">
        <v>382</v>
      </c>
      <c r="B615" t="s">
        <v>440</v>
      </c>
      <c r="C615" t="s">
        <v>1284</v>
      </c>
      <c r="D615" t="s">
        <v>1307</v>
      </c>
      <c r="E615" t="s">
        <v>390</v>
      </c>
      <c r="F615" t="s">
        <v>391</v>
      </c>
      <c r="G615">
        <v>6101366</v>
      </c>
      <c r="H615">
        <v>202107</v>
      </c>
      <c r="I615" s="400">
        <v>44407</v>
      </c>
      <c r="J615" t="s">
        <v>452</v>
      </c>
      <c r="K615" t="s">
        <v>386</v>
      </c>
      <c r="M615" t="s">
        <v>387</v>
      </c>
      <c r="O615" t="s">
        <v>544</v>
      </c>
      <c r="P615" t="s">
        <v>545</v>
      </c>
      <c r="Q615" t="s">
        <v>450</v>
      </c>
      <c r="R615">
        <v>2069104</v>
      </c>
      <c r="S615" t="s">
        <v>387</v>
      </c>
      <c r="U615" t="s">
        <v>1289</v>
      </c>
      <c r="V615" t="s">
        <v>398</v>
      </c>
      <c r="W615" s="393">
        <v>-37.5</v>
      </c>
      <c r="X615" s="393">
        <v>-0.01</v>
      </c>
      <c r="Y615" s="393">
        <v>-0.08</v>
      </c>
      <c r="Z615" s="393">
        <v>-37.5</v>
      </c>
      <c r="AA615">
        <v>0</v>
      </c>
      <c r="AB615" s="400">
        <v>44410.978266435188</v>
      </c>
      <c r="AC615" t="s">
        <v>324</v>
      </c>
    </row>
    <row r="616" spans="1:29">
      <c r="A616" t="s">
        <v>382</v>
      </c>
      <c r="B616" t="s">
        <v>382</v>
      </c>
      <c r="C616" t="s">
        <v>1284</v>
      </c>
      <c r="D616" t="s">
        <v>1308</v>
      </c>
      <c r="E616" t="s">
        <v>390</v>
      </c>
      <c r="F616" t="s">
        <v>391</v>
      </c>
      <c r="G616">
        <v>6101096</v>
      </c>
      <c r="H616">
        <v>202106</v>
      </c>
      <c r="I616" s="400">
        <v>44376</v>
      </c>
      <c r="J616">
        <v>124932</v>
      </c>
      <c r="K616" t="s">
        <v>386</v>
      </c>
      <c r="M616" t="s">
        <v>387</v>
      </c>
      <c r="O616" t="s">
        <v>1286</v>
      </c>
      <c r="P616" t="s">
        <v>1287</v>
      </c>
      <c r="Q616" t="s">
        <v>450</v>
      </c>
      <c r="R616">
        <v>2069104</v>
      </c>
      <c r="S616" t="s">
        <v>387</v>
      </c>
      <c r="U616" t="s">
        <v>1288</v>
      </c>
      <c r="V616" t="s">
        <v>398</v>
      </c>
      <c r="W616" s="393">
        <v>22521</v>
      </c>
      <c r="X616" s="393">
        <v>5.97</v>
      </c>
      <c r="Y616" s="393">
        <v>50.69</v>
      </c>
      <c r="Z616" s="393">
        <v>22521</v>
      </c>
      <c r="AA616">
        <v>192</v>
      </c>
      <c r="AB616" s="400">
        <v>44380.645140393521</v>
      </c>
      <c r="AC616" t="s">
        <v>324</v>
      </c>
    </row>
    <row r="617" spans="1:29">
      <c r="A617" t="s">
        <v>382</v>
      </c>
      <c r="B617" t="s">
        <v>440</v>
      </c>
      <c r="C617" t="s">
        <v>1284</v>
      </c>
      <c r="D617" t="s">
        <v>1308</v>
      </c>
      <c r="E617" t="s">
        <v>390</v>
      </c>
      <c r="F617" t="s">
        <v>391</v>
      </c>
      <c r="G617">
        <v>6101473</v>
      </c>
      <c r="H617">
        <v>202107</v>
      </c>
      <c r="I617" s="400">
        <v>44396</v>
      </c>
      <c r="J617" t="s">
        <v>452</v>
      </c>
      <c r="K617" t="s">
        <v>386</v>
      </c>
      <c r="M617" t="s">
        <v>387</v>
      </c>
      <c r="O617" t="s">
        <v>1274</v>
      </c>
      <c r="P617" t="s">
        <v>1275</v>
      </c>
      <c r="Q617" t="s">
        <v>450</v>
      </c>
      <c r="R617">
        <v>2069107</v>
      </c>
      <c r="S617" t="s">
        <v>387</v>
      </c>
      <c r="U617" t="s">
        <v>1276</v>
      </c>
      <c r="V617" t="s">
        <v>398</v>
      </c>
      <c r="W617" s="393">
        <v>-349500</v>
      </c>
      <c r="X617" s="393">
        <v>-91.92</v>
      </c>
      <c r="Y617" s="393">
        <v>-791.27</v>
      </c>
      <c r="Z617" s="393">
        <v>-349500</v>
      </c>
      <c r="AA617">
        <v>192</v>
      </c>
      <c r="AB617" s="400">
        <v>44412.931741354165</v>
      </c>
      <c r="AC617" t="s">
        <v>324</v>
      </c>
    </row>
    <row r="618" spans="1:29">
      <c r="A618" t="s">
        <v>382</v>
      </c>
      <c r="B618" t="s">
        <v>440</v>
      </c>
      <c r="C618" t="s">
        <v>1284</v>
      </c>
      <c r="D618" t="s">
        <v>1308</v>
      </c>
      <c r="E618" t="s">
        <v>390</v>
      </c>
      <c r="F618" t="s">
        <v>391</v>
      </c>
      <c r="G618">
        <v>6101280</v>
      </c>
      <c r="H618">
        <v>202107</v>
      </c>
      <c r="I618" s="400">
        <v>44396</v>
      </c>
      <c r="J618" t="s">
        <v>452</v>
      </c>
      <c r="K618" t="s">
        <v>386</v>
      </c>
      <c r="M618" t="s">
        <v>387</v>
      </c>
      <c r="O618" t="s">
        <v>1274</v>
      </c>
      <c r="P618" t="s">
        <v>1275</v>
      </c>
      <c r="Q618" t="s">
        <v>450</v>
      </c>
      <c r="R618">
        <v>2069107</v>
      </c>
      <c r="S618" t="s">
        <v>387</v>
      </c>
      <c r="U618" t="s">
        <v>1290</v>
      </c>
      <c r="V618" t="s">
        <v>398</v>
      </c>
      <c r="W618" s="393">
        <v>349500</v>
      </c>
      <c r="X618" s="393">
        <v>91.92</v>
      </c>
      <c r="Y618" s="393">
        <v>791.27</v>
      </c>
      <c r="Z618" s="393">
        <v>349500</v>
      </c>
      <c r="AA618">
        <v>192</v>
      </c>
      <c r="AB618" s="400">
        <v>44398.025656481484</v>
      </c>
      <c r="AC618" t="s">
        <v>324</v>
      </c>
    </row>
    <row r="619" spans="1:29">
      <c r="A619" t="s">
        <v>382</v>
      </c>
      <c r="B619" t="s">
        <v>440</v>
      </c>
      <c r="C619" t="s">
        <v>1284</v>
      </c>
      <c r="D619" t="s">
        <v>1308</v>
      </c>
      <c r="E619" t="s">
        <v>390</v>
      </c>
      <c r="F619" t="s">
        <v>391</v>
      </c>
      <c r="G619">
        <v>6101527</v>
      </c>
      <c r="H619">
        <v>202108</v>
      </c>
      <c r="I619" s="400">
        <v>44427</v>
      </c>
      <c r="J619" t="s">
        <v>452</v>
      </c>
      <c r="K619" t="s">
        <v>386</v>
      </c>
      <c r="M619" t="s">
        <v>387</v>
      </c>
      <c r="O619" t="s">
        <v>1294</v>
      </c>
      <c r="P619" t="s">
        <v>1295</v>
      </c>
      <c r="Q619" t="s">
        <v>450</v>
      </c>
      <c r="R619">
        <v>2069104</v>
      </c>
      <c r="S619" t="s">
        <v>1296</v>
      </c>
      <c r="U619" t="s">
        <v>1297</v>
      </c>
      <c r="V619" t="s">
        <v>398</v>
      </c>
      <c r="W619" s="393">
        <v>100756</v>
      </c>
      <c r="X619" s="393">
        <v>25.76</v>
      </c>
      <c r="Y619" s="393">
        <v>222.53</v>
      </c>
      <c r="Z619" s="393">
        <v>100756</v>
      </c>
      <c r="AA619">
        <v>192</v>
      </c>
      <c r="AB619" s="400">
        <v>44427.847053703706</v>
      </c>
      <c r="AC619" t="s">
        <v>324</v>
      </c>
    </row>
    <row r="620" spans="1:29">
      <c r="A620" t="s">
        <v>382</v>
      </c>
      <c r="B620" t="s">
        <v>440</v>
      </c>
      <c r="C620" t="s">
        <v>1284</v>
      </c>
      <c r="D620" t="s">
        <v>1308</v>
      </c>
      <c r="E620" t="s">
        <v>390</v>
      </c>
      <c r="F620" t="s">
        <v>391</v>
      </c>
      <c r="G620">
        <v>6101527</v>
      </c>
      <c r="H620">
        <v>202108</v>
      </c>
      <c r="I620" s="400">
        <v>44427</v>
      </c>
      <c r="J620" t="s">
        <v>452</v>
      </c>
      <c r="K620" t="s">
        <v>386</v>
      </c>
      <c r="M620" t="s">
        <v>387</v>
      </c>
      <c r="O620" t="s">
        <v>1298</v>
      </c>
      <c r="P620" t="s">
        <v>1299</v>
      </c>
      <c r="Q620" t="s">
        <v>450</v>
      </c>
      <c r="R620">
        <v>2069104</v>
      </c>
      <c r="S620" t="s">
        <v>1300</v>
      </c>
      <c r="U620" t="s">
        <v>1301</v>
      </c>
      <c r="V620" t="s">
        <v>398</v>
      </c>
      <c r="W620" s="393">
        <v>56211</v>
      </c>
      <c r="X620" s="393">
        <v>14.37</v>
      </c>
      <c r="Y620" s="393">
        <v>124.15</v>
      </c>
      <c r="Z620" s="393">
        <v>56211</v>
      </c>
      <c r="AA620">
        <v>192</v>
      </c>
      <c r="AB620" s="400">
        <v>44427.847053703706</v>
      </c>
      <c r="AC620" t="s">
        <v>324</v>
      </c>
    </row>
    <row r="621" spans="1:29">
      <c r="A621" t="s">
        <v>382</v>
      </c>
      <c r="B621" t="s">
        <v>440</v>
      </c>
      <c r="C621" t="s">
        <v>1309</v>
      </c>
      <c r="D621" t="s">
        <v>1310</v>
      </c>
      <c r="E621" t="s">
        <v>390</v>
      </c>
      <c r="F621" t="s">
        <v>391</v>
      </c>
      <c r="G621">
        <v>6101366</v>
      </c>
      <c r="H621">
        <v>202107</v>
      </c>
      <c r="I621" s="400">
        <v>44407</v>
      </c>
      <c r="J621" t="s">
        <v>452</v>
      </c>
      <c r="K621" t="s">
        <v>386</v>
      </c>
      <c r="M621" t="s">
        <v>387</v>
      </c>
      <c r="O621" t="s">
        <v>1311</v>
      </c>
      <c r="P621" t="s">
        <v>1312</v>
      </c>
      <c r="Q621" t="s">
        <v>450</v>
      </c>
      <c r="R621">
        <v>2069102</v>
      </c>
      <c r="S621" t="s">
        <v>387</v>
      </c>
      <c r="U621" t="s">
        <v>1313</v>
      </c>
      <c r="V621" t="s">
        <v>398</v>
      </c>
      <c r="W621" s="393">
        <v>1391</v>
      </c>
      <c r="X621" s="393">
        <v>0.36</v>
      </c>
      <c r="Y621" s="393">
        <v>3.08</v>
      </c>
      <c r="Z621" s="393">
        <v>1391</v>
      </c>
      <c r="AA621">
        <v>0</v>
      </c>
      <c r="AB621" s="400">
        <v>44410.978266435188</v>
      </c>
      <c r="AC621" t="s">
        <v>324</v>
      </c>
    </row>
    <row r="622" spans="1:29">
      <c r="A622" t="s">
        <v>382</v>
      </c>
      <c r="B622" t="s">
        <v>440</v>
      </c>
      <c r="C622" t="s">
        <v>1309</v>
      </c>
      <c r="D622" t="s">
        <v>1310</v>
      </c>
      <c r="E622" t="s">
        <v>390</v>
      </c>
      <c r="F622" t="s">
        <v>391</v>
      </c>
      <c r="G622">
        <v>6101544</v>
      </c>
      <c r="H622">
        <v>202108</v>
      </c>
      <c r="I622" s="400">
        <v>44427</v>
      </c>
      <c r="J622" t="s">
        <v>452</v>
      </c>
      <c r="K622" t="s">
        <v>386</v>
      </c>
      <c r="M622" t="s">
        <v>387</v>
      </c>
      <c r="O622" t="s">
        <v>1314</v>
      </c>
      <c r="P622" t="s">
        <v>1315</v>
      </c>
      <c r="Q622" t="s">
        <v>450</v>
      </c>
      <c r="R622">
        <v>2069102</v>
      </c>
      <c r="S622" t="s">
        <v>387</v>
      </c>
      <c r="U622" t="s">
        <v>1316</v>
      </c>
      <c r="V622" t="s">
        <v>398</v>
      </c>
      <c r="W622" s="393">
        <v>2427</v>
      </c>
      <c r="X622" s="393">
        <v>0.62</v>
      </c>
      <c r="Y622" s="393">
        <v>5.36</v>
      </c>
      <c r="Z622" s="393">
        <v>2427</v>
      </c>
      <c r="AA622">
        <v>0</v>
      </c>
      <c r="AB622" s="400">
        <v>44427.992802395835</v>
      </c>
      <c r="AC622" t="s">
        <v>324</v>
      </c>
    </row>
    <row r="623" spans="1:29">
      <c r="A623" t="s">
        <v>382</v>
      </c>
      <c r="B623" t="s">
        <v>440</v>
      </c>
      <c r="C623" t="s">
        <v>1309</v>
      </c>
      <c r="D623" t="s">
        <v>1317</v>
      </c>
      <c r="E623" t="s">
        <v>390</v>
      </c>
      <c r="F623" t="s">
        <v>391</v>
      </c>
      <c r="G623">
        <v>6101366</v>
      </c>
      <c r="H623">
        <v>202107</v>
      </c>
      <c r="I623" s="400">
        <v>44407</v>
      </c>
      <c r="J623" t="s">
        <v>452</v>
      </c>
      <c r="K623" t="s">
        <v>386</v>
      </c>
      <c r="M623" t="s">
        <v>387</v>
      </c>
      <c r="O623" t="s">
        <v>1311</v>
      </c>
      <c r="P623" t="s">
        <v>1312</v>
      </c>
      <c r="Q623" t="s">
        <v>450</v>
      </c>
      <c r="R623">
        <v>2069102</v>
      </c>
      <c r="S623" t="s">
        <v>387</v>
      </c>
      <c r="U623" t="s">
        <v>1318</v>
      </c>
      <c r="V623" t="s">
        <v>398</v>
      </c>
      <c r="W623" s="393">
        <v>8000</v>
      </c>
      <c r="X623" s="393">
        <v>2.0499999999999998</v>
      </c>
      <c r="Y623" s="393">
        <v>17.7</v>
      </c>
      <c r="Z623" s="393">
        <v>8000</v>
      </c>
      <c r="AA623">
        <v>0</v>
      </c>
      <c r="AB623" s="400">
        <v>44410.978265891201</v>
      </c>
      <c r="AC623" t="s">
        <v>324</v>
      </c>
    </row>
    <row r="624" spans="1:29">
      <c r="A624" t="s">
        <v>382</v>
      </c>
      <c r="B624" t="s">
        <v>440</v>
      </c>
      <c r="C624" t="s">
        <v>1309</v>
      </c>
      <c r="D624" t="s">
        <v>1317</v>
      </c>
      <c r="E624" t="s">
        <v>390</v>
      </c>
      <c r="F624" t="s">
        <v>391</v>
      </c>
      <c r="G624">
        <v>6101366</v>
      </c>
      <c r="H624">
        <v>202107</v>
      </c>
      <c r="I624" s="400">
        <v>44407</v>
      </c>
      <c r="J624" t="s">
        <v>452</v>
      </c>
      <c r="K624" t="s">
        <v>386</v>
      </c>
      <c r="M624" t="s">
        <v>387</v>
      </c>
      <c r="O624" t="s">
        <v>1311</v>
      </c>
      <c r="P624" t="s">
        <v>1312</v>
      </c>
      <c r="Q624" t="s">
        <v>450</v>
      </c>
      <c r="R624">
        <v>2069102</v>
      </c>
      <c r="S624" t="s">
        <v>387</v>
      </c>
      <c r="U624" t="s">
        <v>1313</v>
      </c>
      <c r="V624" t="s">
        <v>398</v>
      </c>
      <c r="W624" s="393">
        <v>7319</v>
      </c>
      <c r="X624" s="393">
        <v>1.87</v>
      </c>
      <c r="Y624" s="393">
        <v>16.190000000000001</v>
      </c>
      <c r="Z624" s="393">
        <v>7319</v>
      </c>
      <c r="AA624">
        <v>194</v>
      </c>
      <c r="AB624" s="400">
        <v>44410.978266087965</v>
      </c>
      <c r="AC624" t="s">
        <v>324</v>
      </c>
    </row>
    <row r="625" spans="1:29">
      <c r="A625" t="s">
        <v>382</v>
      </c>
      <c r="B625" t="s">
        <v>440</v>
      </c>
      <c r="C625" t="s">
        <v>1309</v>
      </c>
      <c r="D625" t="s">
        <v>1317</v>
      </c>
      <c r="E625" t="s">
        <v>390</v>
      </c>
      <c r="F625" t="s">
        <v>391</v>
      </c>
      <c r="G625">
        <v>6101366</v>
      </c>
      <c r="H625">
        <v>202107</v>
      </c>
      <c r="I625" s="400">
        <v>44407</v>
      </c>
      <c r="J625" t="s">
        <v>452</v>
      </c>
      <c r="K625" t="s">
        <v>386</v>
      </c>
      <c r="M625" t="s">
        <v>387</v>
      </c>
      <c r="O625" t="s">
        <v>1311</v>
      </c>
      <c r="P625" t="s">
        <v>1312</v>
      </c>
      <c r="Q625" t="s">
        <v>450</v>
      </c>
      <c r="R625">
        <v>2069102</v>
      </c>
      <c r="S625" t="s">
        <v>387</v>
      </c>
      <c r="U625" t="s">
        <v>1313</v>
      </c>
      <c r="V625" t="s">
        <v>398</v>
      </c>
      <c r="W625" s="393">
        <v>12196</v>
      </c>
      <c r="X625" s="393">
        <v>3.12</v>
      </c>
      <c r="Y625" s="393">
        <v>26.98</v>
      </c>
      <c r="Z625" s="393">
        <v>12196</v>
      </c>
      <c r="AA625">
        <v>0</v>
      </c>
      <c r="AB625" s="400">
        <v>44410.978266087965</v>
      </c>
      <c r="AC625" t="s">
        <v>324</v>
      </c>
    </row>
    <row r="626" spans="1:29">
      <c r="A626" t="s">
        <v>382</v>
      </c>
      <c r="B626" t="s">
        <v>440</v>
      </c>
      <c r="C626" t="s">
        <v>1309</v>
      </c>
      <c r="D626" t="s">
        <v>1317</v>
      </c>
      <c r="E626" t="s">
        <v>390</v>
      </c>
      <c r="F626" t="s">
        <v>391</v>
      </c>
      <c r="G626">
        <v>6101366</v>
      </c>
      <c r="H626">
        <v>202107</v>
      </c>
      <c r="I626" s="400">
        <v>44407</v>
      </c>
      <c r="J626" t="s">
        <v>452</v>
      </c>
      <c r="K626" t="s">
        <v>386</v>
      </c>
      <c r="M626" t="s">
        <v>387</v>
      </c>
      <c r="O626" t="s">
        <v>1314</v>
      </c>
      <c r="P626" t="s">
        <v>1315</v>
      </c>
      <c r="Q626" t="s">
        <v>450</v>
      </c>
      <c r="R626">
        <v>2069102</v>
      </c>
      <c r="S626" t="s">
        <v>387</v>
      </c>
      <c r="U626" t="s">
        <v>1319</v>
      </c>
      <c r="V626" t="s">
        <v>398</v>
      </c>
      <c r="W626" s="393">
        <v>5800</v>
      </c>
      <c r="X626" s="393">
        <v>1.48</v>
      </c>
      <c r="Y626" s="393">
        <v>12.83</v>
      </c>
      <c r="Z626" s="393">
        <v>5800</v>
      </c>
      <c r="AA626">
        <v>0</v>
      </c>
      <c r="AB626" s="400">
        <v>44410.978266087965</v>
      </c>
      <c r="AC626" t="s">
        <v>324</v>
      </c>
    </row>
    <row r="627" spans="1:29">
      <c r="A627" t="s">
        <v>382</v>
      </c>
      <c r="B627" t="s">
        <v>440</v>
      </c>
      <c r="C627" t="s">
        <v>1309</v>
      </c>
      <c r="D627" t="s">
        <v>1317</v>
      </c>
      <c r="E627" t="s">
        <v>390</v>
      </c>
      <c r="F627" t="s">
        <v>391</v>
      </c>
      <c r="G627">
        <v>6101366</v>
      </c>
      <c r="H627">
        <v>202107</v>
      </c>
      <c r="I627" s="400">
        <v>44407</v>
      </c>
      <c r="J627" t="s">
        <v>452</v>
      </c>
      <c r="K627" t="s">
        <v>386</v>
      </c>
      <c r="M627" t="s">
        <v>387</v>
      </c>
      <c r="O627" t="s">
        <v>1320</v>
      </c>
      <c r="P627" t="s">
        <v>1321</v>
      </c>
      <c r="Q627" t="s">
        <v>450</v>
      </c>
      <c r="R627">
        <v>2069102</v>
      </c>
      <c r="S627" t="s">
        <v>387</v>
      </c>
      <c r="U627" t="s">
        <v>1322</v>
      </c>
      <c r="V627" t="s">
        <v>398</v>
      </c>
      <c r="W627" s="393">
        <v>127800</v>
      </c>
      <c r="X627" s="393">
        <v>32.72</v>
      </c>
      <c r="Y627" s="393">
        <v>282.69</v>
      </c>
      <c r="Z627" s="393">
        <v>127800</v>
      </c>
      <c r="AA627">
        <v>0</v>
      </c>
      <c r="AB627" s="400">
        <v>44410.978266087965</v>
      </c>
      <c r="AC627" t="s">
        <v>324</v>
      </c>
    </row>
    <row r="628" spans="1:29">
      <c r="A628" t="s">
        <v>382</v>
      </c>
      <c r="B628" t="s">
        <v>440</v>
      </c>
      <c r="C628" t="s">
        <v>1309</v>
      </c>
      <c r="D628" t="s">
        <v>1317</v>
      </c>
      <c r="E628" t="s">
        <v>390</v>
      </c>
      <c r="F628" t="s">
        <v>391</v>
      </c>
      <c r="G628">
        <v>6101544</v>
      </c>
      <c r="H628">
        <v>202108</v>
      </c>
      <c r="I628" s="400">
        <v>44427</v>
      </c>
      <c r="J628" t="s">
        <v>452</v>
      </c>
      <c r="K628" t="s">
        <v>386</v>
      </c>
      <c r="M628" t="s">
        <v>387</v>
      </c>
      <c r="O628" t="s">
        <v>1314</v>
      </c>
      <c r="P628" t="s">
        <v>1315</v>
      </c>
      <c r="Q628" t="s">
        <v>450</v>
      </c>
      <c r="R628">
        <v>2069102</v>
      </c>
      <c r="S628" t="s">
        <v>387</v>
      </c>
      <c r="U628" t="s">
        <v>1316</v>
      </c>
      <c r="V628" t="s">
        <v>398</v>
      </c>
      <c r="W628" s="393">
        <v>12773</v>
      </c>
      <c r="X628" s="393">
        <v>3.27</v>
      </c>
      <c r="Y628" s="393">
        <v>28.21</v>
      </c>
      <c r="Z628" s="393">
        <v>12773</v>
      </c>
      <c r="AA628">
        <v>194</v>
      </c>
      <c r="AB628" s="400">
        <v>44427.992801851855</v>
      </c>
      <c r="AC628" t="s">
        <v>324</v>
      </c>
    </row>
    <row r="629" spans="1:29">
      <c r="A629" t="s">
        <v>382</v>
      </c>
      <c r="B629" t="s">
        <v>440</v>
      </c>
      <c r="C629" t="s">
        <v>1309</v>
      </c>
      <c r="D629" t="s">
        <v>1317</v>
      </c>
      <c r="E629" t="s">
        <v>390</v>
      </c>
      <c r="F629" t="s">
        <v>391</v>
      </c>
      <c r="G629">
        <v>6101544</v>
      </c>
      <c r="H629">
        <v>202108</v>
      </c>
      <c r="I629" s="400">
        <v>44427</v>
      </c>
      <c r="J629" t="s">
        <v>452</v>
      </c>
      <c r="K629" t="s">
        <v>386</v>
      </c>
      <c r="M629" t="s">
        <v>387</v>
      </c>
      <c r="O629" t="s">
        <v>1314</v>
      </c>
      <c r="P629" t="s">
        <v>1315</v>
      </c>
      <c r="Q629" t="s">
        <v>450</v>
      </c>
      <c r="R629">
        <v>2069102</v>
      </c>
      <c r="S629" t="s">
        <v>387</v>
      </c>
      <c r="U629" t="s">
        <v>1323</v>
      </c>
      <c r="V629" t="s">
        <v>398</v>
      </c>
      <c r="W629" s="393">
        <v>51</v>
      </c>
      <c r="X629" s="393">
        <v>0.01</v>
      </c>
      <c r="Y629" s="393">
        <v>0.11</v>
      </c>
      <c r="Z629" s="393">
        <v>51</v>
      </c>
      <c r="AA629">
        <v>0</v>
      </c>
      <c r="AB629" s="400">
        <v>44427.992802002314</v>
      </c>
      <c r="AC629" t="s">
        <v>324</v>
      </c>
    </row>
    <row r="630" spans="1:29">
      <c r="A630" t="s">
        <v>382</v>
      </c>
      <c r="B630" t="s">
        <v>440</v>
      </c>
      <c r="C630" t="s">
        <v>1309</v>
      </c>
      <c r="D630" t="s">
        <v>1317</v>
      </c>
      <c r="E630" t="s">
        <v>390</v>
      </c>
      <c r="F630" t="s">
        <v>391</v>
      </c>
      <c r="G630">
        <v>6101544</v>
      </c>
      <c r="H630">
        <v>202108</v>
      </c>
      <c r="I630" s="400">
        <v>44427</v>
      </c>
      <c r="J630" t="s">
        <v>452</v>
      </c>
      <c r="K630" t="s">
        <v>386</v>
      </c>
      <c r="M630" t="s">
        <v>387</v>
      </c>
      <c r="O630" t="s">
        <v>1320</v>
      </c>
      <c r="P630" t="s">
        <v>1321</v>
      </c>
      <c r="Q630" t="s">
        <v>450</v>
      </c>
      <c r="R630">
        <v>2069102</v>
      </c>
      <c r="S630" t="s">
        <v>387</v>
      </c>
      <c r="U630" t="s">
        <v>1324</v>
      </c>
      <c r="V630" t="s">
        <v>398</v>
      </c>
      <c r="W630" s="393">
        <v>177800</v>
      </c>
      <c r="X630" s="393">
        <v>45.46</v>
      </c>
      <c r="Y630" s="393">
        <v>392.69</v>
      </c>
      <c r="Z630" s="393">
        <v>177800</v>
      </c>
      <c r="AA630">
        <v>0</v>
      </c>
      <c r="AB630" s="400">
        <v>44427.992802002314</v>
      </c>
      <c r="AC630" t="s">
        <v>324</v>
      </c>
    </row>
    <row r="631" spans="1:29">
      <c r="A631" t="s">
        <v>382</v>
      </c>
      <c r="B631" t="s">
        <v>440</v>
      </c>
      <c r="C631" t="s">
        <v>1309</v>
      </c>
      <c r="D631" t="s">
        <v>1317</v>
      </c>
      <c r="E631" t="s">
        <v>390</v>
      </c>
      <c r="F631" t="s">
        <v>391</v>
      </c>
      <c r="G631">
        <v>6102042</v>
      </c>
      <c r="H631">
        <v>202109</v>
      </c>
      <c r="I631" s="400">
        <v>44463</v>
      </c>
      <c r="J631">
        <v>124932</v>
      </c>
      <c r="K631" t="s">
        <v>386</v>
      </c>
      <c r="M631" t="s">
        <v>387</v>
      </c>
      <c r="O631" t="s">
        <v>1108</v>
      </c>
      <c r="P631" t="s">
        <v>1109</v>
      </c>
      <c r="Q631" t="s">
        <v>450</v>
      </c>
      <c r="R631">
        <v>2069102</v>
      </c>
      <c r="S631" t="s">
        <v>387</v>
      </c>
      <c r="U631" t="s">
        <v>1325</v>
      </c>
      <c r="V631" t="s">
        <v>398</v>
      </c>
      <c r="W631" s="393">
        <v>83700</v>
      </c>
      <c r="X631" s="393">
        <v>21.83</v>
      </c>
      <c r="Y631" s="393">
        <v>189.79</v>
      </c>
      <c r="Z631" s="393">
        <v>83700</v>
      </c>
      <c r="AA631">
        <v>0</v>
      </c>
      <c r="AB631" s="400">
        <v>44469.770561261575</v>
      </c>
      <c r="AC631" t="s">
        <v>324</v>
      </c>
    </row>
    <row r="632" spans="1:29">
      <c r="A632" t="s">
        <v>382</v>
      </c>
      <c r="B632" t="s">
        <v>440</v>
      </c>
      <c r="C632" t="s">
        <v>1326</v>
      </c>
      <c r="D632" t="s">
        <v>1327</v>
      </c>
      <c r="E632" t="s">
        <v>390</v>
      </c>
      <c r="F632" t="s">
        <v>391</v>
      </c>
      <c r="G632">
        <v>6100769</v>
      </c>
      <c r="H632">
        <v>202104</v>
      </c>
      <c r="I632" s="400">
        <v>44309</v>
      </c>
      <c r="J632">
        <v>122536</v>
      </c>
      <c r="K632" t="s">
        <v>386</v>
      </c>
      <c r="M632" t="s">
        <v>387</v>
      </c>
      <c r="O632" t="s">
        <v>1328</v>
      </c>
      <c r="P632" t="s">
        <v>1329</v>
      </c>
      <c r="Q632" t="s">
        <v>450</v>
      </c>
      <c r="R632">
        <v>2069100</v>
      </c>
      <c r="S632" t="s">
        <v>387</v>
      </c>
      <c r="U632" t="s">
        <v>1330</v>
      </c>
      <c r="V632" t="s">
        <v>398</v>
      </c>
      <c r="W632" s="393">
        <v>762539.2</v>
      </c>
      <c r="X632" s="393">
        <v>209.7</v>
      </c>
      <c r="Y632" s="393">
        <v>1737.06</v>
      </c>
      <c r="Z632" s="393">
        <v>762539.2</v>
      </c>
      <c r="AA632">
        <v>0</v>
      </c>
      <c r="AB632" s="400">
        <v>44320.775782789351</v>
      </c>
      <c r="AC632" t="s">
        <v>324</v>
      </c>
    </row>
    <row r="633" spans="1:29">
      <c r="A633" t="s">
        <v>382</v>
      </c>
      <c r="B633" t="s">
        <v>440</v>
      </c>
      <c r="C633" t="s">
        <v>1326</v>
      </c>
      <c r="D633" t="s">
        <v>1327</v>
      </c>
      <c r="E633" t="s">
        <v>390</v>
      </c>
      <c r="F633" t="s">
        <v>391</v>
      </c>
      <c r="G633">
        <v>6100904</v>
      </c>
      <c r="H633">
        <v>202105</v>
      </c>
      <c r="I633" s="400">
        <v>44337</v>
      </c>
      <c r="J633">
        <v>122536</v>
      </c>
      <c r="K633" t="s">
        <v>386</v>
      </c>
      <c r="M633" t="s">
        <v>387</v>
      </c>
      <c r="O633" t="s">
        <v>1328</v>
      </c>
      <c r="P633" t="s">
        <v>1329</v>
      </c>
      <c r="Q633" t="s">
        <v>450</v>
      </c>
      <c r="R633">
        <v>2069100</v>
      </c>
      <c r="S633" t="s">
        <v>387</v>
      </c>
      <c r="U633" t="s">
        <v>1331</v>
      </c>
      <c r="V633" t="s">
        <v>398</v>
      </c>
      <c r="W633" s="393">
        <v>75591</v>
      </c>
      <c r="X633" s="393">
        <v>20.56</v>
      </c>
      <c r="Y633" s="393">
        <v>168.72</v>
      </c>
      <c r="Z633" s="393">
        <v>75591</v>
      </c>
      <c r="AA633">
        <v>0</v>
      </c>
      <c r="AB633" s="400">
        <v>44345.97579621528</v>
      </c>
      <c r="AC633" t="s">
        <v>324</v>
      </c>
    </row>
    <row r="634" spans="1:29">
      <c r="A634" t="s">
        <v>382</v>
      </c>
      <c r="B634" t="s">
        <v>440</v>
      </c>
      <c r="C634" t="s">
        <v>1326</v>
      </c>
      <c r="D634" t="s">
        <v>1327</v>
      </c>
      <c r="E634" t="s">
        <v>390</v>
      </c>
      <c r="F634" t="s">
        <v>391</v>
      </c>
      <c r="G634">
        <v>6101081</v>
      </c>
      <c r="H634">
        <v>202106</v>
      </c>
      <c r="I634" s="400">
        <v>44370</v>
      </c>
      <c r="J634">
        <v>125062</v>
      </c>
      <c r="K634" t="s">
        <v>386</v>
      </c>
      <c r="M634" t="s">
        <v>387</v>
      </c>
      <c r="O634" t="s">
        <v>1328</v>
      </c>
      <c r="P634" t="s">
        <v>1329</v>
      </c>
      <c r="Q634" t="s">
        <v>450</v>
      </c>
      <c r="R634">
        <v>2069100</v>
      </c>
      <c r="S634" t="s">
        <v>387</v>
      </c>
      <c r="U634" t="s">
        <v>1332</v>
      </c>
      <c r="V634" t="s">
        <v>398</v>
      </c>
      <c r="W634" s="393">
        <v>496095</v>
      </c>
      <c r="X634" s="393">
        <v>138.41</v>
      </c>
      <c r="Y634" s="393">
        <v>1172.27</v>
      </c>
      <c r="Z634" s="393">
        <v>496095</v>
      </c>
      <c r="AA634">
        <v>0</v>
      </c>
      <c r="AB634" s="400">
        <v>44379.957195798612</v>
      </c>
      <c r="AC634" t="s">
        <v>324</v>
      </c>
    </row>
    <row r="635" spans="1:29">
      <c r="A635" t="s">
        <v>382</v>
      </c>
      <c r="B635" t="s">
        <v>440</v>
      </c>
      <c r="C635" t="s">
        <v>1326</v>
      </c>
      <c r="D635" t="s">
        <v>1327</v>
      </c>
      <c r="E635" t="s">
        <v>390</v>
      </c>
      <c r="F635" t="s">
        <v>391</v>
      </c>
      <c r="G635">
        <v>6101337</v>
      </c>
      <c r="H635">
        <v>202107</v>
      </c>
      <c r="I635" s="400">
        <v>44400</v>
      </c>
      <c r="J635">
        <v>125062</v>
      </c>
      <c r="K635" t="s">
        <v>386</v>
      </c>
      <c r="M635" t="s">
        <v>387</v>
      </c>
      <c r="O635" t="s">
        <v>1328</v>
      </c>
      <c r="P635" t="s">
        <v>1329</v>
      </c>
      <c r="Q635" t="s">
        <v>450</v>
      </c>
      <c r="R635">
        <v>2069100</v>
      </c>
      <c r="S635" t="s">
        <v>387</v>
      </c>
      <c r="U635" t="s">
        <v>1333</v>
      </c>
      <c r="V635" t="s">
        <v>398</v>
      </c>
      <c r="W635" s="393">
        <v>115410</v>
      </c>
      <c r="X635" s="393">
        <v>30.35</v>
      </c>
      <c r="Y635" s="393">
        <v>261.29000000000002</v>
      </c>
      <c r="Z635" s="393">
        <v>115410</v>
      </c>
      <c r="AA635">
        <v>0</v>
      </c>
      <c r="AB635" s="400">
        <v>44410.796117210652</v>
      </c>
      <c r="AC635" t="s">
        <v>324</v>
      </c>
    </row>
    <row r="636" spans="1:29">
      <c r="A636" t="s">
        <v>382</v>
      </c>
      <c r="B636" t="s">
        <v>440</v>
      </c>
      <c r="C636" t="s">
        <v>1326</v>
      </c>
      <c r="D636" t="s">
        <v>1327</v>
      </c>
      <c r="E636" t="s">
        <v>390</v>
      </c>
      <c r="F636" t="s">
        <v>391</v>
      </c>
      <c r="G636">
        <v>6101764</v>
      </c>
      <c r="H636">
        <v>202108</v>
      </c>
      <c r="I636" s="400">
        <v>44432</v>
      </c>
      <c r="J636">
        <v>125062</v>
      </c>
      <c r="K636" t="s">
        <v>386</v>
      </c>
      <c r="M636" t="s">
        <v>387</v>
      </c>
      <c r="O636" t="s">
        <v>1328</v>
      </c>
      <c r="P636" t="s">
        <v>1329</v>
      </c>
      <c r="Q636" t="s">
        <v>450</v>
      </c>
      <c r="R636">
        <v>2069100</v>
      </c>
      <c r="S636" t="s">
        <v>387</v>
      </c>
      <c r="U636" t="s">
        <v>1334</v>
      </c>
      <c r="V636" t="s">
        <v>398</v>
      </c>
      <c r="W636" s="393">
        <v>54972</v>
      </c>
      <c r="X636" s="393">
        <v>14.24</v>
      </c>
      <c r="Y636" s="393">
        <v>123.47</v>
      </c>
      <c r="Z636" s="393">
        <v>54972</v>
      </c>
      <c r="AA636">
        <v>0</v>
      </c>
      <c r="AB636" s="400">
        <v>44445.77093564815</v>
      </c>
      <c r="AC636" t="s">
        <v>324</v>
      </c>
    </row>
    <row r="637" spans="1:29">
      <c r="A637" t="s">
        <v>382</v>
      </c>
      <c r="B637" t="s">
        <v>440</v>
      </c>
      <c r="C637" t="s">
        <v>1326</v>
      </c>
      <c r="D637" t="s">
        <v>1327</v>
      </c>
      <c r="E637" t="s">
        <v>390</v>
      </c>
      <c r="F637" t="s">
        <v>391</v>
      </c>
      <c r="G637">
        <v>6102059</v>
      </c>
      <c r="H637">
        <v>202109</v>
      </c>
      <c r="I637" s="400">
        <v>44461</v>
      </c>
      <c r="J637">
        <v>125062</v>
      </c>
      <c r="K637" t="s">
        <v>386</v>
      </c>
      <c r="M637" t="s">
        <v>387</v>
      </c>
      <c r="O637" t="s">
        <v>1328</v>
      </c>
      <c r="P637" t="s">
        <v>1329</v>
      </c>
      <c r="Q637" t="s">
        <v>450</v>
      </c>
      <c r="R637">
        <v>2069100</v>
      </c>
      <c r="S637" t="s">
        <v>387</v>
      </c>
      <c r="U637" t="s">
        <v>1335</v>
      </c>
      <c r="V637" t="s">
        <v>398</v>
      </c>
      <c r="W637" s="393">
        <v>53722</v>
      </c>
      <c r="X637" s="393">
        <v>14.04</v>
      </c>
      <c r="Y637" s="393">
        <v>122.11</v>
      </c>
      <c r="Z637" s="393">
        <v>53722</v>
      </c>
      <c r="AA637">
        <v>0</v>
      </c>
      <c r="AB637" s="400">
        <v>44469.971077430557</v>
      </c>
      <c r="AC637" t="s">
        <v>324</v>
      </c>
    </row>
    <row r="638" spans="1:29">
      <c r="A638" t="s">
        <v>382</v>
      </c>
      <c r="B638" t="s">
        <v>440</v>
      </c>
      <c r="C638" t="s">
        <v>1326</v>
      </c>
      <c r="D638" t="s">
        <v>1336</v>
      </c>
      <c r="E638" t="s">
        <v>390</v>
      </c>
      <c r="F638" t="s">
        <v>391</v>
      </c>
      <c r="G638">
        <v>6100769</v>
      </c>
      <c r="H638">
        <v>202104</v>
      </c>
      <c r="I638" s="400">
        <v>44309</v>
      </c>
      <c r="J638">
        <v>122536</v>
      </c>
      <c r="K638" t="s">
        <v>386</v>
      </c>
      <c r="M638" t="s">
        <v>387</v>
      </c>
      <c r="O638" t="s">
        <v>1328</v>
      </c>
      <c r="P638" t="s">
        <v>1329</v>
      </c>
      <c r="Q638" t="s">
        <v>450</v>
      </c>
      <c r="R638">
        <v>2069100</v>
      </c>
      <c r="S638" t="s">
        <v>387</v>
      </c>
      <c r="U638" t="s">
        <v>1330</v>
      </c>
      <c r="V638" t="s">
        <v>398</v>
      </c>
      <c r="W638" s="393">
        <v>33695.4</v>
      </c>
      <c r="X638" s="393">
        <v>9.27</v>
      </c>
      <c r="Y638" s="393">
        <v>76.760000000000005</v>
      </c>
      <c r="Z638" s="393">
        <v>33695.4</v>
      </c>
      <c r="AA638">
        <v>0</v>
      </c>
      <c r="AB638" s="400">
        <v>44320.775782604163</v>
      </c>
      <c r="AC638" t="s">
        <v>324</v>
      </c>
    </row>
    <row r="639" spans="1:29">
      <c r="A639" t="s">
        <v>382</v>
      </c>
      <c r="B639" t="s">
        <v>440</v>
      </c>
      <c r="C639" t="s">
        <v>1326</v>
      </c>
      <c r="D639" t="s">
        <v>1336</v>
      </c>
      <c r="E639" t="s">
        <v>390</v>
      </c>
      <c r="F639" t="s">
        <v>391</v>
      </c>
      <c r="G639">
        <v>6100904</v>
      </c>
      <c r="H639">
        <v>202105</v>
      </c>
      <c r="I639" s="400">
        <v>44337</v>
      </c>
      <c r="J639">
        <v>122536</v>
      </c>
      <c r="K639" t="s">
        <v>386</v>
      </c>
      <c r="M639" t="s">
        <v>387</v>
      </c>
      <c r="O639" t="s">
        <v>1328</v>
      </c>
      <c r="P639" t="s">
        <v>1329</v>
      </c>
      <c r="Q639" t="s">
        <v>450</v>
      </c>
      <c r="R639">
        <v>2069100</v>
      </c>
      <c r="S639" t="s">
        <v>387</v>
      </c>
      <c r="U639" t="s">
        <v>1331</v>
      </c>
      <c r="V639" t="s">
        <v>398</v>
      </c>
      <c r="W639" s="393">
        <v>3342</v>
      </c>
      <c r="X639" s="393">
        <v>0.91</v>
      </c>
      <c r="Y639" s="393">
        <v>7.46</v>
      </c>
      <c r="Z639" s="393">
        <v>3342</v>
      </c>
      <c r="AA639">
        <v>0</v>
      </c>
      <c r="AB639" s="400">
        <v>44345.97579621528</v>
      </c>
      <c r="AC639" t="s">
        <v>324</v>
      </c>
    </row>
    <row r="640" spans="1:29">
      <c r="A640" t="s">
        <v>382</v>
      </c>
      <c r="B640" t="s">
        <v>440</v>
      </c>
      <c r="C640" t="s">
        <v>1326</v>
      </c>
      <c r="D640" t="s">
        <v>1336</v>
      </c>
      <c r="E640" t="s">
        <v>390</v>
      </c>
      <c r="F640" t="s">
        <v>391</v>
      </c>
      <c r="G640">
        <v>6101081</v>
      </c>
      <c r="H640">
        <v>202106</v>
      </c>
      <c r="I640" s="400">
        <v>44370</v>
      </c>
      <c r="J640">
        <v>125062</v>
      </c>
      <c r="K640" t="s">
        <v>386</v>
      </c>
      <c r="M640" t="s">
        <v>387</v>
      </c>
      <c r="O640" t="s">
        <v>1328</v>
      </c>
      <c r="P640" t="s">
        <v>1329</v>
      </c>
      <c r="Q640" t="s">
        <v>450</v>
      </c>
      <c r="R640">
        <v>2069100</v>
      </c>
      <c r="S640" t="s">
        <v>387</v>
      </c>
      <c r="U640" t="s">
        <v>1332</v>
      </c>
      <c r="V640" t="s">
        <v>398</v>
      </c>
      <c r="W640" s="393">
        <v>24718</v>
      </c>
      <c r="X640" s="393">
        <v>6.9</v>
      </c>
      <c r="Y640" s="393">
        <v>58.41</v>
      </c>
      <c r="Z640" s="393">
        <v>24718</v>
      </c>
      <c r="AA640">
        <v>0</v>
      </c>
      <c r="AB640" s="400">
        <v>44379.957195798612</v>
      </c>
      <c r="AC640" t="s">
        <v>324</v>
      </c>
    </row>
    <row r="641" spans="1:29">
      <c r="A641" t="s">
        <v>382</v>
      </c>
      <c r="B641" t="s">
        <v>440</v>
      </c>
      <c r="C641" t="s">
        <v>1326</v>
      </c>
      <c r="D641" t="s">
        <v>1336</v>
      </c>
      <c r="E641" t="s">
        <v>390</v>
      </c>
      <c r="F641" t="s">
        <v>391</v>
      </c>
      <c r="G641">
        <v>6101337</v>
      </c>
      <c r="H641">
        <v>202107</v>
      </c>
      <c r="I641" s="400">
        <v>44400</v>
      </c>
      <c r="J641">
        <v>125062</v>
      </c>
      <c r="K641" t="s">
        <v>386</v>
      </c>
      <c r="M641" t="s">
        <v>387</v>
      </c>
      <c r="O641" t="s">
        <v>1328</v>
      </c>
      <c r="P641" t="s">
        <v>1329</v>
      </c>
      <c r="Q641" t="s">
        <v>450</v>
      </c>
      <c r="R641">
        <v>2069100</v>
      </c>
      <c r="S641" t="s">
        <v>387</v>
      </c>
      <c r="U641" t="s">
        <v>1333</v>
      </c>
      <c r="V641" t="s">
        <v>398</v>
      </c>
      <c r="W641" s="393">
        <v>5102.29</v>
      </c>
      <c r="X641" s="393">
        <v>1.34</v>
      </c>
      <c r="Y641" s="393">
        <v>11.55</v>
      </c>
      <c r="Z641" s="393">
        <v>5102.29</v>
      </c>
      <c r="AA641">
        <v>0</v>
      </c>
      <c r="AB641" s="400">
        <v>44410.796117013888</v>
      </c>
      <c r="AC641" t="s">
        <v>324</v>
      </c>
    </row>
    <row r="642" spans="1:29">
      <c r="A642" t="s">
        <v>382</v>
      </c>
      <c r="B642" t="s">
        <v>440</v>
      </c>
      <c r="C642" t="s">
        <v>1326</v>
      </c>
      <c r="D642" t="s">
        <v>1336</v>
      </c>
      <c r="E642" t="s">
        <v>390</v>
      </c>
      <c r="F642" t="s">
        <v>391</v>
      </c>
      <c r="G642">
        <v>6101764</v>
      </c>
      <c r="H642">
        <v>202108</v>
      </c>
      <c r="I642" s="400">
        <v>44432</v>
      </c>
      <c r="J642">
        <v>125062</v>
      </c>
      <c r="K642" t="s">
        <v>386</v>
      </c>
      <c r="M642" t="s">
        <v>387</v>
      </c>
      <c r="O642" t="s">
        <v>1328</v>
      </c>
      <c r="P642" t="s">
        <v>1329</v>
      </c>
      <c r="Q642" t="s">
        <v>450</v>
      </c>
      <c r="R642">
        <v>2069100</v>
      </c>
      <c r="S642" t="s">
        <v>387</v>
      </c>
      <c r="U642" t="s">
        <v>1334</v>
      </c>
      <c r="V642" t="s">
        <v>398</v>
      </c>
      <c r="W642" s="393">
        <v>2430</v>
      </c>
      <c r="X642" s="393">
        <v>0.63</v>
      </c>
      <c r="Y642" s="393">
        <v>5.46</v>
      </c>
      <c r="Z642" s="393">
        <v>2430</v>
      </c>
      <c r="AA642">
        <v>0</v>
      </c>
      <c r="AB642" s="400">
        <v>44445.77093564815</v>
      </c>
      <c r="AC642" t="s">
        <v>324</v>
      </c>
    </row>
    <row r="643" spans="1:29">
      <c r="A643" t="s">
        <v>382</v>
      </c>
      <c r="B643" t="s">
        <v>440</v>
      </c>
      <c r="C643" t="s">
        <v>1326</v>
      </c>
      <c r="D643" t="s">
        <v>1336</v>
      </c>
      <c r="E643" t="s">
        <v>390</v>
      </c>
      <c r="F643" t="s">
        <v>391</v>
      </c>
      <c r="G643">
        <v>6102059</v>
      </c>
      <c r="H643">
        <v>202109</v>
      </c>
      <c r="I643" s="400">
        <v>44461</v>
      </c>
      <c r="J643">
        <v>125062</v>
      </c>
      <c r="K643" t="s">
        <v>386</v>
      </c>
      <c r="M643" t="s">
        <v>387</v>
      </c>
      <c r="O643" t="s">
        <v>1328</v>
      </c>
      <c r="P643" t="s">
        <v>1329</v>
      </c>
      <c r="Q643" t="s">
        <v>450</v>
      </c>
      <c r="R643">
        <v>2069100</v>
      </c>
      <c r="S643" t="s">
        <v>387</v>
      </c>
      <c r="U643" t="s">
        <v>1335</v>
      </c>
      <c r="V643" t="s">
        <v>398</v>
      </c>
      <c r="W643" s="393">
        <v>2375</v>
      </c>
      <c r="X643" s="393">
        <v>0.62</v>
      </c>
      <c r="Y643" s="393">
        <v>5.4</v>
      </c>
      <c r="Z643" s="393">
        <v>2375</v>
      </c>
      <c r="AA643">
        <v>0</v>
      </c>
      <c r="AB643" s="400">
        <v>44469.971077430557</v>
      </c>
      <c r="AC643" t="s">
        <v>324</v>
      </c>
    </row>
    <row r="644" spans="1:29">
      <c r="A644" t="s">
        <v>382</v>
      </c>
      <c r="B644" t="s">
        <v>440</v>
      </c>
      <c r="C644" t="s">
        <v>1326</v>
      </c>
      <c r="D644" t="s">
        <v>1337</v>
      </c>
      <c r="E644" t="s">
        <v>390</v>
      </c>
      <c r="F644" t="s">
        <v>391</v>
      </c>
      <c r="G644">
        <v>6100769</v>
      </c>
      <c r="H644">
        <v>202104</v>
      </c>
      <c r="I644" s="400">
        <v>44309</v>
      </c>
      <c r="J644">
        <v>122536</v>
      </c>
      <c r="K644" t="s">
        <v>386</v>
      </c>
      <c r="M644" t="s">
        <v>387</v>
      </c>
      <c r="O644" t="s">
        <v>1328</v>
      </c>
      <c r="P644" t="s">
        <v>1329</v>
      </c>
      <c r="Q644" t="s">
        <v>450</v>
      </c>
      <c r="R644">
        <v>2069100</v>
      </c>
      <c r="S644" t="s">
        <v>387</v>
      </c>
      <c r="U644" t="s">
        <v>1330</v>
      </c>
      <c r="V644" t="s">
        <v>398</v>
      </c>
      <c r="W644" s="393">
        <v>193847.74</v>
      </c>
      <c r="X644" s="393">
        <v>53.31</v>
      </c>
      <c r="Y644" s="393">
        <v>441.59</v>
      </c>
      <c r="Z644" s="393">
        <v>193847.74</v>
      </c>
      <c r="AA644">
        <v>231</v>
      </c>
      <c r="AB644" s="400">
        <v>44320.775782407407</v>
      </c>
      <c r="AC644" t="s">
        <v>324</v>
      </c>
    </row>
    <row r="645" spans="1:29">
      <c r="A645" t="s">
        <v>382</v>
      </c>
      <c r="B645" t="s">
        <v>440</v>
      </c>
      <c r="C645" t="s">
        <v>1326</v>
      </c>
      <c r="D645" t="s">
        <v>1337</v>
      </c>
      <c r="E645" t="s">
        <v>390</v>
      </c>
      <c r="F645" t="s">
        <v>391</v>
      </c>
      <c r="G645">
        <v>6100904</v>
      </c>
      <c r="H645">
        <v>202105</v>
      </c>
      <c r="I645" s="400">
        <v>44337</v>
      </c>
      <c r="J645">
        <v>122536</v>
      </c>
      <c r="K645" t="s">
        <v>386</v>
      </c>
      <c r="M645" t="s">
        <v>387</v>
      </c>
      <c r="O645" t="s">
        <v>1328</v>
      </c>
      <c r="P645" t="s">
        <v>1329</v>
      </c>
      <c r="Q645" t="s">
        <v>450</v>
      </c>
      <c r="R645">
        <v>2069100</v>
      </c>
      <c r="S645" t="s">
        <v>387</v>
      </c>
      <c r="U645" t="s">
        <v>1331</v>
      </c>
      <c r="V645" t="s">
        <v>398</v>
      </c>
      <c r="W645" s="393">
        <v>206579</v>
      </c>
      <c r="X645" s="393">
        <v>56.19</v>
      </c>
      <c r="Y645" s="393">
        <v>461.08</v>
      </c>
      <c r="Z645" s="393">
        <v>206579</v>
      </c>
      <c r="AA645">
        <v>231</v>
      </c>
      <c r="AB645" s="400">
        <v>44345.975795833336</v>
      </c>
      <c r="AC645" t="s">
        <v>324</v>
      </c>
    </row>
    <row r="646" spans="1:29">
      <c r="A646" t="s">
        <v>382</v>
      </c>
      <c r="B646" t="s">
        <v>440</v>
      </c>
      <c r="C646" t="s">
        <v>1326</v>
      </c>
      <c r="D646" t="s">
        <v>1337</v>
      </c>
      <c r="E646" t="s">
        <v>390</v>
      </c>
      <c r="F646" t="s">
        <v>391</v>
      </c>
      <c r="G646">
        <v>6101081</v>
      </c>
      <c r="H646">
        <v>202106</v>
      </c>
      <c r="I646" s="400">
        <v>44370</v>
      </c>
      <c r="J646">
        <v>125062</v>
      </c>
      <c r="K646" t="s">
        <v>386</v>
      </c>
      <c r="M646" t="s">
        <v>387</v>
      </c>
      <c r="O646" t="s">
        <v>1328</v>
      </c>
      <c r="P646" t="s">
        <v>1329</v>
      </c>
      <c r="Q646" t="s">
        <v>450</v>
      </c>
      <c r="R646">
        <v>2069100</v>
      </c>
      <c r="S646" t="s">
        <v>387</v>
      </c>
      <c r="U646" t="s">
        <v>1332</v>
      </c>
      <c r="V646" t="s">
        <v>398</v>
      </c>
      <c r="W646" s="393">
        <v>290590</v>
      </c>
      <c r="X646" s="393">
        <v>81.069999999999993</v>
      </c>
      <c r="Y646" s="393">
        <v>686.66</v>
      </c>
      <c r="Z646" s="393">
        <v>290590</v>
      </c>
      <c r="AA646">
        <v>231</v>
      </c>
      <c r="AB646" s="400">
        <v>44379.957195601855</v>
      </c>
      <c r="AC646" t="s">
        <v>324</v>
      </c>
    </row>
    <row r="647" spans="1:29">
      <c r="A647" t="s">
        <v>382</v>
      </c>
      <c r="B647" t="s">
        <v>440</v>
      </c>
      <c r="C647" t="s">
        <v>1326</v>
      </c>
      <c r="D647" t="s">
        <v>1337</v>
      </c>
      <c r="E647" t="s">
        <v>390</v>
      </c>
      <c r="F647" t="s">
        <v>391</v>
      </c>
      <c r="G647">
        <v>6101337</v>
      </c>
      <c r="H647">
        <v>202107</v>
      </c>
      <c r="I647" s="400">
        <v>44400</v>
      </c>
      <c r="J647">
        <v>125062</v>
      </c>
      <c r="K647" t="s">
        <v>386</v>
      </c>
      <c r="M647" t="s">
        <v>387</v>
      </c>
      <c r="O647" t="s">
        <v>1328</v>
      </c>
      <c r="P647" t="s">
        <v>1329</v>
      </c>
      <c r="Q647" t="s">
        <v>450</v>
      </c>
      <c r="R647">
        <v>2069100</v>
      </c>
      <c r="S647" t="s">
        <v>387</v>
      </c>
      <c r="U647" t="s">
        <v>1333</v>
      </c>
      <c r="V647" t="s">
        <v>398</v>
      </c>
      <c r="W647" s="393">
        <v>607421.24</v>
      </c>
      <c r="X647" s="393">
        <v>159.75</v>
      </c>
      <c r="Y647" s="393">
        <v>1375.2</v>
      </c>
      <c r="Z647" s="393">
        <v>607421.24</v>
      </c>
      <c r="AA647">
        <v>231</v>
      </c>
      <c r="AB647" s="400">
        <v>44410.79611628472</v>
      </c>
      <c r="AC647" t="s">
        <v>324</v>
      </c>
    </row>
    <row r="648" spans="1:29">
      <c r="A648" t="s">
        <v>382</v>
      </c>
      <c r="B648" t="s">
        <v>440</v>
      </c>
      <c r="C648" t="s">
        <v>1326</v>
      </c>
      <c r="D648" t="s">
        <v>1337</v>
      </c>
      <c r="E648" t="s">
        <v>390</v>
      </c>
      <c r="F648" t="s">
        <v>391</v>
      </c>
      <c r="G648">
        <v>6101764</v>
      </c>
      <c r="H648">
        <v>202108</v>
      </c>
      <c r="I648" s="400">
        <v>44432</v>
      </c>
      <c r="J648">
        <v>125062</v>
      </c>
      <c r="K648" t="s">
        <v>386</v>
      </c>
      <c r="M648" t="s">
        <v>387</v>
      </c>
      <c r="O648" t="s">
        <v>1328</v>
      </c>
      <c r="P648" t="s">
        <v>1329</v>
      </c>
      <c r="Q648" t="s">
        <v>450</v>
      </c>
      <c r="R648">
        <v>2069100</v>
      </c>
      <c r="S648" t="s">
        <v>387</v>
      </c>
      <c r="U648" t="s">
        <v>1334</v>
      </c>
      <c r="V648" t="s">
        <v>398</v>
      </c>
      <c r="W648" s="393">
        <v>289329</v>
      </c>
      <c r="X648" s="393">
        <v>74.930000000000007</v>
      </c>
      <c r="Y648" s="393">
        <v>649.86</v>
      </c>
      <c r="Z648" s="393">
        <v>289329</v>
      </c>
      <c r="AA648">
        <v>231</v>
      </c>
      <c r="AB648" s="400">
        <v>44445.77093402778</v>
      </c>
      <c r="AC648" t="s">
        <v>324</v>
      </c>
    </row>
    <row r="649" spans="1:29">
      <c r="A649" t="s">
        <v>382</v>
      </c>
      <c r="B649" t="s">
        <v>440</v>
      </c>
      <c r="C649" t="s">
        <v>1326</v>
      </c>
      <c r="D649" t="s">
        <v>1337</v>
      </c>
      <c r="E649" t="s">
        <v>390</v>
      </c>
      <c r="F649" t="s">
        <v>391</v>
      </c>
      <c r="G649">
        <v>6102059</v>
      </c>
      <c r="H649">
        <v>202109</v>
      </c>
      <c r="I649" s="400">
        <v>44461</v>
      </c>
      <c r="J649">
        <v>125062</v>
      </c>
      <c r="K649" t="s">
        <v>386</v>
      </c>
      <c r="M649" t="s">
        <v>387</v>
      </c>
      <c r="O649" t="s">
        <v>1328</v>
      </c>
      <c r="P649" t="s">
        <v>1329</v>
      </c>
      <c r="Q649" t="s">
        <v>450</v>
      </c>
      <c r="R649">
        <v>2069100</v>
      </c>
      <c r="S649" t="s">
        <v>387</v>
      </c>
      <c r="U649" t="s">
        <v>1335</v>
      </c>
      <c r="V649" t="s">
        <v>398</v>
      </c>
      <c r="W649" s="393">
        <v>282746</v>
      </c>
      <c r="X649" s="393">
        <v>73.91</v>
      </c>
      <c r="Y649" s="393">
        <v>642.66</v>
      </c>
      <c r="Z649" s="393">
        <v>282746</v>
      </c>
      <c r="AA649">
        <v>231</v>
      </c>
      <c r="AB649" s="400">
        <v>44469.971076701389</v>
      </c>
      <c r="AC649" t="s">
        <v>324</v>
      </c>
    </row>
    <row r="650" spans="1:29">
      <c r="A650" t="s">
        <v>381</v>
      </c>
      <c r="B650" t="s">
        <v>382</v>
      </c>
      <c r="C650" t="s">
        <v>1338</v>
      </c>
      <c r="D650" t="s">
        <v>1338</v>
      </c>
      <c r="E650" t="s">
        <v>383</v>
      </c>
      <c r="F650" t="s">
        <v>384</v>
      </c>
      <c r="G650">
        <v>11013147</v>
      </c>
      <c r="H650">
        <v>202106</v>
      </c>
      <c r="I650" s="400">
        <v>44377</v>
      </c>
      <c r="J650" t="s">
        <v>1339</v>
      </c>
      <c r="K650" t="s">
        <v>386</v>
      </c>
      <c r="M650" t="s">
        <v>387</v>
      </c>
      <c r="O650" t="s">
        <v>387</v>
      </c>
      <c r="P650" t="s">
        <v>387</v>
      </c>
      <c r="Q650" t="s">
        <v>450</v>
      </c>
      <c r="R650">
        <v>2069098</v>
      </c>
      <c r="S650" t="s">
        <v>1340</v>
      </c>
      <c r="U650" t="s">
        <v>1341</v>
      </c>
      <c r="V650" t="s">
        <v>376</v>
      </c>
      <c r="W650" s="393">
        <v>541.49</v>
      </c>
      <c r="X650" s="393">
        <v>66.010000000000005</v>
      </c>
      <c r="Y650" s="393">
        <v>541.49</v>
      </c>
      <c r="Z650" s="393">
        <v>53.55</v>
      </c>
      <c r="AA650">
        <v>0</v>
      </c>
      <c r="AB650" s="400">
        <v>44392.325876655093</v>
      </c>
      <c r="AC650" t="s">
        <v>324</v>
      </c>
    </row>
    <row r="651" spans="1:29">
      <c r="A651" t="s">
        <v>381</v>
      </c>
      <c r="B651" t="s">
        <v>382</v>
      </c>
      <c r="C651" t="s">
        <v>1338</v>
      </c>
      <c r="D651" t="s">
        <v>1338</v>
      </c>
      <c r="E651" t="s">
        <v>383</v>
      </c>
      <c r="F651" t="s">
        <v>384</v>
      </c>
      <c r="G651">
        <v>11013147</v>
      </c>
      <c r="H651">
        <v>202106</v>
      </c>
      <c r="I651" s="400">
        <v>44377</v>
      </c>
      <c r="J651" t="s">
        <v>1339</v>
      </c>
      <c r="K651" t="s">
        <v>386</v>
      </c>
      <c r="M651" t="s">
        <v>387</v>
      </c>
      <c r="O651" t="s">
        <v>387</v>
      </c>
      <c r="P651" t="s">
        <v>387</v>
      </c>
      <c r="Q651" t="s">
        <v>450</v>
      </c>
      <c r="R651">
        <v>2069098</v>
      </c>
      <c r="S651" t="s">
        <v>1340</v>
      </c>
      <c r="U651" t="s">
        <v>1342</v>
      </c>
      <c r="V651" t="s">
        <v>376</v>
      </c>
      <c r="W651" s="393">
        <v>541.49</v>
      </c>
      <c r="X651" s="393">
        <v>66.010000000000005</v>
      </c>
      <c r="Y651" s="393">
        <v>541.49</v>
      </c>
      <c r="Z651" s="393">
        <v>53.55</v>
      </c>
      <c r="AA651">
        <v>0</v>
      </c>
      <c r="AB651" s="400">
        <v>44392.325876655093</v>
      </c>
      <c r="AC651" t="s">
        <v>324</v>
      </c>
    </row>
    <row r="652" spans="1:29">
      <c r="A652" t="s">
        <v>381</v>
      </c>
      <c r="B652" t="s">
        <v>382</v>
      </c>
      <c r="C652" t="s">
        <v>1338</v>
      </c>
      <c r="D652" t="s">
        <v>1338</v>
      </c>
      <c r="E652" t="s">
        <v>383</v>
      </c>
      <c r="F652" t="s">
        <v>384</v>
      </c>
      <c r="G652">
        <v>11014108</v>
      </c>
      <c r="H652">
        <v>202107</v>
      </c>
      <c r="I652" s="400">
        <v>44408</v>
      </c>
      <c r="J652" t="s">
        <v>1339</v>
      </c>
      <c r="K652" t="s">
        <v>386</v>
      </c>
      <c r="M652" t="s">
        <v>387</v>
      </c>
      <c r="O652" t="s">
        <v>387</v>
      </c>
      <c r="P652" t="s">
        <v>387</v>
      </c>
      <c r="Q652" t="s">
        <v>450</v>
      </c>
      <c r="R652">
        <v>2069098</v>
      </c>
      <c r="S652" t="s">
        <v>1340</v>
      </c>
      <c r="U652" t="s">
        <v>1343</v>
      </c>
      <c r="V652" t="s">
        <v>376</v>
      </c>
      <c r="W652" s="393">
        <v>566.85</v>
      </c>
      <c r="X652" s="393">
        <v>66.180000000000007</v>
      </c>
      <c r="Y652" s="393">
        <v>566.85</v>
      </c>
      <c r="Z652" s="393">
        <v>54.43</v>
      </c>
      <c r="AA652">
        <v>0</v>
      </c>
      <c r="AB652" s="400">
        <v>44426.083351423615</v>
      </c>
      <c r="AC652" t="s">
        <v>324</v>
      </c>
    </row>
    <row r="653" spans="1:29">
      <c r="A653" t="s">
        <v>381</v>
      </c>
      <c r="B653" t="s">
        <v>382</v>
      </c>
      <c r="C653" t="s">
        <v>1338</v>
      </c>
      <c r="D653" t="s">
        <v>1338</v>
      </c>
      <c r="E653" t="s">
        <v>383</v>
      </c>
      <c r="F653" t="s">
        <v>384</v>
      </c>
      <c r="G653">
        <v>11014108</v>
      </c>
      <c r="H653">
        <v>202107</v>
      </c>
      <c r="I653" s="400">
        <v>44408</v>
      </c>
      <c r="J653" t="s">
        <v>1339</v>
      </c>
      <c r="K653" t="s">
        <v>386</v>
      </c>
      <c r="M653" t="s">
        <v>387</v>
      </c>
      <c r="O653" t="s">
        <v>387</v>
      </c>
      <c r="P653" t="s">
        <v>387</v>
      </c>
      <c r="Q653" t="s">
        <v>450</v>
      </c>
      <c r="R653">
        <v>2069098</v>
      </c>
      <c r="S653" t="s">
        <v>1340</v>
      </c>
      <c r="U653" t="s">
        <v>1344</v>
      </c>
      <c r="V653" t="s">
        <v>376</v>
      </c>
      <c r="W653" s="393">
        <v>566.85</v>
      </c>
      <c r="X653" s="393">
        <v>66.180000000000007</v>
      </c>
      <c r="Y653" s="393">
        <v>566.85</v>
      </c>
      <c r="Z653" s="393">
        <v>54.43</v>
      </c>
      <c r="AA653">
        <v>0</v>
      </c>
      <c r="AB653" s="400">
        <v>44426.083351423615</v>
      </c>
      <c r="AC653" t="s">
        <v>324</v>
      </c>
    </row>
    <row r="654" spans="1:29">
      <c r="A654" t="s">
        <v>381</v>
      </c>
      <c r="B654" t="s">
        <v>382</v>
      </c>
      <c r="C654" t="s">
        <v>1338</v>
      </c>
      <c r="D654" t="s">
        <v>1338</v>
      </c>
      <c r="E654" t="s">
        <v>383</v>
      </c>
      <c r="F654" t="s">
        <v>384</v>
      </c>
      <c r="G654">
        <v>11015267</v>
      </c>
      <c r="H654">
        <v>202108</v>
      </c>
      <c r="I654" s="400">
        <v>44439</v>
      </c>
      <c r="J654" t="s">
        <v>1339</v>
      </c>
      <c r="K654" t="s">
        <v>386</v>
      </c>
      <c r="M654" t="s">
        <v>387</v>
      </c>
      <c r="O654" t="s">
        <v>387</v>
      </c>
      <c r="P654" t="s">
        <v>387</v>
      </c>
      <c r="Q654" t="s">
        <v>450</v>
      </c>
      <c r="R654">
        <v>2069098</v>
      </c>
      <c r="S654" t="s">
        <v>1345</v>
      </c>
      <c r="U654" t="s">
        <v>1346</v>
      </c>
      <c r="V654" t="s">
        <v>376</v>
      </c>
      <c r="W654" s="393">
        <v>579.84</v>
      </c>
      <c r="X654" s="393">
        <v>67.12</v>
      </c>
      <c r="Y654" s="393">
        <v>579.84</v>
      </c>
      <c r="Z654" s="393">
        <v>55.54</v>
      </c>
      <c r="AA654">
        <v>0</v>
      </c>
      <c r="AB654" s="400">
        <v>44455.710467627316</v>
      </c>
      <c r="AC654" t="s">
        <v>324</v>
      </c>
    </row>
    <row r="655" spans="1:29">
      <c r="A655" t="s">
        <v>381</v>
      </c>
      <c r="B655" t="s">
        <v>382</v>
      </c>
      <c r="C655" t="s">
        <v>1338</v>
      </c>
      <c r="D655" t="s">
        <v>1338</v>
      </c>
      <c r="E655" t="s">
        <v>383</v>
      </c>
      <c r="F655" t="s">
        <v>384</v>
      </c>
      <c r="G655">
        <v>11015267</v>
      </c>
      <c r="H655">
        <v>202108</v>
      </c>
      <c r="I655" s="400">
        <v>44439</v>
      </c>
      <c r="J655" t="s">
        <v>1339</v>
      </c>
      <c r="K655" t="s">
        <v>386</v>
      </c>
      <c r="M655" t="s">
        <v>387</v>
      </c>
      <c r="O655" t="s">
        <v>387</v>
      </c>
      <c r="P655" t="s">
        <v>387</v>
      </c>
      <c r="Q655" t="s">
        <v>450</v>
      </c>
      <c r="R655">
        <v>2069098</v>
      </c>
      <c r="S655" t="s">
        <v>1345</v>
      </c>
      <c r="U655" t="s">
        <v>1347</v>
      </c>
      <c r="V655" t="s">
        <v>376</v>
      </c>
      <c r="W655" s="393">
        <v>579.84</v>
      </c>
      <c r="X655" s="393">
        <v>67.12</v>
      </c>
      <c r="Y655" s="393">
        <v>579.84</v>
      </c>
      <c r="Z655" s="393">
        <v>55.54</v>
      </c>
      <c r="AA655">
        <v>0</v>
      </c>
      <c r="AB655" s="400">
        <v>44455.710467627316</v>
      </c>
      <c r="AC655" t="s">
        <v>324</v>
      </c>
    </row>
    <row r="656" spans="1:29">
      <c r="A656" t="s">
        <v>382</v>
      </c>
      <c r="B656" t="s">
        <v>440</v>
      </c>
      <c r="C656" t="s">
        <v>1348</v>
      </c>
      <c r="D656" t="s">
        <v>1349</v>
      </c>
      <c r="E656" t="s">
        <v>390</v>
      </c>
      <c r="F656" t="s">
        <v>391</v>
      </c>
      <c r="G656">
        <v>6101597</v>
      </c>
      <c r="H656">
        <v>202108</v>
      </c>
      <c r="I656" s="400">
        <v>44426</v>
      </c>
      <c r="J656">
        <v>124932</v>
      </c>
      <c r="K656" t="s">
        <v>386</v>
      </c>
      <c r="M656" t="s">
        <v>387</v>
      </c>
      <c r="O656" t="s">
        <v>587</v>
      </c>
      <c r="P656" t="s">
        <v>588</v>
      </c>
      <c r="Q656" t="s">
        <v>450</v>
      </c>
      <c r="R656">
        <v>2069092</v>
      </c>
      <c r="S656" t="s">
        <v>387</v>
      </c>
      <c r="U656" t="s">
        <v>1350</v>
      </c>
      <c r="V656" t="s">
        <v>398</v>
      </c>
      <c r="W656" s="393">
        <v>52000</v>
      </c>
      <c r="X656" s="393">
        <v>13.29</v>
      </c>
      <c r="Y656" s="393">
        <v>114.85</v>
      </c>
      <c r="Z656" s="393">
        <v>52000</v>
      </c>
      <c r="AA656">
        <v>0</v>
      </c>
      <c r="AB656" s="400">
        <v>44431.655247418981</v>
      </c>
      <c r="AC656" t="s">
        <v>324</v>
      </c>
    </row>
    <row r="657" spans="1:29">
      <c r="A657" t="s">
        <v>382</v>
      </c>
      <c r="B657" t="s">
        <v>440</v>
      </c>
      <c r="C657" t="s">
        <v>1348</v>
      </c>
      <c r="D657" t="s">
        <v>1349</v>
      </c>
      <c r="E657" t="s">
        <v>390</v>
      </c>
      <c r="F657" t="s">
        <v>391</v>
      </c>
      <c r="G657">
        <v>6101597</v>
      </c>
      <c r="H657">
        <v>202108</v>
      </c>
      <c r="I657" s="400">
        <v>44426</v>
      </c>
      <c r="J657">
        <v>124932</v>
      </c>
      <c r="K657" t="s">
        <v>386</v>
      </c>
      <c r="M657" t="s">
        <v>387</v>
      </c>
      <c r="O657" t="s">
        <v>587</v>
      </c>
      <c r="P657" t="s">
        <v>588</v>
      </c>
      <c r="Q657" t="s">
        <v>450</v>
      </c>
      <c r="R657">
        <v>2069092</v>
      </c>
      <c r="S657" t="s">
        <v>387</v>
      </c>
      <c r="U657" t="s">
        <v>1351</v>
      </c>
      <c r="V657" t="s">
        <v>398</v>
      </c>
      <c r="W657" s="393">
        <v>18800</v>
      </c>
      <c r="X657" s="393">
        <v>4.8099999999999996</v>
      </c>
      <c r="Y657" s="393">
        <v>41.52</v>
      </c>
      <c r="Z657" s="393">
        <v>18800</v>
      </c>
      <c r="AA657">
        <v>0</v>
      </c>
      <c r="AB657" s="400">
        <v>44431.655247604169</v>
      </c>
      <c r="AC657" t="s">
        <v>324</v>
      </c>
    </row>
    <row r="658" spans="1:29">
      <c r="A658" t="s">
        <v>382</v>
      </c>
      <c r="B658" t="s">
        <v>440</v>
      </c>
      <c r="C658" t="s">
        <v>1348</v>
      </c>
      <c r="D658" t="s">
        <v>1349</v>
      </c>
      <c r="E658" t="s">
        <v>390</v>
      </c>
      <c r="F658" t="s">
        <v>391</v>
      </c>
      <c r="G658">
        <v>6101597</v>
      </c>
      <c r="H658">
        <v>202108</v>
      </c>
      <c r="I658" s="400">
        <v>44426</v>
      </c>
      <c r="J658">
        <v>124932</v>
      </c>
      <c r="K658" t="s">
        <v>386</v>
      </c>
      <c r="M658" t="s">
        <v>387</v>
      </c>
      <c r="O658" t="s">
        <v>587</v>
      </c>
      <c r="P658" t="s">
        <v>588</v>
      </c>
      <c r="Q658" t="s">
        <v>450</v>
      </c>
      <c r="R658">
        <v>2069092</v>
      </c>
      <c r="S658" t="s">
        <v>387</v>
      </c>
      <c r="U658" t="s">
        <v>1352</v>
      </c>
      <c r="V658" t="s">
        <v>398</v>
      </c>
      <c r="W658" s="393">
        <v>24000</v>
      </c>
      <c r="X658" s="393">
        <v>6.14</v>
      </c>
      <c r="Y658" s="393">
        <v>53.01</v>
      </c>
      <c r="Z658" s="393">
        <v>24000</v>
      </c>
      <c r="AA658">
        <v>0</v>
      </c>
      <c r="AB658" s="400">
        <v>44431.655247604169</v>
      </c>
      <c r="AC658" t="s">
        <v>324</v>
      </c>
    </row>
    <row r="659" spans="1:29">
      <c r="A659" t="s">
        <v>382</v>
      </c>
      <c r="B659" t="s">
        <v>440</v>
      </c>
      <c r="C659" t="s">
        <v>1348</v>
      </c>
      <c r="D659" t="s">
        <v>1349</v>
      </c>
      <c r="E659" t="s">
        <v>390</v>
      </c>
      <c r="F659" t="s">
        <v>391</v>
      </c>
      <c r="G659">
        <v>6101597</v>
      </c>
      <c r="H659">
        <v>202108</v>
      </c>
      <c r="I659" s="400">
        <v>44426</v>
      </c>
      <c r="J659">
        <v>124932</v>
      </c>
      <c r="K659" t="s">
        <v>386</v>
      </c>
      <c r="M659" t="s">
        <v>387</v>
      </c>
      <c r="O659" t="s">
        <v>587</v>
      </c>
      <c r="P659" t="s">
        <v>588</v>
      </c>
      <c r="Q659" t="s">
        <v>450</v>
      </c>
      <c r="R659">
        <v>2069092</v>
      </c>
      <c r="S659" t="s">
        <v>387</v>
      </c>
      <c r="U659" t="s">
        <v>1353</v>
      </c>
      <c r="V659" t="s">
        <v>398</v>
      </c>
      <c r="W659" s="393">
        <v>38000</v>
      </c>
      <c r="X659" s="393">
        <v>9.7200000000000006</v>
      </c>
      <c r="Y659" s="393">
        <v>83.93</v>
      </c>
      <c r="Z659" s="393">
        <v>38000</v>
      </c>
      <c r="AA659">
        <v>0</v>
      </c>
      <c r="AB659" s="400">
        <v>44431.655247604169</v>
      </c>
      <c r="AC659" t="s">
        <v>324</v>
      </c>
    </row>
    <row r="660" spans="1:29">
      <c r="A660" t="s">
        <v>382</v>
      </c>
      <c r="B660" t="s">
        <v>440</v>
      </c>
      <c r="C660" t="s">
        <v>1348</v>
      </c>
      <c r="D660" t="s">
        <v>1349</v>
      </c>
      <c r="E660" t="s">
        <v>390</v>
      </c>
      <c r="F660" t="s">
        <v>391</v>
      </c>
      <c r="G660">
        <v>6101691</v>
      </c>
      <c r="H660">
        <v>202108</v>
      </c>
      <c r="I660" s="400">
        <v>44435</v>
      </c>
      <c r="J660">
        <v>124932</v>
      </c>
      <c r="K660" t="s">
        <v>386</v>
      </c>
      <c r="M660" t="s">
        <v>387</v>
      </c>
      <c r="O660" t="s">
        <v>587</v>
      </c>
      <c r="P660" t="s">
        <v>588</v>
      </c>
      <c r="Q660" t="s">
        <v>450</v>
      </c>
      <c r="R660">
        <v>2069092</v>
      </c>
      <c r="S660" t="s">
        <v>387</v>
      </c>
      <c r="U660" t="s">
        <v>1354</v>
      </c>
      <c r="V660" t="s">
        <v>398</v>
      </c>
      <c r="W660" s="393">
        <v>554000</v>
      </c>
      <c r="X660" s="393">
        <v>143.34</v>
      </c>
      <c r="Y660" s="393">
        <v>1248.23</v>
      </c>
      <c r="Z660" s="393">
        <v>554000</v>
      </c>
      <c r="AA660">
        <v>0</v>
      </c>
      <c r="AB660" s="400">
        <v>44442.156624537034</v>
      </c>
      <c r="AC660" t="s">
        <v>324</v>
      </c>
    </row>
    <row r="661" spans="1:29">
      <c r="A661" t="s">
        <v>382</v>
      </c>
      <c r="B661" t="s">
        <v>382</v>
      </c>
      <c r="C661" t="s">
        <v>1355</v>
      </c>
      <c r="D661" t="s">
        <v>1356</v>
      </c>
      <c r="E661" t="s">
        <v>427</v>
      </c>
      <c r="F661" t="s">
        <v>428</v>
      </c>
      <c r="G661">
        <v>1100764</v>
      </c>
      <c r="H661">
        <v>202106</v>
      </c>
      <c r="I661" s="400">
        <v>44358</v>
      </c>
      <c r="J661">
        <v>10387</v>
      </c>
      <c r="K661" t="s">
        <v>386</v>
      </c>
      <c r="L661" t="s">
        <v>1357</v>
      </c>
      <c r="M661" t="s">
        <v>1358</v>
      </c>
      <c r="O661" t="s">
        <v>1359</v>
      </c>
      <c r="P661" t="s">
        <v>1360</v>
      </c>
      <c r="Q661" t="s">
        <v>450</v>
      </c>
      <c r="R661">
        <v>2069086</v>
      </c>
      <c r="S661" t="s">
        <v>387</v>
      </c>
      <c r="U661" t="s">
        <v>1361</v>
      </c>
      <c r="V661" t="s">
        <v>398</v>
      </c>
      <c r="W661" s="393">
        <v>701000</v>
      </c>
      <c r="X661" s="393">
        <v>195.58</v>
      </c>
      <c r="Y661" s="393">
        <v>1604.59</v>
      </c>
      <c r="Z661" s="393">
        <v>701000</v>
      </c>
      <c r="AA661">
        <v>0</v>
      </c>
      <c r="AB661" s="400">
        <v>44369.878481562497</v>
      </c>
      <c r="AC661" t="s">
        <v>324</v>
      </c>
    </row>
    <row r="662" spans="1:29">
      <c r="A662" t="s">
        <v>382</v>
      </c>
      <c r="B662" t="s">
        <v>440</v>
      </c>
      <c r="C662" t="s">
        <v>1362</v>
      </c>
      <c r="D662" t="s">
        <v>1363</v>
      </c>
      <c r="E662" t="s">
        <v>390</v>
      </c>
      <c r="F662" t="s">
        <v>391</v>
      </c>
      <c r="G662">
        <v>6100594</v>
      </c>
      <c r="H662">
        <v>202104</v>
      </c>
      <c r="I662" s="400">
        <v>44298</v>
      </c>
      <c r="J662" t="s">
        <v>452</v>
      </c>
      <c r="K662" t="s">
        <v>386</v>
      </c>
      <c r="L662">
        <v>119010</v>
      </c>
      <c r="M662" t="s">
        <v>1158</v>
      </c>
      <c r="O662" t="s">
        <v>1364</v>
      </c>
      <c r="P662" t="s">
        <v>1365</v>
      </c>
      <c r="Q662" t="s">
        <v>450</v>
      </c>
      <c r="R662">
        <v>2069084</v>
      </c>
      <c r="S662" t="s">
        <v>387</v>
      </c>
      <c r="U662" t="s">
        <v>1366</v>
      </c>
      <c r="V662" t="s">
        <v>398</v>
      </c>
      <c r="W662" s="393">
        <v>179143</v>
      </c>
      <c r="X662" s="393">
        <v>49.26</v>
      </c>
      <c r="Y662" s="393">
        <v>421.52</v>
      </c>
      <c r="Z662" s="393">
        <v>179143</v>
      </c>
      <c r="AA662">
        <v>0</v>
      </c>
      <c r="AB662" s="400">
        <v>44304.264941400463</v>
      </c>
      <c r="AC662" t="s">
        <v>324</v>
      </c>
    </row>
    <row r="663" spans="1:29">
      <c r="A663" t="s">
        <v>382</v>
      </c>
      <c r="B663" t="s">
        <v>440</v>
      </c>
      <c r="C663" t="s">
        <v>1362</v>
      </c>
      <c r="D663" t="s">
        <v>1363</v>
      </c>
      <c r="E663" t="s">
        <v>390</v>
      </c>
      <c r="F663" t="s">
        <v>391</v>
      </c>
      <c r="G663">
        <v>6100620</v>
      </c>
      <c r="H663">
        <v>202104</v>
      </c>
      <c r="I663" s="400">
        <v>44292</v>
      </c>
      <c r="J663">
        <v>122536</v>
      </c>
      <c r="K663" t="s">
        <v>386</v>
      </c>
      <c r="L663" t="s">
        <v>1234</v>
      </c>
      <c r="M663" t="s">
        <v>1235</v>
      </c>
      <c r="O663" t="s">
        <v>1367</v>
      </c>
      <c r="P663" t="s">
        <v>1368</v>
      </c>
      <c r="Q663" t="s">
        <v>450</v>
      </c>
      <c r="R663">
        <v>2069084</v>
      </c>
      <c r="S663" t="s">
        <v>387</v>
      </c>
      <c r="U663" t="s">
        <v>1369</v>
      </c>
      <c r="V663" t="s">
        <v>398</v>
      </c>
      <c r="W663" s="393">
        <v>19650</v>
      </c>
      <c r="X663" s="393">
        <v>5.48</v>
      </c>
      <c r="Y663" s="393">
        <v>47.16</v>
      </c>
      <c r="Z663" s="393">
        <v>19650</v>
      </c>
      <c r="AA663">
        <v>0</v>
      </c>
      <c r="AB663" s="400">
        <v>44306.726632905091</v>
      </c>
      <c r="AC663" t="s">
        <v>324</v>
      </c>
    </row>
    <row r="664" spans="1:29">
      <c r="A664" t="s">
        <v>382</v>
      </c>
      <c r="B664" t="s">
        <v>440</v>
      </c>
      <c r="C664" t="s">
        <v>1362</v>
      </c>
      <c r="D664" t="s">
        <v>1363</v>
      </c>
      <c r="E664" t="s">
        <v>390</v>
      </c>
      <c r="F664" t="s">
        <v>391</v>
      </c>
      <c r="G664">
        <v>6100620</v>
      </c>
      <c r="H664">
        <v>202104</v>
      </c>
      <c r="I664" s="400">
        <v>44292</v>
      </c>
      <c r="J664">
        <v>122536</v>
      </c>
      <c r="K664" t="s">
        <v>386</v>
      </c>
      <c r="L664" t="s">
        <v>1234</v>
      </c>
      <c r="M664" t="s">
        <v>1235</v>
      </c>
      <c r="O664" t="s">
        <v>512</v>
      </c>
      <c r="P664" t="s">
        <v>513</v>
      </c>
      <c r="Q664" t="s">
        <v>450</v>
      </c>
      <c r="R664">
        <v>2069084</v>
      </c>
      <c r="S664" t="s">
        <v>387</v>
      </c>
      <c r="U664" t="s">
        <v>1369</v>
      </c>
      <c r="V664" t="s">
        <v>398</v>
      </c>
      <c r="W664" s="393">
        <v>1962</v>
      </c>
      <c r="X664" s="393">
        <v>0.55000000000000004</v>
      </c>
      <c r="Y664" s="393">
        <v>4.71</v>
      </c>
      <c r="Z664" s="393">
        <v>1962</v>
      </c>
      <c r="AA664">
        <v>0</v>
      </c>
      <c r="AB664" s="400">
        <v>44306.726633067126</v>
      </c>
      <c r="AC664" t="s">
        <v>324</v>
      </c>
    </row>
    <row r="665" spans="1:29">
      <c r="A665" t="s">
        <v>382</v>
      </c>
      <c r="B665" t="s">
        <v>440</v>
      </c>
      <c r="C665" t="s">
        <v>1362</v>
      </c>
      <c r="D665" t="s">
        <v>1363</v>
      </c>
      <c r="E665" t="s">
        <v>390</v>
      </c>
      <c r="F665" t="s">
        <v>391</v>
      </c>
      <c r="G665">
        <v>6101438</v>
      </c>
      <c r="H665">
        <v>202107</v>
      </c>
      <c r="I665" s="400">
        <v>44399</v>
      </c>
      <c r="J665">
        <v>125062</v>
      </c>
      <c r="K665" t="s">
        <v>386</v>
      </c>
      <c r="L665">
        <v>119010</v>
      </c>
      <c r="M665" t="s">
        <v>1158</v>
      </c>
      <c r="O665" t="s">
        <v>509</v>
      </c>
      <c r="P665" t="s">
        <v>510</v>
      </c>
      <c r="Q665" t="s">
        <v>396</v>
      </c>
      <c r="R665">
        <v>2265776</v>
      </c>
      <c r="S665" t="s">
        <v>387</v>
      </c>
      <c r="U665" t="s">
        <v>1370</v>
      </c>
      <c r="V665" t="s">
        <v>398</v>
      </c>
      <c r="W665" s="393">
        <v>21690</v>
      </c>
      <c r="X665" s="393">
        <v>5.7</v>
      </c>
      <c r="Y665" s="393">
        <v>49.11</v>
      </c>
      <c r="Z665" s="393">
        <v>21690</v>
      </c>
      <c r="AA665">
        <v>0</v>
      </c>
      <c r="AB665" s="400">
        <v>44412.686229629631</v>
      </c>
      <c r="AC665" t="s">
        <v>326</v>
      </c>
    </row>
    <row r="666" spans="1:29">
      <c r="A666" t="s">
        <v>382</v>
      </c>
      <c r="B666" t="s">
        <v>440</v>
      </c>
      <c r="C666" t="s">
        <v>1362</v>
      </c>
      <c r="D666" t="s">
        <v>1363</v>
      </c>
      <c r="E666" t="s">
        <v>390</v>
      </c>
      <c r="F666" t="s">
        <v>391</v>
      </c>
      <c r="G666">
        <v>6101438</v>
      </c>
      <c r="H666">
        <v>202107</v>
      </c>
      <c r="I666" s="400">
        <v>44399</v>
      </c>
      <c r="J666">
        <v>125062</v>
      </c>
      <c r="K666" t="s">
        <v>386</v>
      </c>
      <c r="L666">
        <v>119010</v>
      </c>
      <c r="M666" t="s">
        <v>1158</v>
      </c>
      <c r="O666" t="s">
        <v>512</v>
      </c>
      <c r="P666" t="s">
        <v>513</v>
      </c>
      <c r="Q666" t="s">
        <v>396</v>
      </c>
      <c r="R666">
        <v>2265776</v>
      </c>
      <c r="S666" t="s">
        <v>387</v>
      </c>
      <c r="U666" t="s">
        <v>1370</v>
      </c>
      <c r="V666" t="s">
        <v>398</v>
      </c>
      <c r="W666" s="393">
        <v>1962</v>
      </c>
      <c r="X666" s="393">
        <v>0.52</v>
      </c>
      <c r="Y666" s="393">
        <v>4.4400000000000004</v>
      </c>
      <c r="Z666" s="393">
        <v>1962</v>
      </c>
      <c r="AA666">
        <v>0</v>
      </c>
      <c r="AB666" s="400">
        <v>44412.686229780091</v>
      </c>
      <c r="AC666" t="s">
        <v>326</v>
      </c>
    </row>
    <row r="667" spans="1:29">
      <c r="A667" t="s">
        <v>382</v>
      </c>
      <c r="B667" t="s">
        <v>440</v>
      </c>
      <c r="C667" t="s">
        <v>1362</v>
      </c>
      <c r="D667" t="s">
        <v>1363</v>
      </c>
      <c r="E667" t="s">
        <v>390</v>
      </c>
      <c r="F667" t="s">
        <v>391</v>
      </c>
      <c r="G667">
        <v>6101442</v>
      </c>
      <c r="H667">
        <v>202107</v>
      </c>
      <c r="I667" s="400">
        <v>44399</v>
      </c>
      <c r="J667">
        <v>125062</v>
      </c>
      <c r="K667" t="s">
        <v>386</v>
      </c>
      <c r="L667" t="s">
        <v>1175</v>
      </c>
      <c r="M667" t="s">
        <v>1176</v>
      </c>
      <c r="O667" t="s">
        <v>509</v>
      </c>
      <c r="P667" t="s">
        <v>510</v>
      </c>
      <c r="Q667" t="s">
        <v>396</v>
      </c>
      <c r="R667">
        <v>2265776</v>
      </c>
      <c r="S667" t="s">
        <v>387</v>
      </c>
      <c r="U667" t="s">
        <v>1371</v>
      </c>
      <c r="V667" t="s">
        <v>398</v>
      </c>
      <c r="W667" s="393">
        <v>29140</v>
      </c>
      <c r="X667" s="393">
        <v>7.66</v>
      </c>
      <c r="Y667" s="393">
        <v>65.97</v>
      </c>
      <c r="Z667" s="393">
        <v>29140</v>
      </c>
      <c r="AA667">
        <v>0</v>
      </c>
      <c r="AB667" s="400">
        <v>44412.693331249997</v>
      </c>
      <c r="AC667" t="s">
        <v>326</v>
      </c>
    </row>
    <row r="668" spans="1:29">
      <c r="A668" t="s">
        <v>382</v>
      </c>
      <c r="B668" t="s">
        <v>440</v>
      </c>
      <c r="C668" t="s">
        <v>1362</v>
      </c>
      <c r="D668" t="s">
        <v>1363</v>
      </c>
      <c r="E668" t="s">
        <v>390</v>
      </c>
      <c r="F668" t="s">
        <v>391</v>
      </c>
      <c r="G668">
        <v>6101442</v>
      </c>
      <c r="H668">
        <v>202107</v>
      </c>
      <c r="I668" s="400">
        <v>44399</v>
      </c>
      <c r="J668">
        <v>125062</v>
      </c>
      <c r="K668" t="s">
        <v>386</v>
      </c>
      <c r="L668" t="s">
        <v>1175</v>
      </c>
      <c r="M668" t="s">
        <v>1176</v>
      </c>
      <c r="O668" t="s">
        <v>512</v>
      </c>
      <c r="P668" t="s">
        <v>513</v>
      </c>
      <c r="Q668" t="s">
        <v>396</v>
      </c>
      <c r="R668">
        <v>2265776</v>
      </c>
      <c r="S668" t="s">
        <v>387</v>
      </c>
      <c r="U668" t="s">
        <v>1371</v>
      </c>
      <c r="V668" t="s">
        <v>398</v>
      </c>
      <c r="W668" s="393">
        <v>1962</v>
      </c>
      <c r="X668" s="393">
        <v>0.52</v>
      </c>
      <c r="Y668" s="393">
        <v>4.4400000000000004</v>
      </c>
      <c r="Z668" s="393">
        <v>1962</v>
      </c>
      <c r="AA668">
        <v>0</v>
      </c>
      <c r="AB668" s="400">
        <v>44412.693331249997</v>
      </c>
      <c r="AC668" t="s">
        <v>326</v>
      </c>
    </row>
    <row r="669" spans="1:29">
      <c r="A669" t="s">
        <v>382</v>
      </c>
      <c r="B669" t="s">
        <v>440</v>
      </c>
      <c r="C669" t="s">
        <v>1362</v>
      </c>
      <c r="D669" t="s">
        <v>1363</v>
      </c>
      <c r="E669" t="s">
        <v>390</v>
      </c>
      <c r="F669" t="s">
        <v>391</v>
      </c>
      <c r="G669">
        <v>6101784</v>
      </c>
      <c r="H669">
        <v>202108</v>
      </c>
      <c r="I669" s="400">
        <v>44418</v>
      </c>
      <c r="J669">
        <v>125062</v>
      </c>
      <c r="K669" t="s">
        <v>386</v>
      </c>
      <c r="L669" t="s">
        <v>1247</v>
      </c>
      <c r="M669" t="s">
        <v>1248</v>
      </c>
      <c r="O669" t="s">
        <v>509</v>
      </c>
      <c r="P669" t="s">
        <v>510</v>
      </c>
      <c r="Q669" t="s">
        <v>450</v>
      </c>
      <c r="R669">
        <v>2069084</v>
      </c>
      <c r="S669" t="s">
        <v>387</v>
      </c>
      <c r="U669" t="s">
        <v>1372</v>
      </c>
      <c r="V669" t="s">
        <v>398</v>
      </c>
      <c r="W669" s="393">
        <v>31350</v>
      </c>
      <c r="X669" s="393">
        <v>8.02</v>
      </c>
      <c r="Y669" s="393">
        <v>69.239999999999995</v>
      </c>
      <c r="Z669" s="393">
        <v>31350</v>
      </c>
      <c r="AA669">
        <v>0</v>
      </c>
      <c r="AB669" s="400">
        <v>44445.891075196756</v>
      </c>
      <c r="AC669" t="s">
        <v>324</v>
      </c>
    </row>
    <row r="670" spans="1:29">
      <c r="A670" t="s">
        <v>382</v>
      </c>
      <c r="B670" t="s">
        <v>440</v>
      </c>
      <c r="C670" t="s">
        <v>1362</v>
      </c>
      <c r="D670" t="s">
        <v>1363</v>
      </c>
      <c r="E670" t="s">
        <v>390</v>
      </c>
      <c r="F670" t="s">
        <v>391</v>
      </c>
      <c r="G670">
        <v>6101784</v>
      </c>
      <c r="H670">
        <v>202108</v>
      </c>
      <c r="I670" s="400">
        <v>44418</v>
      </c>
      <c r="J670">
        <v>125062</v>
      </c>
      <c r="K670" t="s">
        <v>386</v>
      </c>
      <c r="L670" t="s">
        <v>1247</v>
      </c>
      <c r="M670" t="s">
        <v>1248</v>
      </c>
      <c r="O670" t="s">
        <v>512</v>
      </c>
      <c r="P670" t="s">
        <v>513</v>
      </c>
      <c r="Q670" t="s">
        <v>450</v>
      </c>
      <c r="R670">
        <v>2069084</v>
      </c>
      <c r="S670" t="s">
        <v>387</v>
      </c>
      <c r="U670" t="s">
        <v>1372</v>
      </c>
      <c r="V670" t="s">
        <v>398</v>
      </c>
      <c r="W670" s="393">
        <v>1962</v>
      </c>
      <c r="X670" s="393">
        <v>0.5</v>
      </c>
      <c r="Y670" s="393">
        <v>4.33</v>
      </c>
      <c r="Z670" s="393">
        <v>1962</v>
      </c>
      <c r="AA670">
        <v>0</v>
      </c>
      <c r="AB670" s="400">
        <v>44445.891075381944</v>
      </c>
      <c r="AC670" t="s">
        <v>324</v>
      </c>
    </row>
    <row r="671" spans="1:29">
      <c r="A671" t="s">
        <v>382</v>
      </c>
      <c r="B671" t="s">
        <v>440</v>
      </c>
      <c r="C671" t="s">
        <v>1362</v>
      </c>
      <c r="D671" t="s">
        <v>1363</v>
      </c>
      <c r="E671" t="s">
        <v>390</v>
      </c>
      <c r="F671" t="s">
        <v>391</v>
      </c>
      <c r="G671">
        <v>6101809</v>
      </c>
      <c r="H671">
        <v>202108</v>
      </c>
      <c r="I671" s="400">
        <v>44428</v>
      </c>
      <c r="J671">
        <v>125062</v>
      </c>
      <c r="K671" t="s">
        <v>386</v>
      </c>
      <c r="L671" t="s">
        <v>1191</v>
      </c>
      <c r="M671" t="s">
        <v>1192</v>
      </c>
      <c r="O671" t="s">
        <v>509</v>
      </c>
      <c r="P671" t="s">
        <v>510</v>
      </c>
      <c r="Q671" t="s">
        <v>450</v>
      </c>
      <c r="R671">
        <v>2069084</v>
      </c>
      <c r="S671" t="s">
        <v>387</v>
      </c>
      <c r="U671" t="s">
        <v>1373</v>
      </c>
      <c r="V671" t="s">
        <v>398</v>
      </c>
      <c r="W671" s="393">
        <v>21390</v>
      </c>
      <c r="X671" s="393">
        <v>5.54</v>
      </c>
      <c r="Y671" s="393">
        <v>48.04</v>
      </c>
      <c r="Z671" s="393">
        <v>21390</v>
      </c>
      <c r="AA671">
        <v>0</v>
      </c>
      <c r="AB671" s="400">
        <v>44446.549343287035</v>
      </c>
      <c r="AC671" t="s">
        <v>324</v>
      </c>
    </row>
    <row r="672" spans="1:29">
      <c r="A672" t="s">
        <v>382</v>
      </c>
      <c r="B672" t="s">
        <v>440</v>
      </c>
      <c r="C672" t="s">
        <v>1362</v>
      </c>
      <c r="D672" t="s">
        <v>1363</v>
      </c>
      <c r="E672" t="s">
        <v>390</v>
      </c>
      <c r="F672" t="s">
        <v>391</v>
      </c>
      <c r="G672">
        <v>6101809</v>
      </c>
      <c r="H672">
        <v>202108</v>
      </c>
      <c r="I672" s="400">
        <v>44428</v>
      </c>
      <c r="J672">
        <v>125062</v>
      </c>
      <c r="K672" t="s">
        <v>386</v>
      </c>
      <c r="L672" t="s">
        <v>1191</v>
      </c>
      <c r="M672" t="s">
        <v>1192</v>
      </c>
      <c r="O672" t="s">
        <v>512</v>
      </c>
      <c r="P672" t="s">
        <v>513</v>
      </c>
      <c r="Q672" t="s">
        <v>450</v>
      </c>
      <c r="R672">
        <v>2069084</v>
      </c>
      <c r="S672" t="s">
        <v>387</v>
      </c>
      <c r="U672" t="s">
        <v>1373</v>
      </c>
      <c r="V672" t="s">
        <v>398</v>
      </c>
      <c r="W672" s="393">
        <v>1962</v>
      </c>
      <c r="X672" s="393">
        <v>0.51</v>
      </c>
      <c r="Y672" s="393">
        <v>4.41</v>
      </c>
      <c r="Z672" s="393">
        <v>1962</v>
      </c>
      <c r="AA672">
        <v>0</v>
      </c>
      <c r="AB672" s="400">
        <v>44446.549343287035</v>
      </c>
      <c r="AC672" t="s">
        <v>324</v>
      </c>
    </row>
    <row r="673" spans="1:29">
      <c r="A673" t="s">
        <v>382</v>
      </c>
      <c r="B673" t="s">
        <v>440</v>
      </c>
      <c r="C673" t="s">
        <v>1362</v>
      </c>
      <c r="D673" t="s">
        <v>1363</v>
      </c>
      <c r="E673" t="s">
        <v>390</v>
      </c>
      <c r="F673" t="s">
        <v>391</v>
      </c>
      <c r="G673">
        <v>6102239</v>
      </c>
      <c r="H673">
        <v>202109</v>
      </c>
      <c r="I673" s="400">
        <v>44467</v>
      </c>
      <c r="J673">
        <v>125062</v>
      </c>
      <c r="K673" t="s">
        <v>386</v>
      </c>
      <c r="L673">
        <v>124475</v>
      </c>
      <c r="M673" t="s">
        <v>1208</v>
      </c>
      <c r="O673" t="s">
        <v>509</v>
      </c>
      <c r="P673" t="s">
        <v>510</v>
      </c>
      <c r="Q673" t="s">
        <v>396</v>
      </c>
      <c r="R673">
        <v>2265776</v>
      </c>
      <c r="S673" t="s">
        <v>387</v>
      </c>
      <c r="U673" t="s">
        <v>1374</v>
      </c>
      <c r="V673" t="s">
        <v>398</v>
      </c>
      <c r="W673" s="393">
        <v>17760</v>
      </c>
      <c r="X673" s="393">
        <v>4.63</v>
      </c>
      <c r="Y673" s="393">
        <v>40.270000000000003</v>
      </c>
      <c r="Z673" s="393">
        <v>17760</v>
      </c>
      <c r="AA673">
        <v>0</v>
      </c>
      <c r="AB673" s="400">
        <v>44474.985582407404</v>
      </c>
      <c r="AC673" t="s">
        <v>326</v>
      </c>
    </row>
    <row r="674" spans="1:29">
      <c r="A674" t="s">
        <v>382</v>
      </c>
      <c r="B674" t="s">
        <v>440</v>
      </c>
      <c r="C674" t="s">
        <v>1362</v>
      </c>
      <c r="D674" t="s">
        <v>1363</v>
      </c>
      <c r="E674" t="s">
        <v>390</v>
      </c>
      <c r="F674" t="s">
        <v>391</v>
      </c>
      <c r="G674">
        <v>6102239</v>
      </c>
      <c r="H674">
        <v>202109</v>
      </c>
      <c r="I674" s="400">
        <v>44467</v>
      </c>
      <c r="J674">
        <v>125062</v>
      </c>
      <c r="K674" t="s">
        <v>386</v>
      </c>
      <c r="L674">
        <v>124475</v>
      </c>
      <c r="M674" t="s">
        <v>1208</v>
      </c>
      <c r="O674" t="s">
        <v>512</v>
      </c>
      <c r="P674" t="s">
        <v>513</v>
      </c>
      <c r="Q674" t="s">
        <v>396</v>
      </c>
      <c r="R674">
        <v>2265776</v>
      </c>
      <c r="S674" t="s">
        <v>387</v>
      </c>
      <c r="U674" t="s">
        <v>1374</v>
      </c>
      <c r="V674" t="s">
        <v>398</v>
      </c>
      <c r="W674" s="393">
        <v>2875</v>
      </c>
      <c r="X674" s="393">
        <v>0.75</v>
      </c>
      <c r="Y674" s="393">
        <v>6.52</v>
      </c>
      <c r="Z674" s="393">
        <v>2875</v>
      </c>
      <c r="AA674">
        <v>0</v>
      </c>
      <c r="AB674" s="400">
        <v>44474.985582407404</v>
      </c>
      <c r="AC674" t="s">
        <v>326</v>
      </c>
    </row>
    <row r="675" spans="1:29">
      <c r="A675" t="s">
        <v>382</v>
      </c>
      <c r="B675" t="s">
        <v>440</v>
      </c>
      <c r="C675" t="s">
        <v>1362</v>
      </c>
      <c r="D675" t="s">
        <v>1363</v>
      </c>
      <c r="E675" t="s">
        <v>390</v>
      </c>
      <c r="F675" t="s">
        <v>391</v>
      </c>
      <c r="G675">
        <v>6102012</v>
      </c>
      <c r="H675">
        <v>202109</v>
      </c>
      <c r="I675" s="400">
        <v>44450</v>
      </c>
      <c r="J675">
        <v>125062</v>
      </c>
      <c r="K675" t="s">
        <v>386</v>
      </c>
      <c r="L675" t="s">
        <v>1375</v>
      </c>
      <c r="M675" t="s">
        <v>1376</v>
      </c>
      <c r="O675" t="s">
        <v>509</v>
      </c>
      <c r="P675" t="s">
        <v>510</v>
      </c>
      <c r="Q675" t="s">
        <v>450</v>
      </c>
      <c r="R675">
        <v>2069084</v>
      </c>
      <c r="S675" t="s">
        <v>387</v>
      </c>
      <c r="U675" t="s">
        <v>1377</v>
      </c>
      <c r="V675" t="s">
        <v>398</v>
      </c>
      <c r="W675" s="393">
        <v>32470</v>
      </c>
      <c r="X675" s="393">
        <v>8.51</v>
      </c>
      <c r="Y675" s="393">
        <v>74.12</v>
      </c>
      <c r="Z675" s="393">
        <v>32470</v>
      </c>
      <c r="AA675">
        <v>0</v>
      </c>
      <c r="AB675" s="400">
        <v>44460.849754317132</v>
      </c>
      <c r="AC675" t="s">
        <v>324</v>
      </c>
    </row>
    <row r="676" spans="1:29">
      <c r="A676" t="s">
        <v>382</v>
      </c>
      <c r="B676" t="s">
        <v>440</v>
      </c>
      <c r="C676" t="s">
        <v>1362</v>
      </c>
      <c r="D676" t="s">
        <v>1363</v>
      </c>
      <c r="E676" t="s">
        <v>390</v>
      </c>
      <c r="F676" t="s">
        <v>391</v>
      </c>
      <c r="G676">
        <v>6102012</v>
      </c>
      <c r="H676">
        <v>202109</v>
      </c>
      <c r="I676" s="400">
        <v>44450</v>
      </c>
      <c r="J676">
        <v>125062</v>
      </c>
      <c r="K676" t="s">
        <v>386</v>
      </c>
      <c r="L676" t="s">
        <v>1375</v>
      </c>
      <c r="M676" t="s">
        <v>1376</v>
      </c>
      <c r="O676" t="s">
        <v>512</v>
      </c>
      <c r="P676" t="s">
        <v>513</v>
      </c>
      <c r="Q676" t="s">
        <v>450</v>
      </c>
      <c r="R676">
        <v>2069084</v>
      </c>
      <c r="S676" t="s">
        <v>387</v>
      </c>
      <c r="U676" t="s">
        <v>1377</v>
      </c>
      <c r="V676" t="s">
        <v>398</v>
      </c>
      <c r="W676" s="393">
        <v>1962</v>
      </c>
      <c r="X676" s="393">
        <v>0.51</v>
      </c>
      <c r="Y676" s="393">
        <v>4.4800000000000004</v>
      </c>
      <c r="Z676" s="393">
        <v>1962</v>
      </c>
      <c r="AA676">
        <v>0</v>
      </c>
      <c r="AB676" s="400">
        <v>44460.849754317132</v>
      </c>
      <c r="AC676" t="s">
        <v>324</v>
      </c>
    </row>
    <row r="677" spans="1:29">
      <c r="A677" t="s">
        <v>382</v>
      </c>
      <c r="B677" t="s">
        <v>440</v>
      </c>
      <c r="C677" t="s">
        <v>1362</v>
      </c>
      <c r="D677" t="s">
        <v>1363</v>
      </c>
      <c r="E677" t="s">
        <v>390</v>
      </c>
      <c r="F677" t="s">
        <v>391</v>
      </c>
      <c r="G677">
        <v>6101983</v>
      </c>
      <c r="H677">
        <v>202109</v>
      </c>
      <c r="I677" s="400">
        <v>44441</v>
      </c>
      <c r="J677">
        <v>125062</v>
      </c>
      <c r="K677" t="s">
        <v>386</v>
      </c>
      <c r="L677" t="s">
        <v>1162</v>
      </c>
      <c r="M677" t="s">
        <v>1163</v>
      </c>
      <c r="O677" t="s">
        <v>509</v>
      </c>
      <c r="P677" t="s">
        <v>510</v>
      </c>
      <c r="Q677" t="s">
        <v>450</v>
      </c>
      <c r="R677">
        <v>2069084</v>
      </c>
      <c r="S677" t="s">
        <v>387</v>
      </c>
      <c r="U677" t="s">
        <v>1378</v>
      </c>
      <c r="V677" t="s">
        <v>398</v>
      </c>
      <c r="W677" s="393">
        <v>15570</v>
      </c>
      <c r="X677" s="393">
        <v>4.1500000000000004</v>
      </c>
      <c r="Y677" s="393">
        <v>36.049999999999997</v>
      </c>
      <c r="Z677" s="393">
        <v>15570</v>
      </c>
      <c r="AA677">
        <v>0</v>
      </c>
      <c r="AB677" s="400">
        <v>44460.547416932874</v>
      </c>
      <c r="AC677" t="s">
        <v>324</v>
      </c>
    </row>
    <row r="678" spans="1:29">
      <c r="A678" t="s">
        <v>382</v>
      </c>
      <c r="B678" t="s">
        <v>440</v>
      </c>
      <c r="C678" t="s">
        <v>1362</v>
      </c>
      <c r="D678" t="s">
        <v>1363</v>
      </c>
      <c r="E678" t="s">
        <v>390</v>
      </c>
      <c r="F678" t="s">
        <v>391</v>
      </c>
      <c r="G678">
        <v>6101983</v>
      </c>
      <c r="H678">
        <v>202109</v>
      </c>
      <c r="I678" s="400">
        <v>44441</v>
      </c>
      <c r="J678">
        <v>125062</v>
      </c>
      <c r="K678" t="s">
        <v>386</v>
      </c>
      <c r="L678" t="s">
        <v>1162</v>
      </c>
      <c r="M678" t="s">
        <v>1163</v>
      </c>
      <c r="O678" t="s">
        <v>512</v>
      </c>
      <c r="P678" t="s">
        <v>513</v>
      </c>
      <c r="Q678" t="s">
        <v>450</v>
      </c>
      <c r="R678">
        <v>2069084</v>
      </c>
      <c r="S678" t="s">
        <v>1379</v>
      </c>
      <c r="U678" t="s">
        <v>1378</v>
      </c>
      <c r="V678" t="s">
        <v>398</v>
      </c>
      <c r="W678" s="393">
        <v>795</v>
      </c>
      <c r="X678" s="393">
        <v>0.21</v>
      </c>
      <c r="Y678" s="393">
        <v>1.84</v>
      </c>
      <c r="Z678" s="393">
        <v>795</v>
      </c>
      <c r="AA678">
        <v>0</v>
      </c>
      <c r="AB678" s="400">
        <v>44460.547416932874</v>
      </c>
      <c r="AC678" t="s">
        <v>324</v>
      </c>
    </row>
    <row r="679" spans="1:29">
      <c r="A679" t="s">
        <v>382</v>
      </c>
      <c r="B679" t="s">
        <v>440</v>
      </c>
      <c r="C679" t="s">
        <v>1362</v>
      </c>
      <c r="D679" t="s">
        <v>1363</v>
      </c>
      <c r="E679" t="s">
        <v>390</v>
      </c>
      <c r="F679" t="s">
        <v>391</v>
      </c>
      <c r="G679">
        <v>6102243</v>
      </c>
      <c r="H679">
        <v>202109</v>
      </c>
      <c r="I679" s="400">
        <v>44468</v>
      </c>
      <c r="J679">
        <v>125062</v>
      </c>
      <c r="K679" t="s">
        <v>386</v>
      </c>
      <c r="L679" t="s">
        <v>1247</v>
      </c>
      <c r="M679" t="s">
        <v>1248</v>
      </c>
      <c r="O679" t="s">
        <v>1380</v>
      </c>
      <c r="P679" t="s">
        <v>1381</v>
      </c>
      <c r="Q679" t="s">
        <v>450</v>
      </c>
      <c r="R679">
        <v>2069084</v>
      </c>
      <c r="S679" t="s">
        <v>1382</v>
      </c>
      <c r="U679" t="s">
        <v>1383</v>
      </c>
      <c r="V679" t="s">
        <v>398</v>
      </c>
      <c r="W679" s="393">
        <v>6950</v>
      </c>
      <c r="X679" s="393">
        <v>1.81</v>
      </c>
      <c r="Y679" s="393">
        <v>15.76</v>
      </c>
      <c r="Z679" s="393">
        <v>6950</v>
      </c>
      <c r="AA679">
        <v>0</v>
      </c>
      <c r="AB679" s="400">
        <v>44474.991341782406</v>
      </c>
      <c r="AC679" t="s">
        <v>324</v>
      </c>
    </row>
    <row r="680" spans="1:29">
      <c r="A680" t="s">
        <v>382</v>
      </c>
      <c r="B680" t="s">
        <v>440</v>
      </c>
      <c r="C680" t="s">
        <v>1362</v>
      </c>
      <c r="D680" t="s">
        <v>1363</v>
      </c>
      <c r="E680" t="s">
        <v>390</v>
      </c>
      <c r="F680" t="s">
        <v>391</v>
      </c>
      <c r="G680">
        <v>6102243</v>
      </c>
      <c r="H680">
        <v>202109</v>
      </c>
      <c r="I680" s="400">
        <v>44468</v>
      </c>
      <c r="J680">
        <v>125062</v>
      </c>
      <c r="K680" t="s">
        <v>386</v>
      </c>
      <c r="L680" t="s">
        <v>1247</v>
      </c>
      <c r="M680" t="s">
        <v>1248</v>
      </c>
      <c r="O680" t="s">
        <v>512</v>
      </c>
      <c r="P680" t="s">
        <v>513</v>
      </c>
      <c r="Q680" t="s">
        <v>450</v>
      </c>
      <c r="R680">
        <v>2069084</v>
      </c>
      <c r="S680" t="s">
        <v>387</v>
      </c>
      <c r="U680" t="s">
        <v>1383</v>
      </c>
      <c r="V680" t="s">
        <v>398</v>
      </c>
      <c r="W680" s="393">
        <v>795</v>
      </c>
      <c r="X680" s="393">
        <v>0.21</v>
      </c>
      <c r="Y680" s="393">
        <v>1.8</v>
      </c>
      <c r="Z680" s="393">
        <v>795</v>
      </c>
      <c r="AA680">
        <v>0</v>
      </c>
      <c r="AB680" s="400">
        <v>44474.991341782406</v>
      </c>
      <c r="AC680" t="s">
        <v>324</v>
      </c>
    </row>
    <row r="681" spans="1:29">
      <c r="A681" t="s">
        <v>382</v>
      </c>
      <c r="B681" t="s">
        <v>440</v>
      </c>
      <c r="C681" t="s">
        <v>1362</v>
      </c>
      <c r="D681" t="s">
        <v>1363</v>
      </c>
      <c r="E681" t="s">
        <v>390</v>
      </c>
      <c r="F681" t="s">
        <v>391</v>
      </c>
      <c r="G681">
        <v>6102242</v>
      </c>
      <c r="H681">
        <v>202109</v>
      </c>
      <c r="I681" s="400">
        <v>44468</v>
      </c>
      <c r="J681">
        <v>125062</v>
      </c>
      <c r="K681" t="s">
        <v>386</v>
      </c>
      <c r="L681" t="s">
        <v>1247</v>
      </c>
      <c r="M681" t="s">
        <v>1248</v>
      </c>
      <c r="O681" t="s">
        <v>509</v>
      </c>
      <c r="P681" t="s">
        <v>510</v>
      </c>
      <c r="Q681" t="s">
        <v>450</v>
      </c>
      <c r="R681">
        <v>2069084</v>
      </c>
      <c r="S681" t="s">
        <v>387</v>
      </c>
      <c r="U681" t="s">
        <v>1384</v>
      </c>
      <c r="V681" t="s">
        <v>398</v>
      </c>
      <c r="W681" s="393">
        <v>7600</v>
      </c>
      <c r="X681" s="393">
        <v>1.98</v>
      </c>
      <c r="Y681" s="393">
        <v>17.23</v>
      </c>
      <c r="Z681" s="393">
        <v>7600</v>
      </c>
      <c r="AA681">
        <v>0</v>
      </c>
      <c r="AB681" s="400">
        <v>44474.989527280093</v>
      </c>
      <c r="AC681" t="s">
        <v>324</v>
      </c>
    </row>
    <row r="682" spans="1:29">
      <c r="A682" t="s">
        <v>382</v>
      </c>
      <c r="B682" t="s">
        <v>440</v>
      </c>
      <c r="C682" t="s">
        <v>1362</v>
      </c>
      <c r="D682" t="s">
        <v>1363</v>
      </c>
      <c r="E682" t="s">
        <v>390</v>
      </c>
      <c r="F682" t="s">
        <v>391</v>
      </c>
      <c r="G682">
        <v>6102242</v>
      </c>
      <c r="H682">
        <v>202109</v>
      </c>
      <c r="I682" s="400">
        <v>44468</v>
      </c>
      <c r="J682">
        <v>125062</v>
      </c>
      <c r="K682" t="s">
        <v>386</v>
      </c>
      <c r="L682" t="s">
        <v>1247</v>
      </c>
      <c r="M682" t="s">
        <v>1248</v>
      </c>
      <c r="O682" t="s">
        <v>512</v>
      </c>
      <c r="P682" t="s">
        <v>513</v>
      </c>
      <c r="Q682" t="s">
        <v>450</v>
      </c>
      <c r="R682">
        <v>2069084</v>
      </c>
      <c r="S682" t="s">
        <v>387</v>
      </c>
      <c r="U682" t="s">
        <v>1384</v>
      </c>
      <c r="V682" t="s">
        <v>398</v>
      </c>
      <c r="W682" s="393">
        <v>795</v>
      </c>
      <c r="X682" s="393">
        <v>0.21</v>
      </c>
      <c r="Y682" s="393">
        <v>1.8</v>
      </c>
      <c r="Z682" s="393">
        <v>795</v>
      </c>
      <c r="AA682">
        <v>0</v>
      </c>
      <c r="AB682" s="400">
        <v>44474.989527465281</v>
      </c>
      <c r="AC682" t="s">
        <v>324</v>
      </c>
    </row>
    <row r="683" spans="1:29">
      <c r="A683" t="s">
        <v>382</v>
      </c>
      <c r="B683" t="s">
        <v>440</v>
      </c>
      <c r="C683" t="s">
        <v>1362</v>
      </c>
      <c r="D683" t="s">
        <v>1363</v>
      </c>
      <c r="E683" t="s">
        <v>390</v>
      </c>
      <c r="F683" t="s">
        <v>391</v>
      </c>
      <c r="G683">
        <v>6102238</v>
      </c>
      <c r="H683">
        <v>202109</v>
      </c>
      <c r="I683" s="400">
        <v>44467</v>
      </c>
      <c r="J683">
        <v>125062</v>
      </c>
      <c r="K683" t="s">
        <v>386</v>
      </c>
      <c r="L683" t="s">
        <v>1195</v>
      </c>
      <c r="M683" t="s">
        <v>1196</v>
      </c>
      <c r="O683" t="s">
        <v>509</v>
      </c>
      <c r="P683" t="s">
        <v>510</v>
      </c>
      <c r="Q683" t="s">
        <v>396</v>
      </c>
      <c r="R683">
        <v>2265776</v>
      </c>
      <c r="S683" t="s">
        <v>387</v>
      </c>
      <c r="U683" t="s">
        <v>1385</v>
      </c>
      <c r="V683" t="s">
        <v>398</v>
      </c>
      <c r="W683" s="393">
        <v>17760</v>
      </c>
      <c r="X683" s="393">
        <v>4.63</v>
      </c>
      <c r="Y683" s="393">
        <v>40.270000000000003</v>
      </c>
      <c r="Z683" s="393">
        <v>17760</v>
      </c>
      <c r="AA683">
        <v>0</v>
      </c>
      <c r="AB683" s="400">
        <v>44474.983937187499</v>
      </c>
      <c r="AC683" t="s">
        <v>326</v>
      </c>
    </row>
    <row r="684" spans="1:29">
      <c r="A684" t="s">
        <v>382</v>
      </c>
      <c r="B684" t="s">
        <v>440</v>
      </c>
      <c r="C684" t="s">
        <v>1362</v>
      </c>
      <c r="D684" t="s">
        <v>1363</v>
      </c>
      <c r="E684" t="s">
        <v>390</v>
      </c>
      <c r="F684" t="s">
        <v>391</v>
      </c>
      <c r="G684">
        <v>6102238</v>
      </c>
      <c r="H684">
        <v>202109</v>
      </c>
      <c r="I684" s="400">
        <v>44467</v>
      </c>
      <c r="J684">
        <v>125062</v>
      </c>
      <c r="K684" t="s">
        <v>386</v>
      </c>
      <c r="L684" t="s">
        <v>1195</v>
      </c>
      <c r="M684" t="s">
        <v>1196</v>
      </c>
      <c r="O684" t="s">
        <v>512</v>
      </c>
      <c r="P684" t="s">
        <v>513</v>
      </c>
      <c r="Q684" t="s">
        <v>396</v>
      </c>
      <c r="R684">
        <v>2265776</v>
      </c>
      <c r="S684" t="s">
        <v>387</v>
      </c>
      <c r="U684" t="s">
        <v>1385</v>
      </c>
      <c r="V684" t="s">
        <v>398</v>
      </c>
      <c r="W684" s="393">
        <v>2875</v>
      </c>
      <c r="X684" s="393">
        <v>0.75</v>
      </c>
      <c r="Y684" s="393">
        <v>6.52</v>
      </c>
      <c r="Z684" s="393">
        <v>2875</v>
      </c>
      <c r="AA684">
        <v>0</v>
      </c>
      <c r="AB684" s="400">
        <v>44474.983937384262</v>
      </c>
      <c r="AC684" t="s">
        <v>326</v>
      </c>
    </row>
    <row r="685" spans="1:29">
      <c r="A685" t="s">
        <v>382</v>
      </c>
      <c r="B685" t="s">
        <v>440</v>
      </c>
      <c r="C685" t="s">
        <v>1362</v>
      </c>
      <c r="D685" t="s">
        <v>1386</v>
      </c>
      <c r="E685" t="s">
        <v>390</v>
      </c>
      <c r="F685" t="s">
        <v>391</v>
      </c>
      <c r="G685">
        <v>6100704</v>
      </c>
      <c r="H685">
        <v>202104</v>
      </c>
      <c r="I685" s="400">
        <v>44309</v>
      </c>
      <c r="J685" t="s">
        <v>452</v>
      </c>
      <c r="K685" t="s">
        <v>386</v>
      </c>
      <c r="L685" t="s">
        <v>1387</v>
      </c>
      <c r="M685" t="s">
        <v>1388</v>
      </c>
      <c r="O685" t="s">
        <v>579</v>
      </c>
      <c r="P685" t="s">
        <v>580</v>
      </c>
      <c r="Q685" t="s">
        <v>450</v>
      </c>
      <c r="R685">
        <v>2069084</v>
      </c>
      <c r="S685" t="s">
        <v>1389</v>
      </c>
      <c r="U685" t="s">
        <v>1390</v>
      </c>
      <c r="V685" t="s">
        <v>398</v>
      </c>
      <c r="W685" s="393">
        <v>9000</v>
      </c>
      <c r="X685" s="393">
        <v>2.48</v>
      </c>
      <c r="Y685" s="393">
        <v>20.5</v>
      </c>
      <c r="Z685" s="393">
        <v>9000</v>
      </c>
      <c r="AA685">
        <v>0</v>
      </c>
      <c r="AB685" s="400">
        <v>44318.982477430553</v>
      </c>
      <c r="AC685" t="s">
        <v>324</v>
      </c>
    </row>
    <row r="686" spans="1:29">
      <c r="A686" t="s">
        <v>382</v>
      </c>
      <c r="B686" t="s">
        <v>440</v>
      </c>
      <c r="C686" t="s">
        <v>1362</v>
      </c>
      <c r="D686" t="s">
        <v>1386</v>
      </c>
      <c r="E686" t="s">
        <v>390</v>
      </c>
      <c r="F686" t="s">
        <v>391</v>
      </c>
      <c r="G686">
        <v>6100704</v>
      </c>
      <c r="H686">
        <v>202104</v>
      </c>
      <c r="I686" s="400">
        <v>44309</v>
      </c>
      <c r="J686" t="s">
        <v>452</v>
      </c>
      <c r="K686" t="s">
        <v>386</v>
      </c>
      <c r="L686" t="s">
        <v>1387</v>
      </c>
      <c r="M686" t="s">
        <v>1388</v>
      </c>
      <c r="O686" t="s">
        <v>579</v>
      </c>
      <c r="P686" t="s">
        <v>580</v>
      </c>
      <c r="Q686" t="s">
        <v>450</v>
      </c>
      <c r="R686">
        <v>2069084</v>
      </c>
      <c r="S686" t="s">
        <v>1391</v>
      </c>
      <c r="U686" t="s">
        <v>1390</v>
      </c>
      <c r="V686" t="s">
        <v>398</v>
      </c>
      <c r="W686" s="393">
        <v>9000</v>
      </c>
      <c r="X686" s="393">
        <v>2.48</v>
      </c>
      <c r="Y686" s="393">
        <v>20.5</v>
      </c>
      <c r="Z686" s="393">
        <v>9000</v>
      </c>
      <c r="AA686">
        <v>0</v>
      </c>
      <c r="AB686" s="400">
        <v>44318.982477430553</v>
      </c>
      <c r="AC686" t="s">
        <v>324</v>
      </c>
    </row>
    <row r="687" spans="1:29">
      <c r="A687" t="s">
        <v>382</v>
      </c>
      <c r="B687" t="s">
        <v>440</v>
      </c>
      <c r="C687" t="s">
        <v>1362</v>
      </c>
      <c r="D687" t="s">
        <v>1386</v>
      </c>
      <c r="E687" t="s">
        <v>390</v>
      </c>
      <c r="F687" t="s">
        <v>391</v>
      </c>
      <c r="G687">
        <v>6100754</v>
      </c>
      <c r="H687">
        <v>202104</v>
      </c>
      <c r="I687" s="400">
        <v>44316</v>
      </c>
      <c r="J687" t="s">
        <v>452</v>
      </c>
      <c r="K687" t="s">
        <v>386</v>
      </c>
      <c r="L687" t="s">
        <v>1392</v>
      </c>
      <c r="M687" t="s">
        <v>1393</v>
      </c>
      <c r="O687" t="s">
        <v>579</v>
      </c>
      <c r="P687" t="s">
        <v>580</v>
      </c>
      <c r="Q687" t="s">
        <v>396</v>
      </c>
      <c r="R687">
        <v>2265776</v>
      </c>
      <c r="S687" t="s">
        <v>387</v>
      </c>
      <c r="U687" t="s">
        <v>1394</v>
      </c>
      <c r="V687" t="s">
        <v>398</v>
      </c>
      <c r="W687" s="393">
        <v>9100</v>
      </c>
      <c r="X687" s="393">
        <v>2.46</v>
      </c>
      <c r="Y687" s="393">
        <v>20.36</v>
      </c>
      <c r="Z687" s="393">
        <v>9100</v>
      </c>
      <c r="AA687">
        <v>0</v>
      </c>
      <c r="AB687" s="400">
        <v>44319.948913425927</v>
      </c>
      <c r="AC687" t="s">
        <v>326</v>
      </c>
    </row>
    <row r="688" spans="1:29">
      <c r="A688" t="s">
        <v>382</v>
      </c>
      <c r="B688" t="s">
        <v>440</v>
      </c>
      <c r="C688" t="s">
        <v>1362</v>
      </c>
      <c r="D688" t="s">
        <v>1386</v>
      </c>
      <c r="E688" t="s">
        <v>390</v>
      </c>
      <c r="F688" t="s">
        <v>391</v>
      </c>
      <c r="G688">
        <v>6100754</v>
      </c>
      <c r="H688">
        <v>202104</v>
      </c>
      <c r="I688" s="400">
        <v>44316</v>
      </c>
      <c r="J688" t="s">
        <v>452</v>
      </c>
      <c r="K688" t="s">
        <v>386</v>
      </c>
      <c r="L688" t="s">
        <v>1392</v>
      </c>
      <c r="M688" t="s">
        <v>1393</v>
      </c>
      <c r="O688" t="s">
        <v>579</v>
      </c>
      <c r="P688" t="s">
        <v>580</v>
      </c>
      <c r="Q688" t="s">
        <v>396</v>
      </c>
      <c r="R688">
        <v>2265776</v>
      </c>
      <c r="S688" t="s">
        <v>387</v>
      </c>
      <c r="U688" t="s">
        <v>1395</v>
      </c>
      <c r="V688" t="s">
        <v>398</v>
      </c>
      <c r="W688" s="393">
        <v>9000</v>
      </c>
      <c r="X688" s="393">
        <v>2.4300000000000002</v>
      </c>
      <c r="Y688" s="393">
        <v>20.13</v>
      </c>
      <c r="Z688" s="393">
        <v>9000</v>
      </c>
      <c r="AA688">
        <v>0</v>
      </c>
      <c r="AB688" s="400">
        <v>44319.948913425927</v>
      </c>
      <c r="AC688" t="s">
        <v>326</v>
      </c>
    </row>
    <row r="689" spans="1:29">
      <c r="A689" t="s">
        <v>382</v>
      </c>
      <c r="B689" t="s">
        <v>440</v>
      </c>
      <c r="C689" t="s">
        <v>1362</v>
      </c>
      <c r="D689" t="s">
        <v>1386</v>
      </c>
      <c r="E689" t="s">
        <v>390</v>
      </c>
      <c r="F689" t="s">
        <v>391</v>
      </c>
      <c r="G689">
        <v>6100754</v>
      </c>
      <c r="H689">
        <v>202104</v>
      </c>
      <c r="I689" s="400">
        <v>44316</v>
      </c>
      <c r="J689" t="s">
        <v>452</v>
      </c>
      <c r="K689" t="s">
        <v>386</v>
      </c>
      <c r="L689" t="s">
        <v>1392</v>
      </c>
      <c r="M689" t="s">
        <v>1393</v>
      </c>
      <c r="O689" t="s">
        <v>579</v>
      </c>
      <c r="P689" t="s">
        <v>580</v>
      </c>
      <c r="Q689" t="s">
        <v>396</v>
      </c>
      <c r="R689">
        <v>2265776</v>
      </c>
      <c r="S689" t="s">
        <v>387</v>
      </c>
      <c r="U689" t="s">
        <v>1396</v>
      </c>
      <c r="V689" t="s">
        <v>398</v>
      </c>
      <c r="W689" s="393">
        <v>9000</v>
      </c>
      <c r="X689" s="393">
        <v>2.4300000000000002</v>
      </c>
      <c r="Y689" s="393">
        <v>20.13</v>
      </c>
      <c r="Z689" s="393">
        <v>9000</v>
      </c>
      <c r="AA689">
        <v>0</v>
      </c>
      <c r="AB689" s="400">
        <v>44319.948913425927</v>
      </c>
      <c r="AC689" t="s">
        <v>326</v>
      </c>
    </row>
    <row r="690" spans="1:29">
      <c r="A690" t="s">
        <v>382</v>
      </c>
      <c r="B690" t="s">
        <v>440</v>
      </c>
      <c r="C690" t="s">
        <v>1362</v>
      </c>
      <c r="D690" t="s">
        <v>1386</v>
      </c>
      <c r="E690" t="s">
        <v>390</v>
      </c>
      <c r="F690" t="s">
        <v>391</v>
      </c>
      <c r="G690">
        <v>6102194</v>
      </c>
      <c r="H690">
        <v>202109</v>
      </c>
      <c r="I690" s="400">
        <v>44462</v>
      </c>
      <c r="J690">
        <v>124932</v>
      </c>
      <c r="K690" t="s">
        <v>386</v>
      </c>
      <c r="L690" t="s">
        <v>1392</v>
      </c>
      <c r="M690" t="s">
        <v>1393</v>
      </c>
      <c r="O690" t="s">
        <v>1001</v>
      </c>
      <c r="P690" t="s">
        <v>1002</v>
      </c>
      <c r="Q690" t="s">
        <v>450</v>
      </c>
      <c r="R690">
        <v>2069084</v>
      </c>
      <c r="S690" t="s">
        <v>387</v>
      </c>
      <c r="U690" t="s">
        <v>1397</v>
      </c>
      <c r="V690" t="s">
        <v>398</v>
      </c>
      <c r="W690" s="393">
        <v>9000</v>
      </c>
      <c r="X690" s="393">
        <v>2.35</v>
      </c>
      <c r="Y690" s="393">
        <v>20.41</v>
      </c>
      <c r="Z690" s="393">
        <v>9000</v>
      </c>
      <c r="AA690">
        <v>0</v>
      </c>
      <c r="AB690" s="400">
        <v>44474.213166469905</v>
      </c>
      <c r="AC690" t="s">
        <v>324</v>
      </c>
    </row>
    <row r="691" spans="1:29">
      <c r="A691" t="s">
        <v>382</v>
      </c>
      <c r="B691" t="s">
        <v>440</v>
      </c>
      <c r="C691" t="s">
        <v>1362</v>
      </c>
      <c r="D691" t="s">
        <v>1386</v>
      </c>
      <c r="E691" t="s">
        <v>390</v>
      </c>
      <c r="F691" t="s">
        <v>391</v>
      </c>
      <c r="G691">
        <v>6102194</v>
      </c>
      <c r="H691">
        <v>202109</v>
      </c>
      <c r="I691" s="400">
        <v>44462</v>
      </c>
      <c r="J691">
        <v>124932</v>
      </c>
      <c r="K691" t="s">
        <v>386</v>
      </c>
      <c r="L691" t="s">
        <v>1392</v>
      </c>
      <c r="M691" t="s">
        <v>1393</v>
      </c>
      <c r="O691" t="s">
        <v>1001</v>
      </c>
      <c r="P691" t="s">
        <v>1002</v>
      </c>
      <c r="Q691" t="s">
        <v>450</v>
      </c>
      <c r="R691">
        <v>2069084</v>
      </c>
      <c r="S691" t="s">
        <v>387</v>
      </c>
      <c r="U691" t="s">
        <v>1398</v>
      </c>
      <c r="V691" t="s">
        <v>398</v>
      </c>
      <c r="W691" s="393">
        <v>9000</v>
      </c>
      <c r="X691" s="393">
        <v>2.35</v>
      </c>
      <c r="Y691" s="393">
        <v>20.41</v>
      </c>
      <c r="Z691" s="393">
        <v>9000</v>
      </c>
      <c r="AA691">
        <v>0</v>
      </c>
      <c r="AB691" s="400">
        <v>44474.213166469905</v>
      </c>
      <c r="AC691" t="s">
        <v>324</v>
      </c>
    </row>
    <row r="692" spans="1:29">
      <c r="A692" t="s">
        <v>382</v>
      </c>
      <c r="B692" t="s">
        <v>440</v>
      </c>
      <c r="C692" t="s">
        <v>1362</v>
      </c>
      <c r="D692" t="s">
        <v>1399</v>
      </c>
      <c r="E692" t="s">
        <v>390</v>
      </c>
      <c r="F692" t="s">
        <v>391</v>
      </c>
      <c r="G692">
        <v>6100694</v>
      </c>
      <c r="H692">
        <v>202104</v>
      </c>
      <c r="I692" s="400">
        <v>44316</v>
      </c>
      <c r="J692">
        <v>122536</v>
      </c>
      <c r="K692" t="s">
        <v>386</v>
      </c>
      <c r="L692">
        <v>119010</v>
      </c>
      <c r="M692" t="s">
        <v>1158</v>
      </c>
      <c r="O692" t="s">
        <v>705</v>
      </c>
      <c r="P692" t="s">
        <v>706</v>
      </c>
      <c r="Q692" t="s">
        <v>450</v>
      </c>
      <c r="R692">
        <v>2069084</v>
      </c>
      <c r="S692" t="s">
        <v>387</v>
      </c>
      <c r="U692" t="s">
        <v>1400</v>
      </c>
      <c r="V692" t="s">
        <v>398</v>
      </c>
      <c r="W692" s="393">
        <v>95000</v>
      </c>
      <c r="X692" s="393">
        <v>25.65</v>
      </c>
      <c r="Y692" s="393">
        <v>212.52</v>
      </c>
      <c r="Z692" s="393">
        <v>95000</v>
      </c>
      <c r="AA692">
        <v>0</v>
      </c>
      <c r="AB692" s="400">
        <v>44318.064262037034</v>
      </c>
      <c r="AC692" t="s">
        <v>324</v>
      </c>
    </row>
    <row r="693" spans="1:29">
      <c r="A693" t="s">
        <v>382</v>
      </c>
      <c r="B693" t="s">
        <v>440</v>
      </c>
      <c r="C693" t="s">
        <v>1362</v>
      </c>
      <c r="D693" t="s">
        <v>1399</v>
      </c>
      <c r="E693" t="s">
        <v>390</v>
      </c>
      <c r="F693" t="s">
        <v>391</v>
      </c>
      <c r="G693">
        <v>6100688</v>
      </c>
      <c r="H693">
        <v>202104</v>
      </c>
      <c r="I693" s="400">
        <v>44309</v>
      </c>
      <c r="J693">
        <v>122536</v>
      </c>
      <c r="K693" t="s">
        <v>386</v>
      </c>
      <c r="L693">
        <v>119010</v>
      </c>
      <c r="M693" t="s">
        <v>1158</v>
      </c>
      <c r="O693" t="s">
        <v>705</v>
      </c>
      <c r="P693" t="s">
        <v>706</v>
      </c>
      <c r="Q693" t="s">
        <v>450</v>
      </c>
      <c r="R693">
        <v>2069084</v>
      </c>
      <c r="S693" t="s">
        <v>387</v>
      </c>
      <c r="U693" t="s">
        <v>1401</v>
      </c>
      <c r="V693" t="s">
        <v>398</v>
      </c>
      <c r="W693" s="393">
        <v>570000</v>
      </c>
      <c r="X693" s="393">
        <v>156.75</v>
      </c>
      <c r="Y693" s="393">
        <v>1298.46</v>
      </c>
      <c r="Z693" s="393">
        <v>570000</v>
      </c>
      <c r="AA693">
        <v>318</v>
      </c>
      <c r="AB693" s="400">
        <v>44317.991880983798</v>
      </c>
      <c r="AC693" t="s">
        <v>324</v>
      </c>
    </row>
    <row r="694" spans="1:29">
      <c r="A694" t="s">
        <v>382</v>
      </c>
      <c r="B694" t="s">
        <v>440</v>
      </c>
      <c r="C694" t="s">
        <v>1362</v>
      </c>
      <c r="D694" t="s">
        <v>1399</v>
      </c>
      <c r="E694" t="s">
        <v>390</v>
      </c>
      <c r="F694" t="s">
        <v>391</v>
      </c>
      <c r="G694">
        <v>6100738</v>
      </c>
      <c r="H694">
        <v>202104</v>
      </c>
      <c r="I694" s="400">
        <v>44316</v>
      </c>
      <c r="J694">
        <v>122536</v>
      </c>
      <c r="K694" t="s">
        <v>386</v>
      </c>
      <c r="L694">
        <v>124474</v>
      </c>
      <c r="M694" t="s">
        <v>1165</v>
      </c>
      <c r="O694" t="s">
        <v>705</v>
      </c>
      <c r="P694" t="s">
        <v>706</v>
      </c>
      <c r="Q694" t="s">
        <v>396</v>
      </c>
      <c r="R694">
        <v>2265776</v>
      </c>
      <c r="S694" t="s">
        <v>387</v>
      </c>
      <c r="U694" t="s">
        <v>1402</v>
      </c>
      <c r="V694" t="s">
        <v>398</v>
      </c>
      <c r="W694" s="393">
        <v>95000</v>
      </c>
      <c r="X694" s="393">
        <v>25.65</v>
      </c>
      <c r="Y694" s="393">
        <v>212.52</v>
      </c>
      <c r="Z694" s="393">
        <v>95000</v>
      </c>
      <c r="AA694">
        <v>0</v>
      </c>
      <c r="AB694" s="400">
        <v>44319.793862152779</v>
      </c>
      <c r="AC694" t="s">
        <v>326</v>
      </c>
    </row>
    <row r="695" spans="1:29">
      <c r="A695" t="s">
        <v>382</v>
      </c>
      <c r="B695" t="s">
        <v>440</v>
      </c>
      <c r="C695" t="s">
        <v>1362</v>
      </c>
      <c r="D695" t="s">
        <v>1399</v>
      </c>
      <c r="E695" t="s">
        <v>390</v>
      </c>
      <c r="F695" t="s">
        <v>391</v>
      </c>
      <c r="G695">
        <v>6100688</v>
      </c>
      <c r="H695">
        <v>202104</v>
      </c>
      <c r="I695" s="400">
        <v>44309</v>
      </c>
      <c r="J695">
        <v>122536</v>
      </c>
      <c r="K695" t="s">
        <v>386</v>
      </c>
      <c r="L695" t="s">
        <v>1234</v>
      </c>
      <c r="M695" t="s">
        <v>1235</v>
      </c>
      <c r="O695" t="s">
        <v>642</v>
      </c>
      <c r="P695" t="s">
        <v>643</v>
      </c>
      <c r="Q695" t="s">
        <v>450</v>
      </c>
      <c r="R695">
        <v>2069084</v>
      </c>
      <c r="S695" t="s">
        <v>387</v>
      </c>
      <c r="U695" t="s">
        <v>1403</v>
      </c>
      <c r="V695" t="s">
        <v>398</v>
      </c>
      <c r="W695" s="393">
        <v>151000</v>
      </c>
      <c r="X695" s="393">
        <v>41.53</v>
      </c>
      <c r="Y695" s="393">
        <v>343.98</v>
      </c>
      <c r="Z695" s="393">
        <v>151000</v>
      </c>
      <c r="AA695">
        <v>318</v>
      </c>
      <c r="AB695" s="400">
        <v>44317.991881331021</v>
      </c>
      <c r="AC695" t="s">
        <v>324</v>
      </c>
    </row>
    <row r="696" spans="1:29">
      <c r="A696" t="s">
        <v>382</v>
      </c>
      <c r="B696" t="s">
        <v>440</v>
      </c>
      <c r="C696" t="s">
        <v>1362</v>
      </c>
      <c r="D696" t="s">
        <v>1399</v>
      </c>
      <c r="E696" t="s">
        <v>390</v>
      </c>
      <c r="F696" t="s">
        <v>391</v>
      </c>
      <c r="G696">
        <v>6100688</v>
      </c>
      <c r="H696">
        <v>202104</v>
      </c>
      <c r="I696" s="400">
        <v>44309</v>
      </c>
      <c r="J696">
        <v>122536</v>
      </c>
      <c r="K696" t="s">
        <v>386</v>
      </c>
      <c r="L696" t="s">
        <v>1234</v>
      </c>
      <c r="M696" t="s">
        <v>1235</v>
      </c>
      <c r="O696" t="s">
        <v>642</v>
      </c>
      <c r="P696" t="s">
        <v>643</v>
      </c>
      <c r="Q696" t="s">
        <v>450</v>
      </c>
      <c r="R696">
        <v>2069084</v>
      </c>
      <c r="S696" t="s">
        <v>387</v>
      </c>
      <c r="U696" t="s">
        <v>1404</v>
      </c>
      <c r="V696" t="s">
        <v>398</v>
      </c>
      <c r="W696" s="393">
        <v>302000</v>
      </c>
      <c r="X696" s="393">
        <v>83.05</v>
      </c>
      <c r="Y696" s="393">
        <v>687.96</v>
      </c>
      <c r="Z696" s="393">
        <v>302000</v>
      </c>
      <c r="AA696">
        <v>318</v>
      </c>
      <c r="AB696" s="400">
        <v>44317.991881331021</v>
      </c>
      <c r="AC696" t="s">
        <v>324</v>
      </c>
    </row>
    <row r="697" spans="1:29">
      <c r="A697" t="s">
        <v>382</v>
      </c>
      <c r="B697" t="s">
        <v>440</v>
      </c>
      <c r="C697" t="s">
        <v>1362</v>
      </c>
      <c r="D697" t="s">
        <v>1399</v>
      </c>
      <c r="E697" t="s">
        <v>390</v>
      </c>
      <c r="F697" t="s">
        <v>391</v>
      </c>
      <c r="G697">
        <v>6100738</v>
      </c>
      <c r="H697">
        <v>202104</v>
      </c>
      <c r="I697" s="400">
        <v>44316</v>
      </c>
      <c r="J697">
        <v>122536</v>
      </c>
      <c r="K697" t="s">
        <v>386</v>
      </c>
      <c r="L697" t="s">
        <v>1195</v>
      </c>
      <c r="M697" t="s">
        <v>1196</v>
      </c>
      <c r="O697" t="s">
        <v>705</v>
      </c>
      <c r="P697" t="s">
        <v>706</v>
      </c>
      <c r="Q697" t="s">
        <v>396</v>
      </c>
      <c r="R697">
        <v>2265776</v>
      </c>
      <c r="S697" t="s">
        <v>387</v>
      </c>
      <c r="U697" t="s">
        <v>1405</v>
      </c>
      <c r="V697" t="s">
        <v>398</v>
      </c>
      <c r="W697" s="393">
        <v>95000</v>
      </c>
      <c r="X697" s="393">
        <v>25.65</v>
      </c>
      <c r="Y697" s="393">
        <v>212.52</v>
      </c>
      <c r="Z697" s="393">
        <v>95000</v>
      </c>
      <c r="AA697">
        <v>0</v>
      </c>
      <c r="AB697" s="400">
        <v>44319.793862152779</v>
      </c>
      <c r="AC697" t="s">
        <v>326</v>
      </c>
    </row>
    <row r="698" spans="1:29">
      <c r="A698" t="s">
        <v>382</v>
      </c>
      <c r="B698" t="s">
        <v>440</v>
      </c>
      <c r="C698" t="s">
        <v>1362</v>
      </c>
      <c r="D698" t="s">
        <v>1399</v>
      </c>
      <c r="E698" t="s">
        <v>390</v>
      </c>
      <c r="F698" t="s">
        <v>391</v>
      </c>
      <c r="G698">
        <v>6100838</v>
      </c>
      <c r="H698">
        <v>202105</v>
      </c>
      <c r="I698" s="400">
        <v>44330</v>
      </c>
      <c r="J698">
        <v>122536</v>
      </c>
      <c r="K698" t="s">
        <v>386</v>
      </c>
      <c r="L698" t="s">
        <v>1406</v>
      </c>
      <c r="M698" t="s">
        <v>1407</v>
      </c>
      <c r="O698" t="s">
        <v>642</v>
      </c>
      <c r="P698" t="s">
        <v>643</v>
      </c>
      <c r="Q698" t="s">
        <v>396</v>
      </c>
      <c r="R698">
        <v>2265776</v>
      </c>
      <c r="S698" t="s">
        <v>387</v>
      </c>
      <c r="U698" t="s">
        <v>1408</v>
      </c>
      <c r="V698" t="s">
        <v>398</v>
      </c>
      <c r="W698" s="393">
        <v>453000</v>
      </c>
      <c r="X698" s="393">
        <v>117.78</v>
      </c>
      <c r="Y698" s="393">
        <v>966.25</v>
      </c>
      <c r="Z698" s="393">
        <v>453000</v>
      </c>
      <c r="AA698">
        <v>318</v>
      </c>
      <c r="AB698" s="400">
        <v>44334.70351890046</v>
      </c>
      <c r="AC698" t="s">
        <v>326</v>
      </c>
    </row>
    <row r="699" spans="1:29">
      <c r="A699" t="s">
        <v>382</v>
      </c>
      <c r="B699" t="s">
        <v>440</v>
      </c>
      <c r="C699" t="s">
        <v>1362</v>
      </c>
      <c r="D699" t="s">
        <v>1399</v>
      </c>
      <c r="E699" t="s">
        <v>390</v>
      </c>
      <c r="F699" t="s">
        <v>391</v>
      </c>
      <c r="G699">
        <v>6101602</v>
      </c>
      <c r="H699">
        <v>202108</v>
      </c>
      <c r="I699" s="400">
        <v>44428</v>
      </c>
      <c r="J699">
        <v>125062</v>
      </c>
      <c r="K699" t="s">
        <v>386</v>
      </c>
      <c r="L699">
        <v>119010</v>
      </c>
      <c r="M699" t="s">
        <v>1158</v>
      </c>
      <c r="O699" t="s">
        <v>1409</v>
      </c>
      <c r="P699" t="s">
        <v>1410</v>
      </c>
      <c r="Q699" t="s">
        <v>450</v>
      </c>
      <c r="R699">
        <v>2069084</v>
      </c>
      <c r="S699" t="s">
        <v>387</v>
      </c>
      <c r="U699" t="s">
        <v>1411</v>
      </c>
      <c r="V699" t="s">
        <v>398</v>
      </c>
      <c r="W699" s="393">
        <v>322000</v>
      </c>
      <c r="X699" s="393">
        <v>83.39</v>
      </c>
      <c r="Y699" s="393">
        <v>723.24</v>
      </c>
      <c r="Z699" s="393">
        <v>322000</v>
      </c>
      <c r="AA699">
        <v>318</v>
      </c>
      <c r="AB699" s="400">
        <v>44431.771195601854</v>
      </c>
      <c r="AC699" t="s">
        <v>324</v>
      </c>
    </row>
    <row r="700" spans="1:29">
      <c r="A700" t="s">
        <v>382</v>
      </c>
      <c r="B700" t="s">
        <v>440</v>
      </c>
      <c r="C700" t="s">
        <v>1362</v>
      </c>
      <c r="D700" t="s">
        <v>1399</v>
      </c>
      <c r="E700" t="s">
        <v>390</v>
      </c>
      <c r="F700" t="s">
        <v>391</v>
      </c>
      <c r="G700">
        <v>6101602</v>
      </c>
      <c r="H700">
        <v>202108</v>
      </c>
      <c r="I700" s="400">
        <v>44428</v>
      </c>
      <c r="J700">
        <v>125062</v>
      </c>
      <c r="K700" t="s">
        <v>386</v>
      </c>
      <c r="L700" t="s">
        <v>1175</v>
      </c>
      <c r="M700" t="s">
        <v>1176</v>
      </c>
      <c r="O700" t="s">
        <v>1409</v>
      </c>
      <c r="P700" t="s">
        <v>1410</v>
      </c>
      <c r="Q700" t="s">
        <v>450</v>
      </c>
      <c r="R700">
        <v>2069084</v>
      </c>
      <c r="S700" t="s">
        <v>387</v>
      </c>
      <c r="U700" t="s">
        <v>1412</v>
      </c>
      <c r="V700" t="s">
        <v>398</v>
      </c>
      <c r="W700" s="393">
        <v>322000</v>
      </c>
      <c r="X700" s="393">
        <v>83.39</v>
      </c>
      <c r="Y700" s="393">
        <v>723.24</v>
      </c>
      <c r="Z700" s="393">
        <v>322000</v>
      </c>
      <c r="AA700">
        <v>318</v>
      </c>
      <c r="AB700" s="400">
        <v>44431.771195601854</v>
      </c>
      <c r="AC700" t="s">
        <v>324</v>
      </c>
    </row>
    <row r="701" spans="1:29">
      <c r="A701" t="s">
        <v>382</v>
      </c>
      <c r="B701" t="s">
        <v>440</v>
      </c>
      <c r="C701" t="s">
        <v>1362</v>
      </c>
      <c r="D701" t="s">
        <v>1399</v>
      </c>
      <c r="E701" t="s">
        <v>390</v>
      </c>
      <c r="F701" t="s">
        <v>391</v>
      </c>
      <c r="G701">
        <v>6101602</v>
      </c>
      <c r="H701">
        <v>202108</v>
      </c>
      <c r="I701" s="400">
        <v>44428</v>
      </c>
      <c r="J701">
        <v>125062</v>
      </c>
      <c r="K701" t="s">
        <v>386</v>
      </c>
      <c r="L701" t="s">
        <v>1195</v>
      </c>
      <c r="M701" t="s">
        <v>1196</v>
      </c>
      <c r="O701" t="s">
        <v>1413</v>
      </c>
      <c r="P701" t="s">
        <v>1414</v>
      </c>
      <c r="Q701" t="s">
        <v>396</v>
      </c>
      <c r="R701">
        <v>2265776</v>
      </c>
      <c r="S701" t="s">
        <v>387</v>
      </c>
      <c r="U701" t="s">
        <v>1415</v>
      </c>
      <c r="V701" t="s">
        <v>398</v>
      </c>
      <c r="W701" s="393">
        <v>340000</v>
      </c>
      <c r="X701" s="393">
        <v>88.05</v>
      </c>
      <c r="Y701" s="393">
        <v>763.67</v>
      </c>
      <c r="Z701" s="393">
        <v>340000</v>
      </c>
      <c r="AA701">
        <v>0</v>
      </c>
      <c r="AB701" s="400">
        <v>44431.77119521991</v>
      </c>
      <c r="AC701" t="s">
        <v>326</v>
      </c>
    </row>
    <row r="702" spans="1:29">
      <c r="A702" t="s">
        <v>382</v>
      </c>
      <c r="B702" t="s">
        <v>440</v>
      </c>
      <c r="C702" t="s">
        <v>1362</v>
      </c>
      <c r="D702" t="s">
        <v>1399</v>
      </c>
      <c r="E702" t="s">
        <v>390</v>
      </c>
      <c r="F702" t="s">
        <v>391</v>
      </c>
      <c r="G702">
        <v>6101924</v>
      </c>
      <c r="H702">
        <v>202109</v>
      </c>
      <c r="I702" s="400">
        <v>44449</v>
      </c>
      <c r="J702">
        <v>125062</v>
      </c>
      <c r="K702" t="s">
        <v>386</v>
      </c>
      <c r="L702">
        <v>119010</v>
      </c>
      <c r="M702" t="s">
        <v>1158</v>
      </c>
      <c r="O702" t="s">
        <v>849</v>
      </c>
      <c r="P702" t="s">
        <v>850</v>
      </c>
      <c r="Q702" t="s">
        <v>450</v>
      </c>
      <c r="R702">
        <v>2069084</v>
      </c>
      <c r="S702" t="s">
        <v>387</v>
      </c>
      <c r="U702" t="s">
        <v>1416</v>
      </c>
      <c r="V702" t="s">
        <v>398</v>
      </c>
      <c r="W702" s="393">
        <v>95000</v>
      </c>
      <c r="X702" s="393">
        <v>24.89</v>
      </c>
      <c r="Y702" s="393">
        <v>216.87</v>
      </c>
      <c r="Z702" s="393">
        <v>95000</v>
      </c>
      <c r="AA702">
        <v>0</v>
      </c>
      <c r="AB702" s="400">
        <v>44458.709531018518</v>
      </c>
      <c r="AC702" t="s">
        <v>324</v>
      </c>
    </row>
    <row r="703" spans="1:29">
      <c r="A703" t="s">
        <v>382</v>
      </c>
      <c r="B703" t="s">
        <v>440</v>
      </c>
      <c r="C703" t="s">
        <v>1362</v>
      </c>
      <c r="D703" t="s">
        <v>1399</v>
      </c>
      <c r="E703" t="s">
        <v>390</v>
      </c>
      <c r="F703" t="s">
        <v>391</v>
      </c>
      <c r="G703">
        <v>6102050</v>
      </c>
      <c r="H703">
        <v>202109</v>
      </c>
      <c r="I703" s="400">
        <v>44463</v>
      </c>
      <c r="J703">
        <v>122536</v>
      </c>
      <c r="K703" t="s">
        <v>386</v>
      </c>
      <c r="L703">
        <v>119010</v>
      </c>
      <c r="M703" t="s">
        <v>1158</v>
      </c>
      <c r="O703" t="s">
        <v>1417</v>
      </c>
      <c r="P703" t="s">
        <v>1418</v>
      </c>
      <c r="Q703" t="s">
        <v>450</v>
      </c>
      <c r="R703">
        <v>2069084</v>
      </c>
      <c r="S703" t="s">
        <v>387</v>
      </c>
      <c r="U703" t="s">
        <v>1419</v>
      </c>
      <c r="V703" t="s">
        <v>398</v>
      </c>
      <c r="W703" s="393">
        <v>110000</v>
      </c>
      <c r="X703" s="393">
        <v>28.69</v>
      </c>
      <c r="Y703" s="393">
        <v>249.43</v>
      </c>
      <c r="Z703" s="393">
        <v>110000</v>
      </c>
      <c r="AA703">
        <v>0</v>
      </c>
      <c r="AB703" s="400">
        <v>44469.892926504632</v>
      </c>
      <c r="AC703" t="s">
        <v>324</v>
      </c>
    </row>
    <row r="704" spans="1:29">
      <c r="A704" t="s">
        <v>382</v>
      </c>
      <c r="B704" t="s">
        <v>440</v>
      </c>
      <c r="C704" t="s">
        <v>1362</v>
      </c>
      <c r="D704" t="s">
        <v>1399</v>
      </c>
      <c r="E704" t="s">
        <v>390</v>
      </c>
      <c r="F704" t="s">
        <v>391</v>
      </c>
      <c r="G704">
        <v>6101924</v>
      </c>
      <c r="H704">
        <v>202109</v>
      </c>
      <c r="I704" s="400">
        <v>44449</v>
      </c>
      <c r="J704">
        <v>125062</v>
      </c>
      <c r="K704" t="s">
        <v>386</v>
      </c>
      <c r="L704" t="s">
        <v>1175</v>
      </c>
      <c r="M704" t="s">
        <v>1176</v>
      </c>
      <c r="O704" t="s">
        <v>849</v>
      </c>
      <c r="P704" t="s">
        <v>850</v>
      </c>
      <c r="Q704" t="s">
        <v>450</v>
      </c>
      <c r="R704">
        <v>2069084</v>
      </c>
      <c r="S704" t="s">
        <v>387</v>
      </c>
      <c r="U704" t="s">
        <v>1420</v>
      </c>
      <c r="V704" t="s">
        <v>398</v>
      </c>
      <c r="W704" s="393">
        <v>95000</v>
      </c>
      <c r="X704" s="393">
        <v>24.89</v>
      </c>
      <c r="Y704" s="393">
        <v>216.87</v>
      </c>
      <c r="Z704" s="393">
        <v>95000</v>
      </c>
      <c r="AA704">
        <v>0</v>
      </c>
      <c r="AB704" s="400">
        <v>44458.709531018518</v>
      </c>
      <c r="AC704" t="s">
        <v>324</v>
      </c>
    </row>
    <row r="705" spans="1:29">
      <c r="A705" t="s">
        <v>382</v>
      </c>
      <c r="B705" t="s">
        <v>440</v>
      </c>
      <c r="C705" t="s">
        <v>1362</v>
      </c>
      <c r="D705" t="s">
        <v>1421</v>
      </c>
      <c r="E705" t="s">
        <v>390</v>
      </c>
      <c r="F705" t="s">
        <v>391</v>
      </c>
      <c r="G705">
        <v>6100730</v>
      </c>
      <c r="H705">
        <v>202104</v>
      </c>
      <c r="I705" s="400">
        <v>44316</v>
      </c>
      <c r="J705" t="s">
        <v>452</v>
      </c>
      <c r="K705" t="s">
        <v>386</v>
      </c>
      <c r="L705">
        <v>119010</v>
      </c>
      <c r="M705" t="s">
        <v>1158</v>
      </c>
      <c r="O705" t="s">
        <v>593</v>
      </c>
      <c r="P705" t="s">
        <v>594</v>
      </c>
      <c r="Q705" t="s">
        <v>450</v>
      </c>
      <c r="R705">
        <v>2069084</v>
      </c>
      <c r="S705" t="s">
        <v>387</v>
      </c>
      <c r="U705" t="s">
        <v>1422</v>
      </c>
      <c r="V705" t="s">
        <v>398</v>
      </c>
      <c r="W705" s="393">
        <v>7500</v>
      </c>
      <c r="X705" s="393">
        <v>2.0299999999999998</v>
      </c>
      <c r="Y705" s="393">
        <v>16.78</v>
      </c>
      <c r="Z705" s="393">
        <v>7500</v>
      </c>
      <c r="AA705">
        <v>0</v>
      </c>
      <c r="AB705" s="400">
        <v>44319.757639317133</v>
      </c>
      <c r="AC705" t="s">
        <v>324</v>
      </c>
    </row>
    <row r="706" spans="1:29">
      <c r="A706" t="s">
        <v>382</v>
      </c>
      <c r="B706" t="s">
        <v>440</v>
      </c>
      <c r="C706" t="s">
        <v>1362</v>
      </c>
      <c r="D706" t="s">
        <v>1421</v>
      </c>
      <c r="E706" t="s">
        <v>390</v>
      </c>
      <c r="F706" t="s">
        <v>391</v>
      </c>
      <c r="G706">
        <v>6100730</v>
      </c>
      <c r="H706">
        <v>202104</v>
      </c>
      <c r="I706" s="400">
        <v>44316</v>
      </c>
      <c r="J706" t="s">
        <v>452</v>
      </c>
      <c r="K706" t="s">
        <v>386</v>
      </c>
      <c r="L706">
        <v>119010</v>
      </c>
      <c r="M706" t="s">
        <v>1158</v>
      </c>
      <c r="O706" t="s">
        <v>857</v>
      </c>
      <c r="P706" t="s">
        <v>858</v>
      </c>
      <c r="Q706" t="s">
        <v>450</v>
      </c>
      <c r="R706">
        <v>2069084</v>
      </c>
      <c r="S706" t="s">
        <v>387</v>
      </c>
      <c r="U706" t="s">
        <v>1423</v>
      </c>
      <c r="V706" t="s">
        <v>398</v>
      </c>
      <c r="W706" s="393">
        <v>10500</v>
      </c>
      <c r="X706" s="393">
        <v>2.84</v>
      </c>
      <c r="Y706" s="393">
        <v>23.49</v>
      </c>
      <c r="Z706" s="393">
        <v>10500</v>
      </c>
      <c r="AA706">
        <v>0</v>
      </c>
      <c r="AB706" s="400">
        <v>44319.757639317133</v>
      </c>
      <c r="AC706" t="s">
        <v>324</v>
      </c>
    </row>
    <row r="707" spans="1:29">
      <c r="A707" t="s">
        <v>382</v>
      </c>
      <c r="B707" t="s">
        <v>440</v>
      </c>
      <c r="C707" t="s">
        <v>1362</v>
      </c>
      <c r="D707" t="s">
        <v>1421</v>
      </c>
      <c r="E707" t="s">
        <v>390</v>
      </c>
      <c r="F707" t="s">
        <v>391</v>
      </c>
      <c r="G707">
        <v>6100730</v>
      </c>
      <c r="H707">
        <v>202104</v>
      </c>
      <c r="I707" s="400">
        <v>44316</v>
      </c>
      <c r="J707" t="s">
        <v>452</v>
      </c>
      <c r="K707" t="s">
        <v>386</v>
      </c>
      <c r="L707">
        <v>119010</v>
      </c>
      <c r="M707" t="s">
        <v>1158</v>
      </c>
      <c r="O707" t="s">
        <v>794</v>
      </c>
      <c r="P707" t="s">
        <v>795</v>
      </c>
      <c r="Q707" t="s">
        <v>450</v>
      </c>
      <c r="R707">
        <v>2069084</v>
      </c>
      <c r="S707" t="s">
        <v>387</v>
      </c>
      <c r="U707" t="s">
        <v>1424</v>
      </c>
      <c r="V707" t="s">
        <v>398</v>
      </c>
      <c r="W707" s="393">
        <v>5500</v>
      </c>
      <c r="X707" s="393">
        <v>1.49</v>
      </c>
      <c r="Y707" s="393">
        <v>12.3</v>
      </c>
      <c r="Z707" s="393">
        <v>5500</v>
      </c>
      <c r="AA707">
        <v>0</v>
      </c>
      <c r="AB707" s="400">
        <v>44319.757639317133</v>
      </c>
      <c r="AC707" t="s">
        <v>324</v>
      </c>
    </row>
    <row r="708" spans="1:29">
      <c r="A708" t="s">
        <v>382</v>
      </c>
      <c r="B708" t="s">
        <v>440</v>
      </c>
      <c r="C708" t="s">
        <v>1362</v>
      </c>
      <c r="D708" t="s">
        <v>1421</v>
      </c>
      <c r="E708" t="s">
        <v>390</v>
      </c>
      <c r="F708" t="s">
        <v>391</v>
      </c>
      <c r="G708">
        <v>6100730</v>
      </c>
      <c r="H708">
        <v>202104</v>
      </c>
      <c r="I708" s="400">
        <v>44316</v>
      </c>
      <c r="J708" t="s">
        <v>452</v>
      </c>
      <c r="K708" t="s">
        <v>386</v>
      </c>
      <c r="L708">
        <v>119010</v>
      </c>
      <c r="M708" t="s">
        <v>1158</v>
      </c>
      <c r="O708" t="s">
        <v>1108</v>
      </c>
      <c r="P708" t="s">
        <v>1109</v>
      </c>
      <c r="Q708" t="s">
        <v>450</v>
      </c>
      <c r="R708">
        <v>2069084</v>
      </c>
      <c r="S708" t="s">
        <v>387</v>
      </c>
      <c r="U708" t="s">
        <v>1425</v>
      </c>
      <c r="V708" t="s">
        <v>398</v>
      </c>
      <c r="W708" s="393">
        <v>34700</v>
      </c>
      <c r="X708" s="393">
        <v>9.3699999999999992</v>
      </c>
      <c r="Y708" s="393">
        <v>77.62</v>
      </c>
      <c r="Z708" s="393">
        <v>34700</v>
      </c>
      <c r="AA708">
        <v>0</v>
      </c>
      <c r="AB708" s="400">
        <v>44319.757639317133</v>
      </c>
      <c r="AC708" t="s">
        <v>324</v>
      </c>
    </row>
    <row r="709" spans="1:29">
      <c r="A709" t="s">
        <v>382</v>
      </c>
      <c r="B709" t="s">
        <v>440</v>
      </c>
      <c r="C709" t="s">
        <v>1362</v>
      </c>
      <c r="D709" t="s">
        <v>1421</v>
      </c>
      <c r="E709" t="s">
        <v>390</v>
      </c>
      <c r="F709" t="s">
        <v>391</v>
      </c>
      <c r="G709">
        <v>6100702</v>
      </c>
      <c r="H709">
        <v>202104</v>
      </c>
      <c r="I709" s="400">
        <v>44309</v>
      </c>
      <c r="J709" t="s">
        <v>452</v>
      </c>
      <c r="K709" t="s">
        <v>386</v>
      </c>
      <c r="L709">
        <v>119010</v>
      </c>
      <c r="M709" t="s">
        <v>1158</v>
      </c>
      <c r="O709" t="s">
        <v>1159</v>
      </c>
      <c r="P709" t="s">
        <v>1160</v>
      </c>
      <c r="Q709" t="s">
        <v>450</v>
      </c>
      <c r="R709">
        <v>2069084</v>
      </c>
      <c r="S709" t="s">
        <v>1426</v>
      </c>
      <c r="U709" t="s">
        <v>1427</v>
      </c>
      <c r="V709" t="s">
        <v>398</v>
      </c>
      <c r="W709" s="393">
        <v>36000</v>
      </c>
      <c r="X709" s="393">
        <v>9.9</v>
      </c>
      <c r="Y709" s="393">
        <v>82.01</v>
      </c>
      <c r="Z709" s="393">
        <v>36000</v>
      </c>
      <c r="AA709">
        <v>0</v>
      </c>
      <c r="AB709" s="400">
        <v>44318.960925081017</v>
      </c>
      <c r="AC709" t="s">
        <v>324</v>
      </c>
    </row>
    <row r="710" spans="1:29">
      <c r="A710" t="s">
        <v>382</v>
      </c>
      <c r="B710" t="s">
        <v>440</v>
      </c>
      <c r="C710" t="s">
        <v>1362</v>
      </c>
      <c r="D710" t="s">
        <v>1421</v>
      </c>
      <c r="E710" t="s">
        <v>390</v>
      </c>
      <c r="F710" t="s">
        <v>391</v>
      </c>
      <c r="G710">
        <v>6100702</v>
      </c>
      <c r="H710">
        <v>202104</v>
      </c>
      <c r="I710" s="400">
        <v>44309</v>
      </c>
      <c r="J710" t="s">
        <v>452</v>
      </c>
      <c r="K710" t="s">
        <v>386</v>
      </c>
      <c r="L710">
        <v>119010</v>
      </c>
      <c r="M710" t="s">
        <v>1158</v>
      </c>
      <c r="O710" t="s">
        <v>1428</v>
      </c>
      <c r="P710" t="s">
        <v>1429</v>
      </c>
      <c r="Q710" t="s">
        <v>450</v>
      </c>
      <c r="R710">
        <v>2069084</v>
      </c>
      <c r="S710" t="s">
        <v>1430</v>
      </c>
      <c r="U710" t="s">
        <v>1427</v>
      </c>
      <c r="V710" t="s">
        <v>398</v>
      </c>
      <c r="W710" s="393">
        <v>25700</v>
      </c>
      <c r="X710" s="393">
        <v>7.07</v>
      </c>
      <c r="Y710" s="393">
        <v>58.54</v>
      </c>
      <c r="Z710" s="393">
        <v>25700</v>
      </c>
      <c r="AA710">
        <v>0</v>
      </c>
      <c r="AB710" s="400">
        <v>44318.960925081017</v>
      </c>
      <c r="AC710" t="s">
        <v>324</v>
      </c>
    </row>
    <row r="711" spans="1:29">
      <c r="A711" t="s">
        <v>382</v>
      </c>
      <c r="B711" t="s">
        <v>440</v>
      </c>
      <c r="C711" t="s">
        <v>1362</v>
      </c>
      <c r="D711" t="s">
        <v>1421</v>
      </c>
      <c r="E711" t="s">
        <v>390</v>
      </c>
      <c r="F711" t="s">
        <v>391</v>
      </c>
      <c r="G711">
        <v>6100699</v>
      </c>
      <c r="H711">
        <v>202104</v>
      </c>
      <c r="I711" s="400">
        <v>44309</v>
      </c>
      <c r="J711" t="s">
        <v>452</v>
      </c>
      <c r="K711" t="s">
        <v>386</v>
      </c>
      <c r="L711">
        <v>119010</v>
      </c>
      <c r="M711" t="s">
        <v>1158</v>
      </c>
      <c r="O711" t="s">
        <v>1364</v>
      </c>
      <c r="P711" t="s">
        <v>1365</v>
      </c>
      <c r="Q711" t="s">
        <v>450</v>
      </c>
      <c r="R711">
        <v>2069084</v>
      </c>
      <c r="S711" t="s">
        <v>1431</v>
      </c>
      <c r="U711" t="s">
        <v>1432</v>
      </c>
      <c r="V711" t="s">
        <v>398</v>
      </c>
      <c r="W711" s="393">
        <v>-202000</v>
      </c>
      <c r="X711" s="393">
        <v>-55.55</v>
      </c>
      <c r="Y711" s="393">
        <v>-460.16</v>
      </c>
      <c r="Z711" s="393">
        <v>-202000</v>
      </c>
      <c r="AA711">
        <v>0</v>
      </c>
      <c r="AB711" s="400">
        <v>44318.781357094907</v>
      </c>
      <c r="AC711" t="s">
        <v>324</v>
      </c>
    </row>
    <row r="712" spans="1:29">
      <c r="A712" t="s">
        <v>382</v>
      </c>
      <c r="B712" t="s">
        <v>440</v>
      </c>
      <c r="C712" t="s">
        <v>1362</v>
      </c>
      <c r="D712" t="s">
        <v>1421</v>
      </c>
      <c r="E712" t="s">
        <v>390</v>
      </c>
      <c r="F712" t="s">
        <v>391</v>
      </c>
      <c r="G712">
        <v>6100699</v>
      </c>
      <c r="H712">
        <v>202104</v>
      </c>
      <c r="I712" s="400">
        <v>44309</v>
      </c>
      <c r="J712" t="s">
        <v>452</v>
      </c>
      <c r="K712" t="s">
        <v>386</v>
      </c>
      <c r="L712">
        <v>119010</v>
      </c>
      <c r="M712" t="s">
        <v>1158</v>
      </c>
      <c r="O712" t="s">
        <v>1364</v>
      </c>
      <c r="P712" t="s">
        <v>1365</v>
      </c>
      <c r="Q712" t="s">
        <v>450</v>
      </c>
      <c r="R712">
        <v>2069084</v>
      </c>
      <c r="S712" t="s">
        <v>1433</v>
      </c>
      <c r="U712" t="s">
        <v>1434</v>
      </c>
      <c r="V712" t="s">
        <v>398</v>
      </c>
      <c r="W712" s="393">
        <v>-800</v>
      </c>
      <c r="X712" s="393">
        <v>-0.22</v>
      </c>
      <c r="Y712" s="393">
        <v>-1.82</v>
      </c>
      <c r="Z712" s="393">
        <v>-800</v>
      </c>
      <c r="AA712">
        <v>0</v>
      </c>
      <c r="AB712" s="400">
        <v>44318.781357094907</v>
      </c>
      <c r="AC712" t="s">
        <v>324</v>
      </c>
    </row>
    <row r="713" spans="1:29">
      <c r="A713" t="s">
        <v>382</v>
      </c>
      <c r="B713" t="s">
        <v>440</v>
      </c>
      <c r="C713" t="s">
        <v>1362</v>
      </c>
      <c r="D713" t="s">
        <v>1421</v>
      </c>
      <c r="E713" t="s">
        <v>390</v>
      </c>
      <c r="F713" t="s">
        <v>391</v>
      </c>
      <c r="G713">
        <v>6100594</v>
      </c>
      <c r="H713">
        <v>202104</v>
      </c>
      <c r="I713" s="400">
        <v>44298</v>
      </c>
      <c r="J713" t="s">
        <v>452</v>
      </c>
      <c r="K713" t="s">
        <v>386</v>
      </c>
      <c r="L713">
        <v>119010</v>
      </c>
      <c r="M713" t="s">
        <v>1158</v>
      </c>
      <c r="O713" t="s">
        <v>1364</v>
      </c>
      <c r="P713" t="s">
        <v>1365</v>
      </c>
      <c r="Q713" t="s">
        <v>450</v>
      </c>
      <c r="R713">
        <v>2069084</v>
      </c>
      <c r="S713" t="s">
        <v>387</v>
      </c>
      <c r="U713" t="s">
        <v>1366</v>
      </c>
      <c r="V713" t="s">
        <v>398</v>
      </c>
      <c r="W713" s="393">
        <v>942857</v>
      </c>
      <c r="X713" s="393">
        <v>259.29000000000002</v>
      </c>
      <c r="Y713" s="393">
        <v>2218.54</v>
      </c>
      <c r="Z713" s="393">
        <v>942857</v>
      </c>
      <c r="AA713">
        <v>147</v>
      </c>
      <c r="AB713" s="400">
        <v>44304.264941203706</v>
      </c>
      <c r="AC713" t="s">
        <v>324</v>
      </c>
    </row>
    <row r="714" spans="1:29">
      <c r="A714" t="s">
        <v>382</v>
      </c>
      <c r="B714" t="s">
        <v>440</v>
      </c>
      <c r="C714" t="s">
        <v>1362</v>
      </c>
      <c r="D714" t="s">
        <v>1421</v>
      </c>
      <c r="E714" t="s">
        <v>390</v>
      </c>
      <c r="F714" t="s">
        <v>391</v>
      </c>
      <c r="G714">
        <v>6100594</v>
      </c>
      <c r="H714">
        <v>202104</v>
      </c>
      <c r="I714" s="400">
        <v>44298</v>
      </c>
      <c r="J714" t="s">
        <v>452</v>
      </c>
      <c r="K714" t="s">
        <v>386</v>
      </c>
      <c r="L714">
        <v>119010</v>
      </c>
      <c r="M714" t="s">
        <v>1158</v>
      </c>
      <c r="O714" t="s">
        <v>1364</v>
      </c>
      <c r="P714" t="s">
        <v>1365</v>
      </c>
      <c r="Q714" t="s">
        <v>450</v>
      </c>
      <c r="R714">
        <v>2069084</v>
      </c>
      <c r="S714" t="s">
        <v>387</v>
      </c>
      <c r="U714" t="s">
        <v>1366</v>
      </c>
      <c r="V714" t="s">
        <v>398</v>
      </c>
      <c r="W714" s="393">
        <v>1696800</v>
      </c>
      <c r="X714" s="393">
        <v>466.62</v>
      </c>
      <c r="Y714" s="393">
        <v>3992.57</v>
      </c>
      <c r="Z714" s="393">
        <v>1696800</v>
      </c>
      <c r="AA714">
        <v>0</v>
      </c>
      <c r="AB714" s="400">
        <v>44304.264941400463</v>
      </c>
      <c r="AC714" t="s">
        <v>324</v>
      </c>
    </row>
    <row r="715" spans="1:29">
      <c r="A715" t="s">
        <v>382</v>
      </c>
      <c r="B715" t="s">
        <v>440</v>
      </c>
      <c r="C715" t="s">
        <v>1362</v>
      </c>
      <c r="D715" t="s">
        <v>1421</v>
      </c>
      <c r="E715" t="s">
        <v>390</v>
      </c>
      <c r="F715" t="s">
        <v>391</v>
      </c>
      <c r="G715">
        <v>6100747</v>
      </c>
      <c r="H715">
        <v>202104</v>
      </c>
      <c r="I715" s="400">
        <v>44316</v>
      </c>
      <c r="J715" t="s">
        <v>452</v>
      </c>
      <c r="K715" t="s">
        <v>386</v>
      </c>
      <c r="L715">
        <v>124474</v>
      </c>
      <c r="M715" t="s">
        <v>1165</v>
      </c>
      <c r="O715" t="s">
        <v>593</v>
      </c>
      <c r="P715" t="s">
        <v>594</v>
      </c>
      <c r="Q715" t="s">
        <v>396</v>
      </c>
      <c r="R715">
        <v>2265776</v>
      </c>
      <c r="S715" t="s">
        <v>387</v>
      </c>
      <c r="U715" t="s">
        <v>1435</v>
      </c>
      <c r="V715" t="s">
        <v>398</v>
      </c>
      <c r="W715" s="393">
        <v>4000</v>
      </c>
      <c r="X715" s="393">
        <v>1.08</v>
      </c>
      <c r="Y715" s="393">
        <v>8.9499999999999993</v>
      </c>
      <c r="Z715" s="393">
        <v>4000</v>
      </c>
      <c r="AA715">
        <v>0</v>
      </c>
      <c r="AB715" s="400">
        <v>44319.884936342591</v>
      </c>
      <c r="AC715" t="s">
        <v>326</v>
      </c>
    </row>
    <row r="716" spans="1:29">
      <c r="A716" t="s">
        <v>382</v>
      </c>
      <c r="B716" t="s">
        <v>440</v>
      </c>
      <c r="C716" t="s">
        <v>1362</v>
      </c>
      <c r="D716" t="s">
        <v>1421</v>
      </c>
      <c r="E716" t="s">
        <v>390</v>
      </c>
      <c r="F716" t="s">
        <v>391</v>
      </c>
      <c r="G716">
        <v>6100747</v>
      </c>
      <c r="H716">
        <v>202104</v>
      </c>
      <c r="I716" s="400">
        <v>44316</v>
      </c>
      <c r="J716" t="s">
        <v>452</v>
      </c>
      <c r="K716" t="s">
        <v>386</v>
      </c>
      <c r="L716">
        <v>124474</v>
      </c>
      <c r="M716" t="s">
        <v>1165</v>
      </c>
      <c r="O716" t="s">
        <v>1108</v>
      </c>
      <c r="P716" t="s">
        <v>1109</v>
      </c>
      <c r="Q716" t="s">
        <v>396</v>
      </c>
      <c r="R716">
        <v>2265776</v>
      </c>
      <c r="S716" t="s">
        <v>387</v>
      </c>
      <c r="U716" t="s">
        <v>1436</v>
      </c>
      <c r="V716" t="s">
        <v>398</v>
      </c>
      <c r="W716" s="393">
        <v>28600</v>
      </c>
      <c r="X716" s="393">
        <v>7.72</v>
      </c>
      <c r="Y716" s="393">
        <v>63.98</v>
      </c>
      <c r="Z716" s="393">
        <v>28600</v>
      </c>
      <c r="AA716">
        <v>0</v>
      </c>
      <c r="AB716" s="400">
        <v>44319.884936342591</v>
      </c>
      <c r="AC716" t="s">
        <v>326</v>
      </c>
    </row>
    <row r="717" spans="1:29">
      <c r="A717" t="s">
        <v>382</v>
      </c>
      <c r="B717" t="s">
        <v>440</v>
      </c>
      <c r="C717" t="s">
        <v>1362</v>
      </c>
      <c r="D717" t="s">
        <v>1421</v>
      </c>
      <c r="E717" t="s">
        <v>390</v>
      </c>
      <c r="F717" t="s">
        <v>391</v>
      </c>
      <c r="G717">
        <v>6100704</v>
      </c>
      <c r="H717">
        <v>202104</v>
      </c>
      <c r="I717" s="400">
        <v>44309</v>
      </c>
      <c r="J717" t="s">
        <v>452</v>
      </c>
      <c r="K717" t="s">
        <v>386</v>
      </c>
      <c r="L717" t="s">
        <v>1387</v>
      </c>
      <c r="M717" t="s">
        <v>1388</v>
      </c>
      <c r="O717" t="s">
        <v>1437</v>
      </c>
      <c r="P717" t="s">
        <v>1438</v>
      </c>
      <c r="Q717" t="s">
        <v>450</v>
      </c>
      <c r="R717">
        <v>2069084</v>
      </c>
      <c r="S717" t="s">
        <v>1439</v>
      </c>
      <c r="U717" t="s">
        <v>1440</v>
      </c>
      <c r="V717" t="s">
        <v>398</v>
      </c>
      <c r="W717" s="393">
        <v>152000</v>
      </c>
      <c r="X717" s="393">
        <v>41.8</v>
      </c>
      <c r="Y717" s="393">
        <v>346.26</v>
      </c>
      <c r="Z717" s="393">
        <v>152000</v>
      </c>
      <c r="AA717">
        <v>318</v>
      </c>
      <c r="AB717" s="400">
        <v>44318.982477581019</v>
      </c>
      <c r="AC717" t="s">
        <v>324</v>
      </c>
    </row>
    <row r="718" spans="1:29">
      <c r="A718" t="s">
        <v>382</v>
      </c>
      <c r="B718" t="s">
        <v>440</v>
      </c>
      <c r="C718" t="s">
        <v>1362</v>
      </c>
      <c r="D718" t="s">
        <v>1421</v>
      </c>
      <c r="E718" t="s">
        <v>390</v>
      </c>
      <c r="F718" t="s">
        <v>391</v>
      </c>
      <c r="G718">
        <v>6100704</v>
      </c>
      <c r="H718">
        <v>202104</v>
      </c>
      <c r="I718" s="400">
        <v>44309</v>
      </c>
      <c r="J718" t="s">
        <v>452</v>
      </c>
      <c r="K718" t="s">
        <v>386</v>
      </c>
      <c r="L718" t="s">
        <v>1387</v>
      </c>
      <c r="M718" t="s">
        <v>1388</v>
      </c>
      <c r="O718" t="s">
        <v>794</v>
      </c>
      <c r="P718" t="s">
        <v>795</v>
      </c>
      <c r="Q718" t="s">
        <v>450</v>
      </c>
      <c r="R718">
        <v>2069084</v>
      </c>
      <c r="S718" t="s">
        <v>1441</v>
      </c>
      <c r="U718" t="s">
        <v>1442</v>
      </c>
      <c r="V718" t="s">
        <v>398</v>
      </c>
      <c r="W718" s="393">
        <v>49000</v>
      </c>
      <c r="X718" s="393">
        <v>13.48</v>
      </c>
      <c r="Y718" s="393">
        <v>111.62</v>
      </c>
      <c r="Z718" s="393">
        <v>49000</v>
      </c>
      <c r="AA718">
        <v>0</v>
      </c>
      <c r="AB718" s="400">
        <v>44318.982477581019</v>
      </c>
      <c r="AC718" t="s">
        <v>324</v>
      </c>
    </row>
    <row r="719" spans="1:29">
      <c r="A719" t="s">
        <v>382</v>
      </c>
      <c r="B719" t="s">
        <v>440</v>
      </c>
      <c r="C719" t="s">
        <v>1362</v>
      </c>
      <c r="D719" t="s">
        <v>1421</v>
      </c>
      <c r="E719" t="s">
        <v>390</v>
      </c>
      <c r="F719" t="s">
        <v>391</v>
      </c>
      <c r="G719">
        <v>6100704</v>
      </c>
      <c r="H719">
        <v>202104</v>
      </c>
      <c r="I719" s="400">
        <v>44309</v>
      </c>
      <c r="J719" t="s">
        <v>452</v>
      </c>
      <c r="K719" t="s">
        <v>386</v>
      </c>
      <c r="L719" t="s">
        <v>1387</v>
      </c>
      <c r="M719" t="s">
        <v>1388</v>
      </c>
      <c r="O719" t="s">
        <v>1364</v>
      </c>
      <c r="P719" t="s">
        <v>1365</v>
      </c>
      <c r="Q719" t="s">
        <v>450</v>
      </c>
      <c r="R719">
        <v>2069084</v>
      </c>
      <c r="S719" t="s">
        <v>1443</v>
      </c>
      <c r="U719" t="s">
        <v>1444</v>
      </c>
      <c r="V719" t="s">
        <v>398</v>
      </c>
      <c r="W719" s="393">
        <v>4200</v>
      </c>
      <c r="X719" s="393">
        <v>1.1599999999999999</v>
      </c>
      <c r="Y719" s="393">
        <v>9.57</v>
      </c>
      <c r="Z719" s="393">
        <v>4200</v>
      </c>
      <c r="AA719">
        <v>0</v>
      </c>
      <c r="AB719" s="400">
        <v>44318.982477581019</v>
      </c>
      <c r="AC719" t="s">
        <v>324</v>
      </c>
    </row>
    <row r="720" spans="1:29">
      <c r="A720" t="s">
        <v>382</v>
      </c>
      <c r="B720" t="s">
        <v>440</v>
      </c>
      <c r="C720" t="s">
        <v>1362</v>
      </c>
      <c r="D720" t="s">
        <v>1421</v>
      </c>
      <c r="E720" t="s">
        <v>390</v>
      </c>
      <c r="F720" t="s">
        <v>391</v>
      </c>
      <c r="G720">
        <v>6100704</v>
      </c>
      <c r="H720">
        <v>202104</v>
      </c>
      <c r="I720" s="400">
        <v>44309</v>
      </c>
      <c r="J720" t="s">
        <v>452</v>
      </c>
      <c r="K720" t="s">
        <v>386</v>
      </c>
      <c r="L720" t="s">
        <v>1387</v>
      </c>
      <c r="M720" t="s">
        <v>1388</v>
      </c>
      <c r="O720" t="s">
        <v>1445</v>
      </c>
      <c r="P720" t="s">
        <v>1446</v>
      </c>
      <c r="Q720" t="s">
        <v>450</v>
      </c>
      <c r="R720">
        <v>2069084</v>
      </c>
      <c r="S720" t="s">
        <v>1447</v>
      </c>
      <c r="U720" t="s">
        <v>1444</v>
      </c>
      <c r="V720" t="s">
        <v>398</v>
      </c>
      <c r="W720" s="393">
        <v>20800</v>
      </c>
      <c r="X720" s="393">
        <v>5.72</v>
      </c>
      <c r="Y720" s="393">
        <v>47.38</v>
      </c>
      <c r="Z720" s="393">
        <v>20800</v>
      </c>
      <c r="AA720">
        <v>0</v>
      </c>
      <c r="AB720" s="400">
        <v>44318.982477581019</v>
      </c>
      <c r="AC720" t="s">
        <v>324</v>
      </c>
    </row>
    <row r="721" spans="1:29">
      <c r="A721" t="s">
        <v>382</v>
      </c>
      <c r="B721" t="s">
        <v>1157</v>
      </c>
      <c r="C721" t="s">
        <v>1362</v>
      </c>
      <c r="D721" t="s">
        <v>1421</v>
      </c>
      <c r="E721" t="s">
        <v>1448</v>
      </c>
      <c r="F721" t="s">
        <v>1449</v>
      </c>
      <c r="G721">
        <v>7100322</v>
      </c>
      <c r="H721">
        <v>202104</v>
      </c>
      <c r="I721" s="400">
        <v>44309</v>
      </c>
      <c r="J721" t="s">
        <v>1036</v>
      </c>
      <c r="K721" t="s">
        <v>386</v>
      </c>
      <c r="L721" t="s">
        <v>1234</v>
      </c>
      <c r="M721" t="s">
        <v>1235</v>
      </c>
      <c r="O721" t="s">
        <v>1450</v>
      </c>
      <c r="P721" t="s">
        <v>1451</v>
      </c>
      <c r="Q721" t="s">
        <v>450</v>
      </c>
      <c r="R721">
        <v>2069084</v>
      </c>
      <c r="S721" t="s">
        <v>387</v>
      </c>
      <c r="U721" t="s">
        <v>1452</v>
      </c>
      <c r="V721" t="s">
        <v>398</v>
      </c>
      <c r="W721" s="393">
        <v>36000</v>
      </c>
      <c r="X721" s="393">
        <v>9.9</v>
      </c>
      <c r="Y721" s="393">
        <v>83.84</v>
      </c>
      <c r="Z721" s="393">
        <v>36000</v>
      </c>
      <c r="AA721">
        <v>0</v>
      </c>
      <c r="AB721" s="400">
        <v>44313.760350231481</v>
      </c>
      <c r="AC721" t="s">
        <v>324</v>
      </c>
    </row>
    <row r="722" spans="1:29">
      <c r="A722" t="s">
        <v>382</v>
      </c>
      <c r="B722" t="s">
        <v>1157</v>
      </c>
      <c r="C722" t="s">
        <v>1362</v>
      </c>
      <c r="D722" t="s">
        <v>1421</v>
      </c>
      <c r="E722" t="s">
        <v>1448</v>
      </c>
      <c r="F722" t="s">
        <v>1449</v>
      </c>
      <c r="G722">
        <v>7100322</v>
      </c>
      <c r="H722">
        <v>202104</v>
      </c>
      <c r="I722" s="400">
        <v>44309</v>
      </c>
      <c r="J722" t="s">
        <v>1036</v>
      </c>
      <c r="K722" t="s">
        <v>386</v>
      </c>
      <c r="L722" t="s">
        <v>1234</v>
      </c>
      <c r="M722" t="s">
        <v>1235</v>
      </c>
      <c r="O722" t="s">
        <v>628</v>
      </c>
      <c r="P722" t="s">
        <v>629</v>
      </c>
      <c r="Q722" t="s">
        <v>450</v>
      </c>
      <c r="R722">
        <v>2069084</v>
      </c>
      <c r="S722" t="s">
        <v>387</v>
      </c>
      <c r="U722" t="s">
        <v>1453</v>
      </c>
      <c r="V722" t="s">
        <v>398</v>
      </c>
      <c r="W722" s="393">
        <v>20000</v>
      </c>
      <c r="X722" s="393">
        <v>5.5</v>
      </c>
      <c r="Y722" s="393">
        <v>46.58</v>
      </c>
      <c r="Z722" s="393">
        <v>20000</v>
      </c>
      <c r="AA722">
        <v>0</v>
      </c>
      <c r="AB722" s="400">
        <v>44313.760350231481</v>
      </c>
      <c r="AC722" t="s">
        <v>324</v>
      </c>
    </row>
    <row r="723" spans="1:29">
      <c r="A723" t="s">
        <v>382</v>
      </c>
      <c r="B723" t="s">
        <v>1157</v>
      </c>
      <c r="C723" t="s">
        <v>1362</v>
      </c>
      <c r="D723" t="s">
        <v>1421</v>
      </c>
      <c r="E723" t="s">
        <v>1448</v>
      </c>
      <c r="F723" t="s">
        <v>1449</v>
      </c>
      <c r="G723">
        <v>7100322</v>
      </c>
      <c r="H723">
        <v>202104</v>
      </c>
      <c r="I723" s="400">
        <v>44309</v>
      </c>
      <c r="J723" t="s">
        <v>1036</v>
      </c>
      <c r="K723" t="s">
        <v>386</v>
      </c>
      <c r="L723" t="s">
        <v>1234</v>
      </c>
      <c r="M723" t="s">
        <v>1235</v>
      </c>
      <c r="O723" t="s">
        <v>1108</v>
      </c>
      <c r="P723" t="s">
        <v>1109</v>
      </c>
      <c r="Q723" t="s">
        <v>450</v>
      </c>
      <c r="R723">
        <v>2069084</v>
      </c>
      <c r="S723" t="s">
        <v>387</v>
      </c>
      <c r="U723" t="s">
        <v>1454</v>
      </c>
      <c r="V723" t="s">
        <v>398</v>
      </c>
      <c r="W723" s="393">
        <v>31000</v>
      </c>
      <c r="X723" s="393">
        <v>8.5299999999999994</v>
      </c>
      <c r="Y723" s="393">
        <v>72.2</v>
      </c>
      <c r="Z723" s="393">
        <v>31000</v>
      </c>
      <c r="AA723">
        <v>0</v>
      </c>
      <c r="AB723" s="400">
        <v>44313.760350231481</v>
      </c>
      <c r="AC723" t="s">
        <v>324</v>
      </c>
    </row>
    <row r="724" spans="1:29">
      <c r="A724" t="s">
        <v>382</v>
      </c>
      <c r="B724" t="s">
        <v>1157</v>
      </c>
      <c r="C724" t="s">
        <v>1362</v>
      </c>
      <c r="D724" t="s">
        <v>1421</v>
      </c>
      <c r="E724" t="s">
        <v>1448</v>
      </c>
      <c r="F724" t="s">
        <v>1449</v>
      </c>
      <c r="G724">
        <v>7100322</v>
      </c>
      <c r="H724">
        <v>202104</v>
      </c>
      <c r="I724" s="400">
        <v>44309</v>
      </c>
      <c r="J724" t="s">
        <v>1036</v>
      </c>
      <c r="K724" t="s">
        <v>386</v>
      </c>
      <c r="L724" t="s">
        <v>1234</v>
      </c>
      <c r="M724" t="s">
        <v>1235</v>
      </c>
      <c r="O724" t="s">
        <v>1455</v>
      </c>
      <c r="P724" t="s">
        <v>1456</v>
      </c>
      <c r="Q724" t="s">
        <v>450</v>
      </c>
      <c r="R724">
        <v>2069084</v>
      </c>
      <c r="S724" t="s">
        <v>387</v>
      </c>
      <c r="U724" t="s">
        <v>1457</v>
      </c>
      <c r="V724" t="s">
        <v>398</v>
      </c>
      <c r="W724" s="393">
        <v>28800</v>
      </c>
      <c r="X724" s="393">
        <v>7.92</v>
      </c>
      <c r="Y724" s="393">
        <v>67.08</v>
      </c>
      <c r="Z724" s="393">
        <v>28800</v>
      </c>
      <c r="AA724">
        <v>0</v>
      </c>
      <c r="AB724" s="400">
        <v>44313.760350231481</v>
      </c>
      <c r="AC724" t="s">
        <v>324</v>
      </c>
    </row>
    <row r="725" spans="1:29">
      <c r="A725" t="s">
        <v>382</v>
      </c>
      <c r="B725" t="s">
        <v>1157</v>
      </c>
      <c r="C725" t="s">
        <v>1362</v>
      </c>
      <c r="D725" t="s">
        <v>1421</v>
      </c>
      <c r="E725" t="s">
        <v>1448</v>
      </c>
      <c r="F725" t="s">
        <v>1449</v>
      </c>
      <c r="G725">
        <v>7100322</v>
      </c>
      <c r="H725">
        <v>202104</v>
      </c>
      <c r="I725" s="400">
        <v>44309</v>
      </c>
      <c r="J725" t="s">
        <v>1036</v>
      </c>
      <c r="K725" t="s">
        <v>386</v>
      </c>
      <c r="L725" t="s">
        <v>1234</v>
      </c>
      <c r="M725" t="s">
        <v>1235</v>
      </c>
      <c r="O725" t="s">
        <v>628</v>
      </c>
      <c r="P725" t="s">
        <v>629</v>
      </c>
      <c r="Q725" t="s">
        <v>450</v>
      </c>
      <c r="R725">
        <v>2069084</v>
      </c>
      <c r="S725" t="s">
        <v>387</v>
      </c>
      <c r="U725" t="s">
        <v>1458</v>
      </c>
      <c r="V725" t="s">
        <v>398</v>
      </c>
      <c r="W725" s="393">
        <v>30000</v>
      </c>
      <c r="X725" s="393">
        <v>8.25</v>
      </c>
      <c r="Y725" s="393">
        <v>69.87</v>
      </c>
      <c r="Z725" s="393">
        <v>30000</v>
      </c>
      <c r="AA725">
        <v>0</v>
      </c>
      <c r="AB725" s="400">
        <v>44313.760350231481</v>
      </c>
      <c r="AC725" t="s">
        <v>324</v>
      </c>
    </row>
    <row r="726" spans="1:29">
      <c r="A726" t="s">
        <v>382</v>
      </c>
      <c r="B726" t="s">
        <v>1157</v>
      </c>
      <c r="C726" t="s">
        <v>1362</v>
      </c>
      <c r="D726" t="s">
        <v>1421</v>
      </c>
      <c r="E726" t="s">
        <v>1448</v>
      </c>
      <c r="F726" t="s">
        <v>1449</v>
      </c>
      <c r="G726">
        <v>7100322</v>
      </c>
      <c r="H726">
        <v>202104</v>
      </c>
      <c r="I726" s="400">
        <v>44309</v>
      </c>
      <c r="J726" t="s">
        <v>1036</v>
      </c>
      <c r="K726" t="s">
        <v>386</v>
      </c>
      <c r="L726" t="s">
        <v>1234</v>
      </c>
      <c r="M726" t="s">
        <v>1235</v>
      </c>
      <c r="O726" t="s">
        <v>1459</v>
      </c>
      <c r="P726" t="s">
        <v>1460</v>
      </c>
      <c r="Q726" t="s">
        <v>450</v>
      </c>
      <c r="R726">
        <v>2069084</v>
      </c>
      <c r="S726" t="s">
        <v>387</v>
      </c>
      <c r="U726" t="s">
        <v>1461</v>
      </c>
      <c r="V726" t="s">
        <v>398</v>
      </c>
      <c r="W726" s="393">
        <v>27500</v>
      </c>
      <c r="X726" s="393">
        <v>7.56</v>
      </c>
      <c r="Y726" s="393">
        <v>64.05</v>
      </c>
      <c r="Z726" s="393">
        <v>27500</v>
      </c>
      <c r="AA726">
        <v>0</v>
      </c>
      <c r="AB726" s="400">
        <v>44313.760350231481</v>
      </c>
      <c r="AC726" t="s">
        <v>324</v>
      </c>
    </row>
    <row r="727" spans="1:29">
      <c r="A727" t="s">
        <v>382</v>
      </c>
      <c r="B727" t="s">
        <v>1157</v>
      </c>
      <c r="C727" t="s">
        <v>1362</v>
      </c>
      <c r="D727" t="s">
        <v>1421</v>
      </c>
      <c r="E727" t="s">
        <v>1448</v>
      </c>
      <c r="F727" t="s">
        <v>1449</v>
      </c>
      <c r="G727">
        <v>7100322</v>
      </c>
      <c r="H727">
        <v>202104</v>
      </c>
      <c r="I727" s="400">
        <v>44309</v>
      </c>
      <c r="J727" t="s">
        <v>1036</v>
      </c>
      <c r="K727" t="s">
        <v>386</v>
      </c>
      <c r="L727" t="s">
        <v>1234</v>
      </c>
      <c r="M727" t="s">
        <v>1235</v>
      </c>
      <c r="O727" t="s">
        <v>1462</v>
      </c>
      <c r="P727" t="s">
        <v>1463</v>
      </c>
      <c r="Q727" t="s">
        <v>450</v>
      </c>
      <c r="R727">
        <v>2069084</v>
      </c>
      <c r="S727" t="s">
        <v>387</v>
      </c>
      <c r="U727" t="s">
        <v>1464</v>
      </c>
      <c r="V727" t="s">
        <v>398</v>
      </c>
      <c r="W727" s="393">
        <v>36000</v>
      </c>
      <c r="X727" s="393">
        <v>9.9</v>
      </c>
      <c r="Y727" s="393">
        <v>83.84</v>
      </c>
      <c r="Z727" s="393">
        <v>36000</v>
      </c>
      <c r="AA727">
        <v>0</v>
      </c>
      <c r="AB727" s="400">
        <v>44313.760350231481</v>
      </c>
      <c r="AC727" t="s">
        <v>324</v>
      </c>
    </row>
    <row r="728" spans="1:29">
      <c r="A728" t="s">
        <v>382</v>
      </c>
      <c r="B728" t="s">
        <v>1157</v>
      </c>
      <c r="C728" t="s">
        <v>1362</v>
      </c>
      <c r="D728" t="s">
        <v>1421</v>
      </c>
      <c r="E728" t="s">
        <v>1448</v>
      </c>
      <c r="F728" t="s">
        <v>1449</v>
      </c>
      <c r="G728">
        <v>7100322</v>
      </c>
      <c r="H728">
        <v>202104</v>
      </c>
      <c r="I728" s="400">
        <v>44309</v>
      </c>
      <c r="J728" t="s">
        <v>1036</v>
      </c>
      <c r="K728" t="s">
        <v>386</v>
      </c>
      <c r="L728" t="s">
        <v>1234</v>
      </c>
      <c r="M728" t="s">
        <v>1235</v>
      </c>
      <c r="O728" t="s">
        <v>1465</v>
      </c>
      <c r="P728" t="s">
        <v>1466</v>
      </c>
      <c r="Q728" t="s">
        <v>450</v>
      </c>
      <c r="R728">
        <v>2069084</v>
      </c>
      <c r="S728" t="s">
        <v>387</v>
      </c>
      <c r="U728" t="s">
        <v>1467</v>
      </c>
      <c r="V728" t="s">
        <v>398</v>
      </c>
      <c r="W728" s="393">
        <v>31800</v>
      </c>
      <c r="X728" s="393">
        <v>8.75</v>
      </c>
      <c r="Y728" s="393">
        <v>74.06</v>
      </c>
      <c r="Z728" s="393">
        <v>31800</v>
      </c>
      <c r="AA728">
        <v>0</v>
      </c>
      <c r="AB728" s="400">
        <v>44313.760350231481</v>
      </c>
      <c r="AC728" t="s">
        <v>324</v>
      </c>
    </row>
    <row r="729" spans="1:29">
      <c r="A729" t="s">
        <v>382</v>
      </c>
      <c r="B729" t="s">
        <v>1157</v>
      </c>
      <c r="C729" t="s">
        <v>1362</v>
      </c>
      <c r="D729" t="s">
        <v>1421</v>
      </c>
      <c r="E729" t="s">
        <v>1448</v>
      </c>
      <c r="F729" t="s">
        <v>1449</v>
      </c>
      <c r="G729">
        <v>7100322</v>
      </c>
      <c r="H729">
        <v>202104</v>
      </c>
      <c r="I729" s="400">
        <v>44309</v>
      </c>
      <c r="J729" t="s">
        <v>1036</v>
      </c>
      <c r="K729" t="s">
        <v>386</v>
      </c>
      <c r="L729" t="s">
        <v>1234</v>
      </c>
      <c r="M729" t="s">
        <v>1235</v>
      </c>
      <c r="O729" t="s">
        <v>1450</v>
      </c>
      <c r="P729" t="s">
        <v>1451</v>
      </c>
      <c r="Q729" t="s">
        <v>450</v>
      </c>
      <c r="R729">
        <v>2069084</v>
      </c>
      <c r="S729" t="s">
        <v>387</v>
      </c>
      <c r="U729" t="s">
        <v>1468</v>
      </c>
      <c r="V729" t="s">
        <v>398</v>
      </c>
      <c r="W729" s="393">
        <v>36000</v>
      </c>
      <c r="X729" s="393">
        <v>9.9</v>
      </c>
      <c r="Y729" s="393">
        <v>83.84</v>
      </c>
      <c r="Z729" s="393">
        <v>36000</v>
      </c>
      <c r="AA729">
        <v>0</v>
      </c>
      <c r="AB729" s="400">
        <v>44313.760350381941</v>
      </c>
      <c r="AC729" t="s">
        <v>324</v>
      </c>
    </row>
    <row r="730" spans="1:29">
      <c r="A730" t="s">
        <v>382</v>
      </c>
      <c r="B730" t="s">
        <v>1157</v>
      </c>
      <c r="C730" t="s">
        <v>1362</v>
      </c>
      <c r="D730" t="s">
        <v>1421</v>
      </c>
      <c r="E730" t="s">
        <v>1448</v>
      </c>
      <c r="F730" t="s">
        <v>1449</v>
      </c>
      <c r="G730">
        <v>7100322</v>
      </c>
      <c r="H730">
        <v>202104</v>
      </c>
      <c r="I730" s="400">
        <v>44309</v>
      </c>
      <c r="J730" t="s">
        <v>1036</v>
      </c>
      <c r="K730" t="s">
        <v>386</v>
      </c>
      <c r="L730" t="s">
        <v>1234</v>
      </c>
      <c r="M730" t="s">
        <v>1235</v>
      </c>
      <c r="O730" t="s">
        <v>1108</v>
      </c>
      <c r="P730" t="s">
        <v>1109</v>
      </c>
      <c r="Q730" t="s">
        <v>450</v>
      </c>
      <c r="R730">
        <v>2069084</v>
      </c>
      <c r="S730" t="s">
        <v>387</v>
      </c>
      <c r="U730" t="s">
        <v>1469</v>
      </c>
      <c r="V730" t="s">
        <v>398</v>
      </c>
      <c r="W730" s="393">
        <v>20600</v>
      </c>
      <c r="X730" s="393">
        <v>5.67</v>
      </c>
      <c r="Y730" s="393">
        <v>47.98</v>
      </c>
      <c r="Z730" s="393">
        <v>20600</v>
      </c>
      <c r="AA730">
        <v>0</v>
      </c>
      <c r="AB730" s="400">
        <v>44313.760350381941</v>
      </c>
      <c r="AC730" t="s">
        <v>324</v>
      </c>
    </row>
    <row r="731" spans="1:29">
      <c r="A731" t="s">
        <v>382</v>
      </c>
      <c r="B731" t="s">
        <v>440</v>
      </c>
      <c r="C731" t="s">
        <v>1362</v>
      </c>
      <c r="D731" t="s">
        <v>1421</v>
      </c>
      <c r="E731" t="s">
        <v>390</v>
      </c>
      <c r="F731" t="s">
        <v>391</v>
      </c>
      <c r="G731">
        <v>6100754</v>
      </c>
      <c r="H731">
        <v>202104</v>
      </c>
      <c r="I731" s="400">
        <v>44316</v>
      </c>
      <c r="J731" t="s">
        <v>452</v>
      </c>
      <c r="K731" t="s">
        <v>386</v>
      </c>
      <c r="L731" t="s">
        <v>1392</v>
      </c>
      <c r="M731" t="s">
        <v>1393</v>
      </c>
      <c r="O731" t="s">
        <v>628</v>
      </c>
      <c r="P731" t="s">
        <v>629</v>
      </c>
      <c r="Q731" t="s">
        <v>396</v>
      </c>
      <c r="R731">
        <v>2265776</v>
      </c>
      <c r="S731" t="s">
        <v>387</v>
      </c>
      <c r="U731" t="s">
        <v>1470</v>
      </c>
      <c r="V731" t="s">
        <v>398</v>
      </c>
      <c r="W731" s="393">
        <v>21000</v>
      </c>
      <c r="X731" s="393">
        <v>5.67</v>
      </c>
      <c r="Y731" s="393">
        <v>46.98</v>
      </c>
      <c r="Z731" s="393">
        <v>21000</v>
      </c>
      <c r="AA731">
        <v>0</v>
      </c>
      <c r="AB731" s="400">
        <v>44319.948913425927</v>
      </c>
      <c r="AC731" t="s">
        <v>326</v>
      </c>
    </row>
    <row r="732" spans="1:29">
      <c r="A732" t="s">
        <v>382</v>
      </c>
      <c r="B732" t="s">
        <v>440</v>
      </c>
      <c r="C732" t="s">
        <v>1362</v>
      </c>
      <c r="D732" t="s">
        <v>1421</v>
      </c>
      <c r="E732" t="s">
        <v>390</v>
      </c>
      <c r="F732" t="s">
        <v>391</v>
      </c>
      <c r="G732">
        <v>6100746</v>
      </c>
      <c r="H732">
        <v>202104</v>
      </c>
      <c r="I732" s="400">
        <v>44316</v>
      </c>
      <c r="J732" t="s">
        <v>452</v>
      </c>
      <c r="K732" t="s">
        <v>386</v>
      </c>
      <c r="L732" t="s">
        <v>1195</v>
      </c>
      <c r="M732" t="s">
        <v>1196</v>
      </c>
      <c r="O732" t="s">
        <v>593</v>
      </c>
      <c r="P732" t="s">
        <v>594</v>
      </c>
      <c r="Q732" t="s">
        <v>396</v>
      </c>
      <c r="R732">
        <v>2265776</v>
      </c>
      <c r="S732" t="s">
        <v>387</v>
      </c>
      <c r="U732" t="s">
        <v>1471</v>
      </c>
      <c r="V732" t="s">
        <v>398</v>
      </c>
      <c r="W732" s="393">
        <v>9400</v>
      </c>
      <c r="X732" s="393">
        <v>2.54</v>
      </c>
      <c r="Y732" s="393">
        <v>21.03</v>
      </c>
      <c r="Z732" s="393">
        <v>9400</v>
      </c>
      <c r="AA732">
        <v>0</v>
      </c>
      <c r="AB732" s="400">
        <v>44319.873104247687</v>
      </c>
      <c r="AC732" t="s">
        <v>326</v>
      </c>
    </row>
    <row r="733" spans="1:29">
      <c r="A733" t="s">
        <v>382</v>
      </c>
      <c r="B733" t="s">
        <v>440</v>
      </c>
      <c r="C733" t="s">
        <v>1362</v>
      </c>
      <c r="D733" t="s">
        <v>1421</v>
      </c>
      <c r="E733" t="s">
        <v>390</v>
      </c>
      <c r="F733" t="s">
        <v>391</v>
      </c>
      <c r="G733">
        <v>6100746</v>
      </c>
      <c r="H733">
        <v>202104</v>
      </c>
      <c r="I733" s="400">
        <v>44316</v>
      </c>
      <c r="J733" t="s">
        <v>452</v>
      </c>
      <c r="K733" t="s">
        <v>386</v>
      </c>
      <c r="L733" t="s">
        <v>1195</v>
      </c>
      <c r="M733" t="s">
        <v>1196</v>
      </c>
      <c r="O733" t="s">
        <v>1108</v>
      </c>
      <c r="P733" t="s">
        <v>1109</v>
      </c>
      <c r="Q733" t="s">
        <v>396</v>
      </c>
      <c r="R733">
        <v>2265776</v>
      </c>
      <c r="S733" t="s">
        <v>387</v>
      </c>
      <c r="U733" t="s">
        <v>1472</v>
      </c>
      <c r="V733" t="s">
        <v>398</v>
      </c>
      <c r="W733" s="393">
        <v>31700</v>
      </c>
      <c r="X733" s="393">
        <v>8.56</v>
      </c>
      <c r="Y733" s="393">
        <v>70.91</v>
      </c>
      <c r="Z733" s="393">
        <v>31700</v>
      </c>
      <c r="AA733">
        <v>0</v>
      </c>
      <c r="AB733" s="400">
        <v>44319.873104247687</v>
      </c>
      <c r="AC733" t="s">
        <v>326</v>
      </c>
    </row>
    <row r="734" spans="1:29">
      <c r="A734" t="s">
        <v>382</v>
      </c>
      <c r="B734" t="s">
        <v>440</v>
      </c>
      <c r="C734" t="s">
        <v>1362</v>
      </c>
      <c r="D734" t="s">
        <v>1421</v>
      </c>
      <c r="E734" t="s">
        <v>390</v>
      </c>
      <c r="F734" t="s">
        <v>391</v>
      </c>
      <c r="G734">
        <v>6100746</v>
      </c>
      <c r="H734">
        <v>202104</v>
      </c>
      <c r="I734" s="400">
        <v>44316</v>
      </c>
      <c r="J734" t="s">
        <v>452</v>
      </c>
      <c r="K734" t="s">
        <v>386</v>
      </c>
      <c r="L734" t="s">
        <v>1195</v>
      </c>
      <c r="M734" t="s">
        <v>1196</v>
      </c>
      <c r="O734" t="s">
        <v>1473</v>
      </c>
      <c r="P734" t="s">
        <v>1474</v>
      </c>
      <c r="Q734" t="s">
        <v>396</v>
      </c>
      <c r="R734">
        <v>2265776</v>
      </c>
      <c r="S734" t="s">
        <v>387</v>
      </c>
      <c r="U734" t="s">
        <v>1475</v>
      </c>
      <c r="V734" t="s">
        <v>398</v>
      </c>
      <c r="W734" s="393">
        <v>13400</v>
      </c>
      <c r="X734" s="393">
        <v>3.62</v>
      </c>
      <c r="Y734" s="393">
        <v>29.98</v>
      </c>
      <c r="Z734" s="393">
        <v>13400</v>
      </c>
      <c r="AA734">
        <v>0</v>
      </c>
      <c r="AB734" s="400">
        <v>44319.873104247687</v>
      </c>
      <c r="AC734" t="s">
        <v>326</v>
      </c>
    </row>
    <row r="735" spans="1:29">
      <c r="A735" t="s">
        <v>382</v>
      </c>
      <c r="B735" t="s">
        <v>440</v>
      </c>
      <c r="C735" t="s">
        <v>1362</v>
      </c>
      <c r="D735" t="s">
        <v>1421</v>
      </c>
      <c r="E735" t="s">
        <v>390</v>
      </c>
      <c r="F735" t="s">
        <v>391</v>
      </c>
      <c r="G735">
        <v>6100746</v>
      </c>
      <c r="H735">
        <v>202104</v>
      </c>
      <c r="I735" s="400">
        <v>44316</v>
      </c>
      <c r="J735" t="s">
        <v>452</v>
      </c>
      <c r="K735" t="s">
        <v>386</v>
      </c>
      <c r="L735" t="s">
        <v>1195</v>
      </c>
      <c r="M735" t="s">
        <v>1196</v>
      </c>
      <c r="O735" t="s">
        <v>794</v>
      </c>
      <c r="P735" t="s">
        <v>795</v>
      </c>
      <c r="Q735" t="s">
        <v>396</v>
      </c>
      <c r="R735">
        <v>2265776</v>
      </c>
      <c r="S735" t="s">
        <v>387</v>
      </c>
      <c r="U735" t="s">
        <v>1476</v>
      </c>
      <c r="V735" t="s">
        <v>398</v>
      </c>
      <c r="W735" s="393">
        <v>5500</v>
      </c>
      <c r="X735" s="393">
        <v>1.49</v>
      </c>
      <c r="Y735" s="393">
        <v>12.3</v>
      </c>
      <c r="Z735" s="393">
        <v>5500</v>
      </c>
      <c r="AA735">
        <v>0</v>
      </c>
      <c r="AB735" s="400">
        <v>44319.873104432867</v>
      </c>
      <c r="AC735" t="s">
        <v>326</v>
      </c>
    </row>
    <row r="736" spans="1:29">
      <c r="A736" t="s">
        <v>382</v>
      </c>
      <c r="B736" t="s">
        <v>440</v>
      </c>
      <c r="C736" t="s">
        <v>1362</v>
      </c>
      <c r="D736" t="s">
        <v>1421</v>
      </c>
      <c r="E736" t="s">
        <v>390</v>
      </c>
      <c r="F736" t="s">
        <v>391</v>
      </c>
      <c r="G736">
        <v>6100746</v>
      </c>
      <c r="H736">
        <v>202104</v>
      </c>
      <c r="I736" s="400">
        <v>44316</v>
      </c>
      <c r="J736" t="s">
        <v>452</v>
      </c>
      <c r="K736" t="s">
        <v>386</v>
      </c>
      <c r="L736" t="s">
        <v>1195</v>
      </c>
      <c r="M736" t="s">
        <v>1196</v>
      </c>
      <c r="O736" t="s">
        <v>794</v>
      </c>
      <c r="P736" t="s">
        <v>795</v>
      </c>
      <c r="Q736" t="s">
        <v>396</v>
      </c>
      <c r="R736">
        <v>2265776</v>
      </c>
      <c r="S736" t="s">
        <v>387</v>
      </c>
      <c r="U736" t="s">
        <v>1477</v>
      </c>
      <c r="V736" t="s">
        <v>398</v>
      </c>
      <c r="W736" s="393">
        <v>5500</v>
      </c>
      <c r="X736" s="393">
        <v>1.49</v>
      </c>
      <c r="Y736" s="393">
        <v>12.3</v>
      </c>
      <c r="Z736" s="393">
        <v>5500</v>
      </c>
      <c r="AA736">
        <v>0</v>
      </c>
      <c r="AB736" s="400">
        <v>44319.873104432867</v>
      </c>
      <c r="AC736" t="s">
        <v>326</v>
      </c>
    </row>
    <row r="737" spans="1:29">
      <c r="A737" t="s">
        <v>382</v>
      </c>
      <c r="B737" t="s">
        <v>440</v>
      </c>
      <c r="C737" t="s">
        <v>1362</v>
      </c>
      <c r="D737" t="s">
        <v>1421</v>
      </c>
      <c r="E737" t="s">
        <v>390</v>
      </c>
      <c r="F737" t="s">
        <v>391</v>
      </c>
      <c r="G737">
        <v>6100802</v>
      </c>
      <c r="H737">
        <v>202105</v>
      </c>
      <c r="I737" s="400">
        <v>44322</v>
      </c>
      <c r="J737" t="s">
        <v>452</v>
      </c>
      <c r="K737" t="s">
        <v>386</v>
      </c>
      <c r="L737">
        <v>124475</v>
      </c>
      <c r="M737" t="s">
        <v>1208</v>
      </c>
      <c r="O737" t="s">
        <v>794</v>
      </c>
      <c r="P737" t="s">
        <v>795</v>
      </c>
      <c r="Q737" t="s">
        <v>396</v>
      </c>
      <c r="R737">
        <v>2265776</v>
      </c>
      <c r="S737" t="s">
        <v>387</v>
      </c>
      <c r="U737" t="s">
        <v>1478</v>
      </c>
      <c r="V737" t="s">
        <v>398</v>
      </c>
      <c r="W737" s="393">
        <v>21000</v>
      </c>
      <c r="X737" s="393">
        <v>5.46</v>
      </c>
      <c r="Y737" s="393">
        <v>45.17</v>
      </c>
      <c r="Z737" s="393">
        <v>21000</v>
      </c>
      <c r="AA737">
        <v>0</v>
      </c>
      <c r="AB737" s="400">
        <v>44327.898027233794</v>
      </c>
      <c r="AC737" t="s">
        <v>326</v>
      </c>
    </row>
    <row r="738" spans="1:29">
      <c r="A738" t="s">
        <v>382</v>
      </c>
      <c r="B738" t="s">
        <v>382</v>
      </c>
      <c r="C738" t="s">
        <v>1362</v>
      </c>
      <c r="D738" t="s">
        <v>1421</v>
      </c>
      <c r="E738" t="s">
        <v>1131</v>
      </c>
      <c r="F738" t="s">
        <v>1132</v>
      </c>
      <c r="G738">
        <v>13100231</v>
      </c>
      <c r="H738">
        <v>202106</v>
      </c>
      <c r="I738" s="400">
        <v>44377</v>
      </c>
      <c r="J738" t="s">
        <v>1103</v>
      </c>
      <c r="K738" t="s">
        <v>386</v>
      </c>
      <c r="L738" t="s">
        <v>1406</v>
      </c>
      <c r="M738" t="s">
        <v>1407</v>
      </c>
      <c r="O738" t="s">
        <v>1104</v>
      </c>
      <c r="P738" t="s">
        <v>1105</v>
      </c>
      <c r="Q738" t="s">
        <v>396</v>
      </c>
      <c r="R738">
        <v>2265776</v>
      </c>
      <c r="S738" t="s">
        <v>1106</v>
      </c>
      <c r="U738" t="s">
        <v>1133</v>
      </c>
      <c r="V738" t="s">
        <v>398</v>
      </c>
      <c r="W738" s="393">
        <v>36000</v>
      </c>
      <c r="X738" s="393">
        <v>9.9</v>
      </c>
      <c r="Y738" s="393">
        <v>83.83</v>
      </c>
      <c r="Z738" s="393">
        <v>36000</v>
      </c>
      <c r="AA738">
        <v>0</v>
      </c>
      <c r="AB738" s="400">
        <v>44384.935162499998</v>
      </c>
      <c r="AC738" t="s">
        <v>326</v>
      </c>
    </row>
    <row r="739" spans="1:29">
      <c r="A739" t="s">
        <v>382</v>
      </c>
      <c r="B739" t="s">
        <v>382</v>
      </c>
      <c r="C739" t="s">
        <v>1362</v>
      </c>
      <c r="D739" t="s">
        <v>1421</v>
      </c>
      <c r="E739" t="s">
        <v>1131</v>
      </c>
      <c r="F739" t="s">
        <v>1132</v>
      </c>
      <c r="G739">
        <v>13100231</v>
      </c>
      <c r="H739">
        <v>202106</v>
      </c>
      <c r="I739" s="400">
        <v>44377</v>
      </c>
      <c r="J739" t="s">
        <v>1103</v>
      </c>
      <c r="K739" t="s">
        <v>386</v>
      </c>
      <c r="L739" t="s">
        <v>1406</v>
      </c>
      <c r="M739" t="s">
        <v>1407</v>
      </c>
      <c r="O739" t="s">
        <v>1108</v>
      </c>
      <c r="P739" t="s">
        <v>1109</v>
      </c>
      <c r="Q739" t="s">
        <v>396</v>
      </c>
      <c r="R739">
        <v>2265776</v>
      </c>
      <c r="S739" t="s">
        <v>1110</v>
      </c>
      <c r="U739" t="s">
        <v>1134</v>
      </c>
      <c r="V739" t="s">
        <v>398</v>
      </c>
      <c r="W739" s="393">
        <v>31500</v>
      </c>
      <c r="X739" s="393">
        <v>8.66</v>
      </c>
      <c r="Y739" s="393">
        <v>73.349999999999994</v>
      </c>
      <c r="Z739" s="393">
        <v>31500</v>
      </c>
      <c r="AA739">
        <v>0</v>
      </c>
      <c r="AB739" s="400">
        <v>44384.935162499998</v>
      </c>
      <c r="AC739" t="s">
        <v>326</v>
      </c>
    </row>
    <row r="740" spans="1:29">
      <c r="A740" t="s">
        <v>382</v>
      </c>
      <c r="B740" t="s">
        <v>382</v>
      </c>
      <c r="C740" t="s">
        <v>1362</v>
      </c>
      <c r="D740" t="s">
        <v>1421</v>
      </c>
      <c r="E740" t="s">
        <v>1131</v>
      </c>
      <c r="F740" t="s">
        <v>1132</v>
      </c>
      <c r="G740">
        <v>13100231</v>
      </c>
      <c r="H740">
        <v>202106</v>
      </c>
      <c r="I740" s="400">
        <v>44377</v>
      </c>
      <c r="J740" t="s">
        <v>1103</v>
      </c>
      <c r="K740" t="s">
        <v>386</v>
      </c>
      <c r="L740" t="s">
        <v>1406</v>
      </c>
      <c r="M740" t="s">
        <v>1407</v>
      </c>
      <c r="O740" t="s">
        <v>1112</v>
      </c>
      <c r="P740" t="s">
        <v>1113</v>
      </c>
      <c r="Q740" t="s">
        <v>396</v>
      </c>
      <c r="R740">
        <v>2265776</v>
      </c>
      <c r="S740" t="s">
        <v>1114</v>
      </c>
      <c r="U740" t="s">
        <v>1135</v>
      </c>
      <c r="V740" t="s">
        <v>398</v>
      </c>
      <c r="W740" s="393">
        <v>23400</v>
      </c>
      <c r="X740" s="393">
        <v>6.44</v>
      </c>
      <c r="Y740" s="393">
        <v>54.49</v>
      </c>
      <c r="Z740" s="393">
        <v>23400</v>
      </c>
      <c r="AA740">
        <v>0</v>
      </c>
      <c r="AB740" s="400">
        <v>44384.935162499998</v>
      </c>
      <c r="AC740" t="s">
        <v>326</v>
      </c>
    </row>
    <row r="741" spans="1:29">
      <c r="A741" t="s">
        <v>382</v>
      </c>
      <c r="B741" t="s">
        <v>382</v>
      </c>
      <c r="C741" t="s">
        <v>1362</v>
      </c>
      <c r="D741" t="s">
        <v>1421</v>
      </c>
      <c r="E741" t="s">
        <v>1131</v>
      </c>
      <c r="F741" t="s">
        <v>1132</v>
      </c>
      <c r="G741">
        <v>13100231</v>
      </c>
      <c r="H741">
        <v>202106</v>
      </c>
      <c r="I741" s="400">
        <v>44377</v>
      </c>
      <c r="J741" t="s">
        <v>1103</v>
      </c>
      <c r="K741" t="s">
        <v>386</v>
      </c>
      <c r="L741" t="s">
        <v>1406</v>
      </c>
      <c r="M741" t="s">
        <v>1407</v>
      </c>
      <c r="O741" t="s">
        <v>642</v>
      </c>
      <c r="P741" t="s">
        <v>643</v>
      </c>
      <c r="Q741" t="s">
        <v>396</v>
      </c>
      <c r="R741">
        <v>2265776</v>
      </c>
      <c r="S741" t="s">
        <v>1116</v>
      </c>
      <c r="U741" t="s">
        <v>1136</v>
      </c>
      <c r="V741" t="s">
        <v>398</v>
      </c>
      <c r="W741" s="393">
        <v>36000</v>
      </c>
      <c r="X741" s="393">
        <v>9.9</v>
      </c>
      <c r="Y741" s="393">
        <v>83.83</v>
      </c>
      <c r="Z741" s="393">
        <v>36000</v>
      </c>
      <c r="AA741">
        <v>0</v>
      </c>
      <c r="AB741" s="400">
        <v>44384.935162499998</v>
      </c>
      <c r="AC741" t="s">
        <v>326</v>
      </c>
    </row>
    <row r="742" spans="1:29">
      <c r="A742" t="s">
        <v>382</v>
      </c>
      <c r="B742" t="s">
        <v>382</v>
      </c>
      <c r="C742" t="s">
        <v>1362</v>
      </c>
      <c r="D742" t="s">
        <v>1421</v>
      </c>
      <c r="E742" t="s">
        <v>1131</v>
      </c>
      <c r="F742" t="s">
        <v>1132</v>
      </c>
      <c r="G742">
        <v>13100231</v>
      </c>
      <c r="H742">
        <v>202106</v>
      </c>
      <c r="I742" s="400">
        <v>44377</v>
      </c>
      <c r="J742" t="s">
        <v>1103</v>
      </c>
      <c r="K742" t="s">
        <v>386</v>
      </c>
      <c r="L742" t="s">
        <v>1406</v>
      </c>
      <c r="M742" t="s">
        <v>1407</v>
      </c>
      <c r="O742" t="s">
        <v>642</v>
      </c>
      <c r="P742" t="s">
        <v>643</v>
      </c>
      <c r="Q742" t="s">
        <v>396</v>
      </c>
      <c r="R742">
        <v>2265776</v>
      </c>
      <c r="S742" t="s">
        <v>1116</v>
      </c>
      <c r="U742" t="s">
        <v>1137</v>
      </c>
      <c r="V742" t="s">
        <v>398</v>
      </c>
      <c r="W742" s="393">
        <v>27400</v>
      </c>
      <c r="X742" s="393">
        <v>7.54</v>
      </c>
      <c r="Y742" s="393">
        <v>63.81</v>
      </c>
      <c r="Z742" s="393">
        <v>27400</v>
      </c>
      <c r="AA742">
        <v>0</v>
      </c>
      <c r="AB742" s="400">
        <v>44384.935162499998</v>
      </c>
      <c r="AC742" t="s">
        <v>326</v>
      </c>
    </row>
    <row r="743" spans="1:29">
      <c r="A743" t="s">
        <v>382</v>
      </c>
      <c r="B743" t="s">
        <v>382</v>
      </c>
      <c r="C743" t="s">
        <v>1362</v>
      </c>
      <c r="D743" t="s">
        <v>1421</v>
      </c>
      <c r="E743" t="s">
        <v>1131</v>
      </c>
      <c r="F743" t="s">
        <v>1132</v>
      </c>
      <c r="G743">
        <v>13100231</v>
      </c>
      <c r="H743">
        <v>202106</v>
      </c>
      <c r="I743" s="400">
        <v>44377</v>
      </c>
      <c r="J743" t="s">
        <v>1103</v>
      </c>
      <c r="K743" t="s">
        <v>386</v>
      </c>
      <c r="L743" t="s">
        <v>1406</v>
      </c>
      <c r="M743" t="s">
        <v>1407</v>
      </c>
      <c r="O743" t="s">
        <v>1119</v>
      </c>
      <c r="P743" t="s">
        <v>1120</v>
      </c>
      <c r="Q743" t="s">
        <v>396</v>
      </c>
      <c r="R743">
        <v>2265776</v>
      </c>
      <c r="S743" t="s">
        <v>1121</v>
      </c>
      <c r="U743" t="s">
        <v>1138</v>
      </c>
      <c r="V743" t="s">
        <v>398</v>
      </c>
      <c r="W743" s="393">
        <v>36000</v>
      </c>
      <c r="X743" s="393">
        <v>9.9</v>
      </c>
      <c r="Y743" s="393">
        <v>83.83</v>
      </c>
      <c r="Z743" s="393">
        <v>36000</v>
      </c>
      <c r="AA743">
        <v>0</v>
      </c>
      <c r="AB743" s="400">
        <v>44384.935162499998</v>
      </c>
      <c r="AC743" t="s">
        <v>326</v>
      </c>
    </row>
    <row r="744" spans="1:29">
      <c r="A744" t="s">
        <v>382</v>
      </c>
      <c r="B744" t="s">
        <v>382</v>
      </c>
      <c r="C744" t="s">
        <v>1362</v>
      </c>
      <c r="D744" t="s">
        <v>1421</v>
      </c>
      <c r="E744" t="s">
        <v>1131</v>
      </c>
      <c r="F744" t="s">
        <v>1132</v>
      </c>
      <c r="G744">
        <v>13100231</v>
      </c>
      <c r="H744">
        <v>202106</v>
      </c>
      <c r="I744" s="400">
        <v>44377</v>
      </c>
      <c r="J744" t="s">
        <v>1103</v>
      </c>
      <c r="K744" t="s">
        <v>386</v>
      </c>
      <c r="L744" t="s">
        <v>1406</v>
      </c>
      <c r="M744" t="s">
        <v>1407</v>
      </c>
      <c r="O744" t="s">
        <v>1125</v>
      </c>
      <c r="P744" t="s">
        <v>1126</v>
      </c>
      <c r="Q744" t="s">
        <v>396</v>
      </c>
      <c r="R744">
        <v>2265776</v>
      </c>
      <c r="S744" t="s">
        <v>1127</v>
      </c>
      <c r="U744" t="s">
        <v>1140</v>
      </c>
      <c r="V744" t="s">
        <v>398</v>
      </c>
      <c r="W744" s="393">
        <v>5000</v>
      </c>
      <c r="X744" s="393">
        <v>1.38</v>
      </c>
      <c r="Y744" s="393">
        <v>11.64</v>
      </c>
      <c r="Z744" s="393">
        <v>5000</v>
      </c>
      <c r="AA744">
        <v>0</v>
      </c>
      <c r="AB744" s="400">
        <v>44384.935162499998</v>
      </c>
      <c r="AC744" t="s">
        <v>326</v>
      </c>
    </row>
    <row r="745" spans="1:29">
      <c r="A745" t="s">
        <v>382</v>
      </c>
      <c r="B745" t="s">
        <v>382</v>
      </c>
      <c r="C745" t="s">
        <v>1362</v>
      </c>
      <c r="D745" t="s">
        <v>1421</v>
      </c>
      <c r="E745" t="s">
        <v>1131</v>
      </c>
      <c r="F745" t="s">
        <v>1132</v>
      </c>
      <c r="G745">
        <v>13100231</v>
      </c>
      <c r="H745">
        <v>202106</v>
      </c>
      <c r="I745" s="400">
        <v>44377</v>
      </c>
      <c r="J745" t="s">
        <v>1103</v>
      </c>
      <c r="K745" t="s">
        <v>386</v>
      </c>
      <c r="L745" t="s">
        <v>1406</v>
      </c>
      <c r="M745" t="s">
        <v>1407</v>
      </c>
      <c r="O745" t="s">
        <v>642</v>
      </c>
      <c r="P745" t="s">
        <v>643</v>
      </c>
      <c r="Q745" t="s">
        <v>396</v>
      </c>
      <c r="R745">
        <v>2265776</v>
      </c>
      <c r="S745" t="s">
        <v>1116</v>
      </c>
      <c r="U745" t="s">
        <v>1141</v>
      </c>
      <c r="V745" t="s">
        <v>398</v>
      </c>
      <c r="W745" s="393">
        <v>28900</v>
      </c>
      <c r="X745" s="393">
        <v>7.95</v>
      </c>
      <c r="Y745" s="393">
        <v>67.3</v>
      </c>
      <c r="Z745" s="393">
        <v>28900</v>
      </c>
      <c r="AA745">
        <v>0</v>
      </c>
      <c r="AB745" s="400">
        <v>44384.935162499998</v>
      </c>
      <c r="AC745" t="s">
        <v>326</v>
      </c>
    </row>
    <row r="746" spans="1:29">
      <c r="A746" t="s">
        <v>382</v>
      </c>
      <c r="B746" t="s">
        <v>382</v>
      </c>
      <c r="C746" t="s">
        <v>1362</v>
      </c>
      <c r="D746" t="s">
        <v>1421</v>
      </c>
      <c r="E746" t="s">
        <v>1131</v>
      </c>
      <c r="F746" t="s">
        <v>1132</v>
      </c>
      <c r="G746">
        <v>13100231</v>
      </c>
      <c r="H746">
        <v>202106</v>
      </c>
      <c r="I746" s="400">
        <v>44377</v>
      </c>
      <c r="J746" t="s">
        <v>1103</v>
      </c>
      <c r="K746" t="s">
        <v>386</v>
      </c>
      <c r="L746" t="s">
        <v>1406</v>
      </c>
      <c r="M746" t="s">
        <v>1407</v>
      </c>
      <c r="O746" t="s">
        <v>642</v>
      </c>
      <c r="P746" t="s">
        <v>643</v>
      </c>
      <c r="Q746" t="s">
        <v>396</v>
      </c>
      <c r="R746">
        <v>2265776</v>
      </c>
      <c r="S746" t="s">
        <v>1116</v>
      </c>
      <c r="U746" t="s">
        <v>1142</v>
      </c>
      <c r="V746" t="s">
        <v>398</v>
      </c>
      <c r="W746" s="393">
        <v>34900</v>
      </c>
      <c r="X746" s="393">
        <v>9.6</v>
      </c>
      <c r="Y746" s="393">
        <v>81.27</v>
      </c>
      <c r="Z746" s="393">
        <v>34900</v>
      </c>
      <c r="AA746">
        <v>0</v>
      </c>
      <c r="AB746" s="400">
        <v>44384.935162499998</v>
      </c>
      <c r="AC746" t="s">
        <v>326</v>
      </c>
    </row>
    <row r="747" spans="1:29">
      <c r="A747" t="s">
        <v>382</v>
      </c>
      <c r="B747" t="s">
        <v>440</v>
      </c>
      <c r="C747" t="s">
        <v>1362</v>
      </c>
      <c r="D747" t="s">
        <v>1421</v>
      </c>
      <c r="E747" t="s">
        <v>390</v>
      </c>
      <c r="F747" t="s">
        <v>391</v>
      </c>
      <c r="G747">
        <v>6101296</v>
      </c>
      <c r="H747">
        <v>202107</v>
      </c>
      <c r="I747" s="400">
        <v>44396</v>
      </c>
      <c r="J747" t="s">
        <v>452</v>
      </c>
      <c r="K747" t="s">
        <v>386</v>
      </c>
      <c r="L747">
        <v>124474</v>
      </c>
      <c r="M747" t="s">
        <v>1165</v>
      </c>
      <c r="O747" t="s">
        <v>857</v>
      </c>
      <c r="P747" t="s">
        <v>858</v>
      </c>
      <c r="Q747" t="s">
        <v>396</v>
      </c>
      <c r="R747">
        <v>2265776</v>
      </c>
      <c r="S747" t="s">
        <v>1479</v>
      </c>
      <c r="U747" t="s">
        <v>1480</v>
      </c>
      <c r="V747" t="s">
        <v>398</v>
      </c>
      <c r="W747" s="393">
        <v>-12000</v>
      </c>
      <c r="X747" s="393">
        <v>-3.16</v>
      </c>
      <c r="Y747" s="393">
        <v>-27.17</v>
      </c>
      <c r="Z747" s="393">
        <v>-12000</v>
      </c>
      <c r="AA747">
        <v>0</v>
      </c>
      <c r="AB747" s="400">
        <v>44398.755657789348</v>
      </c>
      <c r="AC747" t="s">
        <v>326</v>
      </c>
    </row>
    <row r="748" spans="1:29">
      <c r="A748" t="s">
        <v>382</v>
      </c>
      <c r="B748" t="s">
        <v>440</v>
      </c>
      <c r="C748" t="s">
        <v>1362</v>
      </c>
      <c r="D748" t="s">
        <v>1421</v>
      </c>
      <c r="E748" t="s">
        <v>390</v>
      </c>
      <c r="F748" t="s">
        <v>391</v>
      </c>
      <c r="G748">
        <v>6101296</v>
      </c>
      <c r="H748">
        <v>202107</v>
      </c>
      <c r="I748" s="400">
        <v>44396</v>
      </c>
      <c r="J748" t="s">
        <v>452</v>
      </c>
      <c r="K748" t="s">
        <v>386</v>
      </c>
      <c r="L748">
        <v>124474</v>
      </c>
      <c r="M748" t="s">
        <v>1165</v>
      </c>
      <c r="O748" t="s">
        <v>896</v>
      </c>
      <c r="P748" t="s">
        <v>897</v>
      </c>
      <c r="Q748" t="s">
        <v>396</v>
      </c>
      <c r="R748">
        <v>2265776</v>
      </c>
      <c r="S748" t="s">
        <v>1481</v>
      </c>
      <c r="U748" t="s">
        <v>1482</v>
      </c>
      <c r="V748" t="s">
        <v>398</v>
      </c>
      <c r="W748" s="393">
        <v>-25000</v>
      </c>
      <c r="X748" s="393">
        <v>-6.58</v>
      </c>
      <c r="Y748" s="393">
        <v>-56.6</v>
      </c>
      <c r="Z748" s="393">
        <v>-25000</v>
      </c>
      <c r="AA748">
        <v>0</v>
      </c>
      <c r="AB748" s="400">
        <v>44398.755657789348</v>
      </c>
      <c r="AC748" t="s">
        <v>326</v>
      </c>
    </row>
    <row r="749" spans="1:29">
      <c r="A749" t="s">
        <v>382</v>
      </c>
      <c r="B749" t="s">
        <v>440</v>
      </c>
      <c r="C749" t="s">
        <v>1362</v>
      </c>
      <c r="D749" t="s">
        <v>1421</v>
      </c>
      <c r="E749" t="s">
        <v>390</v>
      </c>
      <c r="F749" t="s">
        <v>391</v>
      </c>
      <c r="G749">
        <v>6101296</v>
      </c>
      <c r="H749">
        <v>202107</v>
      </c>
      <c r="I749" s="400">
        <v>44396</v>
      </c>
      <c r="J749" t="s">
        <v>452</v>
      </c>
      <c r="K749" t="s">
        <v>386</v>
      </c>
      <c r="L749">
        <v>124474</v>
      </c>
      <c r="M749" t="s">
        <v>1165</v>
      </c>
      <c r="O749" t="s">
        <v>593</v>
      </c>
      <c r="P749" t="s">
        <v>594</v>
      </c>
      <c r="Q749" t="s">
        <v>396</v>
      </c>
      <c r="R749">
        <v>2265776</v>
      </c>
      <c r="S749" t="s">
        <v>1483</v>
      </c>
      <c r="U749" t="s">
        <v>1484</v>
      </c>
      <c r="V749" t="s">
        <v>398</v>
      </c>
      <c r="W749" s="393">
        <v>-8000</v>
      </c>
      <c r="X749" s="393">
        <v>-2.1</v>
      </c>
      <c r="Y749" s="393">
        <v>-18.11</v>
      </c>
      <c r="Z749" s="393">
        <v>-8000</v>
      </c>
      <c r="AA749">
        <v>0</v>
      </c>
      <c r="AB749" s="400">
        <v>44398.755657789348</v>
      </c>
      <c r="AC749" t="s">
        <v>326</v>
      </c>
    </row>
    <row r="750" spans="1:29">
      <c r="A750" t="s">
        <v>382</v>
      </c>
      <c r="B750" t="s">
        <v>440</v>
      </c>
      <c r="C750" t="s">
        <v>1362</v>
      </c>
      <c r="D750" t="s">
        <v>1421</v>
      </c>
      <c r="E750" t="s">
        <v>390</v>
      </c>
      <c r="F750" t="s">
        <v>391</v>
      </c>
      <c r="G750">
        <v>6101296</v>
      </c>
      <c r="H750">
        <v>202107</v>
      </c>
      <c r="I750" s="400">
        <v>44396</v>
      </c>
      <c r="J750" t="s">
        <v>452</v>
      </c>
      <c r="K750" t="s">
        <v>386</v>
      </c>
      <c r="L750">
        <v>124474</v>
      </c>
      <c r="M750" t="s">
        <v>1165</v>
      </c>
      <c r="O750" t="s">
        <v>593</v>
      </c>
      <c r="P750" t="s">
        <v>594</v>
      </c>
      <c r="Q750" t="s">
        <v>396</v>
      </c>
      <c r="R750">
        <v>2265776</v>
      </c>
      <c r="S750" t="s">
        <v>1485</v>
      </c>
      <c r="U750" t="s">
        <v>1486</v>
      </c>
      <c r="V750" t="s">
        <v>398</v>
      </c>
      <c r="W750" s="393">
        <v>-7500</v>
      </c>
      <c r="X750" s="393">
        <v>-1.97</v>
      </c>
      <c r="Y750" s="393">
        <v>-16.98</v>
      </c>
      <c r="Z750" s="393">
        <v>-7500</v>
      </c>
      <c r="AA750">
        <v>0</v>
      </c>
      <c r="AB750" s="400">
        <v>44398.755657789348</v>
      </c>
      <c r="AC750" t="s">
        <v>326</v>
      </c>
    </row>
    <row r="751" spans="1:29">
      <c r="A751" t="s">
        <v>382</v>
      </c>
      <c r="B751" t="s">
        <v>440</v>
      </c>
      <c r="C751" t="s">
        <v>1362</v>
      </c>
      <c r="D751" t="s">
        <v>1421</v>
      </c>
      <c r="E751" t="s">
        <v>390</v>
      </c>
      <c r="F751" t="s">
        <v>391</v>
      </c>
      <c r="G751">
        <v>6101296</v>
      </c>
      <c r="H751">
        <v>202107</v>
      </c>
      <c r="I751" s="400">
        <v>44396</v>
      </c>
      <c r="J751" t="s">
        <v>452</v>
      </c>
      <c r="K751" t="s">
        <v>386</v>
      </c>
      <c r="L751">
        <v>124474</v>
      </c>
      <c r="M751" t="s">
        <v>1165</v>
      </c>
      <c r="O751" t="s">
        <v>593</v>
      </c>
      <c r="P751" t="s">
        <v>594</v>
      </c>
      <c r="Q751" t="s">
        <v>396</v>
      </c>
      <c r="R751">
        <v>2265776</v>
      </c>
      <c r="S751" t="s">
        <v>1487</v>
      </c>
      <c r="U751" t="s">
        <v>1488</v>
      </c>
      <c r="V751" t="s">
        <v>398</v>
      </c>
      <c r="W751" s="393">
        <v>-6500</v>
      </c>
      <c r="X751" s="393">
        <v>-1.71</v>
      </c>
      <c r="Y751" s="393">
        <v>-14.72</v>
      </c>
      <c r="Z751" s="393">
        <v>-6500</v>
      </c>
      <c r="AA751">
        <v>0</v>
      </c>
      <c r="AB751" s="400">
        <v>44398.755657789348</v>
      </c>
      <c r="AC751" t="s">
        <v>326</v>
      </c>
    </row>
    <row r="752" spans="1:29">
      <c r="A752" t="s">
        <v>382</v>
      </c>
      <c r="B752" t="s">
        <v>440</v>
      </c>
      <c r="C752" t="s">
        <v>1362</v>
      </c>
      <c r="D752" t="s">
        <v>1421</v>
      </c>
      <c r="E752" t="s">
        <v>390</v>
      </c>
      <c r="F752" t="s">
        <v>391</v>
      </c>
      <c r="G752">
        <v>6101296</v>
      </c>
      <c r="H752">
        <v>202107</v>
      </c>
      <c r="I752" s="400">
        <v>44396</v>
      </c>
      <c r="J752" t="s">
        <v>452</v>
      </c>
      <c r="K752" t="s">
        <v>386</v>
      </c>
      <c r="L752">
        <v>124474</v>
      </c>
      <c r="M752" t="s">
        <v>1165</v>
      </c>
      <c r="O752" t="s">
        <v>857</v>
      </c>
      <c r="P752" t="s">
        <v>858</v>
      </c>
      <c r="Q752" t="s">
        <v>396</v>
      </c>
      <c r="R752">
        <v>2265776</v>
      </c>
      <c r="S752" t="s">
        <v>1489</v>
      </c>
      <c r="U752" t="s">
        <v>1490</v>
      </c>
      <c r="V752" t="s">
        <v>398</v>
      </c>
      <c r="W752" s="393">
        <v>-14800</v>
      </c>
      <c r="X752" s="393">
        <v>-3.89</v>
      </c>
      <c r="Y752" s="393">
        <v>-33.51</v>
      </c>
      <c r="Z752" s="393">
        <v>-14800</v>
      </c>
      <c r="AA752">
        <v>0</v>
      </c>
      <c r="AB752" s="400">
        <v>44398.755657789348</v>
      </c>
      <c r="AC752" t="s">
        <v>326</v>
      </c>
    </row>
    <row r="753" spans="1:29">
      <c r="A753" t="s">
        <v>382</v>
      </c>
      <c r="B753" t="s">
        <v>440</v>
      </c>
      <c r="C753" t="s">
        <v>1362</v>
      </c>
      <c r="D753" t="s">
        <v>1421</v>
      </c>
      <c r="E753" t="s">
        <v>390</v>
      </c>
      <c r="F753" t="s">
        <v>391</v>
      </c>
      <c r="G753">
        <v>6101296</v>
      </c>
      <c r="H753">
        <v>202107</v>
      </c>
      <c r="I753" s="400">
        <v>44396</v>
      </c>
      <c r="J753" t="s">
        <v>452</v>
      </c>
      <c r="K753" t="s">
        <v>386</v>
      </c>
      <c r="L753">
        <v>124474</v>
      </c>
      <c r="M753" t="s">
        <v>1165</v>
      </c>
      <c r="O753" t="s">
        <v>593</v>
      </c>
      <c r="P753" t="s">
        <v>594</v>
      </c>
      <c r="Q753" t="s">
        <v>396</v>
      </c>
      <c r="R753">
        <v>2265776</v>
      </c>
      <c r="S753" t="s">
        <v>1491</v>
      </c>
      <c r="U753" t="s">
        <v>1492</v>
      </c>
      <c r="V753" t="s">
        <v>398</v>
      </c>
      <c r="W753" s="393">
        <v>-4000</v>
      </c>
      <c r="X753" s="393">
        <v>-1.05</v>
      </c>
      <c r="Y753" s="393">
        <v>-9.06</v>
      </c>
      <c r="Z753" s="393">
        <v>-4000</v>
      </c>
      <c r="AA753">
        <v>0</v>
      </c>
      <c r="AB753" s="400">
        <v>44398.755657789348</v>
      </c>
      <c r="AC753" t="s">
        <v>326</v>
      </c>
    </row>
    <row r="754" spans="1:29">
      <c r="A754" t="s">
        <v>382</v>
      </c>
      <c r="B754" t="s">
        <v>440</v>
      </c>
      <c r="C754" t="s">
        <v>1362</v>
      </c>
      <c r="D754" t="s">
        <v>1421</v>
      </c>
      <c r="E754" t="s">
        <v>390</v>
      </c>
      <c r="F754" t="s">
        <v>391</v>
      </c>
      <c r="G754">
        <v>6101296</v>
      </c>
      <c r="H754">
        <v>202107</v>
      </c>
      <c r="I754" s="400">
        <v>44396</v>
      </c>
      <c r="J754" t="s">
        <v>452</v>
      </c>
      <c r="K754" t="s">
        <v>386</v>
      </c>
      <c r="L754">
        <v>124474</v>
      </c>
      <c r="M754" t="s">
        <v>1165</v>
      </c>
      <c r="O754" t="s">
        <v>896</v>
      </c>
      <c r="P754" t="s">
        <v>897</v>
      </c>
      <c r="Q754" t="s">
        <v>396</v>
      </c>
      <c r="R754">
        <v>2265776</v>
      </c>
      <c r="S754" t="s">
        <v>1493</v>
      </c>
      <c r="U754" t="s">
        <v>1494</v>
      </c>
      <c r="V754" t="s">
        <v>398</v>
      </c>
      <c r="W754" s="393">
        <v>-22000</v>
      </c>
      <c r="X754" s="393">
        <v>-5.79</v>
      </c>
      <c r="Y754" s="393">
        <v>-49.81</v>
      </c>
      <c r="Z754" s="393">
        <v>-22000</v>
      </c>
      <c r="AA754">
        <v>0</v>
      </c>
      <c r="AB754" s="400">
        <v>44398.755657789348</v>
      </c>
      <c r="AC754" t="s">
        <v>326</v>
      </c>
    </row>
    <row r="755" spans="1:29">
      <c r="A755" t="s">
        <v>382</v>
      </c>
      <c r="B755" t="s">
        <v>440</v>
      </c>
      <c r="C755" t="s">
        <v>1362</v>
      </c>
      <c r="D755" t="s">
        <v>1421</v>
      </c>
      <c r="E755" t="s">
        <v>390</v>
      </c>
      <c r="F755" t="s">
        <v>391</v>
      </c>
      <c r="G755">
        <v>6101296</v>
      </c>
      <c r="H755">
        <v>202107</v>
      </c>
      <c r="I755" s="400">
        <v>44396</v>
      </c>
      <c r="J755" t="s">
        <v>452</v>
      </c>
      <c r="K755" t="s">
        <v>386</v>
      </c>
      <c r="L755">
        <v>124474</v>
      </c>
      <c r="M755" t="s">
        <v>1165</v>
      </c>
      <c r="O755" t="s">
        <v>725</v>
      </c>
      <c r="P755" t="s">
        <v>726</v>
      </c>
      <c r="Q755" t="s">
        <v>396</v>
      </c>
      <c r="R755">
        <v>2265776</v>
      </c>
      <c r="S755" t="s">
        <v>1495</v>
      </c>
      <c r="U755" t="s">
        <v>1496</v>
      </c>
      <c r="V755" t="s">
        <v>398</v>
      </c>
      <c r="W755" s="393">
        <v>-11000</v>
      </c>
      <c r="X755" s="393">
        <v>-2.89</v>
      </c>
      <c r="Y755" s="393">
        <v>-24.9</v>
      </c>
      <c r="Z755" s="393">
        <v>-11000</v>
      </c>
      <c r="AA755">
        <v>0</v>
      </c>
      <c r="AB755" s="400">
        <v>44398.755657789348</v>
      </c>
      <c r="AC755" t="s">
        <v>326</v>
      </c>
    </row>
    <row r="756" spans="1:29">
      <c r="A756" t="s">
        <v>382</v>
      </c>
      <c r="B756" t="s">
        <v>440</v>
      </c>
      <c r="C756" t="s">
        <v>1362</v>
      </c>
      <c r="D756" t="s">
        <v>1421</v>
      </c>
      <c r="E756" t="s">
        <v>390</v>
      </c>
      <c r="F756" t="s">
        <v>391</v>
      </c>
      <c r="G756">
        <v>6101296</v>
      </c>
      <c r="H756">
        <v>202107</v>
      </c>
      <c r="I756" s="400">
        <v>44396</v>
      </c>
      <c r="J756" t="s">
        <v>452</v>
      </c>
      <c r="K756" t="s">
        <v>386</v>
      </c>
      <c r="L756">
        <v>124474</v>
      </c>
      <c r="M756" t="s">
        <v>1165</v>
      </c>
      <c r="O756" t="s">
        <v>1497</v>
      </c>
      <c r="P756" t="s">
        <v>1498</v>
      </c>
      <c r="Q756" t="s">
        <v>396</v>
      </c>
      <c r="R756">
        <v>2265776</v>
      </c>
      <c r="S756" t="s">
        <v>1499</v>
      </c>
      <c r="U756" t="s">
        <v>1500</v>
      </c>
      <c r="V756" t="s">
        <v>398</v>
      </c>
      <c r="W756" s="393">
        <v>-1500</v>
      </c>
      <c r="X756" s="393">
        <v>-0.39</v>
      </c>
      <c r="Y756" s="393">
        <v>-3.4</v>
      </c>
      <c r="Z756" s="393">
        <v>-1500</v>
      </c>
      <c r="AA756">
        <v>0</v>
      </c>
      <c r="AB756" s="400">
        <v>44398.755657789348</v>
      </c>
      <c r="AC756" t="s">
        <v>326</v>
      </c>
    </row>
    <row r="757" spans="1:29">
      <c r="A757" t="s">
        <v>382</v>
      </c>
      <c r="B757" t="s">
        <v>440</v>
      </c>
      <c r="C757" t="s">
        <v>1362</v>
      </c>
      <c r="D757" t="s">
        <v>1421</v>
      </c>
      <c r="E757" t="s">
        <v>390</v>
      </c>
      <c r="F757" t="s">
        <v>391</v>
      </c>
      <c r="G757">
        <v>6101296</v>
      </c>
      <c r="H757">
        <v>202107</v>
      </c>
      <c r="I757" s="400">
        <v>44396</v>
      </c>
      <c r="J757" t="s">
        <v>452</v>
      </c>
      <c r="K757" t="s">
        <v>386</v>
      </c>
      <c r="L757">
        <v>124474</v>
      </c>
      <c r="M757" t="s">
        <v>1165</v>
      </c>
      <c r="O757" t="s">
        <v>725</v>
      </c>
      <c r="P757" t="s">
        <v>726</v>
      </c>
      <c r="Q757" t="s">
        <v>396</v>
      </c>
      <c r="R757">
        <v>2265776</v>
      </c>
      <c r="S757" t="s">
        <v>1501</v>
      </c>
      <c r="U757" t="s">
        <v>1502</v>
      </c>
      <c r="V757" t="s">
        <v>398</v>
      </c>
      <c r="W757" s="393">
        <v>-3000</v>
      </c>
      <c r="X757" s="393">
        <v>-0.79</v>
      </c>
      <c r="Y757" s="393">
        <v>-6.79</v>
      </c>
      <c r="Z757" s="393">
        <v>-3000</v>
      </c>
      <c r="AA757">
        <v>0</v>
      </c>
      <c r="AB757" s="400">
        <v>44398.755657789348</v>
      </c>
      <c r="AC757" t="s">
        <v>326</v>
      </c>
    </row>
    <row r="758" spans="1:29">
      <c r="A758" t="s">
        <v>382</v>
      </c>
      <c r="B758" t="s">
        <v>440</v>
      </c>
      <c r="C758" t="s">
        <v>1362</v>
      </c>
      <c r="D758" t="s">
        <v>1421</v>
      </c>
      <c r="E758" t="s">
        <v>390</v>
      </c>
      <c r="F758" t="s">
        <v>391</v>
      </c>
      <c r="G758">
        <v>6101221</v>
      </c>
      <c r="H758">
        <v>202107</v>
      </c>
      <c r="I758" s="400">
        <v>44378</v>
      </c>
      <c r="J758" t="s">
        <v>452</v>
      </c>
      <c r="K758" t="s">
        <v>386</v>
      </c>
      <c r="L758">
        <v>124474</v>
      </c>
      <c r="M758" t="s">
        <v>1165</v>
      </c>
      <c r="O758" t="s">
        <v>857</v>
      </c>
      <c r="P758" t="s">
        <v>858</v>
      </c>
      <c r="Q758" t="s">
        <v>396</v>
      </c>
      <c r="R758">
        <v>2265776</v>
      </c>
      <c r="S758" t="s">
        <v>387</v>
      </c>
      <c r="U758" t="s">
        <v>1503</v>
      </c>
      <c r="V758" t="s">
        <v>398</v>
      </c>
      <c r="W758" s="393">
        <v>12000</v>
      </c>
      <c r="X758" s="393">
        <v>3.2</v>
      </c>
      <c r="Y758" s="393">
        <v>27.25</v>
      </c>
      <c r="Z758" s="393">
        <v>12000</v>
      </c>
      <c r="AA758">
        <v>0</v>
      </c>
      <c r="AB758" s="400">
        <v>44391.80386547454</v>
      </c>
      <c r="AC758" t="s">
        <v>326</v>
      </c>
    </row>
    <row r="759" spans="1:29">
      <c r="A759" t="s">
        <v>382</v>
      </c>
      <c r="B759" t="s">
        <v>440</v>
      </c>
      <c r="C759" t="s">
        <v>1362</v>
      </c>
      <c r="D759" t="s">
        <v>1421</v>
      </c>
      <c r="E759" t="s">
        <v>390</v>
      </c>
      <c r="F759" t="s">
        <v>391</v>
      </c>
      <c r="G759">
        <v>6101221</v>
      </c>
      <c r="H759">
        <v>202107</v>
      </c>
      <c r="I759" s="400">
        <v>44378</v>
      </c>
      <c r="J759" t="s">
        <v>452</v>
      </c>
      <c r="K759" t="s">
        <v>386</v>
      </c>
      <c r="L759">
        <v>124474</v>
      </c>
      <c r="M759" t="s">
        <v>1165</v>
      </c>
      <c r="O759" t="s">
        <v>896</v>
      </c>
      <c r="P759" t="s">
        <v>897</v>
      </c>
      <c r="Q759" t="s">
        <v>396</v>
      </c>
      <c r="R759">
        <v>2265776</v>
      </c>
      <c r="S759" t="s">
        <v>387</v>
      </c>
      <c r="U759" t="s">
        <v>1504</v>
      </c>
      <c r="V759" t="s">
        <v>398</v>
      </c>
      <c r="W759" s="393">
        <v>25000</v>
      </c>
      <c r="X759" s="393">
        <v>6.68</v>
      </c>
      <c r="Y759" s="393">
        <v>56.78</v>
      </c>
      <c r="Z759" s="393">
        <v>25000</v>
      </c>
      <c r="AA759">
        <v>0</v>
      </c>
      <c r="AB759" s="400">
        <v>44391.80386547454</v>
      </c>
      <c r="AC759" t="s">
        <v>326</v>
      </c>
    </row>
    <row r="760" spans="1:29">
      <c r="A760" t="s">
        <v>382</v>
      </c>
      <c r="B760" t="s">
        <v>440</v>
      </c>
      <c r="C760" t="s">
        <v>1362</v>
      </c>
      <c r="D760" t="s">
        <v>1421</v>
      </c>
      <c r="E760" t="s">
        <v>390</v>
      </c>
      <c r="F760" t="s">
        <v>391</v>
      </c>
      <c r="G760">
        <v>6101221</v>
      </c>
      <c r="H760">
        <v>202107</v>
      </c>
      <c r="I760" s="400">
        <v>44378</v>
      </c>
      <c r="J760" t="s">
        <v>452</v>
      </c>
      <c r="K760" t="s">
        <v>386</v>
      </c>
      <c r="L760">
        <v>124474</v>
      </c>
      <c r="M760" t="s">
        <v>1165</v>
      </c>
      <c r="O760" t="s">
        <v>593</v>
      </c>
      <c r="P760" t="s">
        <v>594</v>
      </c>
      <c r="Q760" t="s">
        <v>396</v>
      </c>
      <c r="R760">
        <v>2265776</v>
      </c>
      <c r="S760" t="s">
        <v>387</v>
      </c>
      <c r="U760" t="s">
        <v>1505</v>
      </c>
      <c r="V760" t="s">
        <v>398</v>
      </c>
      <c r="W760" s="393">
        <v>8000</v>
      </c>
      <c r="X760" s="393">
        <v>2.14</v>
      </c>
      <c r="Y760" s="393">
        <v>18.170000000000002</v>
      </c>
      <c r="Z760" s="393">
        <v>8000</v>
      </c>
      <c r="AA760">
        <v>0</v>
      </c>
      <c r="AB760" s="400">
        <v>44391.80386547454</v>
      </c>
      <c r="AC760" t="s">
        <v>326</v>
      </c>
    </row>
    <row r="761" spans="1:29">
      <c r="A761" t="s">
        <v>382</v>
      </c>
      <c r="B761" t="s">
        <v>440</v>
      </c>
      <c r="C761" t="s">
        <v>1362</v>
      </c>
      <c r="D761" t="s">
        <v>1421</v>
      </c>
      <c r="E761" t="s">
        <v>390</v>
      </c>
      <c r="F761" t="s">
        <v>391</v>
      </c>
      <c r="G761">
        <v>6101221</v>
      </c>
      <c r="H761">
        <v>202107</v>
      </c>
      <c r="I761" s="400">
        <v>44378</v>
      </c>
      <c r="J761" t="s">
        <v>452</v>
      </c>
      <c r="K761" t="s">
        <v>386</v>
      </c>
      <c r="L761">
        <v>124474</v>
      </c>
      <c r="M761" t="s">
        <v>1165</v>
      </c>
      <c r="O761" t="s">
        <v>593</v>
      </c>
      <c r="P761" t="s">
        <v>594</v>
      </c>
      <c r="Q761" t="s">
        <v>396</v>
      </c>
      <c r="R761">
        <v>2265776</v>
      </c>
      <c r="S761" t="s">
        <v>387</v>
      </c>
      <c r="U761" t="s">
        <v>1506</v>
      </c>
      <c r="V761" t="s">
        <v>398</v>
      </c>
      <c r="W761" s="393">
        <v>7500</v>
      </c>
      <c r="X761" s="393">
        <v>2</v>
      </c>
      <c r="Y761" s="393">
        <v>17.03</v>
      </c>
      <c r="Z761" s="393">
        <v>7500</v>
      </c>
      <c r="AA761">
        <v>0</v>
      </c>
      <c r="AB761" s="400">
        <v>44391.80386547454</v>
      </c>
      <c r="AC761" t="s">
        <v>326</v>
      </c>
    </row>
    <row r="762" spans="1:29">
      <c r="A762" t="s">
        <v>382</v>
      </c>
      <c r="B762" t="s">
        <v>440</v>
      </c>
      <c r="C762" t="s">
        <v>1362</v>
      </c>
      <c r="D762" t="s">
        <v>1421</v>
      </c>
      <c r="E762" t="s">
        <v>390</v>
      </c>
      <c r="F762" t="s">
        <v>391</v>
      </c>
      <c r="G762">
        <v>6101221</v>
      </c>
      <c r="H762">
        <v>202107</v>
      </c>
      <c r="I762" s="400">
        <v>44378</v>
      </c>
      <c r="J762" t="s">
        <v>452</v>
      </c>
      <c r="K762" t="s">
        <v>386</v>
      </c>
      <c r="L762">
        <v>124474</v>
      </c>
      <c r="M762" t="s">
        <v>1165</v>
      </c>
      <c r="O762" t="s">
        <v>593</v>
      </c>
      <c r="P762" t="s">
        <v>594</v>
      </c>
      <c r="Q762" t="s">
        <v>396</v>
      </c>
      <c r="R762">
        <v>2265776</v>
      </c>
      <c r="S762" t="s">
        <v>387</v>
      </c>
      <c r="U762" t="s">
        <v>1507</v>
      </c>
      <c r="V762" t="s">
        <v>398</v>
      </c>
      <c r="W762" s="393">
        <v>6500</v>
      </c>
      <c r="X762" s="393">
        <v>1.74</v>
      </c>
      <c r="Y762" s="393">
        <v>14.76</v>
      </c>
      <c r="Z762" s="393">
        <v>6500</v>
      </c>
      <c r="AA762">
        <v>0</v>
      </c>
      <c r="AB762" s="400">
        <v>44391.80386547454</v>
      </c>
      <c r="AC762" t="s">
        <v>326</v>
      </c>
    </row>
    <row r="763" spans="1:29">
      <c r="A763" t="s">
        <v>382</v>
      </c>
      <c r="B763" t="s">
        <v>440</v>
      </c>
      <c r="C763" t="s">
        <v>1362</v>
      </c>
      <c r="D763" t="s">
        <v>1421</v>
      </c>
      <c r="E763" t="s">
        <v>390</v>
      </c>
      <c r="F763" t="s">
        <v>391</v>
      </c>
      <c r="G763">
        <v>6101260</v>
      </c>
      <c r="H763">
        <v>202107</v>
      </c>
      <c r="I763" s="400">
        <v>44396</v>
      </c>
      <c r="J763" t="s">
        <v>452</v>
      </c>
      <c r="K763" t="s">
        <v>386</v>
      </c>
      <c r="L763">
        <v>124474</v>
      </c>
      <c r="M763" t="s">
        <v>1165</v>
      </c>
      <c r="O763" t="s">
        <v>794</v>
      </c>
      <c r="P763" t="s">
        <v>795</v>
      </c>
      <c r="Q763" t="s">
        <v>396</v>
      </c>
      <c r="R763">
        <v>2265776</v>
      </c>
      <c r="S763" t="s">
        <v>387</v>
      </c>
      <c r="U763" t="s">
        <v>1508</v>
      </c>
      <c r="V763" t="s">
        <v>398</v>
      </c>
      <c r="W763" s="393">
        <v>5000</v>
      </c>
      <c r="X763" s="393">
        <v>1.32</v>
      </c>
      <c r="Y763" s="393">
        <v>11.32</v>
      </c>
      <c r="Z763" s="393">
        <v>5000</v>
      </c>
      <c r="AA763">
        <v>0</v>
      </c>
      <c r="AB763" s="400">
        <v>44397.929679317131</v>
      </c>
      <c r="AC763" t="s">
        <v>326</v>
      </c>
    </row>
    <row r="764" spans="1:29">
      <c r="A764" t="s">
        <v>382</v>
      </c>
      <c r="B764" t="s">
        <v>440</v>
      </c>
      <c r="C764" t="s">
        <v>1362</v>
      </c>
      <c r="D764" t="s">
        <v>1421</v>
      </c>
      <c r="E764" t="s">
        <v>390</v>
      </c>
      <c r="F764" t="s">
        <v>391</v>
      </c>
      <c r="G764">
        <v>6101260</v>
      </c>
      <c r="H764">
        <v>202107</v>
      </c>
      <c r="I764" s="400">
        <v>44396</v>
      </c>
      <c r="J764" t="s">
        <v>452</v>
      </c>
      <c r="K764" t="s">
        <v>386</v>
      </c>
      <c r="L764">
        <v>124474</v>
      </c>
      <c r="M764" t="s">
        <v>1165</v>
      </c>
      <c r="O764" t="s">
        <v>906</v>
      </c>
      <c r="P764" t="s">
        <v>907</v>
      </c>
      <c r="Q764" t="s">
        <v>396</v>
      </c>
      <c r="R764">
        <v>2265776</v>
      </c>
      <c r="S764" t="s">
        <v>387</v>
      </c>
      <c r="U764" t="s">
        <v>1509</v>
      </c>
      <c r="V764" t="s">
        <v>398</v>
      </c>
      <c r="W764" s="393">
        <v>35000</v>
      </c>
      <c r="X764" s="393">
        <v>9.2100000000000009</v>
      </c>
      <c r="Y764" s="393">
        <v>79.239999999999995</v>
      </c>
      <c r="Z764" s="393">
        <v>35000</v>
      </c>
      <c r="AA764">
        <v>0</v>
      </c>
      <c r="AB764" s="400">
        <v>44397.929679317131</v>
      </c>
      <c r="AC764" t="s">
        <v>326</v>
      </c>
    </row>
    <row r="765" spans="1:29">
      <c r="A765" t="s">
        <v>382</v>
      </c>
      <c r="B765" t="s">
        <v>440</v>
      </c>
      <c r="C765" t="s">
        <v>1362</v>
      </c>
      <c r="D765" t="s">
        <v>1421</v>
      </c>
      <c r="E765" t="s">
        <v>390</v>
      </c>
      <c r="F765" t="s">
        <v>391</v>
      </c>
      <c r="G765">
        <v>6101260</v>
      </c>
      <c r="H765">
        <v>202107</v>
      </c>
      <c r="I765" s="400">
        <v>44396</v>
      </c>
      <c r="J765" t="s">
        <v>452</v>
      </c>
      <c r="K765" t="s">
        <v>386</v>
      </c>
      <c r="L765">
        <v>124474</v>
      </c>
      <c r="M765" t="s">
        <v>1165</v>
      </c>
      <c r="O765" t="s">
        <v>794</v>
      </c>
      <c r="P765" t="s">
        <v>795</v>
      </c>
      <c r="Q765" t="s">
        <v>396</v>
      </c>
      <c r="R765">
        <v>2265776</v>
      </c>
      <c r="S765" t="s">
        <v>387</v>
      </c>
      <c r="U765" t="s">
        <v>1510</v>
      </c>
      <c r="V765" t="s">
        <v>398</v>
      </c>
      <c r="W765" s="393">
        <v>5000</v>
      </c>
      <c r="X765" s="393">
        <v>1.32</v>
      </c>
      <c r="Y765" s="393">
        <v>11.32</v>
      </c>
      <c r="Z765" s="393">
        <v>5000</v>
      </c>
      <c r="AA765">
        <v>0</v>
      </c>
      <c r="AB765" s="400">
        <v>44397.929679317131</v>
      </c>
      <c r="AC765" t="s">
        <v>326</v>
      </c>
    </row>
    <row r="766" spans="1:29">
      <c r="A766" t="s">
        <v>382</v>
      </c>
      <c r="B766" t="s">
        <v>440</v>
      </c>
      <c r="C766" t="s">
        <v>1362</v>
      </c>
      <c r="D766" t="s">
        <v>1421</v>
      </c>
      <c r="E766" t="s">
        <v>390</v>
      </c>
      <c r="F766" t="s">
        <v>391</v>
      </c>
      <c r="G766">
        <v>6101260</v>
      </c>
      <c r="H766">
        <v>202107</v>
      </c>
      <c r="I766" s="400">
        <v>44396</v>
      </c>
      <c r="J766" t="s">
        <v>452</v>
      </c>
      <c r="K766" t="s">
        <v>386</v>
      </c>
      <c r="L766">
        <v>124474</v>
      </c>
      <c r="M766" t="s">
        <v>1165</v>
      </c>
      <c r="O766" t="s">
        <v>896</v>
      </c>
      <c r="P766" t="s">
        <v>897</v>
      </c>
      <c r="Q766" t="s">
        <v>396</v>
      </c>
      <c r="R766">
        <v>2265776</v>
      </c>
      <c r="S766" t="s">
        <v>387</v>
      </c>
      <c r="U766" t="s">
        <v>1511</v>
      </c>
      <c r="V766" t="s">
        <v>398</v>
      </c>
      <c r="W766" s="393">
        <v>22000</v>
      </c>
      <c r="X766" s="393">
        <v>5.79</v>
      </c>
      <c r="Y766" s="393">
        <v>49.81</v>
      </c>
      <c r="Z766" s="393">
        <v>22000</v>
      </c>
      <c r="AA766">
        <v>0</v>
      </c>
      <c r="AB766" s="400">
        <v>44397.929679317131</v>
      </c>
      <c r="AC766" t="s">
        <v>326</v>
      </c>
    </row>
    <row r="767" spans="1:29">
      <c r="A767" t="s">
        <v>382</v>
      </c>
      <c r="B767" t="s">
        <v>440</v>
      </c>
      <c r="C767" t="s">
        <v>1362</v>
      </c>
      <c r="D767" t="s">
        <v>1421</v>
      </c>
      <c r="E767" t="s">
        <v>390</v>
      </c>
      <c r="F767" t="s">
        <v>391</v>
      </c>
      <c r="G767">
        <v>6101246</v>
      </c>
      <c r="H767">
        <v>202107</v>
      </c>
      <c r="I767" s="400">
        <v>44396</v>
      </c>
      <c r="J767" t="s">
        <v>452</v>
      </c>
      <c r="K767" t="s">
        <v>386</v>
      </c>
      <c r="L767">
        <v>124474</v>
      </c>
      <c r="M767" t="s">
        <v>1165</v>
      </c>
      <c r="O767" t="s">
        <v>593</v>
      </c>
      <c r="P767" t="s">
        <v>594</v>
      </c>
      <c r="Q767" t="s">
        <v>396</v>
      </c>
      <c r="R767">
        <v>2265776</v>
      </c>
      <c r="S767" t="s">
        <v>387</v>
      </c>
      <c r="U767" t="s">
        <v>1512</v>
      </c>
      <c r="V767" t="s">
        <v>398</v>
      </c>
      <c r="W767" s="393">
        <v>8000</v>
      </c>
      <c r="X767" s="393">
        <v>2.1</v>
      </c>
      <c r="Y767" s="393">
        <v>18.11</v>
      </c>
      <c r="Z767" s="393">
        <v>8000</v>
      </c>
      <c r="AA767">
        <v>0</v>
      </c>
      <c r="AB767" s="400">
        <v>44397.817337384258</v>
      </c>
      <c r="AC767" t="s">
        <v>326</v>
      </c>
    </row>
    <row r="768" spans="1:29">
      <c r="A768" t="s">
        <v>382</v>
      </c>
      <c r="B768" t="s">
        <v>440</v>
      </c>
      <c r="C768" t="s">
        <v>1362</v>
      </c>
      <c r="D768" t="s">
        <v>1421</v>
      </c>
      <c r="E768" t="s">
        <v>390</v>
      </c>
      <c r="F768" t="s">
        <v>391</v>
      </c>
      <c r="G768">
        <v>6101246</v>
      </c>
      <c r="H768">
        <v>202107</v>
      </c>
      <c r="I768" s="400">
        <v>44396</v>
      </c>
      <c r="J768" t="s">
        <v>452</v>
      </c>
      <c r="K768" t="s">
        <v>386</v>
      </c>
      <c r="L768">
        <v>124474</v>
      </c>
      <c r="M768" t="s">
        <v>1165</v>
      </c>
      <c r="O768" t="s">
        <v>593</v>
      </c>
      <c r="P768" t="s">
        <v>594</v>
      </c>
      <c r="Q768" t="s">
        <v>396</v>
      </c>
      <c r="R768">
        <v>2265776</v>
      </c>
      <c r="S768" t="s">
        <v>387</v>
      </c>
      <c r="U768" t="s">
        <v>1513</v>
      </c>
      <c r="V768" t="s">
        <v>398</v>
      </c>
      <c r="W768" s="393">
        <v>7500</v>
      </c>
      <c r="X768" s="393">
        <v>1.97</v>
      </c>
      <c r="Y768" s="393">
        <v>16.98</v>
      </c>
      <c r="Z768" s="393">
        <v>7500</v>
      </c>
      <c r="AA768">
        <v>0</v>
      </c>
      <c r="AB768" s="400">
        <v>44397.817337384258</v>
      </c>
      <c r="AC768" t="s">
        <v>326</v>
      </c>
    </row>
    <row r="769" spans="1:29">
      <c r="A769" t="s">
        <v>382</v>
      </c>
      <c r="B769" t="s">
        <v>440</v>
      </c>
      <c r="C769" t="s">
        <v>1362</v>
      </c>
      <c r="D769" t="s">
        <v>1421</v>
      </c>
      <c r="E769" t="s">
        <v>390</v>
      </c>
      <c r="F769" t="s">
        <v>391</v>
      </c>
      <c r="G769">
        <v>6101246</v>
      </c>
      <c r="H769">
        <v>202107</v>
      </c>
      <c r="I769" s="400">
        <v>44396</v>
      </c>
      <c r="J769" t="s">
        <v>452</v>
      </c>
      <c r="K769" t="s">
        <v>386</v>
      </c>
      <c r="L769">
        <v>124474</v>
      </c>
      <c r="M769" t="s">
        <v>1165</v>
      </c>
      <c r="O769" t="s">
        <v>593</v>
      </c>
      <c r="P769" t="s">
        <v>594</v>
      </c>
      <c r="Q769" t="s">
        <v>396</v>
      </c>
      <c r="R769">
        <v>2265776</v>
      </c>
      <c r="S769" t="s">
        <v>387</v>
      </c>
      <c r="U769" t="s">
        <v>1514</v>
      </c>
      <c r="V769" t="s">
        <v>398</v>
      </c>
      <c r="W769" s="393">
        <v>6500</v>
      </c>
      <c r="X769" s="393">
        <v>1.71</v>
      </c>
      <c r="Y769" s="393">
        <v>14.72</v>
      </c>
      <c r="Z769" s="393">
        <v>6500</v>
      </c>
      <c r="AA769">
        <v>0</v>
      </c>
      <c r="AB769" s="400">
        <v>44397.817337384258</v>
      </c>
      <c r="AC769" t="s">
        <v>326</v>
      </c>
    </row>
    <row r="770" spans="1:29">
      <c r="A770" t="s">
        <v>382</v>
      </c>
      <c r="B770" t="s">
        <v>440</v>
      </c>
      <c r="C770" t="s">
        <v>1362</v>
      </c>
      <c r="D770" t="s">
        <v>1421</v>
      </c>
      <c r="E770" t="s">
        <v>390</v>
      </c>
      <c r="F770" t="s">
        <v>391</v>
      </c>
      <c r="G770">
        <v>6101246</v>
      </c>
      <c r="H770">
        <v>202107</v>
      </c>
      <c r="I770" s="400">
        <v>44396</v>
      </c>
      <c r="J770" t="s">
        <v>452</v>
      </c>
      <c r="K770" t="s">
        <v>386</v>
      </c>
      <c r="L770">
        <v>124474</v>
      </c>
      <c r="M770" t="s">
        <v>1165</v>
      </c>
      <c r="O770" t="s">
        <v>857</v>
      </c>
      <c r="P770" t="s">
        <v>858</v>
      </c>
      <c r="Q770" t="s">
        <v>396</v>
      </c>
      <c r="R770">
        <v>2265776</v>
      </c>
      <c r="S770" t="s">
        <v>387</v>
      </c>
      <c r="U770" t="s">
        <v>1515</v>
      </c>
      <c r="V770" t="s">
        <v>398</v>
      </c>
      <c r="W770" s="393">
        <v>14800</v>
      </c>
      <c r="X770" s="393">
        <v>3.89</v>
      </c>
      <c r="Y770" s="393">
        <v>33.51</v>
      </c>
      <c r="Z770" s="393">
        <v>14800</v>
      </c>
      <c r="AA770">
        <v>0</v>
      </c>
      <c r="AB770" s="400">
        <v>44397.817337534725</v>
      </c>
      <c r="AC770" t="s">
        <v>326</v>
      </c>
    </row>
    <row r="771" spans="1:29">
      <c r="A771" t="s">
        <v>382</v>
      </c>
      <c r="B771" t="s">
        <v>440</v>
      </c>
      <c r="C771" t="s">
        <v>1362</v>
      </c>
      <c r="D771" t="s">
        <v>1421</v>
      </c>
      <c r="E771" t="s">
        <v>390</v>
      </c>
      <c r="F771" t="s">
        <v>391</v>
      </c>
      <c r="G771">
        <v>6101246</v>
      </c>
      <c r="H771">
        <v>202107</v>
      </c>
      <c r="I771" s="400">
        <v>44396</v>
      </c>
      <c r="J771" t="s">
        <v>452</v>
      </c>
      <c r="K771" t="s">
        <v>386</v>
      </c>
      <c r="L771">
        <v>124474</v>
      </c>
      <c r="M771" t="s">
        <v>1165</v>
      </c>
      <c r="O771" t="s">
        <v>857</v>
      </c>
      <c r="P771" t="s">
        <v>858</v>
      </c>
      <c r="Q771" t="s">
        <v>396</v>
      </c>
      <c r="R771">
        <v>2265776</v>
      </c>
      <c r="S771" t="s">
        <v>387</v>
      </c>
      <c r="U771" t="s">
        <v>1516</v>
      </c>
      <c r="V771" t="s">
        <v>398</v>
      </c>
      <c r="W771" s="393">
        <v>12000</v>
      </c>
      <c r="X771" s="393">
        <v>3.16</v>
      </c>
      <c r="Y771" s="393">
        <v>27.17</v>
      </c>
      <c r="Z771" s="393">
        <v>12000</v>
      </c>
      <c r="AA771">
        <v>0</v>
      </c>
      <c r="AB771" s="400">
        <v>44397.817337384258</v>
      </c>
      <c r="AC771" t="s">
        <v>326</v>
      </c>
    </row>
    <row r="772" spans="1:29">
      <c r="A772" t="s">
        <v>382</v>
      </c>
      <c r="B772" t="s">
        <v>440</v>
      </c>
      <c r="C772" t="s">
        <v>1362</v>
      </c>
      <c r="D772" t="s">
        <v>1421</v>
      </c>
      <c r="E772" t="s">
        <v>390</v>
      </c>
      <c r="F772" t="s">
        <v>391</v>
      </c>
      <c r="G772">
        <v>6101246</v>
      </c>
      <c r="H772">
        <v>202107</v>
      </c>
      <c r="I772" s="400">
        <v>44396</v>
      </c>
      <c r="J772" t="s">
        <v>452</v>
      </c>
      <c r="K772" t="s">
        <v>386</v>
      </c>
      <c r="L772">
        <v>124474</v>
      </c>
      <c r="M772" t="s">
        <v>1165</v>
      </c>
      <c r="O772" t="s">
        <v>896</v>
      </c>
      <c r="P772" t="s">
        <v>897</v>
      </c>
      <c r="Q772" t="s">
        <v>396</v>
      </c>
      <c r="R772">
        <v>2265776</v>
      </c>
      <c r="S772" t="s">
        <v>387</v>
      </c>
      <c r="U772" t="s">
        <v>1517</v>
      </c>
      <c r="V772" t="s">
        <v>398</v>
      </c>
      <c r="W772" s="393">
        <v>25000</v>
      </c>
      <c r="X772" s="393">
        <v>6.58</v>
      </c>
      <c r="Y772" s="393">
        <v>56.6</v>
      </c>
      <c r="Z772" s="393">
        <v>25000</v>
      </c>
      <c r="AA772">
        <v>0</v>
      </c>
      <c r="AB772" s="400">
        <v>44397.817337384258</v>
      </c>
      <c r="AC772" t="s">
        <v>326</v>
      </c>
    </row>
    <row r="773" spans="1:29">
      <c r="A773" t="s">
        <v>382</v>
      </c>
      <c r="B773" t="s">
        <v>440</v>
      </c>
      <c r="C773" t="s">
        <v>1362</v>
      </c>
      <c r="D773" t="s">
        <v>1421</v>
      </c>
      <c r="E773" t="s">
        <v>390</v>
      </c>
      <c r="F773" t="s">
        <v>391</v>
      </c>
      <c r="G773">
        <v>6101246</v>
      </c>
      <c r="H773">
        <v>202107</v>
      </c>
      <c r="I773" s="400">
        <v>44396</v>
      </c>
      <c r="J773" t="s">
        <v>452</v>
      </c>
      <c r="K773" t="s">
        <v>386</v>
      </c>
      <c r="L773">
        <v>124474</v>
      </c>
      <c r="M773" t="s">
        <v>1165</v>
      </c>
      <c r="O773" t="s">
        <v>593</v>
      </c>
      <c r="P773" t="s">
        <v>594</v>
      </c>
      <c r="Q773" t="s">
        <v>396</v>
      </c>
      <c r="R773">
        <v>2265776</v>
      </c>
      <c r="S773" t="s">
        <v>387</v>
      </c>
      <c r="U773" t="s">
        <v>1518</v>
      </c>
      <c r="V773" t="s">
        <v>398</v>
      </c>
      <c r="W773" s="393">
        <v>4000</v>
      </c>
      <c r="X773" s="393">
        <v>1.05</v>
      </c>
      <c r="Y773" s="393">
        <v>9.06</v>
      </c>
      <c r="Z773" s="393">
        <v>4000</v>
      </c>
      <c r="AA773">
        <v>0</v>
      </c>
      <c r="AB773" s="400">
        <v>44397.817337002314</v>
      </c>
      <c r="AC773" t="s">
        <v>326</v>
      </c>
    </row>
    <row r="774" spans="1:29">
      <c r="A774" t="s">
        <v>382</v>
      </c>
      <c r="B774" t="s">
        <v>440</v>
      </c>
      <c r="C774" t="s">
        <v>1362</v>
      </c>
      <c r="D774" t="s">
        <v>1421</v>
      </c>
      <c r="E774" t="s">
        <v>390</v>
      </c>
      <c r="F774" t="s">
        <v>391</v>
      </c>
      <c r="G774">
        <v>6101246</v>
      </c>
      <c r="H774">
        <v>202107</v>
      </c>
      <c r="I774" s="400">
        <v>44396</v>
      </c>
      <c r="J774" t="s">
        <v>452</v>
      </c>
      <c r="K774" t="s">
        <v>386</v>
      </c>
      <c r="L774">
        <v>124474</v>
      </c>
      <c r="M774" t="s">
        <v>1165</v>
      </c>
      <c r="O774" t="s">
        <v>896</v>
      </c>
      <c r="P774" t="s">
        <v>897</v>
      </c>
      <c r="Q774" t="s">
        <v>396</v>
      </c>
      <c r="R774">
        <v>2265776</v>
      </c>
      <c r="S774" t="s">
        <v>387</v>
      </c>
      <c r="U774" t="s">
        <v>1519</v>
      </c>
      <c r="V774" t="s">
        <v>398</v>
      </c>
      <c r="W774" s="393">
        <v>22000</v>
      </c>
      <c r="X774" s="393">
        <v>5.79</v>
      </c>
      <c r="Y774" s="393">
        <v>49.81</v>
      </c>
      <c r="Z774" s="393">
        <v>22000</v>
      </c>
      <c r="AA774">
        <v>0</v>
      </c>
      <c r="AB774" s="400">
        <v>44397.817337187502</v>
      </c>
      <c r="AC774" t="s">
        <v>326</v>
      </c>
    </row>
    <row r="775" spans="1:29">
      <c r="A775" t="s">
        <v>382</v>
      </c>
      <c r="B775" t="s">
        <v>440</v>
      </c>
      <c r="C775" t="s">
        <v>1362</v>
      </c>
      <c r="D775" t="s">
        <v>1421</v>
      </c>
      <c r="E775" t="s">
        <v>390</v>
      </c>
      <c r="F775" t="s">
        <v>391</v>
      </c>
      <c r="G775">
        <v>6101246</v>
      </c>
      <c r="H775">
        <v>202107</v>
      </c>
      <c r="I775" s="400">
        <v>44396</v>
      </c>
      <c r="J775" t="s">
        <v>452</v>
      </c>
      <c r="K775" t="s">
        <v>386</v>
      </c>
      <c r="L775">
        <v>124474</v>
      </c>
      <c r="M775" t="s">
        <v>1165</v>
      </c>
      <c r="O775" t="s">
        <v>725</v>
      </c>
      <c r="P775" t="s">
        <v>726</v>
      </c>
      <c r="Q775" t="s">
        <v>396</v>
      </c>
      <c r="R775">
        <v>2265776</v>
      </c>
      <c r="S775" t="s">
        <v>387</v>
      </c>
      <c r="U775" t="s">
        <v>1520</v>
      </c>
      <c r="V775" t="s">
        <v>398</v>
      </c>
      <c r="W775" s="393">
        <v>11000</v>
      </c>
      <c r="X775" s="393">
        <v>2.89</v>
      </c>
      <c r="Y775" s="393">
        <v>24.9</v>
      </c>
      <c r="Z775" s="393">
        <v>11000</v>
      </c>
      <c r="AA775">
        <v>0</v>
      </c>
      <c r="AB775" s="400">
        <v>44397.817337187502</v>
      </c>
      <c r="AC775" t="s">
        <v>326</v>
      </c>
    </row>
    <row r="776" spans="1:29">
      <c r="A776" t="s">
        <v>382</v>
      </c>
      <c r="B776" t="s">
        <v>440</v>
      </c>
      <c r="C776" t="s">
        <v>1362</v>
      </c>
      <c r="D776" t="s">
        <v>1421</v>
      </c>
      <c r="E776" t="s">
        <v>390</v>
      </c>
      <c r="F776" t="s">
        <v>391</v>
      </c>
      <c r="G776">
        <v>6101246</v>
      </c>
      <c r="H776">
        <v>202107</v>
      </c>
      <c r="I776" s="400">
        <v>44396</v>
      </c>
      <c r="J776" t="s">
        <v>452</v>
      </c>
      <c r="K776" t="s">
        <v>386</v>
      </c>
      <c r="L776">
        <v>124474</v>
      </c>
      <c r="M776" t="s">
        <v>1165</v>
      </c>
      <c r="O776" t="s">
        <v>1497</v>
      </c>
      <c r="P776" t="s">
        <v>1498</v>
      </c>
      <c r="Q776" t="s">
        <v>396</v>
      </c>
      <c r="R776">
        <v>2265776</v>
      </c>
      <c r="S776" t="s">
        <v>387</v>
      </c>
      <c r="U776" t="s">
        <v>1521</v>
      </c>
      <c r="V776" t="s">
        <v>398</v>
      </c>
      <c r="W776" s="393">
        <v>1500</v>
      </c>
      <c r="X776" s="393">
        <v>0.39</v>
      </c>
      <c r="Y776" s="393">
        <v>3.4</v>
      </c>
      <c r="Z776" s="393">
        <v>1500</v>
      </c>
      <c r="AA776">
        <v>0</v>
      </c>
      <c r="AB776" s="400">
        <v>44397.817337187502</v>
      </c>
      <c r="AC776" t="s">
        <v>326</v>
      </c>
    </row>
    <row r="777" spans="1:29">
      <c r="A777" t="s">
        <v>382</v>
      </c>
      <c r="B777" t="s">
        <v>440</v>
      </c>
      <c r="C777" t="s">
        <v>1362</v>
      </c>
      <c r="D777" t="s">
        <v>1421</v>
      </c>
      <c r="E777" t="s">
        <v>390</v>
      </c>
      <c r="F777" t="s">
        <v>391</v>
      </c>
      <c r="G777">
        <v>6101246</v>
      </c>
      <c r="H777">
        <v>202107</v>
      </c>
      <c r="I777" s="400">
        <v>44396</v>
      </c>
      <c r="J777" t="s">
        <v>452</v>
      </c>
      <c r="K777" t="s">
        <v>386</v>
      </c>
      <c r="L777">
        <v>124474</v>
      </c>
      <c r="M777" t="s">
        <v>1165</v>
      </c>
      <c r="O777" t="s">
        <v>725</v>
      </c>
      <c r="P777" t="s">
        <v>726</v>
      </c>
      <c r="Q777" t="s">
        <v>396</v>
      </c>
      <c r="R777">
        <v>2265776</v>
      </c>
      <c r="S777" t="s">
        <v>387</v>
      </c>
      <c r="U777" t="s">
        <v>1522</v>
      </c>
      <c r="V777" t="s">
        <v>398</v>
      </c>
      <c r="W777" s="393">
        <v>3000</v>
      </c>
      <c r="X777" s="393">
        <v>0.79</v>
      </c>
      <c r="Y777" s="393">
        <v>6.79</v>
      </c>
      <c r="Z777" s="393">
        <v>3000</v>
      </c>
      <c r="AA777">
        <v>0</v>
      </c>
      <c r="AB777" s="400">
        <v>44397.817337384258</v>
      </c>
      <c r="AC777" t="s">
        <v>326</v>
      </c>
    </row>
    <row r="778" spans="1:29">
      <c r="A778" t="s">
        <v>382</v>
      </c>
      <c r="B778" t="s">
        <v>440</v>
      </c>
      <c r="C778" t="s">
        <v>1362</v>
      </c>
      <c r="D778" t="s">
        <v>1421</v>
      </c>
      <c r="E778" t="s">
        <v>390</v>
      </c>
      <c r="F778" t="s">
        <v>391</v>
      </c>
      <c r="G778">
        <v>6101221</v>
      </c>
      <c r="H778">
        <v>202107</v>
      </c>
      <c r="I778" s="400">
        <v>44378</v>
      </c>
      <c r="J778" t="s">
        <v>452</v>
      </c>
      <c r="K778" t="s">
        <v>386</v>
      </c>
      <c r="L778">
        <v>124474</v>
      </c>
      <c r="M778" t="s">
        <v>1165</v>
      </c>
      <c r="O778" t="s">
        <v>857</v>
      </c>
      <c r="P778" t="s">
        <v>858</v>
      </c>
      <c r="Q778" t="s">
        <v>396</v>
      </c>
      <c r="R778">
        <v>2265776</v>
      </c>
      <c r="S778" t="s">
        <v>387</v>
      </c>
      <c r="U778" t="s">
        <v>1523</v>
      </c>
      <c r="V778" t="s">
        <v>398</v>
      </c>
      <c r="W778" s="393">
        <v>14800</v>
      </c>
      <c r="X778" s="393">
        <v>3.95</v>
      </c>
      <c r="Y778" s="393">
        <v>33.61</v>
      </c>
      <c r="Z778" s="393">
        <v>14800</v>
      </c>
      <c r="AA778">
        <v>0</v>
      </c>
      <c r="AB778" s="400">
        <v>44391.80386547454</v>
      </c>
      <c r="AC778" t="s">
        <v>326</v>
      </c>
    </row>
    <row r="779" spans="1:29">
      <c r="A779" t="s">
        <v>382</v>
      </c>
      <c r="B779" t="s">
        <v>440</v>
      </c>
      <c r="C779" t="s">
        <v>1362</v>
      </c>
      <c r="D779" t="s">
        <v>1421</v>
      </c>
      <c r="E779" t="s">
        <v>390</v>
      </c>
      <c r="F779" t="s">
        <v>391</v>
      </c>
      <c r="G779">
        <v>6101221</v>
      </c>
      <c r="H779">
        <v>202107</v>
      </c>
      <c r="I779" s="400">
        <v>44378</v>
      </c>
      <c r="J779" t="s">
        <v>452</v>
      </c>
      <c r="K779" t="s">
        <v>386</v>
      </c>
      <c r="L779">
        <v>124474</v>
      </c>
      <c r="M779" t="s">
        <v>1165</v>
      </c>
      <c r="O779" t="s">
        <v>593</v>
      </c>
      <c r="P779" t="s">
        <v>594</v>
      </c>
      <c r="Q779" t="s">
        <v>396</v>
      </c>
      <c r="R779">
        <v>2265776</v>
      </c>
      <c r="S779" t="s">
        <v>387</v>
      </c>
      <c r="U779" t="s">
        <v>1524</v>
      </c>
      <c r="V779" t="s">
        <v>398</v>
      </c>
      <c r="W779" s="393">
        <v>3000</v>
      </c>
      <c r="X779" s="393">
        <v>0.8</v>
      </c>
      <c r="Y779" s="393">
        <v>6.81</v>
      </c>
      <c r="Z779" s="393">
        <v>3000</v>
      </c>
      <c r="AA779">
        <v>0</v>
      </c>
      <c r="AB779" s="400">
        <v>44391.803865277776</v>
      </c>
      <c r="AC779" t="s">
        <v>326</v>
      </c>
    </row>
    <row r="780" spans="1:29">
      <c r="A780" t="s">
        <v>382</v>
      </c>
      <c r="B780" t="s">
        <v>440</v>
      </c>
      <c r="C780" t="s">
        <v>1362</v>
      </c>
      <c r="D780" t="s">
        <v>1421</v>
      </c>
      <c r="E780" t="s">
        <v>390</v>
      </c>
      <c r="F780" t="s">
        <v>391</v>
      </c>
      <c r="G780">
        <v>6101221</v>
      </c>
      <c r="H780">
        <v>202107</v>
      </c>
      <c r="I780" s="400">
        <v>44378</v>
      </c>
      <c r="J780" t="s">
        <v>452</v>
      </c>
      <c r="K780" t="s">
        <v>386</v>
      </c>
      <c r="L780">
        <v>124474</v>
      </c>
      <c r="M780" t="s">
        <v>1165</v>
      </c>
      <c r="O780" t="s">
        <v>593</v>
      </c>
      <c r="P780" t="s">
        <v>594</v>
      </c>
      <c r="Q780" t="s">
        <v>396</v>
      </c>
      <c r="R780">
        <v>2265776</v>
      </c>
      <c r="S780" t="s">
        <v>387</v>
      </c>
      <c r="U780" t="s">
        <v>1525</v>
      </c>
      <c r="V780" t="s">
        <v>398</v>
      </c>
      <c r="W780" s="393">
        <v>4000</v>
      </c>
      <c r="X780" s="393">
        <v>1.07</v>
      </c>
      <c r="Y780" s="393">
        <v>9.08</v>
      </c>
      <c r="Z780" s="393">
        <v>4000</v>
      </c>
      <c r="AA780">
        <v>0</v>
      </c>
      <c r="AB780" s="400">
        <v>44391.803865127316</v>
      </c>
      <c r="AC780" t="s">
        <v>326</v>
      </c>
    </row>
    <row r="781" spans="1:29">
      <c r="A781" t="s">
        <v>382</v>
      </c>
      <c r="B781" t="s">
        <v>440</v>
      </c>
      <c r="C781" t="s">
        <v>1362</v>
      </c>
      <c r="D781" t="s">
        <v>1421</v>
      </c>
      <c r="E781" t="s">
        <v>390</v>
      </c>
      <c r="F781" t="s">
        <v>391</v>
      </c>
      <c r="G781">
        <v>6101221</v>
      </c>
      <c r="H781">
        <v>202107</v>
      </c>
      <c r="I781" s="400">
        <v>44378</v>
      </c>
      <c r="J781" t="s">
        <v>452</v>
      </c>
      <c r="K781" t="s">
        <v>386</v>
      </c>
      <c r="L781">
        <v>124474</v>
      </c>
      <c r="M781" t="s">
        <v>1165</v>
      </c>
      <c r="O781" t="s">
        <v>896</v>
      </c>
      <c r="P781" t="s">
        <v>897</v>
      </c>
      <c r="Q781" t="s">
        <v>396</v>
      </c>
      <c r="R781">
        <v>2265776</v>
      </c>
      <c r="S781" t="s">
        <v>387</v>
      </c>
      <c r="U781" t="s">
        <v>1526</v>
      </c>
      <c r="V781" t="s">
        <v>398</v>
      </c>
      <c r="W781" s="393">
        <v>22000</v>
      </c>
      <c r="X781" s="393">
        <v>5.87</v>
      </c>
      <c r="Y781" s="393">
        <v>49.96</v>
      </c>
      <c r="Z781" s="393">
        <v>22000</v>
      </c>
      <c r="AA781">
        <v>0</v>
      </c>
      <c r="AB781" s="400">
        <v>44391.803865277776</v>
      </c>
      <c r="AC781" t="s">
        <v>326</v>
      </c>
    </row>
    <row r="782" spans="1:29">
      <c r="A782" t="s">
        <v>382</v>
      </c>
      <c r="B782" t="s">
        <v>440</v>
      </c>
      <c r="C782" t="s">
        <v>1362</v>
      </c>
      <c r="D782" t="s">
        <v>1421</v>
      </c>
      <c r="E782" t="s">
        <v>390</v>
      </c>
      <c r="F782" t="s">
        <v>391</v>
      </c>
      <c r="G782">
        <v>6101221</v>
      </c>
      <c r="H782">
        <v>202107</v>
      </c>
      <c r="I782" s="400">
        <v>44378</v>
      </c>
      <c r="J782" t="s">
        <v>452</v>
      </c>
      <c r="K782" t="s">
        <v>386</v>
      </c>
      <c r="L782">
        <v>124474</v>
      </c>
      <c r="M782" t="s">
        <v>1165</v>
      </c>
      <c r="O782" t="s">
        <v>1497</v>
      </c>
      <c r="P782" t="s">
        <v>1498</v>
      </c>
      <c r="Q782" t="s">
        <v>396</v>
      </c>
      <c r="R782">
        <v>2265776</v>
      </c>
      <c r="S782" t="s">
        <v>387</v>
      </c>
      <c r="U782" t="s">
        <v>1527</v>
      </c>
      <c r="V782" t="s">
        <v>398</v>
      </c>
      <c r="W782" s="393">
        <v>1500</v>
      </c>
      <c r="X782" s="393">
        <v>0.4</v>
      </c>
      <c r="Y782" s="393">
        <v>3.41</v>
      </c>
      <c r="Z782" s="393">
        <v>1500</v>
      </c>
      <c r="AA782">
        <v>0</v>
      </c>
      <c r="AB782" s="400">
        <v>44391.803865277776</v>
      </c>
      <c r="AC782" t="s">
        <v>326</v>
      </c>
    </row>
    <row r="783" spans="1:29">
      <c r="A783" t="s">
        <v>382</v>
      </c>
      <c r="B783" t="s">
        <v>440</v>
      </c>
      <c r="C783" t="s">
        <v>1362</v>
      </c>
      <c r="D783" t="s">
        <v>1421</v>
      </c>
      <c r="E783" t="s">
        <v>390</v>
      </c>
      <c r="F783" t="s">
        <v>391</v>
      </c>
      <c r="G783">
        <v>6101221</v>
      </c>
      <c r="H783">
        <v>202107</v>
      </c>
      <c r="I783" s="400">
        <v>44378</v>
      </c>
      <c r="J783" t="s">
        <v>452</v>
      </c>
      <c r="K783" t="s">
        <v>386</v>
      </c>
      <c r="L783">
        <v>124474</v>
      </c>
      <c r="M783" t="s">
        <v>1165</v>
      </c>
      <c r="O783" t="s">
        <v>725</v>
      </c>
      <c r="P783" t="s">
        <v>726</v>
      </c>
      <c r="Q783" t="s">
        <v>396</v>
      </c>
      <c r="R783">
        <v>2265776</v>
      </c>
      <c r="S783" t="s">
        <v>387</v>
      </c>
      <c r="U783" t="s">
        <v>1528</v>
      </c>
      <c r="V783" t="s">
        <v>398</v>
      </c>
      <c r="W783" s="393">
        <v>11000</v>
      </c>
      <c r="X783" s="393">
        <v>2.94</v>
      </c>
      <c r="Y783" s="393">
        <v>24.98</v>
      </c>
      <c r="Z783" s="393">
        <v>11000</v>
      </c>
      <c r="AA783">
        <v>0</v>
      </c>
      <c r="AB783" s="400">
        <v>44391.803865277776</v>
      </c>
      <c r="AC783" t="s">
        <v>326</v>
      </c>
    </row>
    <row r="784" spans="1:29">
      <c r="A784" t="s">
        <v>382</v>
      </c>
      <c r="B784" t="s">
        <v>440</v>
      </c>
      <c r="C784" t="s">
        <v>1362</v>
      </c>
      <c r="D784" t="s">
        <v>1421</v>
      </c>
      <c r="E784" t="s">
        <v>390</v>
      </c>
      <c r="F784" t="s">
        <v>391</v>
      </c>
      <c r="G784">
        <v>6101527</v>
      </c>
      <c r="H784">
        <v>202108</v>
      </c>
      <c r="I784" s="400">
        <v>44427</v>
      </c>
      <c r="J784" t="s">
        <v>452</v>
      </c>
      <c r="K784" t="s">
        <v>386</v>
      </c>
      <c r="L784">
        <v>119010</v>
      </c>
      <c r="M784" t="s">
        <v>1158</v>
      </c>
      <c r="O784" t="s">
        <v>593</v>
      </c>
      <c r="P784" t="s">
        <v>594</v>
      </c>
      <c r="Q784" t="s">
        <v>450</v>
      </c>
      <c r="R784">
        <v>2069084</v>
      </c>
      <c r="S784" t="s">
        <v>1529</v>
      </c>
      <c r="U784" t="s">
        <v>1530</v>
      </c>
      <c r="V784" t="s">
        <v>398</v>
      </c>
      <c r="W784" s="393">
        <v>9500</v>
      </c>
      <c r="X784" s="393">
        <v>2.4300000000000002</v>
      </c>
      <c r="Y784" s="393">
        <v>20.98</v>
      </c>
      <c r="Z784" s="393">
        <v>9500</v>
      </c>
      <c r="AA784">
        <v>0</v>
      </c>
      <c r="AB784" s="400">
        <v>44427.847053506943</v>
      </c>
      <c r="AC784" t="s">
        <v>324</v>
      </c>
    </row>
    <row r="785" spans="1:29">
      <c r="A785" t="s">
        <v>382</v>
      </c>
      <c r="B785" t="s">
        <v>440</v>
      </c>
      <c r="C785" t="s">
        <v>1362</v>
      </c>
      <c r="D785" t="s">
        <v>1421</v>
      </c>
      <c r="E785" t="s">
        <v>390</v>
      </c>
      <c r="F785" t="s">
        <v>391</v>
      </c>
      <c r="G785">
        <v>6101527</v>
      </c>
      <c r="H785">
        <v>202108</v>
      </c>
      <c r="I785" s="400">
        <v>44427</v>
      </c>
      <c r="J785" t="s">
        <v>452</v>
      </c>
      <c r="K785" t="s">
        <v>386</v>
      </c>
      <c r="L785">
        <v>119010</v>
      </c>
      <c r="M785" t="s">
        <v>1158</v>
      </c>
      <c r="O785" t="s">
        <v>1531</v>
      </c>
      <c r="P785" t="s">
        <v>1532</v>
      </c>
      <c r="Q785" t="s">
        <v>450</v>
      </c>
      <c r="R785">
        <v>2069084</v>
      </c>
      <c r="S785" t="s">
        <v>1533</v>
      </c>
      <c r="U785" t="s">
        <v>1534</v>
      </c>
      <c r="V785" t="s">
        <v>398</v>
      </c>
      <c r="W785" s="393">
        <v>72000</v>
      </c>
      <c r="X785" s="393">
        <v>18.41</v>
      </c>
      <c r="Y785" s="393">
        <v>159.02000000000001</v>
      </c>
      <c r="Z785" s="393">
        <v>72000</v>
      </c>
      <c r="AA785">
        <v>0</v>
      </c>
      <c r="AB785" s="400">
        <v>44427.847053321762</v>
      </c>
      <c r="AC785" t="s">
        <v>324</v>
      </c>
    </row>
    <row r="786" spans="1:29">
      <c r="A786" t="s">
        <v>382</v>
      </c>
      <c r="B786" t="s">
        <v>440</v>
      </c>
      <c r="C786" t="s">
        <v>1362</v>
      </c>
      <c r="D786" t="s">
        <v>1421</v>
      </c>
      <c r="E786" t="s">
        <v>390</v>
      </c>
      <c r="F786" t="s">
        <v>391</v>
      </c>
      <c r="G786">
        <v>6101527</v>
      </c>
      <c r="H786">
        <v>202108</v>
      </c>
      <c r="I786" s="400">
        <v>44427</v>
      </c>
      <c r="J786" t="s">
        <v>452</v>
      </c>
      <c r="K786" t="s">
        <v>386</v>
      </c>
      <c r="L786">
        <v>119010</v>
      </c>
      <c r="M786" t="s">
        <v>1158</v>
      </c>
      <c r="O786" t="s">
        <v>1125</v>
      </c>
      <c r="P786" t="s">
        <v>1126</v>
      </c>
      <c r="Q786" t="s">
        <v>450</v>
      </c>
      <c r="R786">
        <v>2069084</v>
      </c>
      <c r="S786" t="s">
        <v>1535</v>
      </c>
      <c r="U786" t="s">
        <v>1536</v>
      </c>
      <c r="V786" t="s">
        <v>398</v>
      </c>
      <c r="W786" s="393">
        <v>12000</v>
      </c>
      <c r="X786" s="393">
        <v>3.07</v>
      </c>
      <c r="Y786" s="393">
        <v>26.5</v>
      </c>
      <c r="Z786" s="393">
        <v>12000</v>
      </c>
      <c r="AA786">
        <v>0</v>
      </c>
      <c r="AB786" s="400">
        <v>44427.847053124999</v>
      </c>
      <c r="AC786" t="s">
        <v>324</v>
      </c>
    </row>
    <row r="787" spans="1:29">
      <c r="A787" t="s">
        <v>382</v>
      </c>
      <c r="B787" t="s">
        <v>440</v>
      </c>
      <c r="C787" t="s">
        <v>1362</v>
      </c>
      <c r="D787" t="s">
        <v>1421</v>
      </c>
      <c r="E787" t="s">
        <v>390</v>
      </c>
      <c r="F787" t="s">
        <v>391</v>
      </c>
      <c r="G787">
        <v>6101527</v>
      </c>
      <c r="H787">
        <v>202108</v>
      </c>
      <c r="I787" s="400">
        <v>44427</v>
      </c>
      <c r="J787" t="s">
        <v>452</v>
      </c>
      <c r="K787" t="s">
        <v>386</v>
      </c>
      <c r="L787">
        <v>119010</v>
      </c>
      <c r="M787" t="s">
        <v>1158</v>
      </c>
      <c r="O787" t="s">
        <v>1537</v>
      </c>
      <c r="P787" t="s">
        <v>1538</v>
      </c>
      <c r="Q787" t="s">
        <v>450</v>
      </c>
      <c r="R787">
        <v>2069084</v>
      </c>
      <c r="S787" t="s">
        <v>1539</v>
      </c>
      <c r="U787" t="s">
        <v>1540</v>
      </c>
      <c r="V787" t="s">
        <v>398</v>
      </c>
      <c r="W787" s="393">
        <v>24000</v>
      </c>
      <c r="X787" s="393">
        <v>6.14</v>
      </c>
      <c r="Y787" s="393">
        <v>53.01</v>
      </c>
      <c r="Z787" s="393">
        <v>24000</v>
      </c>
      <c r="AA787">
        <v>0</v>
      </c>
      <c r="AB787" s="400">
        <v>44427.847053124999</v>
      </c>
      <c r="AC787" t="s">
        <v>324</v>
      </c>
    </row>
    <row r="788" spans="1:29">
      <c r="A788" t="s">
        <v>382</v>
      </c>
      <c r="B788" t="s">
        <v>440</v>
      </c>
      <c r="C788" t="s">
        <v>1362</v>
      </c>
      <c r="D788" t="s">
        <v>1421</v>
      </c>
      <c r="E788" t="s">
        <v>390</v>
      </c>
      <c r="F788" t="s">
        <v>391</v>
      </c>
      <c r="G788">
        <v>6101527</v>
      </c>
      <c r="H788">
        <v>202108</v>
      </c>
      <c r="I788" s="400">
        <v>44427</v>
      </c>
      <c r="J788" t="s">
        <v>452</v>
      </c>
      <c r="K788" t="s">
        <v>386</v>
      </c>
      <c r="L788">
        <v>119010</v>
      </c>
      <c r="M788" t="s">
        <v>1158</v>
      </c>
      <c r="O788" t="s">
        <v>1541</v>
      </c>
      <c r="P788" t="s">
        <v>1542</v>
      </c>
      <c r="Q788" t="s">
        <v>450</v>
      </c>
      <c r="R788">
        <v>2069084</v>
      </c>
      <c r="S788" t="s">
        <v>1543</v>
      </c>
      <c r="U788" t="s">
        <v>1544</v>
      </c>
      <c r="V788" t="s">
        <v>398</v>
      </c>
      <c r="W788" s="393">
        <v>64500</v>
      </c>
      <c r="X788" s="393">
        <v>16.489999999999998</v>
      </c>
      <c r="Y788" s="393">
        <v>142.46</v>
      </c>
      <c r="Z788" s="393">
        <v>64500</v>
      </c>
      <c r="AA788">
        <v>0</v>
      </c>
      <c r="AB788" s="400">
        <v>44427.847053124999</v>
      </c>
      <c r="AC788" t="s">
        <v>324</v>
      </c>
    </row>
    <row r="789" spans="1:29">
      <c r="A789" t="s">
        <v>382</v>
      </c>
      <c r="B789" t="s">
        <v>440</v>
      </c>
      <c r="C789" t="s">
        <v>1362</v>
      </c>
      <c r="D789" t="s">
        <v>1421</v>
      </c>
      <c r="E789" t="s">
        <v>390</v>
      </c>
      <c r="F789" t="s">
        <v>391</v>
      </c>
      <c r="G789">
        <v>6101527</v>
      </c>
      <c r="H789">
        <v>202108</v>
      </c>
      <c r="I789" s="400">
        <v>44427</v>
      </c>
      <c r="J789" t="s">
        <v>452</v>
      </c>
      <c r="K789" t="s">
        <v>386</v>
      </c>
      <c r="L789">
        <v>119010</v>
      </c>
      <c r="M789" t="s">
        <v>1158</v>
      </c>
      <c r="O789" t="s">
        <v>1545</v>
      </c>
      <c r="P789" t="s">
        <v>1546</v>
      </c>
      <c r="Q789" t="s">
        <v>450</v>
      </c>
      <c r="R789">
        <v>2069084</v>
      </c>
      <c r="S789" t="s">
        <v>1547</v>
      </c>
      <c r="U789" t="s">
        <v>1548</v>
      </c>
      <c r="V789" t="s">
        <v>398</v>
      </c>
      <c r="W789" s="393">
        <v>40600</v>
      </c>
      <c r="X789" s="393">
        <v>10.38</v>
      </c>
      <c r="Y789" s="393">
        <v>89.67</v>
      </c>
      <c r="Z789" s="393">
        <v>40600</v>
      </c>
      <c r="AA789">
        <v>0</v>
      </c>
      <c r="AB789" s="400">
        <v>44427.847053321762</v>
      </c>
      <c r="AC789" t="s">
        <v>324</v>
      </c>
    </row>
    <row r="790" spans="1:29">
      <c r="A790" t="s">
        <v>382</v>
      </c>
      <c r="B790" t="s">
        <v>440</v>
      </c>
      <c r="C790" t="s">
        <v>1362</v>
      </c>
      <c r="D790" t="s">
        <v>1421</v>
      </c>
      <c r="E790" t="s">
        <v>390</v>
      </c>
      <c r="F790" t="s">
        <v>391</v>
      </c>
      <c r="G790">
        <v>6101527</v>
      </c>
      <c r="H790">
        <v>202108</v>
      </c>
      <c r="I790" s="400">
        <v>44427</v>
      </c>
      <c r="J790" t="s">
        <v>452</v>
      </c>
      <c r="K790" t="s">
        <v>386</v>
      </c>
      <c r="L790">
        <v>119010</v>
      </c>
      <c r="M790" t="s">
        <v>1158</v>
      </c>
      <c r="O790" t="s">
        <v>1549</v>
      </c>
      <c r="P790" t="s">
        <v>1550</v>
      </c>
      <c r="Q790" t="s">
        <v>450</v>
      </c>
      <c r="R790">
        <v>2069084</v>
      </c>
      <c r="S790" t="s">
        <v>1551</v>
      </c>
      <c r="U790" t="s">
        <v>1552</v>
      </c>
      <c r="V790" t="s">
        <v>398</v>
      </c>
      <c r="W790" s="393">
        <v>75600</v>
      </c>
      <c r="X790" s="393">
        <v>19.329999999999998</v>
      </c>
      <c r="Y790" s="393">
        <v>166.97</v>
      </c>
      <c r="Z790" s="393">
        <v>75600</v>
      </c>
      <c r="AA790">
        <v>0</v>
      </c>
      <c r="AB790" s="400">
        <v>44427.847053321762</v>
      </c>
      <c r="AC790" t="s">
        <v>324</v>
      </c>
    </row>
    <row r="791" spans="1:29">
      <c r="A791" t="s">
        <v>382</v>
      </c>
      <c r="B791" t="s">
        <v>440</v>
      </c>
      <c r="C791" t="s">
        <v>1362</v>
      </c>
      <c r="D791" t="s">
        <v>1421</v>
      </c>
      <c r="E791" t="s">
        <v>390</v>
      </c>
      <c r="F791" t="s">
        <v>391</v>
      </c>
      <c r="G791">
        <v>6101527</v>
      </c>
      <c r="H791">
        <v>202108</v>
      </c>
      <c r="I791" s="400">
        <v>44427</v>
      </c>
      <c r="J791" t="s">
        <v>452</v>
      </c>
      <c r="K791" t="s">
        <v>386</v>
      </c>
      <c r="L791">
        <v>119010</v>
      </c>
      <c r="M791" t="s">
        <v>1158</v>
      </c>
      <c r="O791" t="s">
        <v>1541</v>
      </c>
      <c r="P791" t="s">
        <v>1542</v>
      </c>
      <c r="Q791" t="s">
        <v>450</v>
      </c>
      <c r="R791">
        <v>2069084</v>
      </c>
      <c r="S791" t="s">
        <v>1553</v>
      </c>
      <c r="U791" t="s">
        <v>1554</v>
      </c>
      <c r="V791" t="s">
        <v>398</v>
      </c>
      <c r="W791" s="393">
        <v>159900</v>
      </c>
      <c r="X791" s="393">
        <v>40.880000000000003</v>
      </c>
      <c r="Y791" s="393">
        <v>353.16</v>
      </c>
      <c r="Z791" s="393">
        <v>159900</v>
      </c>
      <c r="AA791">
        <v>0</v>
      </c>
      <c r="AB791" s="400">
        <v>44427.847053321762</v>
      </c>
      <c r="AC791" t="s">
        <v>324</v>
      </c>
    </row>
    <row r="792" spans="1:29">
      <c r="A792" t="s">
        <v>382</v>
      </c>
      <c r="B792" t="s">
        <v>440</v>
      </c>
      <c r="C792" t="s">
        <v>1362</v>
      </c>
      <c r="D792" t="s">
        <v>1421</v>
      </c>
      <c r="E792" t="s">
        <v>390</v>
      </c>
      <c r="F792" t="s">
        <v>391</v>
      </c>
      <c r="G792">
        <v>6101527</v>
      </c>
      <c r="H792">
        <v>202108</v>
      </c>
      <c r="I792" s="400">
        <v>44427</v>
      </c>
      <c r="J792" t="s">
        <v>452</v>
      </c>
      <c r="K792" t="s">
        <v>386</v>
      </c>
      <c r="L792">
        <v>119010</v>
      </c>
      <c r="M792" t="s">
        <v>1158</v>
      </c>
      <c r="O792" t="s">
        <v>1555</v>
      </c>
      <c r="P792" t="s">
        <v>1556</v>
      </c>
      <c r="Q792" t="s">
        <v>450</v>
      </c>
      <c r="R792">
        <v>2069084</v>
      </c>
      <c r="S792" t="s">
        <v>1557</v>
      </c>
      <c r="U792" t="s">
        <v>1558</v>
      </c>
      <c r="V792" t="s">
        <v>398</v>
      </c>
      <c r="W792" s="393">
        <v>12600</v>
      </c>
      <c r="X792" s="393">
        <v>3.22</v>
      </c>
      <c r="Y792" s="393">
        <v>27.83</v>
      </c>
      <c r="Z792" s="393">
        <v>12600</v>
      </c>
      <c r="AA792">
        <v>0</v>
      </c>
      <c r="AB792" s="400">
        <v>44427.847053321762</v>
      </c>
      <c r="AC792" t="s">
        <v>324</v>
      </c>
    </row>
    <row r="793" spans="1:29">
      <c r="A793" t="s">
        <v>382</v>
      </c>
      <c r="B793" t="s">
        <v>440</v>
      </c>
      <c r="C793" t="s">
        <v>1362</v>
      </c>
      <c r="D793" t="s">
        <v>1421</v>
      </c>
      <c r="E793" t="s">
        <v>390</v>
      </c>
      <c r="F793" t="s">
        <v>391</v>
      </c>
      <c r="G793">
        <v>6101527</v>
      </c>
      <c r="H793">
        <v>202108</v>
      </c>
      <c r="I793" s="400">
        <v>44427</v>
      </c>
      <c r="J793" t="s">
        <v>452</v>
      </c>
      <c r="K793" t="s">
        <v>386</v>
      </c>
      <c r="L793">
        <v>119010</v>
      </c>
      <c r="M793" t="s">
        <v>1158</v>
      </c>
      <c r="O793" t="s">
        <v>628</v>
      </c>
      <c r="P793" t="s">
        <v>629</v>
      </c>
      <c r="Q793" t="s">
        <v>450</v>
      </c>
      <c r="R793">
        <v>2069084</v>
      </c>
      <c r="S793" t="s">
        <v>1559</v>
      </c>
      <c r="U793" t="s">
        <v>1560</v>
      </c>
      <c r="V793" t="s">
        <v>398</v>
      </c>
      <c r="W793" s="393">
        <v>28500</v>
      </c>
      <c r="X793" s="393">
        <v>7.29</v>
      </c>
      <c r="Y793" s="393">
        <v>62.95</v>
      </c>
      <c r="Z793" s="393">
        <v>28500</v>
      </c>
      <c r="AA793">
        <v>0</v>
      </c>
      <c r="AB793" s="400">
        <v>44427.847053321762</v>
      </c>
      <c r="AC793" t="s">
        <v>324</v>
      </c>
    </row>
    <row r="794" spans="1:29">
      <c r="A794" t="s">
        <v>382</v>
      </c>
      <c r="B794" t="s">
        <v>440</v>
      </c>
      <c r="C794" t="s">
        <v>1362</v>
      </c>
      <c r="D794" t="s">
        <v>1421</v>
      </c>
      <c r="E794" t="s">
        <v>390</v>
      </c>
      <c r="F794" t="s">
        <v>391</v>
      </c>
      <c r="G794">
        <v>6101527</v>
      </c>
      <c r="H794">
        <v>202108</v>
      </c>
      <c r="I794" s="400">
        <v>44427</v>
      </c>
      <c r="J794" t="s">
        <v>452</v>
      </c>
      <c r="K794" t="s">
        <v>386</v>
      </c>
      <c r="L794">
        <v>119010</v>
      </c>
      <c r="M794" t="s">
        <v>1158</v>
      </c>
      <c r="O794" t="s">
        <v>1561</v>
      </c>
      <c r="P794" t="s">
        <v>1562</v>
      </c>
      <c r="Q794" t="s">
        <v>450</v>
      </c>
      <c r="R794">
        <v>2069084</v>
      </c>
      <c r="S794" t="s">
        <v>1563</v>
      </c>
      <c r="U794" t="s">
        <v>1564</v>
      </c>
      <c r="V794" t="s">
        <v>398</v>
      </c>
      <c r="W794" s="393">
        <v>30000</v>
      </c>
      <c r="X794" s="393">
        <v>7.67</v>
      </c>
      <c r="Y794" s="393">
        <v>66.260000000000005</v>
      </c>
      <c r="Z794" s="393">
        <v>30000</v>
      </c>
      <c r="AA794">
        <v>0</v>
      </c>
      <c r="AB794" s="400">
        <v>44427.847053321762</v>
      </c>
      <c r="AC794" t="s">
        <v>324</v>
      </c>
    </row>
    <row r="795" spans="1:29">
      <c r="A795" t="s">
        <v>382</v>
      </c>
      <c r="B795" t="s">
        <v>440</v>
      </c>
      <c r="C795" t="s">
        <v>1362</v>
      </c>
      <c r="D795" t="s">
        <v>1421</v>
      </c>
      <c r="E795" t="s">
        <v>390</v>
      </c>
      <c r="F795" t="s">
        <v>391</v>
      </c>
      <c r="G795">
        <v>6101941</v>
      </c>
      <c r="H795">
        <v>202109</v>
      </c>
      <c r="I795" s="400">
        <v>44445</v>
      </c>
      <c r="J795">
        <v>124932</v>
      </c>
      <c r="K795" t="s">
        <v>386</v>
      </c>
      <c r="L795">
        <v>119010</v>
      </c>
      <c r="M795" t="s">
        <v>1158</v>
      </c>
      <c r="O795" t="s">
        <v>794</v>
      </c>
      <c r="P795" t="s">
        <v>795</v>
      </c>
      <c r="Q795" t="s">
        <v>450</v>
      </c>
      <c r="R795">
        <v>2069084</v>
      </c>
      <c r="S795" t="s">
        <v>387</v>
      </c>
      <c r="U795" t="s">
        <v>1565</v>
      </c>
      <c r="V795" t="s">
        <v>398</v>
      </c>
      <c r="W795" s="393">
        <v>21000</v>
      </c>
      <c r="X795" s="393">
        <v>5.6</v>
      </c>
      <c r="Y795" s="393">
        <v>48.62</v>
      </c>
      <c r="Z795" s="393">
        <v>21000</v>
      </c>
      <c r="AA795">
        <v>0</v>
      </c>
      <c r="AB795" s="400">
        <v>44459.110482986114</v>
      </c>
      <c r="AC795" t="s">
        <v>324</v>
      </c>
    </row>
    <row r="796" spans="1:29">
      <c r="A796" t="s">
        <v>382</v>
      </c>
      <c r="B796" t="s">
        <v>440</v>
      </c>
      <c r="C796" t="s">
        <v>1362</v>
      </c>
      <c r="D796" t="s">
        <v>1421</v>
      </c>
      <c r="E796" t="s">
        <v>390</v>
      </c>
      <c r="F796" t="s">
        <v>391</v>
      </c>
      <c r="G796">
        <v>6101941</v>
      </c>
      <c r="H796">
        <v>202109</v>
      </c>
      <c r="I796" s="400">
        <v>44445</v>
      </c>
      <c r="J796">
        <v>124932</v>
      </c>
      <c r="K796" t="s">
        <v>386</v>
      </c>
      <c r="L796">
        <v>119010</v>
      </c>
      <c r="M796" t="s">
        <v>1158</v>
      </c>
      <c r="O796" t="s">
        <v>906</v>
      </c>
      <c r="P796" t="s">
        <v>907</v>
      </c>
      <c r="Q796" t="s">
        <v>450</v>
      </c>
      <c r="R796">
        <v>2069084</v>
      </c>
      <c r="S796" t="s">
        <v>387</v>
      </c>
      <c r="U796" t="s">
        <v>1566</v>
      </c>
      <c r="V796" t="s">
        <v>398</v>
      </c>
      <c r="W796" s="393">
        <v>60000</v>
      </c>
      <c r="X796" s="393">
        <v>15.99</v>
      </c>
      <c r="Y796" s="393">
        <v>138.93</v>
      </c>
      <c r="Z796" s="393">
        <v>60000</v>
      </c>
      <c r="AA796">
        <v>0</v>
      </c>
      <c r="AB796" s="400">
        <v>44459.110482986114</v>
      </c>
      <c r="AC796" t="s">
        <v>324</v>
      </c>
    </row>
    <row r="797" spans="1:29">
      <c r="A797" t="s">
        <v>382</v>
      </c>
      <c r="B797" t="s">
        <v>440</v>
      </c>
      <c r="C797" t="s">
        <v>1362</v>
      </c>
      <c r="D797" t="s">
        <v>1421</v>
      </c>
      <c r="E797" t="s">
        <v>390</v>
      </c>
      <c r="F797" t="s">
        <v>391</v>
      </c>
      <c r="G797">
        <v>6101941</v>
      </c>
      <c r="H797">
        <v>202109</v>
      </c>
      <c r="I797" s="400">
        <v>44445</v>
      </c>
      <c r="J797">
        <v>124932</v>
      </c>
      <c r="K797" t="s">
        <v>386</v>
      </c>
      <c r="L797">
        <v>119010</v>
      </c>
      <c r="M797" t="s">
        <v>1158</v>
      </c>
      <c r="O797" t="s">
        <v>1567</v>
      </c>
      <c r="P797" t="s">
        <v>1568</v>
      </c>
      <c r="Q797" t="s">
        <v>450</v>
      </c>
      <c r="R797">
        <v>2069084</v>
      </c>
      <c r="S797" t="s">
        <v>387</v>
      </c>
      <c r="U797" t="s">
        <v>1569</v>
      </c>
      <c r="V797" t="s">
        <v>398</v>
      </c>
      <c r="W797" s="393">
        <v>62000</v>
      </c>
      <c r="X797" s="393">
        <v>16.52</v>
      </c>
      <c r="Y797" s="393">
        <v>143.56</v>
      </c>
      <c r="Z797" s="393">
        <v>62000</v>
      </c>
      <c r="AA797">
        <v>0</v>
      </c>
      <c r="AB797" s="400">
        <v>44459.110483182871</v>
      </c>
      <c r="AC797" t="s">
        <v>324</v>
      </c>
    </row>
    <row r="798" spans="1:29">
      <c r="A798" t="s">
        <v>382</v>
      </c>
      <c r="B798" t="s">
        <v>440</v>
      </c>
      <c r="C798" t="s">
        <v>1362</v>
      </c>
      <c r="D798" t="s">
        <v>1421</v>
      </c>
      <c r="E798" t="s">
        <v>390</v>
      </c>
      <c r="F798" t="s">
        <v>391</v>
      </c>
      <c r="G798">
        <v>6101941</v>
      </c>
      <c r="H798">
        <v>202109</v>
      </c>
      <c r="I798" s="400">
        <v>44445</v>
      </c>
      <c r="J798">
        <v>124932</v>
      </c>
      <c r="K798" t="s">
        <v>386</v>
      </c>
      <c r="L798">
        <v>119010</v>
      </c>
      <c r="M798" t="s">
        <v>1158</v>
      </c>
      <c r="O798" t="s">
        <v>794</v>
      </c>
      <c r="P798" t="s">
        <v>795</v>
      </c>
      <c r="Q798" t="s">
        <v>450</v>
      </c>
      <c r="R798">
        <v>2069084</v>
      </c>
      <c r="S798" t="s">
        <v>387</v>
      </c>
      <c r="U798" t="s">
        <v>1570</v>
      </c>
      <c r="V798" t="s">
        <v>398</v>
      </c>
      <c r="W798" s="393">
        <v>12000</v>
      </c>
      <c r="X798" s="393">
        <v>3.2</v>
      </c>
      <c r="Y798" s="393">
        <v>27.79</v>
      </c>
      <c r="Z798" s="393">
        <v>12000</v>
      </c>
      <c r="AA798">
        <v>0</v>
      </c>
      <c r="AB798" s="400">
        <v>44459.110483182871</v>
      </c>
      <c r="AC798" t="s">
        <v>324</v>
      </c>
    </row>
    <row r="799" spans="1:29">
      <c r="A799" t="s">
        <v>382</v>
      </c>
      <c r="B799" t="s">
        <v>440</v>
      </c>
      <c r="C799" t="s">
        <v>1362</v>
      </c>
      <c r="D799" t="s">
        <v>1421</v>
      </c>
      <c r="E799" t="s">
        <v>390</v>
      </c>
      <c r="F799" t="s">
        <v>391</v>
      </c>
      <c r="G799">
        <v>6101941</v>
      </c>
      <c r="H799">
        <v>202109</v>
      </c>
      <c r="I799" s="400">
        <v>44445</v>
      </c>
      <c r="J799">
        <v>124932</v>
      </c>
      <c r="K799" t="s">
        <v>386</v>
      </c>
      <c r="L799">
        <v>119010</v>
      </c>
      <c r="M799" t="s">
        <v>1158</v>
      </c>
      <c r="O799" t="s">
        <v>1108</v>
      </c>
      <c r="P799" t="s">
        <v>1109</v>
      </c>
      <c r="Q799" t="s">
        <v>450</v>
      </c>
      <c r="R799">
        <v>2069084</v>
      </c>
      <c r="S799" t="s">
        <v>387</v>
      </c>
      <c r="U799" t="s">
        <v>1571</v>
      </c>
      <c r="V799" t="s">
        <v>398</v>
      </c>
      <c r="W799" s="393">
        <v>60800</v>
      </c>
      <c r="X799" s="393">
        <v>16.2</v>
      </c>
      <c r="Y799" s="393">
        <v>140.78</v>
      </c>
      <c r="Z799" s="393">
        <v>60800</v>
      </c>
      <c r="AA799">
        <v>0</v>
      </c>
      <c r="AB799" s="400">
        <v>44459.110483182871</v>
      </c>
      <c r="AC799" t="s">
        <v>324</v>
      </c>
    </row>
    <row r="800" spans="1:29">
      <c r="A800" t="s">
        <v>382</v>
      </c>
      <c r="B800" t="s">
        <v>440</v>
      </c>
      <c r="C800" t="s">
        <v>1362</v>
      </c>
      <c r="D800" t="s">
        <v>1421</v>
      </c>
      <c r="E800" t="s">
        <v>390</v>
      </c>
      <c r="F800" t="s">
        <v>391</v>
      </c>
      <c r="G800">
        <v>6101942</v>
      </c>
      <c r="H800">
        <v>202109</v>
      </c>
      <c r="I800" s="400">
        <v>44454</v>
      </c>
      <c r="J800">
        <v>124932</v>
      </c>
      <c r="K800" t="s">
        <v>386</v>
      </c>
      <c r="L800">
        <v>124474</v>
      </c>
      <c r="M800" t="s">
        <v>1165</v>
      </c>
      <c r="O800" t="s">
        <v>929</v>
      </c>
      <c r="P800" t="s">
        <v>930</v>
      </c>
      <c r="Q800" t="s">
        <v>396</v>
      </c>
      <c r="R800">
        <v>2265776</v>
      </c>
      <c r="S800" t="s">
        <v>387</v>
      </c>
      <c r="U800" t="s">
        <v>1572</v>
      </c>
      <c r="V800" t="s">
        <v>398</v>
      </c>
      <c r="W800" s="393">
        <v>10000</v>
      </c>
      <c r="X800" s="393">
        <v>2.62</v>
      </c>
      <c r="Y800" s="393">
        <v>22.83</v>
      </c>
      <c r="Z800" s="393">
        <v>10000</v>
      </c>
      <c r="AA800">
        <v>0</v>
      </c>
      <c r="AB800" s="400">
        <v>44459.127559687498</v>
      </c>
      <c r="AC800" t="s">
        <v>326</v>
      </c>
    </row>
    <row r="801" spans="1:29">
      <c r="A801" t="s">
        <v>382</v>
      </c>
      <c r="B801" t="s">
        <v>440</v>
      </c>
      <c r="C801" t="s">
        <v>1362</v>
      </c>
      <c r="D801" t="s">
        <v>1421</v>
      </c>
      <c r="E801" t="s">
        <v>390</v>
      </c>
      <c r="F801" t="s">
        <v>391</v>
      </c>
      <c r="G801">
        <v>6101942</v>
      </c>
      <c r="H801">
        <v>202109</v>
      </c>
      <c r="I801" s="400">
        <v>44454</v>
      </c>
      <c r="J801">
        <v>124932</v>
      </c>
      <c r="K801" t="s">
        <v>386</v>
      </c>
      <c r="L801">
        <v>124474</v>
      </c>
      <c r="M801" t="s">
        <v>1165</v>
      </c>
      <c r="O801" t="s">
        <v>896</v>
      </c>
      <c r="P801" t="s">
        <v>897</v>
      </c>
      <c r="Q801" t="s">
        <v>396</v>
      </c>
      <c r="R801">
        <v>2265776</v>
      </c>
      <c r="S801" t="s">
        <v>387</v>
      </c>
      <c r="U801" t="s">
        <v>1573</v>
      </c>
      <c r="V801" t="s">
        <v>398</v>
      </c>
      <c r="W801" s="393">
        <v>35000</v>
      </c>
      <c r="X801" s="393">
        <v>9.17</v>
      </c>
      <c r="Y801" s="393">
        <v>79.900000000000006</v>
      </c>
      <c r="Z801" s="393">
        <v>35000</v>
      </c>
      <c r="AA801">
        <v>0</v>
      </c>
      <c r="AB801" s="400">
        <v>44459.127559687498</v>
      </c>
      <c r="AC801" t="s">
        <v>326</v>
      </c>
    </row>
    <row r="802" spans="1:29">
      <c r="A802" t="s">
        <v>382</v>
      </c>
      <c r="B802" t="s">
        <v>440</v>
      </c>
      <c r="C802" t="s">
        <v>1362</v>
      </c>
      <c r="D802" t="s">
        <v>1421</v>
      </c>
      <c r="E802" t="s">
        <v>390</v>
      </c>
      <c r="F802" t="s">
        <v>391</v>
      </c>
      <c r="G802">
        <v>6101942</v>
      </c>
      <c r="H802">
        <v>202109</v>
      </c>
      <c r="I802" s="400">
        <v>44454</v>
      </c>
      <c r="J802">
        <v>124932</v>
      </c>
      <c r="K802" t="s">
        <v>386</v>
      </c>
      <c r="L802">
        <v>124474</v>
      </c>
      <c r="M802" t="s">
        <v>1165</v>
      </c>
      <c r="O802" t="s">
        <v>794</v>
      </c>
      <c r="P802" t="s">
        <v>795</v>
      </c>
      <c r="Q802" t="s">
        <v>396</v>
      </c>
      <c r="R802">
        <v>2265776</v>
      </c>
      <c r="S802" t="s">
        <v>387</v>
      </c>
      <c r="U802" t="s">
        <v>1574</v>
      </c>
      <c r="V802" t="s">
        <v>398</v>
      </c>
      <c r="W802" s="393">
        <v>11000</v>
      </c>
      <c r="X802" s="393">
        <v>2.88</v>
      </c>
      <c r="Y802" s="393">
        <v>25.11</v>
      </c>
      <c r="Z802" s="393">
        <v>11000</v>
      </c>
      <c r="AA802">
        <v>0</v>
      </c>
      <c r="AB802" s="400">
        <v>44459.127559687498</v>
      </c>
      <c r="AC802" t="s">
        <v>326</v>
      </c>
    </row>
    <row r="803" spans="1:29">
      <c r="A803" t="s">
        <v>382</v>
      </c>
      <c r="B803" t="s">
        <v>440</v>
      </c>
      <c r="C803" t="s">
        <v>1362</v>
      </c>
      <c r="D803" t="s">
        <v>1421</v>
      </c>
      <c r="E803" t="s">
        <v>390</v>
      </c>
      <c r="F803" t="s">
        <v>391</v>
      </c>
      <c r="G803">
        <v>6102194</v>
      </c>
      <c r="H803">
        <v>202109</v>
      </c>
      <c r="I803" s="400">
        <v>44462</v>
      </c>
      <c r="J803">
        <v>124932</v>
      </c>
      <c r="K803" t="s">
        <v>386</v>
      </c>
      <c r="L803" t="s">
        <v>1392</v>
      </c>
      <c r="M803" t="s">
        <v>1393</v>
      </c>
      <c r="O803" t="s">
        <v>794</v>
      </c>
      <c r="P803" t="s">
        <v>795</v>
      </c>
      <c r="Q803" t="s">
        <v>450</v>
      </c>
      <c r="R803">
        <v>2069084</v>
      </c>
      <c r="S803" t="s">
        <v>387</v>
      </c>
      <c r="U803" t="s">
        <v>1575</v>
      </c>
      <c r="V803" t="s">
        <v>398</v>
      </c>
      <c r="W803" s="393">
        <v>27500</v>
      </c>
      <c r="X803" s="393">
        <v>7.17</v>
      </c>
      <c r="Y803" s="393">
        <v>62.36</v>
      </c>
      <c r="Z803" s="393">
        <v>27500</v>
      </c>
      <c r="AA803">
        <v>0</v>
      </c>
      <c r="AB803" s="400">
        <v>44474.213166469905</v>
      </c>
      <c r="AC803" t="s">
        <v>324</v>
      </c>
    </row>
    <row r="804" spans="1:29">
      <c r="A804" t="s">
        <v>382</v>
      </c>
      <c r="B804" t="s">
        <v>440</v>
      </c>
      <c r="C804" t="s">
        <v>1362</v>
      </c>
      <c r="D804" t="s">
        <v>1421</v>
      </c>
      <c r="E804" t="s">
        <v>390</v>
      </c>
      <c r="F804" t="s">
        <v>391</v>
      </c>
      <c r="G804">
        <v>6102194</v>
      </c>
      <c r="H804">
        <v>202109</v>
      </c>
      <c r="I804" s="400">
        <v>44462</v>
      </c>
      <c r="J804">
        <v>124932</v>
      </c>
      <c r="K804" t="s">
        <v>386</v>
      </c>
      <c r="L804" t="s">
        <v>1392</v>
      </c>
      <c r="M804" t="s">
        <v>1393</v>
      </c>
      <c r="O804" t="s">
        <v>696</v>
      </c>
      <c r="P804" t="s">
        <v>697</v>
      </c>
      <c r="Q804" t="s">
        <v>450</v>
      </c>
      <c r="R804">
        <v>2069084</v>
      </c>
      <c r="S804" t="s">
        <v>387</v>
      </c>
      <c r="U804" t="s">
        <v>1576</v>
      </c>
      <c r="V804" t="s">
        <v>398</v>
      </c>
      <c r="W804" s="393">
        <v>31500</v>
      </c>
      <c r="X804" s="393">
        <v>8.2100000000000009</v>
      </c>
      <c r="Y804" s="393">
        <v>71.430000000000007</v>
      </c>
      <c r="Z804" s="393">
        <v>31500</v>
      </c>
      <c r="AA804">
        <v>0</v>
      </c>
      <c r="AB804" s="400">
        <v>44474.213166469905</v>
      </c>
      <c r="AC804" t="s">
        <v>324</v>
      </c>
    </row>
    <row r="805" spans="1:29">
      <c r="A805" t="s">
        <v>382</v>
      </c>
      <c r="B805" t="s">
        <v>440</v>
      </c>
      <c r="C805" t="s">
        <v>1362</v>
      </c>
      <c r="D805" t="s">
        <v>1421</v>
      </c>
      <c r="E805" t="s">
        <v>390</v>
      </c>
      <c r="F805" t="s">
        <v>391</v>
      </c>
      <c r="G805">
        <v>6102194</v>
      </c>
      <c r="H805">
        <v>202109</v>
      </c>
      <c r="I805" s="400">
        <v>44462</v>
      </c>
      <c r="J805">
        <v>124932</v>
      </c>
      <c r="K805" t="s">
        <v>386</v>
      </c>
      <c r="L805" t="s">
        <v>1392</v>
      </c>
      <c r="M805" t="s">
        <v>1393</v>
      </c>
      <c r="O805" t="s">
        <v>1577</v>
      </c>
      <c r="P805" t="s">
        <v>1578</v>
      </c>
      <c r="Q805" t="s">
        <v>450</v>
      </c>
      <c r="R805">
        <v>2069084</v>
      </c>
      <c r="S805" t="s">
        <v>387</v>
      </c>
      <c r="U805" t="s">
        <v>1579</v>
      </c>
      <c r="V805" t="s">
        <v>398</v>
      </c>
      <c r="W805" s="393">
        <v>25500</v>
      </c>
      <c r="X805" s="393">
        <v>6.65</v>
      </c>
      <c r="Y805" s="393">
        <v>57.82</v>
      </c>
      <c r="Z805" s="393">
        <v>25500</v>
      </c>
      <c r="AA805">
        <v>0</v>
      </c>
      <c r="AB805" s="400">
        <v>44474.213166469905</v>
      </c>
      <c r="AC805" t="s">
        <v>324</v>
      </c>
    </row>
    <row r="806" spans="1:29">
      <c r="A806" t="s">
        <v>382</v>
      </c>
      <c r="B806" t="s">
        <v>440</v>
      </c>
      <c r="C806" t="s">
        <v>1362</v>
      </c>
      <c r="D806" t="s">
        <v>1421</v>
      </c>
      <c r="E806" t="s">
        <v>390</v>
      </c>
      <c r="F806" t="s">
        <v>391</v>
      </c>
      <c r="G806">
        <v>6102117</v>
      </c>
      <c r="H806">
        <v>202109</v>
      </c>
      <c r="I806" s="400">
        <v>44469</v>
      </c>
      <c r="J806">
        <v>124932</v>
      </c>
      <c r="K806" t="s">
        <v>386</v>
      </c>
      <c r="L806" t="s">
        <v>1191</v>
      </c>
      <c r="M806" t="s">
        <v>1192</v>
      </c>
      <c r="O806" t="s">
        <v>1580</v>
      </c>
      <c r="P806" t="s">
        <v>1581</v>
      </c>
      <c r="Q806" t="s">
        <v>450</v>
      </c>
      <c r="R806">
        <v>2069084</v>
      </c>
      <c r="S806" t="s">
        <v>387</v>
      </c>
      <c r="U806" t="s">
        <v>1582</v>
      </c>
      <c r="V806" t="s">
        <v>398</v>
      </c>
      <c r="W806" s="393">
        <v>37100</v>
      </c>
      <c r="X806" s="393">
        <v>9.67</v>
      </c>
      <c r="Y806" s="393">
        <v>84.13</v>
      </c>
      <c r="Z806" s="393">
        <v>37100</v>
      </c>
      <c r="AA806">
        <v>0</v>
      </c>
      <c r="AB806" s="400">
        <v>44472.253244675929</v>
      </c>
      <c r="AC806" t="s">
        <v>324</v>
      </c>
    </row>
    <row r="807" spans="1:29">
      <c r="A807" t="s">
        <v>382</v>
      </c>
      <c r="B807" t="s">
        <v>440</v>
      </c>
      <c r="C807" t="s">
        <v>1362</v>
      </c>
      <c r="D807" t="s">
        <v>1421</v>
      </c>
      <c r="E807" t="s">
        <v>390</v>
      </c>
      <c r="F807" t="s">
        <v>391</v>
      </c>
      <c r="G807">
        <v>6102117</v>
      </c>
      <c r="H807">
        <v>202109</v>
      </c>
      <c r="I807" s="400">
        <v>44469</v>
      </c>
      <c r="J807">
        <v>124932</v>
      </c>
      <c r="K807" t="s">
        <v>386</v>
      </c>
      <c r="L807" t="s">
        <v>1191</v>
      </c>
      <c r="M807" t="s">
        <v>1192</v>
      </c>
      <c r="O807" t="s">
        <v>1409</v>
      </c>
      <c r="P807" t="s">
        <v>1410</v>
      </c>
      <c r="Q807" t="s">
        <v>450</v>
      </c>
      <c r="R807">
        <v>2069084</v>
      </c>
      <c r="S807" t="s">
        <v>387</v>
      </c>
      <c r="U807" t="s">
        <v>1583</v>
      </c>
      <c r="V807" t="s">
        <v>398</v>
      </c>
      <c r="W807" s="393">
        <v>36500</v>
      </c>
      <c r="X807" s="393">
        <v>9.52</v>
      </c>
      <c r="Y807" s="393">
        <v>82.77</v>
      </c>
      <c r="Z807" s="393">
        <v>36500</v>
      </c>
      <c r="AA807">
        <v>0</v>
      </c>
      <c r="AB807" s="400">
        <v>44472.253244675929</v>
      </c>
      <c r="AC807" t="s">
        <v>324</v>
      </c>
    </row>
    <row r="808" spans="1:29">
      <c r="A808" t="s">
        <v>382</v>
      </c>
      <c r="B808" t="s">
        <v>440</v>
      </c>
      <c r="C808" t="s">
        <v>1362</v>
      </c>
      <c r="D808" t="s">
        <v>1421</v>
      </c>
      <c r="E808" t="s">
        <v>390</v>
      </c>
      <c r="F808" t="s">
        <v>391</v>
      </c>
      <c r="G808">
        <v>6102093</v>
      </c>
      <c r="H808">
        <v>202109</v>
      </c>
      <c r="I808" s="400">
        <v>44468</v>
      </c>
      <c r="J808">
        <v>124932</v>
      </c>
      <c r="K808" t="s">
        <v>386</v>
      </c>
      <c r="L808" t="s">
        <v>1170</v>
      </c>
      <c r="M808" t="s">
        <v>1171</v>
      </c>
      <c r="O808" t="s">
        <v>1584</v>
      </c>
      <c r="P808" t="s">
        <v>1585</v>
      </c>
      <c r="Q808" t="s">
        <v>450</v>
      </c>
      <c r="R808">
        <v>2069084</v>
      </c>
      <c r="S808" t="s">
        <v>387</v>
      </c>
      <c r="U808" t="s">
        <v>1586</v>
      </c>
      <c r="V808" t="s">
        <v>398</v>
      </c>
      <c r="W808" s="393">
        <v>66000</v>
      </c>
      <c r="X808" s="393">
        <v>17.21</v>
      </c>
      <c r="Y808" s="393">
        <v>149.66</v>
      </c>
      <c r="Z808" s="393">
        <v>66000</v>
      </c>
      <c r="AA808">
        <v>0</v>
      </c>
      <c r="AB808" s="400">
        <v>44471.757047453706</v>
      </c>
      <c r="AC808" t="s">
        <v>324</v>
      </c>
    </row>
    <row r="809" spans="1:29">
      <c r="A809" t="s">
        <v>382</v>
      </c>
      <c r="B809" t="s">
        <v>440</v>
      </c>
      <c r="C809" t="s">
        <v>1362</v>
      </c>
      <c r="D809" t="s">
        <v>1587</v>
      </c>
      <c r="E809" t="s">
        <v>390</v>
      </c>
      <c r="F809" t="s">
        <v>391</v>
      </c>
      <c r="G809">
        <v>6100620</v>
      </c>
      <c r="H809">
        <v>202104</v>
      </c>
      <c r="I809" s="400">
        <v>44292</v>
      </c>
      <c r="J809">
        <v>122536</v>
      </c>
      <c r="K809" t="s">
        <v>386</v>
      </c>
      <c r="L809" t="s">
        <v>1234</v>
      </c>
      <c r="M809" t="s">
        <v>1235</v>
      </c>
      <c r="O809" t="s">
        <v>1367</v>
      </c>
      <c r="P809" t="s">
        <v>1368</v>
      </c>
      <c r="Q809" t="s">
        <v>450</v>
      </c>
      <c r="R809">
        <v>2069084</v>
      </c>
      <c r="S809" t="s">
        <v>387</v>
      </c>
      <c r="U809" t="s">
        <v>1369</v>
      </c>
      <c r="V809" t="s">
        <v>398</v>
      </c>
      <c r="W809" s="393">
        <v>393000</v>
      </c>
      <c r="X809" s="393">
        <v>109.65</v>
      </c>
      <c r="Y809" s="393">
        <v>943.2</v>
      </c>
      <c r="Z809" s="393">
        <v>393000</v>
      </c>
      <c r="AA809">
        <v>222</v>
      </c>
      <c r="AB809" s="400">
        <v>44306.72663271991</v>
      </c>
      <c r="AC809" t="s">
        <v>324</v>
      </c>
    </row>
    <row r="810" spans="1:29">
      <c r="A810" t="s">
        <v>382</v>
      </c>
      <c r="B810" t="s">
        <v>440</v>
      </c>
      <c r="C810" t="s">
        <v>1362</v>
      </c>
      <c r="D810" t="s">
        <v>1587</v>
      </c>
      <c r="E810" t="s">
        <v>390</v>
      </c>
      <c r="F810" t="s">
        <v>391</v>
      </c>
      <c r="G810">
        <v>6100620</v>
      </c>
      <c r="H810">
        <v>202104</v>
      </c>
      <c r="I810" s="400">
        <v>44292</v>
      </c>
      <c r="J810">
        <v>122536</v>
      </c>
      <c r="K810" t="s">
        <v>386</v>
      </c>
      <c r="L810" t="s">
        <v>1234</v>
      </c>
      <c r="M810" t="s">
        <v>1235</v>
      </c>
      <c r="O810" t="s">
        <v>1367</v>
      </c>
      <c r="P810" t="s">
        <v>1368</v>
      </c>
      <c r="Q810" t="s">
        <v>450</v>
      </c>
      <c r="R810">
        <v>2069084</v>
      </c>
      <c r="S810" t="s">
        <v>387</v>
      </c>
      <c r="U810" t="s">
        <v>1369</v>
      </c>
      <c r="V810" t="s">
        <v>398</v>
      </c>
      <c r="W810" s="393">
        <v>33800</v>
      </c>
      <c r="X810" s="393">
        <v>9.43</v>
      </c>
      <c r="Y810" s="393">
        <v>81.12</v>
      </c>
      <c r="Z810" s="393">
        <v>33800</v>
      </c>
      <c r="AA810">
        <v>0</v>
      </c>
      <c r="AB810" s="400">
        <v>44306.72663271991</v>
      </c>
      <c r="AC810" t="s">
        <v>324</v>
      </c>
    </row>
    <row r="811" spans="1:29">
      <c r="A811" t="s">
        <v>382</v>
      </c>
      <c r="B811" t="s">
        <v>440</v>
      </c>
      <c r="C811" t="s">
        <v>1362</v>
      </c>
      <c r="D811" t="s">
        <v>1587</v>
      </c>
      <c r="E811" t="s">
        <v>390</v>
      </c>
      <c r="F811" t="s">
        <v>391</v>
      </c>
      <c r="G811">
        <v>6100620</v>
      </c>
      <c r="H811">
        <v>202104</v>
      </c>
      <c r="I811" s="400">
        <v>44292</v>
      </c>
      <c r="J811">
        <v>122536</v>
      </c>
      <c r="K811" t="s">
        <v>386</v>
      </c>
      <c r="L811" t="s">
        <v>1234</v>
      </c>
      <c r="M811" t="s">
        <v>1235</v>
      </c>
      <c r="O811" t="s">
        <v>512</v>
      </c>
      <c r="P811" t="s">
        <v>513</v>
      </c>
      <c r="Q811" t="s">
        <v>450</v>
      </c>
      <c r="R811">
        <v>2069084</v>
      </c>
      <c r="S811" t="s">
        <v>387</v>
      </c>
      <c r="U811" t="s">
        <v>1369</v>
      </c>
      <c r="V811" t="s">
        <v>398</v>
      </c>
      <c r="W811" s="393">
        <v>39242</v>
      </c>
      <c r="X811" s="393">
        <v>10.95</v>
      </c>
      <c r="Y811" s="393">
        <v>94.18</v>
      </c>
      <c r="Z811" s="393">
        <v>39242</v>
      </c>
      <c r="AA811">
        <v>222</v>
      </c>
      <c r="AB811" s="400">
        <v>44306.72663271991</v>
      </c>
      <c r="AC811" t="s">
        <v>324</v>
      </c>
    </row>
    <row r="812" spans="1:29">
      <c r="A812" t="s">
        <v>382</v>
      </c>
      <c r="B812" t="s">
        <v>440</v>
      </c>
      <c r="C812" t="s">
        <v>1362</v>
      </c>
      <c r="D812" t="s">
        <v>1587</v>
      </c>
      <c r="E812" t="s">
        <v>390</v>
      </c>
      <c r="F812" t="s">
        <v>391</v>
      </c>
      <c r="G812">
        <v>6101438</v>
      </c>
      <c r="H812">
        <v>202107</v>
      </c>
      <c r="I812" s="400">
        <v>44399</v>
      </c>
      <c r="J812">
        <v>125062</v>
      </c>
      <c r="K812" t="s">
        <v>386</v>
      </c>
      <c r="L812">
        <v>119010</v>
      </c>
      <c r="M812" t="s">
        <v>1158</v>
      </c>
      <c r="O812" t="s">
        <v>512</v>
      </c>
      <c r="P812" t="s">
        <v>513</v>
      </c>
      <c r="Q812" t="s">
        <v>396</v>
      </c>
      <c r="R812">
        <v>2265776</v>
      </c>
      <c r="S812" t="s">
        <v>387</v>
      </c>
      <c r="U812" t="s">
        <v>1370</v>
      </c>
      <c r="V812" t="s">
        <v>398</v>
      </c>
      <c r="W812" s="393">
        <v>39242</v>
      </c>
      <c r="X812" s="393">
        <v>10.32</v>
      </c>
      <c r="Y812" s="393">
        <v>88.84</v>
      </c>
      <c r="Z812" s="393">
        <v>39242</v>
      </c>
      <c r="AA812">
        <v>222</v>
      </c>
      <c r="AB812" s="400">
        <v>44412.686229432868</v>
      </c>
      <c r="AC812" t="s">
        <v>326</v>
      </c>
    </row>
    <row r="813" spans="1:29">
      <c r="A813" t="s">
        <v>382</v>
      </c>
      <c r="B813" t="s">
        <v>440</v>
      </c>
      <c r="C813" t="s">
        <v>1362</v>
      </c>
      <c r="D813" t="s">
        <v>1587</v>
      </c>
      <c r="E813" t="s">
        <v>390</v>
      </c>
      <c r="F813" t="s">
        <v>391</v>
      </c>
      <c r="G813">
        <v>6101438</v>
      </c>
      <c r="H813">
        <v>202107</v>
      </c>
      <c r="I813" s="400">
        <v>44399</v>
      </c>
      <c r="J813">
        <v>125062</v>
      </c>
      <c r="K813" t="s">
        <v>386</v>
      </c>
      <c r="L813">
        <v>119010</v>
      </c>
      <c r="M813" t="s">
        <v>1158</v>
      </c>
      <c r="O813" t="s">
        <v>509</v>
      </c>
      <c r="P813" t="s">
        <v>510</v>
      </c>
      <c r="Q813" t="s">
        <v>396</v>
      </c>
      <c r="R813">
        <v>2265776</v>
      </c>
      <c r="S813" t="s">
        <v>387</v>
      </c>
      <c r="U813" t="s">
        <v>1370</v>
      </c>
      <c r="V813" t="s">
        <v>398</v>
      </c>
      <c r="W813" s="393">
        <v>433700</v>
      </c>
      <c r="X813" s="393">
        <v>114.06</v>
      </c>
      <c r="Y813" s="393">
        <v>981.9</v>
      </c>
      <c r="Z813" s="393">
        <v>433700</v>
      </c>
      <c r="AA813">
        <v>222</v>
      </c>
      <c r="AB813" s="400">
        <v>44412.686229247687</v>
      </c>
      <c r="AC813" t="s">
        <v>326</v>
      </c>
    </row>
    <row r="814" spans="1:29">
      <c r="A814" t="s">
        <v>382</v>
      </c>
      <c r="B814" t="s">
        <v>440</v>
      </c>
      <c r="C814" t="s">
        <v>1362</v>
      </c>
      <c r="D814" t="s">
        <v>1587</v>
      </c>
      <c r="E814" t="s">
        <v>390</v>
      </c>
      <c r="F814" t="s">
        <v>391</v>
      </c>
      <c r="G814">
        <v>6101438</v>
      </c>
      <c r="H814">
        <v>202107</v>
      </c>
      <c r="I814" s="400">
        <v>44399</v>
      </c>
      <c r="J814">
        <v>125062</v>
      </c>
      <c r="K814" t="s">
        <v>386</v>
      </c>
      <c r="L814">
        <v>119010</v>
      </c>
      <c r="M814" t="s">
        <v>1158</v>
      </c>
      <c r="O814" t="s">
        <v>509</v>
      </c>
      <c r="P814" t="s">
        <v>510</v>
      </c>
      <c r="Q814" t="s">
        <v>396</v>
      </c>
      <c r="R814">
        <v>2265776</v>
      </c>
      <c r="S814" t="s">
        <v>387</v>
      </c>
      <c r="U814" t="s">
        <v>1370</v>
      </c>
      <c r="V814" t="s">
        <v>398</v>
      </c>
      <c r="W814" s="393">
        <v>33500</v>
      </c>
      <c r="X814" s="393">
        <v>8.81</v>
      </c>
      <c r="Y814" s="393">
        <v>75.84</v>
      </c>
      <c r="Z814" s="393">
        <v>33500</v>
      </c>
      <c r="AA814">
        <v>0</v>
      </c>
      <c r="AB814" s="400">
        <v>44412.686229432868</v>
      </c>
      <c r="AC814" t="s">
        <v>326</v>
      </c>
    </row>
    <row r="815" spans="1:29">
      <c r="A815" t="s">
        <v>382</v>
      </c>
      <c r="B815" t="s">
        <v>440</v>
      </c>
      <c r="C815" t="s">
        <v>1362</v>
      </c>
      <c r="D815" t="s">
        <v>1587</v>
      </c>
      <c r="E815" t="s">
        <v>390</v>
      </c>
      <c r="F815" t="s">
        <v>391</v>
      </c>
      <c r="G815">
        <v>6101442</v>
      </c>
      <c r="H815">
        <v>202107</v>
      </c>
      <c r="I815" s="400">
        <v>44399</v>
      </c>
      <c r="J815">
        <v>125062</v>
      </c>
      <c r="K815" t="s">
        <v>386</v>
      </c>
      <c r="L815" t="s">
        <v>1175</v>
      </c>
      <c r="M815" t="s">
        <v>1176</v>
      </c>
      <c r="O815" t="s">
        <v>509</v>
      </c>
      <c r="P815" t="s">
        <v>510</v>
      </c>
      <c r="Q815" t="s">
        <v>396</v>
      </c>
      <c r="R815">
        <v>2265776</v>
      </c>
      <c r="S815" t="s">
        <v>387</v>
      </c>
      <c r="U815" t="s">
        <v>1371</v>
      </c>
      <c r="V815" t="s">
        <v>398</v>
      </c>
      <c r="W815" s="393">
        <v>582800</v>
      </c>
      <c r="X815" s="393">
        <v>153.28</v>
      </c>
      <c r="Y815" s="393">
        <v>1319.46</v>
      </c>
      <c r="Z815" s="393">
        <v>582800</v>
      </c>
      <c r="AA815">
        <v>222</v>
      </c>
      <c r="AB815" s="400">
        <v>44412.693331099537</v>
      </c>
      <c r="AC815" t="s">
        <v>326</v>
      </c>
    </row>
    <row r="816" spans="1:29">
      <c r="A816" t="s">
        <v>382</v>
      </c>
      <c r="B816" t="s">
        <v>440</v>
      </c>
      <c r="C816" t="s">
        <v>1362</v>
      </c>
      <c r="D816" t="s">
        <v>1587</v>
      </c>
      <c r="E816" t="s">
        <v>390</v>
      </c>
      <c r="F816" t="s">
        <v>391</v>
      </c>
      <c r="G816">
        <v>6101442</v>
      </c>
      <c r="H816">
        <v>202107</v>
      </c>
      <c r="I816" s="400">
        <v>44399</v>
      </c>
      <c r="J816">
        <v>125062</v>
      </c>
      <c r="K816" t="s">
        <v>386</v>
      </c>
      <c r="L816" t="s">
        <v>1175</v>
      </c>
      <c r="M816" t="s">
        <v>1176</v>
      </c>
      <c r="O816" t="s">
        <v>509</v>
      </c>
      <c r="P816" t="s">
        <v>510</v>
      </c>
      <c r="Q816" t="s">
        <v>396</v>
      </c>
      <c r="R816">
        <v>2265776</v>
      </c>
      <c r="S816" t="s">
        <v>387</v>
      </c>
      <c r="U816" t="s">
        <v>1371</v>
      </c>
      <c r="V816" t="s">
        <v>398</v>
      </c>
      <c r="W816" s="393">
        <v>33500</v>
      </c>
      <c r="X816" s="393">
        <v>8.81</v>
      </c>
      <c r="Y816" s="393">
        <v>75.84</v>
      </c>
      <c r="Z816" s="393">
        <v>33500</v>
      </c>
      <c r="AA816">
        <v>0</v>
      </c>
      <c r="AB816" s="400">
        <v>44412.693331099537</v>
      </c>
      <c r="AC816" t="s">
        <v>326</v>
      </c>
    </row>
    <row r="817" spans="1:29">
      <c r="A817" t="s">
        <v>382</v>
      </c>
      <c r="B817" t="s">
        <v>440</v>
      </c>
      <c r="C817" t="s">
        <v>1362</v>
      </c>
      <c r="D817" t="s">
        <v>1587</v>
      </c>
      <c r="E817" t="s">
        <v>390</v>
      </c>
      <c r="F817" t="s">
        <v>391</v>
      </c>
      <c r="G817">
        <v>6101442</v>
      </c>
      <c r="H817">
        <v>202107</v>
      </c>
      <c r="I817" s="400">
        <v>44399</v>
      </c>
      <c r="J817">
        <v>125062</v>
      </c>
      <c r="K817" t="s">
        <v>386</v>
      </c>
      <c r="L817" t="s">
        <v>1175</v>
      </c>
      <c r="M817" t="s">
        <v>1176</v>
      </c>
      <c r="O817" t="s">
        <v>512</v>
      </c>
      <c r="P817" t="s">
        <v>513</v>
      </c>
      <c r="Q817" t="s">
        <v>396</v>
      </c>
      <c r="R817">
        <v>2265776</v>
      </c>
      <c r="S817" t="s">
        <v>387</v>
      </c>
      <c r="U817" t="s">
        <v>1371</v>
      </c>
      <c r="V817" t="s">
        <v>398</v>
      </c>
      <c r="W817" s="393">
        <v>39242</v>
      </c>
      <c r="X817" s="393">
        <v>10.32</v>
      </c>
      <c r="Y817" s="393">
        <v>88.84</v>
      </c>
      <c r="Z817" s="393">
        <v>39242</v>
      </c>
      <c r="AA817">
        <v>222</v>
      </c>
      <c r="AB817" s="400">
        <v>44412.693331099537</v>
      </c>
      <c r="AC817" t="s">
        <v>326</v>
      </c>
    </row>
    <row r="818" spans="1:29">
      <c r="A818" t="s">
        <v>382</v>
      </c>
      <c r="B818" t="s">
        <v>440</v>
      </c>
      <c r="C818" t="s">
        <v>1362</v>
      </c>
      <c r="D818" t="s">
        <v>1587</v>
      </c>
      <c r="E818" t="s">
        <v>390</v>
      </c>
      <c r="F818" t="s">
        <v>391</v>
      </c>
      <c r="G818">
        <v>6101784</v>
      </c>
      <c r="H818">
        <v>202108</v>
      </c>
      <c r="I818" s="400">
        <v>44418</v>
      </c>
      <c r="J818">
        <v>125062</v>
      </c>
      <c r="K818" t="s">
        <v>386</v>
      </c>
      <c r="L818" t="s">
        <v>1247</v>
      </c>
      <c r="M818" t="s">
        <v>1248</v>
      </c>
      <c r="O818" t="s">
        <v>509</v>
      </c>
      <c r="P818" t="s">
        <v>510</v>
      </c>
      <c r="Q818" t="s">
        <v>450</v>
      </c>
      <c r="R818">
        <v>2069084</v>
      </c>
      <c r="S818" t="s">
        <v>387</v>
      </c>
      <c r="U818" t="s">
        <v>1372</v>
      </c>
      <c r="V818" t="s">
        <v>398</v>
      </c>
      <c r="W818" s="393">
        <v>627000</v>
      </c>
      <c r="X818" s="393">
        <v>160.31</v>
      </c>
      <c r="Y818" s="393">
        <v>1384.8</v>
      </c>
      <c r="Z818" s="393">
        <v>627000</v>
      </c>
      <c r="AA818">
        <v>222</v>
      </c>
      <c r="AB818" s="400">
        <v>44445.891074502317</v>
      </c>
      <c r="AC818" t="s">
        <v>324</v>
      </c>
    </row>
    <row r="819" spans="1:29">
      <c r="A819" t="s">
        <v>382</v>
      </c>
      <c r="B819" t="s">
        <v>440</v>
      </c>
      <c r="C819" t="s">
        <v>1362</v>
      </c>
      <c r="D819" t="s">
        <v>1587</v>
      </c>
      <c r="E819" t="s">
        <v>390</v>
      </c>
      <c r="F819" t="s">
        <v>391</v>
      </c>
      <c r="G819">
        <v>6101784</v>
      </c>
      <c r="H819">
        <v>202108</v>
      </c>
      <c r="I819" s="400">
        <v>44418</v>
      </c>
      <c r="J819">
        <v>125062</v>
      </c>
      <c r="K819" t="s">
        <v>386</v>
      </c>
      <c r="L819" t="s">
        <v>1247</v>
      </c>
      <c r="M819" t="s">
        <v>1248</v>
      </c>
      <c r="O819" t="s">
        <v>509</v>
      </c>
      <c r="P819" t="s">
        <v>510</v>
      </c>
      <c r="Q819" t="s">
        <v>450</v>
      </c>
      <c r="R819">
        <v>2069084</v>
      </c>
      <c r="S819" t="s">
        <v>387</v>
      </c>
      <c r="U819" t="s">
        <v>1372</v>
      </c>
      <c r="V819" t="s">
        <v>398</v>
      </c>
      <c r="W819" s="393">
        <v>33500</v>
      </c>
      <c r="X819" s="393">
        <v>8.56</v>
      </c>
      <c r="Y819" s="393">
        <v>73.989999999999995</v>
      </c>
      <c r="Z819" s="393">
        <v>33500</v>
      </c>
      <c r="AA819">
        <v>0</v>
      </c>
      <c r="AB819" s="400">
        <v>44445.891074652776</v>
      </c>
      <c r="AC819" t="s">
        <v>324</v>
      </c>
    </row>
    <row r="820" spans="1:29">
      <c r="A820" t="s">
        <v>382</v>
      </c>
      <c r="B820" t="s">
        <v>440</v>
      </c>
      <c r="C820" t="s">
        <v>1362</v>
      </c>
      <c r="D820" t="s">
        <v>1587</v>
      </c>
      <c r="E820" t="s">
        <v>390</v>
      </c>
      <c r="F820" t="s">
        <v>391</v>
      </c>
      <c r="G820">
        <v>6101784</v>
      </c>
      <c r="H820">
        <v>202108</v>
      </c>
      <c r="I820" s="400">
        <v>44418</v>
      </c>
      <c r="J820">
        <v>125062</v>
      </c>
      <c r="K820" t="s">
        <v>386</v>
      </c>
      <c r="L820" t="s">
        <v>1247</v>
      </c>
      <c r="M820" t="s">
        <v>1248</v>
      </c>
      <c r="O820" t="s">
        <v>512</v>
      </c>
      <c r="P820" t="s">
        <v>513</v>
      </c>
      <c r="Q820" t="s">
        <v>450</v>
      </c>
      <c r="R820">
        <v>2069084</v>
      </c>
      <c r="S820" t="s">
        <v>387</v>
      </c>
      <c r="U820" t="s">
        <v>1372</v>
      </c>
      <c r="V820" t="s">
        <v>398</v>
      </c>
      <c r="W820" s="393">
        <v>39242</v>
      </c>
      <c r="X820" s="393">
        <v>10.029999999999999</v>
      </c>
      <c r="Y820" s="393">
        <v>86.67</v>
      </c>
      <c r="Z820" s="393">
        <v>39242</v>
      </c>
      <c r="AA820">
        <v>222</v>
      </c>
      <c r="AB820" s="400">
        <v>44445.89107484954</v>
      </c>
      <c r="AC820" t="s">
        <v>324</v>
      </c>
    </row>
    <row r="821" spans="1:29">
      <c r="A821" t="s">
        <v>382</v>
      </c>
      <c r="B821" t="s">
        <v>440</v>
      </c>
      <c r="C821" t="s">
        <v>1362</v>
      </c>
      <c r="D821" t="s">
        <v>1587</v>
      </c>
      <c r="E821" t="s">
        <v>390</v>
      </c>
      <c r="F821" t="s">
        <v>391</v>
      </c>
      <c r="G821">
        <v>6101809</v>
      </c>
      <c r="H821">
        <v>202108</v>
      </c>
      <c r="I821" s="400">
        <v>44428</v>
      </c>
      <c r="J821">
        <v>125062</v>
      </c>
      <c r="K821" t="s">
        <v>386</v>
      </c>
      <c r="L821" t="s">
        <v>1191</v>
      </c>
      <c r="M821" t="s">
        <v>1192</v>
      </c>
      <c r="O821" t="s">
        <v>509</v>
      </c>
      <c r="P821" t="s">
        <v>510</v>
      </c>
      <c r="Q821" t="s">
        <v>450</v>
      </c>
      <c r="R821">
        <v>2069084</v>
      </c>
      <c r="S821" t="s">
        <v>387</v>
      </c>
      <c r="U821" t="s">
        <v>1373</v>
      </c>
      <c r="V821" t="s">
        <v>398</v>
      </c>
      <c r="W821" s="393">
        <v>427700</v>
      </c>
      <c r="X821" s="393">
        <v>110.77</v>
      </c>
      <c r="Y821" s="393">
        <v>960.65</v>
      </c>
      <c r="Z821" s="393">
        <v>427700</v>
      </c>
      <c r="AA821">
        <v>222</v>
      </c>
      <c r="AB821" s="400">
        <v>44446.549343090279</v>
      </c>
      <c r="AC821" t="s">
        <v>324</v>
      </c>
    </row>
    <row r="822" spans="1:29">
      <c r="A822" t="s">
        <v>382</v>
      </c>
      <c r="B822" t="s">
        <v>440</v>
      </c>
      <c r="C822" t="s">
        <v>1362</v>
      </c>
      <c r="D822" t="s">
        <v>1587</v>
      </c>
      <c r="E822" t="s">
        <v>390</v>
      </c>
      <c r="F822" t="s">
        <v>391</v>
      </c>
      <c r="G822">
        <v>6101809</v>
      </c>
      <c r="H822">
        <v>202108</v>
      </c>
      <c r="I822" s="400">
        <v>44428</v>
      </c>
      <c r="J822">
        <v>125062</v>
      </c>
      <c r="K822" t="s">
        <v>386</v>
      </c>
      <c r="L822" t="s">
        <v>1191</v>
      </c>
      <c r="M822" t="s">
        <v>1192</v>
      </c>
      <c r="O822" t="s">
        <v>509</v>
      </c>
      <c r="P822" t="s">
        <v>510</v>
      </c>
      <c r="Q822" t="s">
        <v>450</v>
      </c>
      <c r="R822">
        <v>2069084</v>
      </c>
      <c r="S822" t="s">
        <v>387</v>
      </c>
      <c r="U822" t="s">
        <v>1373</v>
      </c>
      <c r="V822" t="s">
        <v>398</v>
      </c>
      <c r="W822" s="393">
        <v>33500</v>
      </c>
      <c r="X822" s="393">
        <v>8.68</v>
      </c>
      <c r="Y822" s="393">
        <v>75.239999999999995</v>
      </c>
      <c r="Z822" s="393">
        <v>33500</v>
      </c>
      <c r="AA822">
        <v>0</v>
      </c>
      <c r="AB822" s="400">
        <v>44446.549343090279</v>
      </c>
      <c r="AC822" t="s">
        <v>324</v>
      </c>
    </row>
    <row r="823" spans="1:29">
      <c r="A823" t="s">
        <v>382</v>
      </c>
      <c r="B823" t="s">
        <v>440</v>
      </c>
      <c r="C823" t="s">
        <v>1362</v>
      </c>
      <c r="D823" t="s">
        <v>1587</v>
      </c>
      <c r="E823" t="s">
        <v>390</v>
      </c>
      <c r="F823" t="s">
        <v>391</v>
      </c>
      <c r="G823">
        <v>6101809</v>
      </c>
      <c r="H823">
        <v>202108</v>
      </c>
      <c r="I823" s="400">
        <v>44428</v>
      </c>
      <c r="J823">
        <v>125062</v>
      </c>
      <c r="K823" t="s">
        <v>386</v>
      </c>
      <c r="L823" t="s">
        <v>1191</v>
      </c>
      <c r="M823" t="s">
        <v>1192</v>
      </c>
      <c r="O823" t="s">
        <v>512</v>
      </c>
      <c r="P823" t="s">
        <v>513</v>
      </c>
      <c r="Q823" t="s">
        <v>450</v>
      </c>
      <c r="R823">
        <v>2069084</v>
      </c>
      <c r="S823" t="s">
        <v>387</v>
      </c>
      <c r="U823" t="s">
        <v>1373</v>
      </c>
      <c r="V823" t="s">
        <v>398</v>
      </c>
      <c r="W823" s="393">
        <v>39242</v>
      </c>
      <c r="X823" s="393">
        <v>10.16</v>
      </c>
      <c r="Y823" s="393">
        <v>88.14</v>
      </c>
      <c r="Z823" s="393">
        <v>39242</v>
      </c>
      <c r="AA823">
        <v>222</v>
      </c>
      <c r="AB823" s="400">
        <v>44446.549343090279</v>
      </c>
      <c r="AC823" t="s">
        <v>324</v>
      </c>
    </row>
    <row r="824" spans="1:29">
      <c r="A824" t="s">
        <v>382</v>
      </c>
      <c r="B824" t="s">
        <v>440</v>
      </c>
      <c r="C824" t="s">
        <v>1362</v>
      </c>
      <c r="D824" t="s">
        <v>1587</v>
      </c>
      <c r="E824" t="s">
        <v>390</v>
      </c>
      <c r="F824" t="s">
        <v>391</v>
      </c>
      <c r="G824">
        <v>6102239</v>
      </c>
      <c r="H824">
        <v>202109</v>
      </c>
      <c r="I824" s="400">
        <v>44467</v>
      </c>
      <c r="J824">
        <v>125062</v>
      </c>
      <c r="K824" t="s">
        <v>386</v>
      </c>
      <c r="L824">
        <v>124475</v>
      </c>
      <c r="M824" t="s">
        <v>1208</v>
      </c>
      <c r="O824" t="s">
        <v>509</v>
      </c>
      <c r="P824" t="s">
        <v>510</v>
      </c>
      <c r="Q824" t="s">
        <v>396</v>
      </c>
      <c r="R824">
        <v>2265776</v>
      </c>
      <c r="S824" t="s">
        <v>387</v>
      </c>
      <c r="U824" t="s">
        <v>1374</v>
      </c>
      <c r="V824" t="s">
        <v>398</v>
      </c>
      <c r="W824" s="393">
        <v>355200</v>
      </c>
      <c r="X824" s="393">
        <v>92.63</v>
      </c>
      <c r="Y824" s="393">
        <v>805.43</v>
      </c>
      <c r="Z824" s="393">
        <v>355200</v>
      </c>
      <c r="AA824">
        <v>222</v>
      </c>
      <c r="AB824" s="400">
        <v>44474.985582407404</v>
      </c>
      <c r="AC824" t="s">
        <v>326</v>
      </c>
    </row>
    <row r="825" spans="1:29">
      <c r="A825" t="s">
        <v>382</v>
      </c>
      <c r="B825" t="s">
        <v>440</v>
      </c>
      <c r="C825" t="s">
        <v>1362</v>
      </c>
      <c r="D825" t="s">
        <v>1587</v>
      </c>
      <c r="E825" t="s">
        <v>390</v>
      </c>
      <c r="F825" t="s">
        <v>391</v>
      </c>
      <c r="G825">
        <v>6102239</v>
      </c>
      <c r="H825">
        <v>202109</v>
      </c>
      <c r="I825" s="400">
        <v>44467</v>
      </c>
      <c r="J825">
        <v>125062</v>
      </c>
      <c r="K825" t="s">
        <v>386</v>
      </c>
      <c r="L825">
        <v>124475</v>
      </c>
      <c r="M825" t="s">
        <v>1208</v>
      </c>
      <c r="O825" t="s">
        <v>509</v>
      </c>
      <c r="P825" t="s">
        <v>510</v>
      </c>
      <c r="Q825" t="s">
        <v>396</v>
      </c>
      <c r="R825">
        <v>2265776</v>
      </c>
      <c r="S825" t="s">
        <v>387</v>
      </c>
      <c r="U825" t="s">
        <v>1374</v>
      </c>
      <c r="V825" t="s">
        <v>398</v>
      </c>
      <c r="W825" s="393">
        <v>34000</v>
      </c>
      <c r="X825" s="393">
        <v>8.8699999999999992</v>
      </c>
      <c r="Y825" s="393">
        <v>77.099999999999994</v>
      </c>
      <c r="Z825" s="393">
        <v>34000</v>
      </c>
      <c r="AA825">
        <v>0</v>
      </c>
      <c r="AB825" s="400">
        <v>44474.985582407404</v>
      </c>
      <c r="AC825" t="s">
        <v>326</v>
      </c>
    </row>
    <row r="826" spans="1:29">
      <c r="A826" t="s">
        <v>382</v>
      </c>
      <c r="B826" t="s">
        <v>440</v>
      </c>
      <c r="C826" t="s">
        <v>1362</v>
      </c>
      <c r="D826" t="s">
        <v>1587</v>
      </c>
      <c r="E826" t="s">
        <v>390</v>
      </c>
      <c r="F826" t="s">
        <v>391</v>
      </c>
      <c r="G826">
        <v>6102239</v>
      </c>
      <c r="H826">
        <v>202109</v>
      </c>
      <c r="I826" s="400">
        <v>44467</v>
      </c>
      <c r="J826">
        <v>125062</v>
      </c>
      <c r="K826" t="s">
        <v>386</v>
      </c>
      <c r="L826">
        <v>124475</v>
      </c>
      <c r="M826" t="s">
        <v>1208</v>
      </c>
      <c r="O826" t="s">
        <v>512</v>
      </c>
      <c r="P826" t="s">
        <v>513</v>
      </c>
      <c r="Q826" t="s">
        <v>396</v>
      </c>
      <c r="R826">
        <v>2265776</v>
      </c>
      <c r="S826" t="s">
        <v>387</v>
      </c>
      <c r="U826" t="s">
        <v>1374</v>
      </c>
      <c r="V826" t="s">
        <v>398</v>
      </c>
      <c r="W826" s="393">
        <v>57500</v>
      </c>
      <c r="X826" s="393">
        <v>14.99</v>
      </c>
      <c r="Y826" s="393">
        <v>130.38</v>
      </c>
      <c r="Z826" s="393">
        <v>57500</v>
      </c>
      <c r="AA826">
        <v>222</v>
      </c>
      <c r="AB826" s="400">
        <v>44474.985582407404</v>
      </c>
      <c r="AC826" t="s">
        <v>326</v>
      </c>
    </row>
    <row r="827" spans="1:29">
      <c r="A827" t="s">
        <v>382</v>
      </c>
      <c r="B827" t="s">
        <v>440</v>
      </c>
      <c r="C827" t="s">
        <v>1362</v>
      </c>
      <c r="D827" t="s">
        <v>1587</v>
      </c>
      <c r="E827" t="s">
        <v>390</v>
      </c>
      <c r="F827" t="s">
        <v>391</v>
      </c>
      <c r="G827">
        <v>6102012</v>
      </c>
      <c r="H827">
        <v>202109</v>
      </c>
      <c r="I827" s="400">
        <v>44450</v>
      </c>
      <c r="J827">
        <v>125062</v>
      </c>
      <c r="K827" t="s">
        <v>386</v>
      </c>
      <c r="L827" t="s">
        <v>1375</v>
      </c>
      <c r="M827" t="s">
        <v>1376</v>
      </c>
      <c r="O827" t="s">
        <v>509</v>
      </c>
      <c r="P827" t="s">
        <v>510</v>
      </c>
      <c r="Q827" t="s">
        <v>450</v>
      </c>
      <c r="R827">
        <v>2069084</v>
      </c>
      <c r="S827" t="s">
        <v>387</v>
      </c>
      <c r="U827" t="s">
        <v>1377</v>
      </c>
      <c r="V827" t="s">
        <v>398</v>
      </c>
      <c r="W827" s="393">
        <v>649400</v>
      </c>
      <c r="X827" s="393">
        <v>170.17</v>
      </c>
      <c r="Y827" s="393">
        <v>1482.49</v>
      </c>
      <c r="Z827" s="393">
        <v>649400</v>
      </c>
      <c r="AA827">
        <v>222</v>
      </c>
      <c r="AB827" s="400">
        <v>44460.849753935188</v>
      </c>
      <c r="AC827" t="s">
        <v>324</v>
      </c>
    </row>
    <row r="828" spans="1:29">
      <c r="A828" t="s">
        <v>382</v>
      </c>
      <c r="B828" t="s">
        <v>440</v>
      </c>
      <c r="C828" t="s">
        <v>1362</v>
      </c>
      <c r="D828" t="s">
        <v>1587</v>
      </c>
      <c r="E828" t="s">
        <v>390</v>
      </c>
      <c r="F828" t="s">
        <v>391</v>
      </c>
      <c r="G828">
        <v>6102012</v>
      </c>
      <c r="H828">
        <v>202109</v>
      </c>
      <c r="I828" s="400">
        <v>44450</v>
      </c>
      <c r="J828">
        <v>125062</v>
      </c>
      <c r="K828" t="s">
        <v>386</v>
      </c>
      <c r="L828" t="s">
        <v>1375</v>
      </c>
      <c r="M828" t="s">
        <v>1376</v>
      </c>
      <c r="O828" t="s">
        <v>509</v>
      </c>
      <c r="P828" t="s">
        <v>510</v>
      </c>
      <c r="Q828" t="s">
        <v>450</v>
      </c>
      <c r="R828">
        <v>2069084</v>
      </c>
      <c r="S828" t="s">
        <v>387</v>
      </c>
      <c r="U828" t="s">
        <v>1377</v>
      </c>
      <c r="V828" t="s">
        <v>398</v>
      </c>
      <c r="W828" s="393">
        <v>33500</v>
      </c>
      <c r="X828" s="393">
        <v>8.7799999999999994</v>
      </c>
      <c r="Y828" s="393">
        <v>76.48</v>
      </c>
      <c r="Z828" s="393">
        <v>33500</v>
      </c>
      <c r="AA828">
        <v>0</v>
      </c>
      <c r="AB828" s="400">
        <v>44460.849753935188</v>
      </c>
      <c r="AC828" t="s">
        <v>324</v>
      </c>
    </row>
    <row r="829" spans="1:29">
      <c r="A829" t="s">
        <v>382</v>
      </c>
      <c r="B829" t="s">
        <v>440</v>
      </c>
      <c r="C829" t="s">
        <v>1362</v>
      </c>
      <c r="D829" t="s">
        <v>1587</v>
      </c>
      <c r="E829" t="s">
        <v>390</v>
      </c>
      <c r="F829" t="s">
        <v>391</v>
      </c>
      <c r="G829">
        <v>6102012</v>
      </c>
      <c r="H829">
        <v>202109</v>
      </c>
      <c r="I829" s="400">
        <v>44450</v>
      </c>
      <c r="J829">
        <v>125062</v>
      </c>
      <c r="K829" t="s">
        <v>386</v>
      </c>
      <c r="L829" t="s">
        <v>1375</v>
      </c>
      <c r="M829" t="s">
        <v>1376</v>
      </c>
      <c r="O829" t="s">
        <v>512</v>
      </c>
      <c r="P829" t="s">
        <v>513</v>
      </c>
      <c r="Q829" t="s">
        <v>450</v>
      </c>
      <c r="R829">
        <v>2069084</v>
      </c>
      <c r="S829" t="s">
        <v>387</v>
      </c>
      <c r="U829" t="s">
        <v>1377</v>
      </c>
      <c r="V829" t="s">
        <v>398</v>
      </c>
      <c r="W829" s="393">
        <v>39242</v>
      </c>
      <c r="X829" s="393">
        <v>10.28</v>
      </c>
      <c r="Y829" s="393">
        <v>89.58</v>
      </c>
      <c r="Z829" s="393">
        <v>39242</v>
      </c>
      <c r="AA829">
        <v>222</v>
      </c>
      <c r="AB829" s="400">
        <v>44460.849753935188</v>
      </c>
      <c r="AC829" t="s">
        <v>324</v>
      </c>
    </row>
    <row r="830" spans="1:29">
      <c r="A830" t="s">
        <v>382</v>
      </c>
      <c r="B830" t="s">
        <v>440</v>
      </c>
      <c r="C830" t="s">
        <v>1362</v>
      </c>
      <c r="D830" t="s">
        <v>1587</v>
      </c>
      <c r="E830" t="s">
        <v>390</v>
      </c>
      <c r="F830" t="s">
        <v>391</v>
      </c>
      <c r="G830">
        <v>6101983</v>
      </c>
      <c r="H830">
        <v>202109</v>
      </c>
      <c r="I830" s="400">
        <v>44441</v>
      </c>
      <c r="J830">
        <v>125062</v>
      </c>
      <c r="K830" t="s">
        <v>386</v>
      </c>
      <c r="L830" t="s">
        <v>1162</v>
      </c>
      <c r="M830" t="s">
        <v>1163</v>
      </c>
      <c r="O830" t="s">
        <v>509</v>
      </c>
      <c r="P830" t="s">
        <v>510</v>
      </c>
      <c r="Q830" t="s">
        <v>450</v>
      </c>
      <c r="R830">
        <v>2069084</v>
      </c>
      <c r="S830" t="s">
        <v>387</v>
      </c>
      <c r="U830" t="s">
        <v>1378</v>
      </c>
      <c r="V830" t="s">
        <v>398</v>
      </c>
      <c r="W830" s="393">
        <v>311300</v>
      </c>
      <c r="X830" s="393">
        <v>82.94</v>
      </c>
      <c r="Y830" s="393">
        <v>720.8</v>
      </c>
      <c r="Z830" s="393">
        <v>311300</v>
      </c>
      <c r="AA830">
        <v>222</v>
      </c>
      <c r="AB830" s="400">
        <v>44460.547416400463</v>
      </c>
      <c r="AC830" t="s">
        <v>324</v>
      </c>
    </row>
    <row r="831" spans="1:29">
      <c r="A831" t="s">
        <v>382</v>
      </c>
      <c r="B831" t="s">
        <v>440</v>
      </c>
      <c r="C831" t="s">
        <v>1362</v>
      </c>
      <c r="D831" t="s">
        <v>1587</v>
      </c>
      <c r="E831" t="s">
        <v>390</v>
      </c>
      <c r="F831" t="s">
        <v>391</v>
      </c>
      <c r="G831">
        <v>6101983</v>
      </c>
      <c r="H831">
        <v>202109</v>
      </c>
      <c r="I831" s="400">
        <v>44441</v>
      </c>
      <c r="J831">
        <v>125062</v>
      </c>
      <c r="K831" t="s">
        <v>386</v>
      </c>
      <c r="L831" t="s">
        <v>1162</v>
      </c>
      <c r="M831" t="s">
        <v>1163</v>
      </c>
      <c r="O831" t="s">
        <v>509</v>
      </c>
      <c r="P831" t="s">
        <v>510</v>
      </c>
      <c r="Q831" t="s">
        <v>450</v>
      </c>
      <c r="R831">
        <v>2069084</v>
      </c>
      <c r="S831" t="s">
        <v>387</v>
      </c>
      <c r="U831" t="s">
        <v>1378</v>
      </c>
      <c r="V831" t="s">
        <v>398</v>
      </c>
      <c r="W831" s="393">
        <v>17300</v>
      </c>
      <c r="X831" s="393">
        <v>4.6100000000000003</v>
      </c>
      <c r="Y831" s="393">
        <v>40.06</v>
      </c>
      <c r="Z831" s="393">
        <v>17300</v>
      </c>
      <c r="AA831">
        <v>0</v>
      </c>
      <c r="AB831" s="400">
        <v>44460.54741658565</v>
      </c>
      <c r="AC831" t="s">
        <v>324</v>
      </c>
    </row>
    <row r="832" spans="1:29">
      <c r="A832" t="s">
        <v>382</v>
      </c>
      <c r="B832" t="s">
        <v>440</v>
      </c>
      <c r="C832" t="s">
        <v>1362</v>
      </c>
      <c r="D832" t="s">
        <v>1587</v>
      </c>
      <c r="E832" t="s">
        <v>390</v>
      </c>
      <c r="F832" t="s">
        <v>391</v>
      </c>
      <c r="G832">
        <v>6101983</v>
      </c>
      <c r="H832">
        <v>202109</v>
      </c>
      <c r="I832" s="400">
        <v>44441</v>
      </c>
      <c r="J832">
        <v>125062</v>
      </c>
      <c r="K832" t="s">
        <v>386</v>
      </c>
      <c r="L832" t="s">
        <v>1162</v>
      </c>
      <c r="M832" t="s">
        <v>1163</v>
      </c>
      <c r="O832" t="s">
        <v>512</v>
      </c>
      <c r="P832" t="s">
        <v>513</v>
      </c>
      <c r="Q832" t="s">
        <v>450</v>
      </c>
      <c r="R832">
        <v>2069084</v>
      </c>
      <c r="S832" t="s">
        <v>1379</v>
      </c>
      <c r="U832" t="s">
        <v>1378</v>
      </c>
      <c r="V832" t="s">
        <v>398</v>
      </c>
      <c r="W832" s="393">
        <v>15895</v>
      </c>
      <c r="X832" s="393">
        <v>4.2300000000000004</v>
      </c>
      <c r="Y832" s="393">
        <v>36.799999999999997</v>
      </c>
      <c r="Z832" s="393">
        <v>15895</v>
      </c>
      <c r="AA832">
        <v>222</v>
      </c>
      <c r="AB832" s="400">
        <v>44460.547416782407</v>
      </c>
      <c r="AC832" t="s">
        <v>324</v>
      </c>
    </row>
    <row r="833" spans="1:29">
      <c r="A833" t="s">
        <v>382</v>
      </c>
      <c r="B833" t="s">
        <v>440</v>
      </c>
      <c r="C833" t="s">
        <v>1362</v>
      </c>
      <c r="D833" t="s">
        <v>1587</v>
      </c>
      <c r="E833" t="s">
        <v>390</v>
      </c>
      <c r="F833" t="s">
        <v>391</v>
      </c>
      <c r="G833">
        <v>6102243</v>
      </c>
      <c r="H833">
        <v>202109</v>
      </c>
      <c r="I833" s="400">
        <v>44468</v>
      </c>
      <c r="J833">
        <v>125062</v>
      </c>
      <c r="K833" t="s">
        <v>386</v>
      </c>
      <c r="L833" t="s">
        <v>1247</v>
      </c>
      <c r="M833" t="s">
        <v>1248</v>
      </c>
      <c r="O833" t="s">
        <v>1380</v>
      </c>
      <c r="P833" t="s">
        <v>1381</v>
      </c>
      <c r="Q833" t="s">
        <v>450</v>
      </c>
      <c r="R833">
        <v>2069084</v>
      </c>
      <c r="S833" t="s">
        <v>387</v>
      </c>
      <c r="U833" t="s">
        <v>1383</v>
      </c>
      <c r="V833" t="s">
        <v>398</v>
      </c>
      <c r="W833" s="393">
        <v>16700</v>
      </c>
      <c r="X833" s="393">
        <v>4.3600000000000003</v>
      </c>
      <c r="Y833" s="393">
        <v>37.869999999999997</v>
      </c>
      <c r="Z833" s="393">
        <v>16700</v>
      </c>
      <c r="AA833">
        <v>0</v>
      </c>
      <c r="AB833" s="400">
        <v>44474.991341782406</v>
      </c>
      <c r="AC833" t="s">
        <v>324</v>
      </c>
    </row>
    <row r="834" spans="1:29">
      <c r="A834" t="s">
        <v>382</v>
      </c>
      <c r="B834" t="s">
        <v>440</v>
      </c>
      <c r="C834" t="s">
        <v>1362</v>
      </c>
      <c r="D834" t="s">
        <v>1587</v>
      </c>
      <c r="E834" t="s">
        <v>390</v>
      </c>
      <c r="F834" t="s">
        <v>391</v>
      </c>
      <c r="G834">
        <v>6102243</v>
      </c>
      <c r="H834">
        <v>202109</v>
      </c>
      <c r="I834" s="400">
        <v>44468</v>
      </c>
      <c r="J834">
        <v>125062</v>
      </c>
      <c r="K834" t="s">
        <v>386</v>
      </c>
      <c r="L834" t="s">
        <v>1247</v>
      </c>
      <c r="M834" t="s">
        <v>1248</v>
      </c>
      <c r="O834" t="s">
        <v>512</v>
      </c>
      <c r="P834" t="s">
        <v>513</v>
      </c>
      <c r="Q834" t="s">
        <v>450</v>
      </c>
      <c r="R834">
        <v>2069084</v>
      </c>
      <c r="S834" t="s">
        <v>387</v>
      </c>
      <c r="U834" t="s">
        <v>1383</v>
      </c>
      <c r="V834" t="s">
        <v>398</v>
      </c>
      <c r="W834" s="393">
        <v>15895</v>
      </c>
      <c r="X834" s="393">
        <v>4.1500000000000004</v>
      </c>
      <c r="Y834" s="393">
        <v>36.04</v>
      </c>
      <c r="Z834" s="393">
        <v>15895</v>
      </c>
      <c r="AA834">
        <v>222</v>
      </c>
      <c r="AB834" s="400">
        <v>44474.991341782406</v>
      </c>
      <c r="AC834" t="s">
        <v>324</v>
      </c>
    </row>
    <row r="835" spans="1:29">
      <c r="A835" t="s">
        <v>382</v>
      </c>
      <c r="B835" t="s">
        <v>440</v>
      </c>
      <c r="C835" t="s">
        <v>1362</v>
      </c>
      <c r="D835" t="s">
        <v>1587</v>
      </c>
      <c r="E835" t="s">
        <v>390</v>
      </c>
      <c r="F835" t="s">
        <v>391</v>
      </c>
      <c r="G835">
        <v>6102242</v>
      </c>
      <c r="H835">
        <v>202109</v>
      </c>
      <c r="I835" s="400">
        <v>44468</v>
      </c>
      <c r="J835">
        <v>125062</v>
      </c>
      <c r="K835" t="s">
        <v>386</v>
      </c>
      <c r="L835" t="s">
        <v>1247</v>
      </c>
      <c r="M835" t="s">
        <v>1248</v>
      </c>
      <c r="O835" t="s">
        <v>509</v>
      </c>
      <c r="P835" t="s">
        <v>510</v>
      </c>
      <c r="Q835" t="s">
        <v>450</v>
      </c>
      <c r="R835">
        <v>2069084</v>
      </c>
      <c r="S835" t="s">
        <v>387</v>
      </c>
      <c r="U835" t="s">
        <v>1384</v>
      </c>
      <c r="V835" t="s">
        <v>398</v>
      </c>
      <c r="W835" s="393">
        <v>151900</v>
      </c>
      <c r="X835" s="393">
        <v>39.61</v>
      </c>
      <c r="Y835" s="393">
        <v>344.44</v>
      </c>
      <c r="Z835" s="393">
        <v>151900</v>
      </c>
      <c r="AA835">
        <v>222</v>
      </c>
      <c r="AB835" s="400">
        <v>44474.989527280093</v>
      </c>
      <c r="AC835" t="s">
        <v>324</v>
      </c>
    </row>
    <row r="836" spans="1:29">
      <c r="A836" t="s">
        <v>382</v>
      </c>
      <c r="B836" t="s">
        <v>440</v>
      </c>
      <c r="C836" t="s">
        <v>1362</v>
      </c>
      <c r="D836" t="s">
        <v>1587</v>
      </c>
      <c r="E836" t="s">
        <v>390</v>
      </c>
      <c r="F836" t="s">
        <v>391</v>
      </c>
      <c r="G836">
        <v>6102242</v>
      </c>
      <c r="H836">
        <v>202109</v>
      </c>
      <c r="I836" s="400">
        <v>44468</v>
      </c>
      <c r="J836">
        <v>125062</v>
      </c>
      <c r="K836" t="s">
        <v>386</v>
      </c>
      <c r="L836" t="s">
        <v>1247</v>
      </c>
      <c r="M836" t="s">
        <v>1248</v>
      </c>
      <c r="O836" t="s">
        <v>509</v>
      </c>
      <c r="P836" t="s">
        <v>510</v>
      </c>
      <c r="Q836" t="s">
        <v>450</v>
      </c>
      <c r="R836">
        <v>2069084</v>
      </c>
      <c r="S836" t="s">
        <v>387</v>
      </c>
      <c r="U836" t="s">
        <v>1384</v>
      </c>
      <c r="V836" t="s">
        <v>398</v>
      </c>
      <c r="W836" s="393">
        <v>17300</v>
      </c>
      <c r="X836" s="393">
        <v>4.51</v>
      </c>
      <c r="Y836" s="393">
        <v>39.229999999999997</v>
      </c>
      <c r="Z836" s="393">
        <v>17300</v>
      </c>
      <c r="AA836">
        <v>0</v>
      </c>
      <c r="AB836" s="400">
        <v>44474.989527280093</v>
      </c>
      <c r="AC836" t="s">
        <v>324</v>
      </c>
    </row>
    <row r="837" spans="1:29">
      <c r="A837" t="s">
        <v>382</v>
      </c>
      <c r="B837" t="s">
        <v>440</v>
      </c>
      <c r="C837" t="s">
        <v>1362</v>
      </c>
      <c r="D837" t="s">
        <v>1587</v>
      </c>
      <c r="E837" t="s">
        <v>390</v>
      </c>
      <c r="F837" t="s">
        <v>391</v>
      </c>
      <c r="G837">
        <v>6102242</v>
      </c>
      <c r="H837">
        <v>202109</v>
      </c>
      <c r="I837" s="400">
        <v>44468</v>
      </c>
      <c r="J837">
        <v>125062</v>
      </c>
      <c r="K837" t="s">
        <v>386</v>
      </c>
      <c r="L837" t="s">
        <v>1247</v>
      </c>
      <c r="M837" t="s">
        <v>1248</v>
      </c>
      <c r="O837" t="s">
        <v>512</v>
      </c>
      <c r="P837" t="s">
        <v>513</v>
      </c>
      <c r="Q837" t="s">
        <v>450</v>
      </c>
      <c r="R837">
        <v>2069084</v>
      </c>
      <c r="S837" t="s">
        <v>387</v>
      </c>
      <c r="U837" t="s">
        <v>1384</v>
      </c>
      <c r="V837" t="s">
        <v>398</v>
      </c>
      <c r="W837" s="393">
        <v>15895</v>
      </c>
      <c r="X837" s="393">
        <v>4.1500000000000004</v>
      </c>
      <c r="Y837" s="393">
        <v>36.04</v>
      </c>
      <c r="Z837" s="393">
        <v>15895</v>
      </c>
      <c r="AA837">
        <v>222</v>
      </c>
      <c r="AB837" s="400">
        <v>44474.989527280093</v>
      </c>
      <c r="AC837" t="s">
        <v>324</v>
      </c>
    </row>
    <row r="838" spans="1:29">
      <c r="A838" t="s">
        <v>382</v>
      </c>
      <c r="B838" t="s">
        <v>440</v>
      </c>
      <c r="C838" t="s">
        <v>1362</v>
      </c>
      <c r="D838" t="s">
        <v>1587</v>
      </c>
      <c r="E838" t="s">
        <v>390</v>
      </c>
      <c r="F838" t="s">
        <v>391</v>
      </c>
      <c r="G838">
        <v>6102243</v>
      </c>
      <c r="H838">
        <v>202109</v>
      </c>
      <c r="I838" s="400">
        <v>44468</v>
      </c>
      <c r="J838">
        <v>125062</v>
      </c>
      <c r="K838" t="s">
        <v>386</v>
      </c>
      <c r="L838" t="s">
        <v>1247</v>
      </c>
      <c r="M838" t="s">
        <v>1248</v>
      </c>
      <c r="O838" t="s">
        <v>1380</v>
      </c>
      <c r="P838" t="s">
        <v>1381</v>
      </c>
      <c r="Q838" t="s">
        <v>450</v>
      </c>
      <c r="R838">
        <v>2069084</v>
      </c>
      <c r="S838" t="s">
        <v>1382</v>
      </c>
      <c r="U838" t="s">
        <v>1383</v>
      </c>
      <c r="V838" t="s">
        <v>398</v>
      </c>
      <c r="W838" s="393">
        <v>138900</v>
      </c>
      <c r="X838" s="393">
        <v>36.22</v>
      </c>
      <c r="Y838" s="393">
        <v>314.95999999999998</v>
      </c>
      <c r="Z838" s="393">
        <v>138900</v>
      </c>
      <c r="AA838">
        <v>222</v>
      </c>
      <c r="AB838" s="400">
        <v>44474.99134158565</v>
      </c>
      <c r="AC838" t="s">
        <v>324</v>
      </c>
    </row>
    <row r="839" spans="1:29">
      <c r="A839" t="s">
        <v>382</v>
      </c>
      <c r="B839" t="s">
        <v>440</v>
      </c>
      <c r="C839" t="s">
        <v>1362</v>
      </c>
      <c r="D839" t="s">
        <v>1587</v>
      </c>
      <c r="E839" t="s">
        <v>390</v>
      </c>
      <c r="F839" t="s">
        <v>391</v>
      </c>
      <c r="G839">
        <v>6101982</v>
      </c>
      <c r="H839">
        <v>202109</v>
      </c>
      <c r="I839" s="400">
        <v>44441</v>
      </c>
      <c r="J839">
        <v>125062</v>
      </c>
      <c r="K839" t="s">
        <v>386</v>
      </c>
      <c r="L839" t="s">
        <v>1191</v>
      </c>
      <c r="M839" t="s">
        <v>1192</v>
      </c>
      <c r="O839" t="s">
        <v>509</v>
      </c>
      <c r="P839" t="s">
        <v>510</v>
      </c>
      <c r="Q839" t="s">
        <v>450</v>
      </c>
      <c r="R839">
        <v>2069084</v>
      </c>
      <c r="S839" t="s">
        <v>1588</v>
      </c>
      <c r="U839" t="s">
        <v>1589</v>
      </c>
      <c r="V839" t="s">
        <v>398</v>
      </c>
      <c r="W839" s="393">
        <v>120000</v>
      </c>
      <c r="X839" s="393">
        <v>31.97</v>
      </c>
      <c r="Y839" s="393">
        <v>277.85000000000002</v>
      </c>
      <c r="Z839" s="393">
        <v>120000</v>
      </c>
      <c r="AA839">
        <v>0</v>
      </c>
      <c r="AB839" s="400">
        <v>44460.543898807868</v>
      </c>
      <c r="AC839" t="s">
        <v>324</v>
      </c>
    </row>
    <row r="840" spans="1:29">
      <c r="A840" t="s">
        <v>382</v>
      </c>
      <c r="B840" t="s">
        <v>440</v>
      </c>
      <c r="C840" t="s">
        <v>1362</v>
      </c>
      <c r="D840" t="s">
        <v>1587</v>
      </c>
      <c r="E840" t="s">
        <v>390</v>
      </c>
      <c r="F840" t="s">
        <v>391</v>
      </c>
      <c r="G840">
        <v>6102238</v>
      </c>
      <c r="H840">
        <v>202109</v>
      </c>
      <c r="I840" s="400">
        <v>44467</v>
      </c>
      <c r="J840">
        <v>125062</v>
      </c>
      <c r="K840" t="s">
        <v>386</v>
      </c>
      <c r="L840" t="s">
        <v>1195</v>
      </c>
      <c r="M840" t="s">
        <v>1196</v>
      </c>
      <c r="O840" t="s">
        <v>509</v>
      </c>
      <c r="P840" t="s">
        <v>510</v>
      </c>
      <c r="Q840" t="s">
        <v>396</v>
      </c>
      <c r="R840">
        <v>2265776</v>
      </c>
      <c r="S840" t="s">
        <v>387</v>
      </c>
      <c r="U840" t="s">
        <v>1385</v>
      </c>
      <c r="V840" t="s">
        <v>398</v>
      </c>
      <c r="W840" s="393">
        <v>355200</v>
      </c>
      <c r="X840" s="393">
        <v>92.63</v>
      </c>
      <c r="Y840" s="393">
        <v>805.43</v>
      </c>
      <c r="Z840" s="393">
        <v>355200</v>
      </c>
      <c r="AA840">
        <v>222</v>
      </c>
      <c r="AB840" s="400">
        <v>44474.983937187499</v>
      </c>
      <c r="AC840" t="s">
        <v>326</v>
      </c>
    </row>
    <row r="841" spans="1:29">
      <c r="A841" t="s">
        <v>382</v>
      </c>
      <c r="B841" t="s">
        <v>440</v>
      </c>
      <c r="C841" t="s">
        <v>1362</v>
      </c>
      <c r="D841" t="s">
        <v>1587</v>
      </c>
      <c r="E841" t="s">
        <v>390</v>
      </c>
      <c r="F841" t="s">
        <v>391</v>
      </c>
      <c r="G841">
        <v>6102238</v>
      </c>
      <c r="H841">
        <v>202109</v>
      </c>
      <c r="I841" s="400">
        <v>44467</v>
      </c>
      <c r="J841">
        <v>125062</v>
      </c>
      <c r="K841" t="s">
        <v>386</v>
      </c>
      <c r="L841" t="s">
        <v>1195</v>
      </c>
      <c r="M841" t="s">
        <v>1196</v>
      </c>
      <c r="O841" t="s">
        <v>509</v>
      </c>
      <c r="P841" t="s">
        <v>510</v>
      </c>
      <c r="Q841" t="s">
        <v>396</v>
      </c>
      <c r="R841">
        <v>2265776</v>
      </c>
      <c r="S841" t="s">
        <v>387</v>
      </c>
      <c r="U841" t="s">
        <v>1385</v>
      </c>
      <c r="V841" t="s">
        <v>398</v>
      </c>
      <c r="W841" s="393">
        <v>34000</v>
      </c>
      <c r="X841" s="393">
        <v>8.8699999999999992</v>
      </c>
      <c r="Y841" s="393">
        <v>77.099999999999994</v>
      </c>
      <c r="Z841" s="393">
        <v>34000</v>
      </c>
      <c r="AA841">
        <v>0</v>
      </c>
      <c r="AB841" s="400">
        <v>44474.983937187499</v>
      </c>
      <c r="AC841" t="s">
        <v>326</v>
      </c>
    </row>
    <row r="842" spans="1:29">
      <c r="A842" t="s">
        <v>382</v>
      </c>
      <c r="B842" t="s">
        <v>440</v>
      </c>
      <c r="C842" t="s">
        <v>1362</v>
      </c>
      <c r="D842" t="s">
        <v>1587</v>
      </c>
      <c r="E842" t="s">
        <v>390</v>
      </c>
      <c r="F842" t="s">
        <v>391</v>
      </c>
      <c r="G842">
        <v>6102238</v>
      </c>
      <c r="H842">
        <v>202109</v>
      </c>
      <c r="I842" s="400">
        <v>44467</v>
      </c>
      <c r="J842">
        <v>125062</v>
      </c>
      <c r="K842" t="s">
        <v>386</v>
      </c>
      <c r="L842" t="s">
        <v>1195</v>
      </c>
      <c r="M842" t="s">
        <v>1196</v>
      </c>
      <c r="O842" t="s">
        <v>512</v>
      </c>
      <c r="P842" t="s">
        <v>513</v>
      </c>
      <c r="Q842" t="s">
        <v>396</v>
      </c>
      <c r="R842">
        <v>2265776</v>
      </c>
      <c r="S842" t="s">
        <v>387</v>
      </c>
      <c r="U842" t="s">
        <v>1385</v>
      </c>
      <c r="V842" t="s">
        <v>398</v>
      </c>
      <c r="W842" s="393">
        <v>57500</v>
      </c>
      <c r="X842" s="393">
        <v>14.99</v>
      </c>
      <c r="Y842" s="393">
        <v>130.38</v>
      </c>
      <c r="Z842" s="393">
        <v>57500</v>
      </c>
      <c r="AA842">
        <v>222</v>
      </c>
      <c r="AB842" s="400">
        <v>44474.983937187499</v>
      </c>
      <c r="AC842" t="s">
        <v>326</v>
      </c>
    </row>
    <row r="843" spans="1:29">
      <c r="A843" t="s">
        <v>382</v>
      </c>
      <c r="B843" t="s">
        <v>440</v>
      </c>
      <c r="C843" t="s">
        <v>1362</v>
      </c>
      <c r="D843" t="s">
        <v>1590</v>
      </c>
      <c r="E843" t="s">
        <v>390</v>
      </c>
      <c r="F843" t="s">
        <v>391</v>
      </c>
      <c r="G843">
        <v>6100702</v>
      </c>
      <c r="H843">
        <v>202104</v>
      </c>
      <c r="I843" s="400">
        <v>44309</v>
      </c>
      <c r="J843" t="s">
        <v>452</v>
      </c>
      <c r="K843" t="s">
        <v>386</v>
      </c>
      <c r="L843">
        <v>119010</v>
      </c>
      <c r="M843" t="s">
        <v>1158</v>
      </c>
      <c r="O843" t="s">
        <v>587</v>
      </c>
      <c r="P843" t="s">
        <v>588</v>
      </c>
      <c r="Q843" t="s">
        <v>450</v>
      </c>
      <c r="R843">
        <v>2069084</v>
      </c>
      <c r="S843" t="s">
        <v>1591</v>
      </c>
      <c r="U843" t="s">
        <v>1592</v>
      </c>
      <c r="V843" t="s">
        <v>398</v>
      </c>
      <c r="W843" s="393">
        <v>6000</v>
      </c>
      <c r="X843" s="393">
        <v>1.65</v>
      </c>
      <c r="Y843" s="393">
        <v>13.67</v>
      </c>
      <c r="Z843" s="393">
        <v>6000</v>
      </c>
      <c r="AA843">
        <v>0</v>
      </c>
      <c r="AB843" s="400">
        <v>44318.960925613428</v>
      </c>
      <c r="AC843" t="s">
        <v>324</v>
      </c>
    </row>
    <row r="844" spans="1:29">
      <c r="A844" t="s">
        <v>382</v>
      </c>
      <c r="B844" t="s">
        <v>440</v>
      </c>
      <c r="C844" t="s">
        <v>1362</v>
      </c>
      <c r="D844" t="s">
        <v>1590</v>
      </c>
      <c r="E844" t="s">
        <v>390</v>
      </c>
      <c r="F844" t="s">
        <v>391</v>
      </c>
      <c r="G844">
        <v>6100730</v>
      </c>
      <c r="H844">
        <v>202104</v>
      </c>
      <c r="I844" s="400">
        <v>44316</v>
      </c>
      <c r="J844" t="s">
        <v>452</v>
      </c>
      <c r="K844" t="s">
        <v>386</v>
      </c>
      <c r="L844">
        <v>119010</v>
      </c>
      <c r="M844" t="s">
        <v>1158</v>
      </c>
      <c r="O844" t="s">
        <v>587</v>
      </c>
      <c r="P844" t="s">
        <v>588</v>
      </c>
      <c r="Q844" t="s">
        <v>450</v>
      </c>
      <c r="R844">
        <v>2069084</v>
      </c>
      <c r="S844" t="s">
        <v>387</v>
      </c>
      <c r="U844" t="s">
        <v>1593</v>
      </c>
      <c r="V844" t="s">
        <v>398</v>
      </c>
      <c r="W844" s="393">
        <v>11000</v>
      </c>
      <c r="X844" s="393">
        <v>2.97</v>
      </c>
      <c r="Y844" s="393">
        <v>24.61</v>
      </c>
      <c r="Z844" s="393">
        <v>11000</v>
      </c>
      <c r="AA844">
        <v>0</v>
      </c>
      <c r="AB844" s="400">
        <v>44319.757639317133</v>
      </c>
      <c r="AC844" t="s">
        <v>324</v>
      </c>
    </row>
    <row r="845" spans="1:29">
      <c r="A845" t="s">
        <v>382</v>
      </c>
      <c r="B845" t="s">
        <v>440</v>
      </c>
      <c r="C845" t="s">
        <v>1362</v>
      </c>
      <c r="D845" t="s">
        <v>1590</v>
      </c>
      <c r="E845" t="s">
        <v>390</v>
      </c>
      <c r="F845" t="s">
        <v>391</v>
      </c>
      <c r="G845">
        <v>6100704</v>
      </c>
      <c r="H845">
        <v>202104</v>
      </c>
      <c r="I845" s="400">
        <v>44309</v>
      </c>
      <c r="J845" t="s">
        <v>452</v>
      </c>
      <c r="K845" t="s">
        <v>386</v>
      </c>
      <c r="L845" t="s">
        <v>1387</v>
      </c>
      <c r="M845" t="s">
        <v>1388</v>
      </c>
      <c r="O845" t="s">
        <v>587</v>
      </c>
      <c r="P845" t="s">
        <v>588</v>
      </c>
      <c r="Q845" t="s">
        <v>450</v>
      </c>
      <c r="R845">
        <v>2069084</v>
      </c>
      <c r="S845" t="s">
        <v>1594</v>
      </c>
      <c r="U845" t="s">
        <v>1595</v>
      </c>
      <c r="V845" t="s">
        <v>398</v>
      </c>
      <c r="W845" s="393">
        <v>20000</v>
      </c>
      <c r="X845" s="393">
        <v>5.5</v>
      </c>
      <c r="Y845" s="393">
        <v>45.56</v>
      </c>
      <c r="Z845" s="393">
        <v>20000</v>
      </c>
      <c r="AA845">
        <v>0</v>
      </c>
      <c r="AB845" s="400">
        <v>44318.982477581019</v>
      </c>
      <c r="AC845" t="s">
        <v>324</v>
      </c>
    </row>
    <row r="846" spans="1:29">
      <c r="A846" t="s">
        <v>382</v>
      </c>
      <c r="B846" t="s">
        <v>1157</v>
      </c>
      <c r="C846" t="s">
        <v>1362</v>
      </c>
      <c r="D846" t="s">
        <v>1590</v>
      </c>
      <c r="E846" t="s">
        <v>1448</v>
      </c>
      <c r="F846" t="s">
        <v>1449</v>
      </c>
      <c r="G846">
        <v>7100322</v>
      </c>
      <c r="H846">
        <v>202104</v>
      </c>
      <c r="I846" s="400">
        <v>44309</v>
      </c>
      <c r="J846" t="s">
        <v>1036</v>
      </c>
      <c r="K846" t="s">
        <v>386</v>
      </c>
      <c r="L846" t="s">
        <v>1234</v>
      </c>
      <c r="M846" t="s">
        <v>1235</v>
      </c>
      <c r="O846" t="s">
        <v>587</v>
      </c>
      <c r="P846" t="s">
        <v>588</v>
      </c>
      <c r="Q846" t="s">
        <v>450</v>
      </c>
      <c r="R846">
        <v>2069084</v>
      </c>
      <c r="S846" t="s">
        <v>387</v>
      </c>
      <c r="U846" t="s">
        <v>1596</v>
      </c>
      <c r="V846" t="s">
        <v>398</v>
      </c>
      <c r="W846" s="393">
        <v>212000</v>
      </c>
      <c r="X846" s="393">
        <v>58.3</v>
      </c>
      <c r="Y846" s="393">
        <v>493.75</v>
      </c>
      <c r="Z846" s="393">
        <v>212000</v>
      </c>
      <c r="AA846">
        <v>0</v>
      </c>
      <c r="AB846" s="400">
        <v>44313.760350381941</v>
      </c>
      <c r="AC846" t="s">
        <v>324</v>
      </c>
    </row>
    <row r="847" spans="1:29">
      <c r="A847" t="s">
        <v>382</v>
      </c>
      <c r="B847" t="s">
        <v>1157</v>
      </c>
      <c r="C847" t="s">
        <v>1362</v>
      </c>
      <c r="D847" t="s">
        <v>1590</v>
      </c>
      <c r="E847" t="s">
        <v>1448</v>
      </c>
      <c r="F847" t="s">
        <v>1449</v>
      </c>
      <c r="G847">
        <v>7100322</v>
      </c>
      <c r="H847">
        <v>202104</v>
      </c>
      <c r="I847" s="400">
        <v>44309</v>
      </c>
      <c r="J847" t="s">
        <v>1036</v>
      </c>
      <c r="K847" t="s">
        <v>386</v>
      </c>
      <c r="L847" t="s">
        <v>1234</v>
      </c>
      <c r="M847" t="s">
        <v>1235</v>
      </c>
      <c r="O847" t="s">
        <v>587</v>
      </c>
      <c r="P847" t="s">
        <v>588</v>
      </c>
      <c r="Q847" t="s">
        <v>450</v>
      </c>
      <c r="R847">
        <v>2069084</v>
      </c>
      <c r="S847" t="s">
        <v>387</v>
      </c>
      <c r="U847" t="s">
        <v>1596</v>
      </c>
      <c r="V847" t="s">
        <v>398</v>
      </c>
      <c r="W847" s="393">
        <v>48000</v>
      </c>
      <c r="X847" s="393">
        <v>13.2</v>
      </c>
      <c r="Y847" s="393">
        <v>111.79</v>
      </c>
      <c r="Z847" s="393">
        <v>48000</v>
      </c>
      <c r="AA847">
        <v>0</v>
      </c>
      <c r="AB847" s="400">
        <v>44313.760350578705</v>
      </c>
      <c r="AC847" t="s">
        <v>324</v>
      </c>
    </row>
    <row r="848" spans="1:29">
      <c r="A848" t="s">
        <v>382</v>
      </c>
      <c r="B848" t="s">
        <v>440</v>
      </c>
      <c r="C848" t="s">
        <v>1362</v>
      </c>
      <c r="D848" t="s">
        <v>1590</v>
      </c>
      <c r="E848" t="s">
        <v>390</v>
      </c>
      <c r="F848" t="s">
        <v>391</v>
      </c>
      <c r="G848">
        <v>6100754</v>
      </c>
      <c r="H848">
        <v>202104</v>
      </c>
      <c r="I848" s="400">
        <v>44316</v>
      </c>
      <c r="J848" t="s">
        <v>452</v>
      </c>
      <c r="K848" t="s">
        <v>386</v>
      </c>
      <c r="L848" t="s">
        <v>1392</v>
      </c>
      <c r="M848" t="s">
        <v>1393</v>
      </c>
      <c r="O848" t="s">
        <v>587</v>
      </c>
      <c r="P848" t="s">
        <v>588</v>
      </c>
      <c r="Q848" t="s">
        <v>396</v>
      </c>
      <c r="R848">
        <v>2265776</v>
      </c>
      <c r="S848" t="s">
        <v>387</v>
      </c>
      <c r="U848" t="s">
        <v>1597</v>
      </c>
      <c r="V848" t="s">
        <v>398</v>
      </c>
      <c r="W848" s="393">
        <v>14000</v>
      </c>
      <c r="X848" s="393">
        <v>3.78</v>
      </c>
      <c r="Y848" s="393">
        <v>31.32</v>
      </c>
      <c r="Z848" s="393">
        <v>14000</v>
      </c>
      <c r="AA848">
        <v>0</v>
      </c>
      <c r="AB848" s="400">
        <v>44319.948913425927</v>
      </c>
      <c r="AC848" t="s">
        <v>326</v>
      </c>
    </row>
    <row r="849" spans="1:29">
      <c r="A849" t="s">
        <v>382</v>
      </c>
      <c r="B849" t="s">
        <v>440</v>
      </c>
      <c r="C849" t="s">
        <v>1362</v>
      </c>
      <c r="D849" t="s">
        <v>1590</v>
      </c>
      <c r="E849" t="s">
        <v>390</v>
      </c>
      <c r="F849" t="s">
        <v>391</v>
      </c>
      <c r="G849">
        <v>6100746</v>
      </c>
      <c r="H849">
        <v>202104</v>
      </c>
      <c r="I849" s="400">
        <v>44316</v>
      </c>
      <c r="J849" t="s">
        <v>452</v>
      </c>
      <c r="K849" t="s">
        <v>386</v>
      </c>
      <c r="L849" t="s">
        <v>1195</v>
      </c>
      <c r="M849" t="s">
        <v>1196</v>
      </c>
      <c r="O849" t="s">
        <v>587</v>
      </c>
      <c r="P849" t="s">
        <v>588</v>
      </c>
      <c r="Q849" t="s">
        <v>396</v>
      </c>
      <c r="R849">
        <v>2265776</v>
      </c>
      <c r="S849" t="s">
        <v>387</v>
      </c>
      <c r="U849" t="s">
        <v>1598</v>
      </c>
      <c r="V849" t="s">
        <v>398</v>
      </c>
      <c r="W849" s="393">
        <v>18000</v>
      </c>
      <c r="X849" s="393">
        <v>4.8600000000000003</v>
      </c>
      <c r="Y849" s="393">
        <v>40.270000000000003</v>
      </c>
      <c r="Z849" s="393">
        <v>18000</v>
      </c>
      <c r="AA849">
        <v>0</v>
      </c>
      <c r="AB849" s="400">
        <v>44319.873104247687</v>
      </c>
      <c r="AC849" t="s">
        <v>326</v>
      </c>
    </row>
    <row r="850" spans="1:29">
      <c r="A850" t="s">
        <v>382</v>
      </c>
      <c r="B850" t="s">
        <v>440</v>
      </c>
      <c r="C850" t="s">
        <v>1362</v>
      </c>
      <c r="D850" t="s">
        <v>1590</v>
      </c>
      <c r="E850" t="s">
        <v>390</v>
      </c>
      <c r="F850" t="s">
        <v>391</v>
      </c>
      <c r="G850">
        <v>6100802</v>
      </c>
      <c r="H850">
        <v>202105</v>
      </c>
      <c r="I850" s="400">
        <v>44322</v>
      </c>
      <c r="J850" t="s">
        <v>452</v>
      </c>
      <c r="K850" t="s">
        <v>386</v>
      </c>
      <c r="L850">
        <v>124475</v>
      </c>
      <c r="M850" t="s">
        <v>1208</v>
      </c>
      <c r="O850" t="s">
        <v>1012</v>
      </c>
      <c r="P850" t="s">
        <v>1013</v>
      </c>
      <c r="Q850" t="s">
        <v>396</v>
      </c>
      <c r="R850">
        <v>2265776</v>
      </c>
      <c r="S850" t="s">
        <v>387</v>
      </c>
      <c r="U850" t="s">
        <v>1599</v>
      </c>
      <c r="V850" t="s">
        <v>398</v>
      </c>
      <c r="W850" s="393">
        <v>9000</v>
      </c>
      <c r="X850" s="393">
        <v>2.34</v>
      </c>
      <c r="Y850" s="393">
        <v>19.36</v>
      </c>
      <c r="Z850" s="393">
        <v>9000</v>
      </c>
      <c r="AA850">
        <v>0</v>
      </c>
      <c r="AB850" s="400">
        <v>44327.898027430558</v>
      </c>
      <c r="AC850" t="s">
        <v>326</v>
      </c>
    </row>
    <row r="851" spans="1:29">
      <c r="A851" t="s">
        <v>382</v>
      </c>
      <c r="B851" t="s">
        <v>382</v>
      </c>
      <c r="C851" t="s">
        <v>1362</v>
      </c>
      <c r="D851" t="s">
        <v>1590</v>
      </c>
      <c r="E851" t="s">
        <v>1131</v>
      </c>
      <c r="F851" t="s">
        <v>1132</v>
      </c>
      <c r="G851">
        <v>13100231</v>
      </c>
      <c r="H851">
        <v>202106</v>
      </c>
      <c r="I851" s="400">
        <v>44377</v>
      </c>
      <c r="J851" t="s">
        <v>1103</v>
      </c>
      <c r="K851" t="s">
        <v>386</v>
      </c>
      <c r="L851" t="s">
        <v>1406</v>
      </c>
      <c r="M851" t="s">
        <v>1407</v>
      </c>
      <c r="O851" t="s">
        <v>587</v>
      </c>
      <c r="P851" t="s">
        <v>588</v>
      </c>
      <c r="Q851" t="s">
        <v>396</v>
      </c>
      <c r="R851">
        <v>2265776</v>
      </c>
      <c r="S851" t="s">
        <v>1123</v>
      </c>
      <c r="U851" t="s">
        <v>1139</v>
      </c>
      <c r="V851" t="s">
        <v>398</v>
      </c>
      <c r="W851" s="393">
        <v>196000</v>
      </c>
      <c r="X851" s="393">
        <v>53.9</v>
      </c>
      <c r="Y851" s="393">
        <v>456.43</v>
      </c>
      <c r="Z851" s="393">
        <v>196000</v>
      </c>
      <c r="AA851">
        <v>0</v>
      </c>
      <c r="AB851" s="400">
        <v>44384.935162499998</v>
      </c>
      <c r="AC851" t="s">
        <v>326</v>
      </c>
    </row>
    <row r="852" spans="1:29">
      <c r="A852" t="s">
        <v>382</v>
      </c>
      <c r="B852" t="s">
        <v>440</v>
      </c>
      <c r="C852" t="s">
        <v>1362</v>
      </c>
      <c r="D852" t="s">
        <v>1590</v>
      </c>
      <c r="E852" t="s">
        <v>390</v>
      </c>
      <c r="F852" t="s">
        <v>391</v>
      </c>
      <c r="G852">
        <v>6101527</v>
      </c>
      <c r="H852">
        <v>202108</v>
      </c>
      <c r="I852" s="400">
        <v>44427</v>
      </c>
      <c r="J852" t="s">
        <v>452</v>
      </c>
      <c r="K852" t="s">
        <v>386</v>
      </c>
      <c r="L852">
        <v>119010</v>
      </c>
      <c r="M852" t="s">
        <v>1158</v>
      </c>
      <c r="O852" t="s">
        <v>587</v>
      </c>
      <c r="P852" t="s">
        <v>588</v>
      </c>
      <c r="Q852" t="s">
        <v>450</v>
      </c>
      <c r="R852">
        <v>2069084</v>
      </c>
      <c r="S852" t="s">
        <v>1591</v>
      </c>
      <c r="U852" t="s">
        <v>1600</v>
      </c>
      <c r="V852" t="s">
        <v>398</v>
      </c>
      <c r="W852" s="393">
        <v>295700</v>
      </c>
      <c r="X852" s="393">
        <v>75.599999999999994</v>
      </c>
      <c r="Y852" s="393">
        <v>653.09</v>
      </c>
      <c r="Z852" s="393">
        <v>295700</v>
      </c>
      <c r="AA852">
        <v>0</v>
      </c>
      <c r="AB852" s="400">
        <v>44427.847053506943</v>
      </c>
      <c r="AC852" t="s">
        <v>324</v>
      </c>
    </row>
    <row r="853" spans="1:29">
      <c r="A853" t="s">
        <v>382</v>
      </c>
      <c r="B853" t="s">
        <v>440</v>
      </c>
      <c r="C853" t="s">
        <v>1362</v>
      </c>
      <c r="D853" t="s">
        <v>1590</v>
      </c>
      <c r="E853" t="s">
        <v>390</v>
      </c>
      <c r="F853" t="s">
        <v>391</v>
      </c>
      <c r="G853">
        <v>6101527</v>
      </c>
      <c r="H853">
        <v>202108</v>
      </c>
      <c r="I853" s="400">
        <v>44427</v>
      </c>
      <c r="J853" t="s">
        <v>452</v>
      </c>
      <c r="K853" t="s">
        <v>386</v>
      </c>
      <c r="L853">
        <v>119010</v>
      </c>
      <c r="M853" t="s">
        <v>1158</v>
      </c>
      <c r="O853" t="s">
        <v>587</v>
      </c>
      <c r="P853" t="s">
        <v>588</v>
      </c>
      <c r="Q853" t="s">
        <v>450</v>
      </c>
      <c r="R853">
        <v>2069084</v>
      </c>
      <c r="S853" t="s">
        <v>1601</v>
      </c>
      <c r="U853" t="s">
        <v>1602</v>
      </c>
      <c r="V853" t="s">
        <v>398</v>
      </c>
      <c r="W853" s="393">
        <v>56000</v>
      </c>
      <c r="X853" s="393">
        <v>14.32</v>
      </c>
      <c r="Y853" s="393">
        <v>123.68</v>
      </c>
      <c r="Z853" s="393">
        <v>56000</v>
      </c>
      <c r="AA853">
        <v>0</v>
      </c>
      <c r="AB853" s="400">
        <v>44427.847053506943</v>
      </c>
      <c r="AC853" t="s">
        <v>324</v>
      </c>
    </row>
    <row r="854" spans="1:29">
      <c r="A854" t="s">
        <v>382</v>
      </c>
      <c r="B854" t="s">
        <v>440</v>
      </c>
      <c r="C854" t="s">
        <v>1362</v>
      </c>
      <c r="D854" t="s">
        <v>1590</v>
      </c>
      <c r="E854" t="s">
        <v>390</v>
      </c>
      <c r="F854" t="s">
        <v>391</v>
      </c>
      <c r="G854">
        <v>6101884</v>
      </c>
      <c r="H854">
        <v>202109</v>
      </c>
      <c r="I854" s="400">
        <v>44449</v>
      </c>
      <c r="J854">
        <v>122536</v>
      </c>
      <c r="K854" t="s">
        <v>386</v>
      </c>
      <c r="L854">
        <v>119010</v>
      </c>
      <c r="M854" t="s">
        <v>1158</v>
      </c>
      <c r="O854" t="s">
        <v>702</v>
      </c>
      <c r="P854" t="s">
        <v>703</v>
      </c>
      <c r="Q854" t="s">
        <v>450</v>
      </c>
      <c r="R854">
        <v>2069084</v>
      </c>
      <c r="S854" t="s">
        <v>387</v>
      </c>
      <c r="U854" t="s">
        <v>1603</v>
      </c>
      <c r="V854" t="s">
        <v>398</v>
      </c>
      <c r="W854" s="393">
        <v>500000</v>
      </c>
      <c r="X854" s="393">
        <v>131.02000000000001</v>
      </c>
      <c r="Y854" s="393">
        <v>1141.43</v>
      </c>
      <c r="Z854" s="393">
        <v>500000</v>
      </c>
      <c r="AA854">
        <v>0</v>
      </c>
      <c r="AB854" s="400">
        <v>44454.777235335649</v>
      </c>
      <c r="AC854" t="s">
        <v>324</v>
      </c>
    </row>
    <row r="855" spans="1:29">
      <c r="A855" t="s">
        <v>382</v>
      </c>
      <c r="B855" t="s">
        <v>440</v>
      </c>
      <c r="C855" t="s">
        <v>1362</v>
      </c>
      <c r="D855" t="s">
        <v>1590</v>
      </c>
      <c r="E855" t="s">
        <v>390</v>
      </c>
      <c r="F855" t="s">
        <v>391</v>
      </c>
      <c r="G855">
        <v>6101941</v>
      </c>
      <c r="H855">
        <v>202109</v>
      </c>
      <c r="I855" s="400">
        <v>44445</v>
      </c>
      <c r="J855">
        <v>124932</v>
      </c>
      <c r="K855" t="s">
        <v>386</v>
      </c>
      <c r="L855">
        <v>119010</v>
      </c>
      <c r="M855" t="s">
        <v>1158</v>
      </c>
      <c r="O855" t="s">
        <v>587</v>
      </c>
      <c r="P855" t="s">
        <v>588</v>
      </c>
      <c r="Q855" t="s">
        <v>450</v>
      </c>
      <c r="R855">
        <v>2069084</v>
      </c>
      <c r="S855" t="s">
        <v>387</v>
      </c>
      <c r="U855" t="s">
        <v>1604</v>
      </c>
      <c r="V855" t="s">
        <v>398</v>
      </c>
      <c r="W855" s="393">
        <v>36000</v>
      </c>
      <c r="X855" s="393">
        <v>9.59</v>
      </c>
      <c r="Y855" s="393">
        <v>83.36</v>
      </c>
      <c r="Z855" s="393">
        <v>36000</v>
      </c>
      <c r="AA855">
        <v>0</v>
      </c>
      <c r="AB855" s="400">
        <v>44459.110483182871</v>
      </c>
      <c r="AC855" t="s">
        <v>324</v>
      </c>
    </row>
    <row r="856" spans="1:29">
      <c r="A856" t="s">
        <v>382</v>
      </c>
      <c r="B856" t="s">
        <v>440</v>
      </c>
      <c r="C856" t="s">
        <v>1362</v>
      </c>
      <c r="D856" t="s">
        <v>1590</v>
      </c>
      <c r="E856" t="s">
        <v>390</v>
      </c>
      <c r="F856" t="s">
        <v>391</v>
      </c>
      <c r="G856">
        <v>6102019</v>
      </c>
      <c r="H856">
        <v>202109</v>
      </c>
      <c r="I856" s="400">
        <v>44460</v>
      </c>
      <c r="J856">
        <v>122536</v>
      </c>
      <c r="K856" t="s">
        <v>386</v>
      </c>
      <c r="L856">
        <v>124474</v>
      </c>
      <c r="M856" t="s">
        <v>1165</v>
      </c>
      <c r="O856" t="s">
        <v>1030</v>
      </c>
      <c r="P856" t="s">
        <v>1031</v>
      </c>
      <c r="Q856" t="s">
        <v>396</v>
      </c>
      <c r="R856">
        <v>2265776</v>
      </c>
      <c r="S856" t="s">
        <v>387</v>
      </c>
      <c r="U856" t="s">
        <v>1094</v>
      </c>
      <c r="V856" t="s">
        <v>398</v>
      </c>
      <c r="W856" s="393">
        <v>640000</v>
      </c>
      <c r="X856" s="393">
        <v>167.3</v>
      </c>
      <c r="Y856" s="393">
        <v>1454.66</v>
      </c>
      <c r="Z856" s="393">
        <v>640000</v>
      </c>
      <c r="AA856">
        <v>0</v>
      </c>
      <c r="AB856" s="400">
        <v>44461.010643981484</v>
      </c>
      <c r="AC856" t="s">
        <v>326</v>
      </c>
    </row>
    <row r="857" spans="1:29">
      <c r="A857" t="s">
        <v>382</v>
      </c>
      <c r="B857" t="s">
        <v>440</v>
      </c>
      <c r="C857" t="s">
        <v>1362</v>
      </c>
      <c r="D857" t="s">
        <v>1590</v>
      </c>
      <c r="E857" t="s">
        <v>390</v>
      </c>
      <c r="F857" t="s">
        <v>391</v>
      </c>
      <c r="G857">
        <v>6102194</v>
      </c>
      <c r="H857">
        <v>202109</v>
      </c>
      <c r="I857" s="400">
        <v>44462</v>
      </c>
      <c r="J857">
        <v>124932</v>
      </c>
      <c r="K857" t="s">
        <v>386</v>
      </c>
      <c r="L857" t="s">
        <v>1392</v>
      </c>
      <c r="M857" t="s">
        <v>1393</v>
      </c>
      <c r="O857" t="s">
        <v>587</v>
      </c>
      <c r="P857" t="s">
        <v>588</v>
      </c>
      <c r="Q857" t="s">
        <v>450</v>
      </c>
      <c r="R857">
        <v>2069084</v>
      </c>
      <c r="S857" t="s">
        <v>387</v>
      </c>
      <c r="U857" t="s">
        <v>1605</v>
      </c>
      <c r="V857" t="s">
        <v>398</v>
      </c>
      <c r="W857" s="393">
        <v>31000</v>
      </c>
      <c r="X857" s="393">
        <v>8.08</v>
      </c>
      <c r="Y857" s="393">
        <v>70.290000000000006</v>
      </c>
      <c r="Z857" s="393">
        <v>31000</v>
      </c>
      <c r="AA857">
        <v>0</v>
      </c>
      <c r="AB857" s="400">
        <v>44474.213166469905</v>
      </c>
      <c r="AC857" t="s">
        <v>324</v>
      </c>
    </row>
    <row r="858" spans="1:29">
      <c r="A858" t="s">
        <v>382</v>
      </c>
      <c r="B858" t="s">
        <v>440</v>
      </c>
      <c r="C858" t="s">
        <v>1362</v>
      </c>
      <c r="D858" t="s">
        <v>1590</v>
      </c>
      <c r="E858" t="s">
        <v>390</v>
      </c>
      <c r="F858" t="s">
        <v>391</v>
      </c>
      <c r="G858">
        <v>6102117</v>
      </c>
      <c r="H858">
        <v>202109</v>
      </c>
      <c r="I858" s="400">
        <v>44469</v>
      </c>
      <c r="J858">
        <v>124932</v>
      </c>
      <c r="K858" t="s">
        <v>386</v>
      </c>
      <c r="L858" t="s">
        <v>1191</v>
      </c>
      <c r="M858" t="s">
        <v>1192</v>
      </c>
      <c r="O858" t="s">
        <v>587</v>
      </c>
      <c r="P858" t="s">
        <v>588</v>
      </c>
      <c r="Q858" t="s">
        <v>450</v>
      </c>
      <c r="R858">
        <v>2069084</v>
      </c>
      <c r="S858" t="s">
        <v>387</v>
      </c>
      <c r="U858" t="s">
        <v>1606</v>
      </c>
      <c r="V858" t="s">
        <v>398</v>
      </c>
      <c r="W858" s="393">
        <v>88000</v>
      </c>
      <c r="X858" s="393">
        <v>22.95</v>
      </c>
      <c r="Y858" s="393">
        <v>199.55</v>
      </c>
      <c r="Z858" s="393">
        <v>88000</v>
      </c>
      <c r="AA858">
        <v>0</v>
      </c>
      <c r="AB858" s="400">
        <v>44472.253244675929</v>
      </c>
      <c r="AC858" t="s">
        <v>324</v>
      </c>
    </row>
    <row r="859" spans="1:29">
      <c r="A859" t="s">
        <v>382</v>
      </c>
      <c r="B859" t="s">
        <v>440</v>
      </c>
      <c r="C859" t="s">
        <v>1362</v>
      </c>
      <c r="D859" t="s">
        <v>1607</v>
      </c>
      <c r="E859" t="s">
        <v>390</v>
      </c>
      <c r="F859" t="s">
        <v>391</v>
      </c>
      <c r="G859">
        <v>6100754</v>
      </c>
      <c r="H859">
        <v>202104</v>
      </c>
      <c r="I859" s="400">
        <v>44316</v>
      </c>
      <c r="J859" t="s">
        <v>452</v>
      </c>
      <c r="K859" t="s">
        <v>386</v>
      </c>
      <c r="L859" t="s">
        <v>1392</v>
      </c>
      <c r="M859" t="s">
        <v>1393</v>
      </c>
      <c r="O859" t="s">
        <v>613</v>
      </c>
      <c r="P859" t="s">
        <v>614</v>
      </c>
      <c r="Q859" t="s">
        <v>396</v>
      </c>
      <c r="R859">
        <v>2265776</v>
      </c>
      <c r="S859" t="s">
        <v>387</v>
      </c>
      <c r="U859" t="s">
        <v>1608</v>
      </c>
      <c r="V859" t="s">
        <v>398</v>
      </c>
      <c r="W859" s="393">
        <v>57999</v>
      </c>
      <c r="X859" s="393">
        <v>15.66</v>
      </c>
      <c r="Y859" s="393">
        <v>129.74</v>
      </c>
      <c r="Z859" s="393">
        <v>57999</v>
      </c>
      <c r="AA859">
        <v>316</v>
      </c>
      <c r="AB859" s="400">
        <v>44319.948913229164</v>
      </c>
      <c r="AC859" t="s">
        <v>326</v>
      </c>
    </row>
    <row r="860" spans="1:29">
      <c r="A860" t="s">
        <v>382</v>
      </c>
      <c r="B860" t="s">
        <v>440</v>
      </c>
      <c r="C860" t="s">
        <v>1362</v>
      </c>
      <c r="D860" t="s">
        <v>1607</v>
      </c>
      <c r="E860" t="s">
        <v>390</v>
      </c>
      <c r="F860" t="s">
        <v>391</v>
      </c>
      <c r="G860">
        <v>6100754</v>
      </c>
      <c r="H860">
        <v>202104</v>
      </c>
      <c r="I860" s="400">
        <v>44316</v>
      </c>
      <c r="J860" t="s">
        <v>452</v>
      </c>
      <c r="K860" t="s">
        <v>386</v>
      </c>
      <c r="L860" t="s">
        <v>1392</v>
      </c>
      <c r="M860" t="s">
        <v>1393</v>
      </c>
      <c r="O860" t="s">
        <v>613</v>
      </c>
      <c r="P860" t="s">
        <v>614</v>
      </c>
      <c r="Q860" t="s">
        <v>396</v>
      </c>
      <c r="R860">
        <v>2265776</v>
      </c>
      <c r="S860" t="s">
        <v>387</v>
      </c>
      <c r="U860" t="s">
        <v>1608</v>
      </c>
      <c r="V860" t="s">
        <v>398</v>
      </c>
      <c r="W860" s="393">
        <v>58</v>
      </c>
      <c r="X860" s="393">
        <v>0.02</v>
      </c>
      <c r="Y860" s="393">
        <v>0.13</v>
      </c>
      <c r="Z860" s="393">
        <v>58</v>
      </c>
      <c r="AA860">
        <v>0</v>
      </c>
      <c r="AB860" s="400">
        <v>44319.948913425927</v>
      </c>
      <c r="AC860" t="s">
        <v>326</v>
      </c>
    </row>
    <row r="861" spans="1:29">
      <c r="A861" t="s">
        <v>382</v>
      </c>
      <c r="B861" t="s">
        <v>440</v>
      </c>
      <c r="C861" t="s">
        <v>1362</v>
      </c>
      <c r="D861" t="s">
        <v>1607</v>
      </c>
      <c r="E861" t="s">
        <v>390</v>
      </c>
      <c r="F861" t="s">
        <v>391</v>
      </c>
      <c r="G861">
        <v>6100754</v>
      </c>
      <c r="H861">
        <v>202104</v>
      </c>
      <c r="I861" s="400">
        <v>44316</v>
      </c>
      <c r="J861" t="s">
        <v>452</v>
      </c>
      <c r="K861" t="s">
        <v>386</v>
      </c>
      <c r="L861" t="s">
        <v>1392</v>
      </c>
      <c r="M861" t="s">
        <v>1393</v>
      </c>
      <c r="O861" t="s">
        <v>599</v>
      </c>
      <c r="P861" t="s">
        <v>600</v>
      </c>
      <c r="Q861" t="s">
        <v>396</v>
      </c>
      <c r="R861">
        <v>2265776</v>
      </c>
      <c r="S861" t="s">
        <v>387</v>
      </c>
      <c r="U861" t="s">
        <v>1609</v>
      </c>
      <c r="V861" t="s">
        <v>398</v>
      </c>
      <c r="W861" s="393">
        <v>85000</v>
      </c>
      <c r="X861" s="393">
        <v>22.95</v>
      </c>
      <c r="Y861" s="393">
        <v>190.15</v>
      </c>
      <c r="Z861" s="393">
        <v>85000</v>
      </c>
      <c r="AA861">
        <v>0</v>
      </c>
      <c r="AB861" s="400">
        <v>44319.948913425927</v>
      </c>
      <c r="AC861" t="s">
        <v>326</v>
      </c>
    </row>
    <row r="862" spans="1:29">
      <c r="A862" t="s">
        <v>382</v>
      </c>
      <c r="B862" t="s">
        <v>440</v>
      </c>
      <c r="C862" t="s">
        <v>1362</v>
      </c>
      <c r="D862" t="s">
        <v>1607</v>
      </c>
      <c r="E862" t="s">
        <v>390</v>
      </c>
      <c r="F862" t="s">
        <v>391</v>
      </c>
      <c r="G862">
        <v>6101296</v>
      </c>
      <c r="H862">
        <v>202107</v>
      </c>
      <c r="I862" s="400">
        <v>44396</v>
      </c>
      <c r="J862" t="s">
        <v>452</v>
      </c>
      <c r="K862" t="s">
        <v>386</v>
      </c>
      <c r="L862">
        <v>124474</v>
      </c>
      <c r="M862" t="s">
        <v>1165</v>
      </c>
      <c r="O862" t="s">
        <v>1610</v>
      </c>
      <c r="P862" t="s">
        <v>1611</v>
      </c>
      <c r="Q862" t="s">
        <v>396</v>
      </c>
      <c r="R862">
        <v>2265776</v>
      </c>
      <c r="S862" t="s">
        <v>1612</v>
      </c>
      <c r="U862" t="s">
        <v>1613</v>
      </c>
      <c r="V862" t="s">
        <v>398</v>
      </c>
      <c r="W862" s="393">
        <v>-15000</v>
      </c>
      <c r="X862" s="393">
        <v>-3.95</v>
      </c>
      <c r="Y862" s="393">
        <v>-33.96</v>
      </c>
      <c r="Z862" s="393">
        <v>-15000</v>
      </c>
      <c r="AA862">
        <v>0</v>
      </c>
      <c r="AB862" s="400">
        <v>44398.755657789348</v>
      </c>
      <c r="AC862" t="s">
        <v>326</v>
      </c>
    </row>
    <row r="863" spans="1:29">
      <c r="A863" t="s">
        <v>382</v>
      </c>
      <c r="B863" t="s">
        <v>440</v>
      </c>
      <c r="C863" t="s">
        <v>1362</v>
      </c>
      <c r="D863" t="s">
        <v>1607</v>
      </c>
      <c r="E863" t="s">
        <v>390</v>
      </c>
      <c r="F863" t="s">
        <v>391</v>
      </c>
      <c r="G863">
        <v>6101296</v>
      </c>
      <c r="H863">
        <v>202107</v>
      </c>
      <c r="I863" s="400">
        <v>44396</v>
      </c>
      <c r="J863" t="s">
        <v>452</v>
      </c>
      <c r="K863" t="s">
        <v>386</v>
      </c>
      <c r="L863">
        <v>124474</v>
      </c>
      <c r="M863" t="s">
        <v>1165</v>
      </c>
      <c r="O863" t="s">
        <v>1614</v>
      </c>
      <c r="P863" t="s">
        <v>1615</v>
      </c>
      <c r="Q863" t="s">
        <v>396</v>
      </c>
      <c r="R863">
        <v>2265776</v>
      </c>
      <c r="S863" t="s">
        <v>1616</v>
      </c>
      <c r="U863" t="s">
        <v>1617</v>
      </c>
      <c r="V863" t="s">
        <v>398</v>
      </c>
      <c r="W863" s="393">
        <v>-12400</v>
      </c>
      <c r="X863" s="393">
        <v>-3.26</v>
      </c>
      <c r="Y863" s="393">
        <v>-28.07</v>
      </c>
      <c r="Z863" s="393">
        <v>-12400</v>
      </c>
      <c r="AA863">
        <v>0</v>
      </c>
      <c r="AB863" s="400">
        <v>44398.755657789348</v>
      </c>
      <c r="AC863" t="s">
        <v>326</v>
      </c>
    </row>
    <row r="864" spans="1:29">
      <c r="A864" t="s">
        <v>382</v>
      </c>
      <c r="B864" t="s">
        <v>440</v>
      </c>
      <c r="C864" t="s">
        <v>1362</v>
      </c>
      <c r="D864" t="s">
        <v>1607</v>
      </c>
      <c r="E864" t="s">
        <v>390</v>
      </c>
      <c r="F864" t="s">
        <v>391</v>
      </c>
      <c r="G864">
        <v>6101221</v>
      </c>
      <c r="H864">
        <v>202107</v>
      </c>
      <c r="I864" s="400">
        <v>44378</v>
      </c>
      <c r="J864" t="s">
        <v>452</v>
      </c>
      <c r="K864" t="s">
        <v>386</v>
      </c>
      <c r="L864">
        <v>124474</v>
      </c>
      <c r="M864" t="s">
        <v>1165</v>
      </c>
      <c r="O864" t="s">
        <v>1614</v>
      </c>
      <c r="P864" t="s">
        <v>1615</v>
      </c>
      <c r="Q864" t="s">
        <v>396</v>
      </c>
      <c r="R864">
        <v>2265776</v>
      </c>
      <c r="S864" t="s">
        <v>387</v>
      </c>
      <c r="U864" t="s">
        <v>1618</v>
      </c>
      <c r="V864" t="s">
        <v>398</v>
      </c>
      <c r="W864" s="393">
        <v>12400</v>
      </c>
      <c r="X864" s="393">
        <v>3.31</v>
      </c>
      <c r="Y864" s="393">
        <v>28.16</v>
      </c>
      <c r="Z864" s="393">
        <v>12400</v>
      </c>
      <c r="AA864">
        <v>0</v>
      </c>
      <c r="AB864" s="400">
        <v>44391.80386547454</v>
      </c>
      <c r="AC864" t="s">
        <v>326</v>
      </c>
    </row>
    <row r="865" spans="1:29">
      <c r="A865" t="s">
        <v>382</v>
      </c>
      <c r="B865" t="s">
        <v>440</v>
      </c>
      <c r="C865" t="s">
        <v>1362</v>
      </c>
      <c r="D865" t="s">
        <v>1607</v>
      </c>
      <c r="E865" t="s">
        <v>390</v>
      </c>
      <c r="F865" t="s">
        <v>391</v>
      </c>
      <c r="G865">
        <v>6101221</v>
      </c>
      <c r="H865">
        <v>202107</v>
      </c>
      <c r="I865" s="400">
        <v>44378</v>
      </c>
      <c r="J865" t="s">
        <v>452</v>
      </c>
      <c r="K865" t="s">
        <v>386</v>
      </c>
      <c r="L865">
        <v>124474</v>
      </c>
      <c r="M865" t="s">
        <v>1165</v>
      </c>
      <c r="O865" t="s">
        <v>1610</v>
      </c>
      <c r="P865" t="s">
        <v>1611</v>
      </c>
      <c r="Q865" t="s">
        <v>396</v>
      </c>
      <c r="R865">
        <v>2265776</v>
      </c>
      <c r="S865" t="s">
        <v>387</v>
      </c>
      <c r="U865" t="s">
        <v>1619</v>
      </c>
      <c r="V865" t="s">
        <v>398</v>
      </c>
      <c r="W865" s="393">
        <v>15000</v>
      </c>
      <c r="X865" s="393">
        <v>4.01</v>
      </c>
      <c r="Y865" s="393">
        <v>34.07</v>
      </c>
      <c r="Z865" s="393">
        <v>15000</v>
      </c>
      <c r="AA865">
        <v>0</v>
      </c>
      <c r="AB865" s="400">
        <v>44391.803865277776</v>
      </c>
      <c r="AC865" t="s">
        <v>326</v>
      </c>
    </row>
    <row r="866" spans="1:29">
      <c r="A866" t="s">
        <v>382</v>
      </c>
      <c r="B866" t="s">
        <v>440</v>
      </c>
      <c r="C866" t="s">
        <v>1362</v>
      </c>
      <c r="D866" t="s">
        <v>1607</v>
      </c>
      <c r="E866" t="s">
        <v>390</v>
      </c>
      <c r="F866" t="s">
        <v>391</v>
      </c>
      <c r="G866">
        <v>6101246</v>
      </c>
      <c r="H866">
        <v>202107</v>
      </c>
      <c r="I866" s="400">
        <v>44396</v>
      </c>
      <c r="J866" t="s">
        <v>452</v>
      </c>
      <c r="K866" t="s">
        <v>386</v>
      </c>
      <c r="L866">
        <v>124474</v>
      </c>
      <c r="M866" t="s">
        <v>1165</v>
      </c>
      <c r="O866" t="s">
        <v>1610</v>
      </c>
      <c r="P866" t="s">
        <v>1611</v>
      </c>
      <c r="Q866" t="s">
        <v>396</v>
      </c>
      <c r="R866">
        <v>2265776</v>
      </c>
      <c r="S866" t="s">
        <v>387</v>
      </c>
      <c r="U866" t="s">
        <v>1620</v>
      </c>
      <c r="V866" t="s">
        <v>398</v>
      </c>
      <c r="W866" s="393">
        <v>15000</v>
      </c>
      <c r="X866" s="393">
        <v>3.95</v>
      </c>
      <c r="Y866" s="393">
        <v>33.96</v>
      </c>
      <c r="Z866" s="393">
        <v>15000</v>
      </c>
      <c r="AA866">
        <v>0</v>
      </c>
      <c r="AB866" s="400">
        <v>44397.817337384258</v>
      </c>
      <c r="AC866" t="s">
        <v>326</v>
      </c>
    </row>
    <row r="867" spans="1:29">
      <c r="A867" t="s">
        <v>382</v>
      </c>
      <c r="B867" t="s">
        <v>440</v>
      </c>
      <c r="C867" t="s">
        <v>1362</v>
      </c>
      <c r="D867" t="s">
        <v>1607</v>
      </c>
      <c r="E867" t="s">
        <v>390</v>
      </c>
      <c r="F867" t="s">
        <v>391</v>
      </c>
      <c r="G867">
        <v>6101246</v>
      </c>
      <c r="H867">
        <v>202107</v>
      </c>
      <c r="I867" s="400">
        <v>44396</v>
      </c>
      <c r="J867" t="s">
        <v>452</v>
      </c>
      <c r="K867" t="s">
        <v>386</v>
      </c>
      <c r="L867">
        <v>124474</v>
      </c>
      <c r="M867" t="s">
        <v>1165</v>
      </c>
      <c r="O867" t="s">
        <v>1614</v>
      </c>
      <c r="P867" t="s">
        <v>1615</v>
      </c>
      <c r="Q867" t="s">
        <v>396</v>
      </c>
      <c r="R867">
        <v>2265776</v>
      </c>
      <c r="S867" t="s">
        <v>387</v>
      </c>
      <c r="U867" t="s">
        <v>1621</v>
      </c>
      <c r="V867" t="s">
        <v>398</v>
      </c>
      <c r="W867" s="393">
        <v>12400</v>
      </c>
      <c r="X867" s="393">
        <v>3.26</v>
      </c>
      <c r="Y867" s="393">
        <v>28.07</v>
      </c>
      <c r="Z867" s="393">
        <v>12400</v>
      </c>
      <c r="AA867">
        <v>0</v>
      </c>
      <c r="AB867" s="400">
        <v>44397.817337534725</v>
      </c>
      <c r="AC867" t="s">
        <v>326</v>
      </c>
    </row>
    <row r="868" spans="1:29">
      <c r="A868" t="s">
        <v>382</v>
      </c>
      <c r="B868" t="s">
        <v>440</v>
      </c>
      <c r="C868" t="s">
        <v>1362</v>
      </c>
      <c r="D868" t="s">
        <v>1607</v>
      </c>
      <c r="E868" t="s">
        <v>390</v>
      </c>
      <c r="F868" t="s">
        <v>391</v>
      </c>
      <c r="G868">
        <v>6101527</v>
      </c>
      <c r="H868">
        <v>202108</v>
      </c>
      <c r="I868" s="400">
        <v>44427</v>
      </c>
      <c r="J868" t="s">
        <v>452</v>
      </c>
      <c r="K868" t="s">
        <v>386</v>
      </c>
      <c r="L868">
        <v>119010</v>
      </c>
      <c r="M868" t="s">
        <v>1158</v>
      </c>
      <c r="O868" t="s">
        <v>480</v>
      </c>
      <c r="P868" t="s">
        <v>481</v>
      </c>
      <c r="Q868" t="s">
        <v>450</v>
      </c>
      <c r="R868">
        <v>2069084</v>
      </c>
      <c r="S868" t="s">
        <v>1622</v>
      </c>
      <c r="U868" t="s">
        <v>1623</v>
      </c>
      <c r="V868" t="s">
        <v>398</v>
      </c>
      <c r="W868" s="393">
        <v>50</v>
      </c>
      <c r="X868" s="393">
        <v>0.01</v>
      </c>
      <c r="Y868" s="393">
        <v>0.11</v>
      </c>
      <c r="Z868" s="393">
        <v>50</v>
      </c>
      <c r="AA868">
        <v>0</v>
      </c>
      <c r="AB868" s="400">
        <v>44427.847053854166</v>
      </c>
      <c r="AC868" t="s">
        <v>324</v>
      </c>
    </row>
    <row r="869" spans="1:29">
      <c r="A869" t="s">
        <v>382</v>
      </c>
      <c r="B869" t="s">
        <v>440</v>
      </c>
      <c r="C869" t="s">
        <v>1362</v>
      </c>
      <c r="D869" t="s">
        <v>1607</v>
      </c>
      <c r="E869" t="s">
        <v>390</v>
      </c>
      <c r="F869" t="s">
        <v>391</v>
      </c>
      <c r="G869">
        <v>6101527</v>
      </c>
      <c r="H869">
        <v>202108</v>
      </c>
      <c r="I869" s="400">
        <v>44427</v>
      </c>
      <c r="J869" t="s">
        <v>452</v>
      </c>
      <c r="K869" t="s">
        <v>386</v>
      </c>
      <c r="L869">
        <v>119010</v>
      </c>
      <c r="M869" t="s">
        <v>1158</v>
      </c>
      <c r="O869" t="s">
        <v>480</v>
      </c>
      <c r="P869" t="s">
        <v>481</v>
      </c>
      <c r="Q869" t="s">
        <v>450</v>
      </c>
      <c r="R869">
        <v>2069084</v>
      </c>
      <c r="S869" t="s">
        <v>1624</v>
      </c>
      <c r="U869" t="s">
        <v>1625</v>
      </c>
      <c r="V869" t="s">
        <v>398</v>
      </c>
      <c r="W869" s="393">
        <v>479</v>
      </c>
      <c r="X869" s="393">
        <v>0.12</v>
      </c>
      <c r="Y869" s="393">
        <v>1.06</v>
      </c>
      <c r="Z869" s="393">
        <v>479</v>
      </c>
      <c r="AA869">
        <v>0</v>
      </c>
      <c r="AB869" s="400">
        <v>44427.847053854166</v>
      </c>
      <c r="AC869" t="s">
        <v>324</v>
      </c>
    </row>
    <row r="870" spans="1:29">
      <c r="A870" t="s">
        <v>382</v>
      </c>
      <c r="B870" t="s">
        <v>440</v>
      </c>
      <c r="C870" t="s">
        <v>1362</v>
      </c>
      <c r="D870" t="s">
        <v>1607</v>
      </c>
      <c r="E870" t="s">
        <v>390</v>
      </c>
      <c r="F870" t="s">
        <v>391</v>
      </c>
      <c r="G870">
        <v>6101527</v>
      </c>
      <c r="H870">
        <v>202108</v>
      </c>
      <c r="I870" s="400">
        <v>44427</v>
      </c>
      <c r="J870" t="s">
        <v>452</v>
      </c>
      <c r="K870" t="s">
        <v>386</v>
      </c>
      <c r="L870">
        <v>119010</v>
      </c>
      <c r="M870" t="s">
        <v>1158</v>
      </c>
      <c r="O870" t="s">
        <v>480</v>
      </c>
      <c r="P870" t="s">
        <v>481</v>
      </c>
      <c r="Q870" t="s">
        <v>450</v>
      </c>
      <c r="R870">
        <v>2069084</v>
      </c>
      <c r="S870" t="s">
        <v>1626</v>
      </c>
      <c r="U870" t="s">
        <v>1627</v>
      </c>
      <c r="V870" t="s">
        <v>398</v>
      </c>
      <c r="W870" s="393">
        <v>703</v>
      </c>
      <c r="X870" s="393">
        <v>0.18</v>
      </c>
      <c r="Y870" s="393">
        <v>1.55</v>
      </c>
      <c r="Z870" s="393">
        <v>703</v>
      </c>
      <c r="AA870">
        <v>0</v>
      </c>
      <c r="AB870" s="400">
        <v>44427.847053854166</v>
      </c>
      <c r="AC870" t="s">
        <v>324</v>
      </c>
    </row>
    <row r="871" spans="1:29">
      <c r="A871" t="s">
        <v>382</v>
      </c>
      <c r="B871" t="s">
        <v>440</v>
      </c>
      <c r="C871" t="s">
        <v>1362</v>
      </c>
      <c r="D871" t="s">
        <v>1607</v>
      </c>
      <c r="E871" t="s">
        <v>390</v>
      </c>
      <c r="F871" t="s">
        <v>391</v>
      </c>
      <c r="G871">
        <v>6101527</v>
      </c>
      <c r="H871">
        <v>202108</v>
      </c>
      <c r="I871" s="400">
        <v>44427</v>
      </c>
      <c r="J871" t="s">
        <v>452</v>
      </c>
      <c r="K871" t="s">
        <v>386</v>
      </c>
      <c r="L871">
        <v>119010</v>
      </c>
      <c r="M871" t="s">
        <v>1158</v>
      </c>
      <c r="O871" t="s">
        <v>480</v>
      </c>
      <c r="P871" t="s">
        <v>481</v>
      </c>
      <c r="Q871" t="s">
        <v>450</v>
      </c>
      <c r="R871">
        <v>2069084</v>
      </c>
      <c r="S871" t="s">
        <v>1628</v>
      </c>
      <c r="U871" t="s">
        <v>1629</v>
      </c>
      <c r="V871" t="s">
        <v>398</v>
      </c>
      <c r="W871" s="393">
        <v>800</v>
      </c>
      <c r="X871" s="393">
        <v>0.2</v>
      </c>
      <c r="Y871" s="393">
        <v>1.77</v>
      </c>
      <c r="Z871" s="393">
        <v>800</v>
      </c>
      <c r="AA871">
        <v>0</v>
      </c>
      <c r="AB871" s="400">
        <v>44427.847054050922</v>
      </c>
      <c r="AC871" t="s">
        <v>324</v>
      </c>
    </row>
    <row r="872" spans="1:29">
      <c r="A872" t="s">
        <v>382</v>
      </c>
      <c r="B872" t="s">
        <v>440</v>
      </c>
      <c r="C872" t="s">
        <v>1362</v>
      </c>
      <c r="D872" t="s">
        <v>1607</v>
      </c>
      <c r="E872" t="s">
        <v>390</v>
      </c>
      <c r="F872" t="s">
        <v>391</v>
      </c>
      <c r="G872">
        <v>6101527</v>
      </c>
      <c r="H872">
        <v>202108</v>
      </c>
      <c r="I872" s="400">
        <v>44427</v>
      </c>
      <c r="J872" t="s">
        <v>452</v>
      </c>
      <c r="K872" t="s">
        <v>386</v>
      </c>
      <c r="L872">
        <v>119010</v>
      </c>
      <c r="M872" t="s">
        <v>1158</v>
      </c>
      <c r="O872" t="s">
        <v>480</v>
      </c>
      <c r="P872" t="s">
        <v>481</v>
      </c>
      <c r="Q872" t="s">
        <v>450</v>
      </c>
      <c r="R872">
        <v>2069084</v>
      </c>
      <c r="S872" t="s">
        <v>1630</v>
      </c>
      <c r="U872" t="s">
        <v>1631</v>
      </c>
      <c r="V872" t="s">
        <v>398</v>
      </c>
      <c r="W872" s="393">
        <v>2400</v>
      </c>
      <c r="X872" s="393">
        <v>0.61</v>
      </c>
      <c r="Y872" s="393">
        <v>5.3</v>
      </c>
      <c r="Z872" s="393">
        <v>2400</v>
      </c>
      <c r="AA872">
        <v>0</v>
      </c>
      <c r="AB872" s="400">
        <v>44427.847054050922</v>
      </c>
      <c r="AC872" t="s">
        <v>324</v>
      </c>
    </row>
    <row r="873" spans="1:29">
      <c r="A873" t="s">
        <v>382</v>
      </c>
      <c r="B873" t="s">
        <v>440</v>
      </c>
      <c r="C873" t="s">
        <v>1362</v>
      </c>
      <c r="D873" t="s">
        <v>1607</v>
      </c>
      <c r="E873" t="s">
        <v>390</v>
      </c>
      <c r="F873" t="s">
        <v>391</v>
      </c>
      <c r="G873">
        <v>6102194</v>
      </c>
      <c r="H873">
        <v>202109</v>
      </c>
      <c r="I873" s="400">
        <v>44462</v>
      </c>
      <c r="J873">
        <v>124932</v>
      </c>
      <c r="K873" t="s">
        <v>386</v>
      </c>
      <c r="L873" t="s">
        <v>1392</v>
      </c>
      <c r="M873" t="s">
        <v>1393</v>
      </c>
      <c r="O873" t="s">
        <v>772</v>
      </c>
      <c r="P873" t="s">
        <v>773</v>
      </c>
      <c r="Q873" t="s">
        <v>450</v>
      </c>
      <c r="R873">
        <v>2069084</v>
      </c>
      <c r="S873" t="s">
        <v>387</v>
      </c>
      <c r="U873" t="s">
        <v>1632</v>
      </c>
      <c r="V873" t="s">
        <v>398</v>
      </c>
      <c r="W873" s="393">
        <v>95061</v>
      </c>
      <c r="X873" s="393">
        <v>24.79</v>
      </c>
      <c r="Y873" s="393">
        <v>215.56</v>
      </c>
      <c r="Z873" s="393">
        <v>95061</v>
      </c>
      <c r="AA873">
        <v>0</v>
      </c>
      <c r="AB873" s="400">
        <v>44474.213166469905</v>
      </c>
      <c r="AC873" t="s">
        <v>324</v>
      </c>
    </row>
    <row r="874" spans="1:29">
      <c r="A874" t="s">
        <v>382</v>
      </c>
      <c r="B874" t="s">
        <v>440</v>
      </c>
      <c r="C874" t="s">
        <v>1362</v>
      </c>
      <c r="D874" t="s">
        <v>1607</v>
      </c>
      <c r="E874" t="s">
        <v>390</v>
      </c>
      <c r="F874" t="s">
        <v>391</v>
      </c>
      <c r="G874">
        <v>6102194</v>
      </c>
      <c r="H874">
        <v>202109</v>
      </c>
      <c r="I874" s="400">
        <v>44462</v>
      </c>
      <c r="J874">
        <v>124932</v>
      </c>
      <c r="K874" t="s">
        <v>386</v>
      </c>
      <c r="L874" t="s">
        <v>1392</v>
      </c>
      <c r="M874" t="s">
        <v>1393</v>
      </c>
      <c r="O874" t="s">
        <v>691</v>
      </c>
      <c r="P874" t="s">
        <v>692</v>
      </c>
      <c r="Q874" t="s">
        <v>450</v>
      </c>
      <c r="R874">
        <v>2069084</v>
      </c>
      <c r="S874" t="s">
        <v>387</v>
      </c>
      <c r="U874" t="s">
        <v>1633</v>
      </c>
      <c r="V874" t="s">
        <v>398</v>
      </c>
      <c r="W874" s="393">
        <v>15000</v>
      </c>
      <c r="X874" s="393">
        <v>3.91</v>
      </c>
      <c r="Y874" s="393">
        <v>34.01</v>
      </c>
      <c r="Z874" s="393">
        <v>15000</v>
      </c>
      <c r="AA874">
        <v>0</v>
      </c>
      <c r="AB874" s="400">
        <v>44474.213166666668</v>
      </c>
      <c r="AC874" t="s">
        <v>324</v>
      </c>
    </row>
    <row r="875" spans="1:29">
      <c r="A875" t="s">
        <v>381</v>
      </c>
      <c r="B875" t="s">
        <v>382</v>
      </c>
      <c r="C875" t="s">
        <v>1634</v>
      </c>
      <c r="D875" t="s">
        <v>1634</v>
      </c>
      <c r="E875" t="s">
        <v>383</v>
      </c>
      <c r="F875" t="s">
        <v>384</v>
      </c>
      <c r="G875">
        <v>11008490</v>
      </c>
      <c r="H875">
        <v>202102</v>
      </c>
      <c r="I875" s="400">
        <v>44246</v>
      </c>
      <c r="J875" t="s">
        <v>385</v>
      </c>
      <c r="K875" t="s">
        <v>386</v>
      </c>
      <c r="M875" t="s">
        <v>387</v>
      </c>
      <c r="O875" t="s">
        <v>387</v>
      </c>
      <c r="P875" t="s">
        <v>387</v>
      </c>
      <c r="Q875" t="s">
        <v>1635</v>
      </c>
      <c r="R875" t="s">
        <v>387</v>
      </c>
      <c r="S875" t="s">
        <v>387</v>
      </c>
      <c r="U875" t="s">
        <v>1636</v>
      </c>
      <c r="V875" t="s">
        <v>375</v>
      </c>
      <c r="W875" s="393">
        <v>11.88</v>
      </c>
      <c r="X875" s="393">
        <v>11.88</v>
      </c>
      <c r="Y875" s="393">
        <v>99.92</v>
      </c>
      <c r="Z875" s="393">
        <v>9.89</v>
      </c>
      <c r="AA875">
        <v>0</v>
      </c>
      <c r="AB875" s="400">
        <v>44249.819398113425</v>
      </c>
      <c r="AC875" t="s">
        <v>324</v>
      </c>
    </row>
    <row r="876" spans="1:29">
      <c r="A876" t="s">
        <v>382</v>
      </c>
      <c r="B876" t="s">
        <v>440</v>
      </c>
      <c r="C876" t="s">
        <v>1637</v>
      </c>
      <c r="D876" t="s">
        <v>1638</v>
      </c>
      <c r="E876" t="s">
        <v>390</v>
      </c>
      <c r="F876" t="s">
        <v>391</v>
      </c>
      <c r="G876">
        <v>6100771</v>
      </c>
      <c r="H876">
        <v>202104</v>
      </c>
      <c r="I876" s="400">
        <v>44316</v>
      </c>
      <c r="J876" t="s">
        <v>452</v>
      </c>
      <c r="K876" t="s">
        <v>386</v>
      </c>
      <c r="M876" t="s">
        <v>387</v>
      </c>
      <c r="O876" t="s">
        <v>480</v>
      </c>
      <c r="P876" t="s">
        <v>481</v>
      </c>
      <c r="Q876" t="s">
        <v>450</v>
      </c>
      <c r="R876">
        <v>2069080</v>
      </c>
      <c r="S876" t="s">
        <v>387</v>
      </c>
      <c r="U876" t="s">
        <v>1639</v>
      </c>
      <c r="V876" t="s">
        <v>398</v>
      </c>
      <c r="W876" s="393">
        <v>185184</v>
      </c>
      <c r="X876" s="393">
        <v>50</v>
      </c>
      <c r="Y876" s="393">
        <v>414.26</v>
      </c>
      <c r="Z876" s="393">
        <v>185184</v>
      </c>
      <c r="AA876">
        <v>0</v>
      </c>
      <c r="AB876" s="400">
        <v>44320.793317592594</v>
      </c>
      <c r="AC876" t="s">
        <v>324</v>
      </c>
    </row>
    <row r="877" spans="1:29">
      <c r="A877" t="s">
        <v>382</v>
      </c>
      <c r="B877" t="s">
        <v>440</v>
      </c>
      <c r="C877" t="s">
        <v>1637</v>
      </c>
      <c r="D877" t="s">
        <v>1638</v>
      </c>
      <c r="E877" t="s">
        <v>390</v>
      </c>
      <c r="F877" t="s">
        <v>391</v>
      </c>
      <c r="G877">
        <v>6101188</v>
      </c>
      <c r="H877">
        <v>202106</v>
      </c>
      <c r="I877" s="400">
        <v>44377</v>
      </c>
      <c r="J877" t="s">
        <v>452</v>
      </c>
      <c r="K877" t="s">
        <v>386</v>
      </c>
      <c r="M877" t="s">
        <v>387</v>
      </c>
      <c r="O877" t="s">
        <v>480</v>
      </c>
      <c r="P877" t="s">
        <v>481</v>
      </c>
      <c r="Q877" t="s">
        <v>450</v>
      </c>
      <c r="R877">
        <v>2069080</v>
      </c>
      <c r="S877" t="s">
        <v>387</v>
      </c>
      <c r="U877" t="s">
        <v>1640</v>
      </c>
      <c r="V877" t="s">
        <v>398</v>
      </c>
      <c r="W877" s="393">
        <v>210691</v>
      </c>
      <c r="X877" s="393">
        <v>55.83</v>
      </c>
      <c r="Y877" s="393">
        <v>474.27</v>
      </c>
      <c r="Z877" s="393">
        <v>210691</v>
      </c>
      <c r="AA877">
        <v>0</v>
      </c>
      <c r="AB877" s="400">
        <v>44383.219668634258</v>
      </c>
      <c r="AC877" t="s">
        <v>324</v>
      </c>
    </row>
    <row r="878" spans="1:29">
      <c r="A878" t="s">
        <v>382</v>
      </c>
      <c r="B878" t="s">
        <v>440</v>
      </c>
      <c r="C878" t="s">
        <v>1637</v>
      </c>
      <c r="D878" t="s">
        <v>1638</v>
      </c>
      <c r="E878" t="s">
        <v>390</v>
      </c>
      <c r="F878" t="s">
        <v>391</v>
      </c>
      <c r="G878">
        <v>6101477</v>
      </c>
      <c r="H878">
        <v>202107</v>
      </c>
      <c r="I878" s="400">
        <v>44407</v>
      </c>
      <c r="J878" t="s">
        <v>1016</v>
      </c>
      <c r="K878" t="s">
        <v>386</v>
      </c>
      <c r="M878" t="s">
        <v>387</v>
      </c>
      <c r="O878" t="s">
        <v>480</v>
      </c>
      <c r="P878" t="s">
        <v>481</v>
      </c>
      <c r="Q878" t="s">
        <v>450</v>
      </c>
      <c r="R878">
        <v>2069080</v>
      </c>
      <c r="S878" t="s">
        <v>387</v>
      </c>
      <c r="U878" t="s">
        <v>1641</v>
      </c>
      <c r="V878" t="s">
        <v>398</v>
      </c>
      <c r="W878" s="393">
        <v>22287</v>
      </c>
      <c r="X878" s="393">
        <v>5.71</v>
      </c>
      <c r="Y878" s="393">
        <v>49.3</v>
      </c>
      <c r="Z878" s="393">
        <v>22287</v>
      </c>
      <c r="AA878">
        <v>0</v>
      </c>
      <c r="AB878" s="400">
        <v>44413.073783564818</v>
      </c>
      <c r="AC878" t="s">
        <v>324</v>
      </c>
    </row>
    <row r="879" spans="1:29">
      <c r="A879" t="s">
        <v>382</v>
      </c>
      <c r="B879" t="s">
        <v>440</v>
      </c>
      <c r="C879" t="s">
        <v>1637</v>
      </c>
      <c r="D879" t="s">
        <v>1638</v>
      </c>
      <c r="E879" t="s">
        <v>390</v>
      </c>
      <c r="F879" t="s">
        <v>391</v>
      </c>
      <c r="G879">
        <v>6101475</v>
      </c>
      <c r="H879">
        <v>202107</v>
      </c>
      <c r="I879" s="400">
        <v>44407</v>
      </c>
      <c r="J879" t="s">
        <v>1016</v>
      </c>
      <c r="K879" t="s">
        <v>386</v>
      </c>
      <c r="M879" t="s">
        <v>387</v>
      </c>
      <c r="O879" t="s">
        <v>480</v>
      </c>
      <c r="P879" t="s">
        <v>481</v>
      </c>
      <c r="Q879" t="s">
        <v>450</v>
      </c>
      <c r="R879">
        <v>2069080</v>
      </c>
      <c r="S879" t="s">
        <v>387</v>
      </c>
      <c r="U879" t="s">
        <v>1642</v>
      </c>
      <c r="V879" t="s">
        <v>398</v>
      </c>
      <c r="W879" s="393">
        <v>437</v>
      </c>
      <c r="X879" s="393">
        <v>0.11</v>
      </c>
      <c r="Y879" s="393">
        <v>0.97</v>
      </c>
      <c r="Z879" s="393">
        <v>437</v>
      </c>
      <c r="AA879">
        <v>0</v>
      </c>
      <c r="AB879" s="400">
        <v>44413.018943599534</v>
      </c>
      <c r="AC879" t="s">
        <v>324</v>
      </c>
    </row>
    <row r="880" spans="1:29">
      <c r="A880" t="s">
        <v>382</v>
      </c>
      <c r="B880" t="s">
        <v>440</v>
      </c>
      <c r="C880" t="s">
        <v>1637</v>
      </c>
      <c r="D880" t="s">
        <v>1638</v>
      </c>
      <c r="E880" t="s">
        <v>390</v>
      </c>
      <c r="F880" t="s">
        <v>391</v>
      </c>
      <c r="G880">
        <v>6101475</v>
      </c>
      <c r="H880">
        <v>202107</v>
      </c>
      <c r="I880" s="400">
        <v>44407</v>
      </c>
      <c r="J880" t="s">
        <v>1016</v>
      </c>
      <c r="K880" t="s">
        <v>386</v>
      </c>
      <c r="M880" t="s">
        <v>387</v>
      </c>
      <c r="O880" t="s">
        <v>480</v>
      </c>
      <c r="P880" t="s">
        <v>481</v>
      </c>
      <c r="Q880" t="s">
        <v>450</v>
      </c>
      <c r="R880">
        <v>2069080</v>
      </c>
      <c r="S880" t="s">
        <v>387</v>
      </c>
      <c r="U880" t="s">
        <v>1642</v>
      </c>
      <c r="V880" t="s">
        <v>398</v>
      </c>
      <c r="W880" s="393">
        <v>437</v>
      </c>
      <c r="X880" s="393">
        <v>0.11</v>
      </c>
      <c r="Y880" s="393">
        <v>0.97</v>
      </c>
      <c r="Z880" s="393">
        <v>437</v>
      </c>
      <c r="AA880">
        <v>0</v>
      </c>
      <c r="AB880" s="400">
        <v>44413.018943599534</v>
      </c>
      <c r="AC880" t="s">
        <v>324</v>
      </c>
    </row>
    <row r="881" spans="1:29">
      <c r="A881" t="s">
        <v>382</v>
      </c>
      <c r="B881" t="s">
        <v>440</v>
      </c>
      <c r="C881" t="s">
        <v>1637</v>
      </c>
      <c r="D881" t="s">
        <v>1638</v>
      </c>
      <c r="E881" t="s">
        <v>390</v>
      </c>
      <c r="F881" t="s">
        <v>391</v>
      </c>
      <c r="G881">
        <v>6101475</v>
      </c>
      <c r="H881">
        <v>202107</v>
      </c>
      <c r="I881" s="400">
        <v>44407</v>
      </c>
      <c r="J881" t="s">
        <v>1016</v>
      </c>
      <c r="K881" t="s">
        <v>386</v>
      </c>
      <c r="M881" t="s">
        <v>387</v>
      </c>
      <c r="O881" t="s">
        <v>480</v>
      </c>
      <c r="P881" t="s">
        <v>481</v>
      </c>
      <c r="Q881" t="s">
        <v>450</v>
      </c>
      <c r="R881">
        <v>2069080</v>
      </c>
      <c r="S881" t="s">
        <v>387</v>
      </c>
      <c r="U881" t="s">
        <v>1642</v>
      </c>
      <c r="V881" t="s">
        <v>398</v>
      </c>
      <c r="W881" s="393">
        <v>437</v>
      </c>
      <c r="X881" s="393">
        <v>0.11</v>
      </c>
      <c r="Y881" s="393">
        <v>0.97</v>
      </c>
      <c r="Z881" s="393">
        <v>437</v>
      </c>
      <c r="AA881">
        <v>0</v>
      </c>
      <c r="AB881" s="400">
        <v>44413.018943599534</v>
      </c>
      <c r="AC881" t="s">
        <v>324</v>
      </c>
    </row>
    <row r="882" spans="1:29">
      <c r="A882" t="s">
        <v>382</v>
      </c>
      <c r="B882" t="s">
        <v>440</v>
      </c>
      <c r="C882" t="s">
        <v>1637</v>
      </c>
      <c r="D882" t="s">
        <v>1638</v>
      </c>
      <c r="E882" t="s">
        <v>390</v>
      </c>
      <c r="F882" t="s">
        <v>391</v>
      </c>
      <c r="G882">
        <v>6101475</v>
      </c>
      <c r="H882">
        <v>202107</v>
      </c>
      <c r="I882" s="400">
        <v>44407</v>
      </c>
      <c r="J882" t="s">
        <v>1016</v>
      </c>
      <c r="K882" t="s">
        <v>386</v>
      </c>
      <c r="M882" t="s">
        <v>387</v>
      </c>
      <c r="O882" t="s">
        <v>480</v>
      </c>
      <c r="P882" t="s">
        <v>481</v>
      </c>
      <c r="Q882" t="s">
        <v>450</v>
      </c>
      <c r="R882">
        <v>2069080</v>
      </c>
      <c r="S882" t="s">
        <v>387</v>
      </c>
      <c r="U882" t="s">
        <v>1642</v>
      </c>
      <c r="V882" t="s">
        <v>398</v>
      </c>
      <c r="W882" s="393">
        <v>437</v>
      </c>
      <c r="X882" s="393">
        <v>0.11</v>
      </c>
      <c r="Y882" s="393">
        <v>0.97</v>
      </c>
      <c r="Z882" s="393">
        <v>437</v>
      </c>
      <c r="AA882">
        <v>0</v>
      </c>
      <c r="AB882" s="400">
        <v>44413.018943599534</v>
      </c>
      <c r="AC882" t="s">
        <v>324</v>
      </c>
    </row>
    <row r="883" spans="1:29">
      <c r="A883" t="s">
        <v>382</v>
      </c>
      <c r="B883" t="s">
        <v>440</v>
      </c>
      <c r="C883" t="s">
        <v>1637</v>
      </c>
      <c r="D883" t="s">
        <v>1638</v>
      </c>
      <c r="E883" t="s">
        <v>390</v>
      </c>
      <c r="F883" t="s">
        <v>391</v>
      </c>
      <c r="G883">
        <v>6101475</v>
      </c>
      <c r="H883">
        <v>202107</v>
      </c>
      <c r="I883" s="400">
        <v>44407</v>
      </c>
      <c r="J883" t="s">
        <v>1016</v>
      </c>
      <c r="K883" t="s">
        <v>386</v>
      </c>
      <c r="M883" t="s">
        <v>387</v>
      </c>
      <c r="O883" t="s">
        <v>480</v>
      </c>
      <c r="P883" t="s">
        <v>481</v>
      </c>
      <c r="Q883" t="s">
        <v>450</v>
      </c>
      <c r="R883">
        <v>2069080</v>
      </c>
      <c r="S883" t="s">
        <v>387</v>
      </c>
      <c r="U883" t="s">
        <v>1642</v>
      </c>
      <c r="V883" t="s">
        <v>398</v>
      </c>
      <c r="W883" s="393">
        <v>437</v>
      </c>
      <c r="X883" s="393">
        <v>0.11</v>
      </c>
      <c r="Y883" s="393">
        <v>0.97</v>
      </c>
      <c r="Z883" s="393">
        <v>437</v>
      </c>
      <c r="AA883">
        <v>0</v>
      </c>
      <c r="AB883" s="400">
        <v>44413.018943599534</v>
      </c>
      <c r="AC883" t="s">
        <v>324</v>
      </c>
    </row>
    <row r="884" spans="1:29">
      <c r="A884" t="s">
        <v>382</v>
      </c>
      <c r="B884" t="s">
        <v>440</v>
      </c>
      <c r="C884" t="s">
        <v>1637</v>
      </c>
      <c r="D884" t="s">
        <v>1638</v>
      </c>
      <c r="E884" t="s">
        <v>390</v>
      </c>
      <c r="F884" t="s">
        <v>391</v>
      </c>
      <c r="G884">
        <v>6101475</v>
      </c>
      <c r="H884">
        <v>202107</v>
      </c>
      <c r="I884" s="400">
        <v>44407</v>
      </c>
      <c r="J884" t="s">
        <v>1016</v>
      </c>
      <c r="K884" t="s">
        <v>386</v>
      </c>
      <c r="M884" t="s">
        <v>387</v>
      </c>
      <c r="O884" t="s">
        <v>480</v>
      </c>
      <c r="P884" t="s">
        <v>481</v>
      </c>
      <c r="Q884" t="s">
        <v>450</v>
      </c>
      <c r="R884">
        <v>2069080</v>
      </c>
      <c r="S884" t="s">
        <v>387</v>
      </c>
      <c r="U884" t="s">
        <v>1642</v>
      </c>
      <c r="V884" t="s">
        <v>398</v>
      </c>
      <c r="W884" s="393">
        <v>437</v>
      </c>
      <c r="X884" s="393">
        <v>0.11</v>
      </c>
      <c r="Y884" s="393">
        <v>0.97</v>
      </c>
      <c r="Z884" s="393">
        <v>437</v>
      </c>
      <c r="AA884">
        <v>0</v>
      </c>
      <c r="AB884" s="400">
        <v>44413.018943599534</v>
      </c>
      <c r="AC884" t="s">
        <v>324</v>
      </c>
    </row>
    <row r="885" spans="1:29">
      <c r="A885" t="s">
        <v>382</v>
      </c>
      <c r="B885" t="s">
        <v>440</v>
      </c>
      <c r="C885" t="s">
        <v>1637</v>
      </c>
      <c r="D885" t="s">
        <v>1638</v>
      </c>
      <c r="E885" t="s">
        <v>390</v>
      </c>
      <c r="F885" t="s">
        <v>391</v>
      </c>
      <c r="G885">
        <v>6101475</v>
      </c>
      <c r="H885">
        <v>202107</v>
      </c>
      <c r="I885" s="400">
        <v>44407</v>
      </c>
      <c r="J885" t="s">
        <v>1016</v>
      </c>
      <c r="K885" t="s">
        <v>386</v>
      </c>
      <c r="M885" t="s">
        <v>387</v>
      </c>
      <c r="O885" t="s">
        <v>480</v>
      </c>
      <c r="P885" t="s">
        <v>481</v>
      </c>
      <c r="Q885" t="s">
        <v>450</v>
      </c>
      <c r="R885">
        <v>2069080</v>
      </c>
      <c r="S885" t="s">
        <v>387</v>
      </c>
      <c r="U885" t="s">
        <v>1642</v>
      </c>
      <c r="V885" t="s">
        <v>398</v>
      </c>
      <c r="W885" s="393">
        <v>437</v>
      </c>
      <c r="X885" s="393">
        <v>0.11</v>
      </c>
      <c r="Y885" s="393">
        <v>0.97</v>
      </c>
      <c r="Z885" s="393">
        <v>437</v>
      </c>
      <c r="AA885">
        <v>0</v>
      </c>
      <c r="AB885" s="400">
        <v>44413.018943599534</v>
      </c>
      <c r="AC885" t="s">
        <v>324</v>
      </c>
    </row>
    <row r="886" spans="1:29">
      <c r="A886" t="s">
        <v>382</v>
      </c>
      <c r="B886" t="s">
        <v>440</v>
      </c>
      <c r="C886" t="s">
        <v>1637</v>
      </c>
      <c r="D886" t="s">
        <v>1638</v>
      </c>
      <c r="E886" t="s">
        <v>390</v>
      </c>
      <c r="F886" t="s">
        <v>391</v>
      </c>
      <c r="G886">
        <v>6101475</v>
      </c>
      <c r="H886">
        <v>202107</v>
      </c>
      <c r="I886" s="400">
        <v>44407</v>
      </c>
      <c r="J886" t="s">
        <v>1016</v>
      </c>
      <c r="K886" t="s">
        <v>386</v>
      </c>
      <c r="M886" t="s">
        <v>387</v>
      </c>
      <c r="O886" t="s">
        <v>480</v>
      </c>
      <c r="P886" t="s">
        <v>481</v>
      </c>
      <c r="Q886" t="s">
        <v>450</v>
      </c>
      <c r="R886">
        <v>2069080</v>
      </c>
      <c r="S886" t="s">
        <v>387</v>
      </c>
      <c r="U886" t="s">
        <v>1642</v>
      </c>
      <c r="V886" t="s">
        <v>398</v>
      </c>
      <c r="W886" s="393">
        <v>437</v>
      </c>
      <c r="X886" s="393">
        <v>0.11</v>
      </c>
      <c r="Y886" s="393">
        <v>0.97</v>
      </c>
      <c r="Z886" s="393">
        <v>437</v>
      </c>
      <c r="AA886">
        <v>0</v>
      </c>
      <c r="AB886" s="400">
        <v>44413.018943784722</v>
      </c>
      <c r="AC886" t="s">
        <v>324</v>
      </c>
    </row>
    <row r="887" spans="1:29">
      <c r="A887" t="s">
        <v>382</v>
      </c>
      <c r="B887" t="s">
        <v>440</v>
      </c>
      <c r="C887" t="s">
        <v>1637</v>
      </c>
      <c r="D887" t="s">
        <v>1638</v>
      </c>
      <c r="E887" t="s">
        <v>390</v>
      </c>
      <c r="F887" t="s">
        <v>391</v>
      </c>
      <c r="G887">
        <v>6101475</v>
      </c>
      <c r="H887">
        <v>202107</v>
      </c>
      <c r="I887" s="400">
        <v>44407</v>
      </c>
      <c r="J887" t="s">
        <v>1016</v>
      </c>
      <c r="K887" t="s">
        <v>386</v>
      </c>
      <c r="M887" t="s">
        <v>387</v>
      </c>
      <c r="O887" t="s">
        <v>480</v>
      </c>
      <c r="P887" t="s">
        <v>481</v>
      </c>
      <c r="Q887" t="s">
        <v>450</v>
      </c>
      <c r="R887">
        <v>2069080</v>
      </c>
      <c r="S887" t="s">
        <v>387</v>
      </c>
      <c r="U887" t="s">
        <v>1642</v>
      </c>
      <c r="V887" t="s">
        <v>398</v>
      </c>
      <c r="W887" s="393">
        <v>437</v>
      </c>
      <c r="X887" s="393">
        <v>0.11</v>
      </c>
      <c r="Y887" s="393">
        <v>0.97</v>
      </c>
      <c r="Z887" s="393">
        <v>437</v>
      </c>
      <c r="AA887">
        <v>0</v>
      </c>
      <c r="AB887" s="400">
        <v>44413.018943784722</v>
      </c>
      <c r="AC887" t="s">
        <v>324</v>
      </c>
    </row>
    <row r="888" spans="1:29">
      <c r="A888" t="s">
        <v>382</v>
      </c>
      <c r="B888" t="s">
        <v>440</v>
      </c>
      <c r="C888" t="s">
        <v>1637</v>
      </c>
      <c r="D888" t="s">
        <v>1638</v>
      </c>
      <c r="E888" t="s">
        <v>390</v>
      </c>
      <c r="F888" t="s">
        <v>391</v>
      </c>
      <c r="G888">
        <v>6101475</v>
      </c>
      <c r="H888">
        <v>202107</v>
      </c>
      <c r="I888" s="400">
        <v>44407</v>
      </c>
      <c r="J888" t="s">
        <v>1016</v>
      </c>
      <c r="K888" t="s">
        <v>386</v>
      </c>
      <c r="M888" t="s">
        <v>387</v>
      </c>
      <c r="O888" t="s">
        <v>480</v>
      </c>
      <c r="P888" t="s">
        <v>481</v>
      </c>
      <c r="Q888" t="s">
        <v>450</v>
      </c>
      <c r="R888">
        <v>2069080</v>
      </c>
      <c r="S888" t="s">
        <v>387</v>
      </c>
      <c r="U888" t="s">
        <v>1642</v>
      </c>
      <c r="V888" t="s">
        <v>398</v>
      </c>
      <c r="W888" s="393">
        <v>437</v>
      </c>
      <c r="X888" s="393">
        <v>0.11</v>
      </c>
      <c r="Y888" s="393">
        <v>0.97</v>
      </c>
      <c r="Z888" s="393">
        <v>437</v>
      </c>
      <c r="AA888">
        <v>0</v>
      </c>
      <c r="AB888" s="400">
        <v>44413.018943784722</v>
      </c>
      <c r="AC888" t="s">
        <v>324</v>
      </c>
    </row>
    <row r="889" spans="1:29">
      <c r="A889" t="s">
        <v>382</v>
      </c>
      <c r="B889" t="s">
        <v>440</v>
      </c>
      <c r="C889" t="s">
        <v>1637</v>
      </c>
      <c r="D889" t="s">
        <v>1638</v>
      </c>
      <c r="E889" t="s">
        <v>390</v>
      </c>
      <c r="F889" t="s">
        <v>391</v>
      </c>
      <c r="G889">
        <v>6101475</v>
      </c>
      <c r="H889">
        <v>202107</v>
      </c>
      <c r="I889" s="400">
        <v>44407</v>
      </c>
      <c r="J889" t="s">
        <v>1016</v>
      </c>
      <c r="K889" t="s">
        <v>386</v>
      </c>
      <c r="M889" t="s">
        <v>387</v>
      </c>
      <c r="O889" t="s">
        <v>480</v>
      </c>
      <c r="P889" t="s">
        <v>481</v>
      </c>
      <c r="Q889" t="s">
        <v>450</v>
      </c>
      <c r="R889">
        <v>2069080</v>
      </c>
      <c r="S889" t="s">
        <v>387</v>
      </c>
      <c r="U889" t="s">
        <v>1642</v>
      </c>
      <c r="V889" t="s">
        <v>398</v>
      </c>
      <c r="W889" s="393">
        <v>437</v>
      </c>
      <c r="X889" s="393">
        <v>0.11</v>
      </c>
      <c r="Y889" s="393">
        <v>0.97</v>
      </c>
      <c r="Z889" s="393">
        <v>437</v>
      </c>
      <c r="AA889">
        <v>0</v>
      </c>
      <c r="AB889" s="400">
        <v>44413.018943784722</v>
      </c>
      <c r="AC889" t="s">
        <v>324</v>
      </c>
    </row>
    <row r="890" spans="1:29">
      <c r="A890" t="s">
        <v>382</v>
      </c>
      <c r="B890" t="s">
        <v>440</v>
      </c>
      <c r="C890" t="s">
        <v>1637</v>
      </c>
      <c r="D890" t="s">
        <v>1638</v>
      </c>
      <c r="E890" t="s">
        <v>390</v>
      </c>
      <c r="F890" t="s">
        <v>391</v>
      </c>
      <c r="G890">
        <v>6101475</v>
      </c>
      <c r="H890">
        <v>202107</v>
      </c>
      <c r="I890" s="400">
        <v>44407</v>
      </c>
      <c r="J890" t="s">
        <v>1016</v>
      </c>
      <c r="K890" t="s">
        <v>386</v>
      </c>
      <c r="M890" t="s">
        <v>387</v>
      </c>
      <c r="O890" t="s">
        <v>480</v>
      </c>
      <c r="P890" t="s">
        <v>481</v>
      </c>
      <c r="Q890" t="s">
        <v>450</v>
      </c>
      <c r="R890">
        <v>2069080</v>
      </c>
      <c r="S890" t="s">
        <v>387</v>
      </c>
      <c r="U890" t="s">
        <v>1642</v>
      </c>
      <c r="V890" t="s">
        <v>398</v>
      </c>
      <c r="W890" s="393">
        <v>437</v>
      </c>
      <c r="X890" s="393">
        <v>0.11</v>
      </c>
      <c r="Y890" s="393">
        <v>0.97</v>
      </c>
      <c r="Z890" s="393">
        <v>437</v>
      </c>
      <c r="AA890">
        <v>0</v>
      </c>
      <c r="AB890" s="400">
        <v>44413.018943252318</v>
      </c>
      <c r="AC890" t="s">
        <v>324</v>
      </c>
    </row>
    <row r="891" spans="1:29">
      <c r="A891" t="s">
        <v>382</v>
      </c>
      <c r="B891" t="s">
        <v>440</v>
      </c>
      <c r="C891" t="s">
        <v>1637</v>
      </c>
      <c r="D891" t="s">
        <v>1638</v>
      </c>
      <c r="E891" t="s">
        <v>390</v>
      </c>
      <c r="F891" t="s">
        <v>391</v>
      </c>
      <c r="G891">
        <v>6101475</v>
      </c>
      <c r="H891">
        <v>202107</v>
      </c>
      <c r="I891" s="400">
        <v>44407</v>
      </c>
      <c r="J891" t="s">
        <v>1016</v>
      </c>
      <c r="K891" t="s">
        <v>386</v>
      </c>
      <c r="M891" t="s">
        <v>387</v>
      </c>
      <c r="O891" t="s">
        <v>480</v>
      </c>
      <c r="P891" t="s">
        <v>481</v>
      </c>
      <c r="Q891" t="s">
        <v>450</v>
      </c>
      <c r="R891">
        <v>2069080</v>
      </c>
      <c r="S891" t="s">
        <v>387</v>
      </c>
      <c r="U891" t="s">
        <v>1642</v>
      </c>
      <c r="V891" t="s">
        <v>398</v>
      </c>
      <c r="W891" s="393">
        <v>437</v>
      </c>
      <c r="X891" s="393">
        <v>0.11</v>
      </c>
      <c r="Y891" s="393">
        <v>0.97</v>
      </c>
      <c r="Z891" s="393">
        <v>437</v>
      </c>
      <c r="AA891">
        <v>0</v>
      </c>
      <c r="AB891" s="400">
        <v>44413.018943437499</v>
      </c>
      <c r="AC891" t="s">
        <v>324</v>
      </c>
    </row>
    <row r="892" spans="1:29">
      <c r="A892" t="s">
        <v>382</v>
      </c>
      <c r="B892" t="s">
        <v>440</v>
      </c>
      <c r="C892" t="s">
        <v>1637</v>
      </c>
      <c r="D892" t="s">
        <v>1638</v>
      </c>
      <c r="E892" t="s">
        <v>390</v>
      </c>
      <c r="F892" t="s">
        <v>391</v>
      </c>
      <c r="G892">
        <v>6101475</v>
      </c>
      <c r="H892">
        <v>202107</v>
      </c>
      <c r="I892" s="400">
        <v>44407</v>
      </c>
      <c r="J892" t="s">
        <v>1016</v>
      </c>
      <c r="K892" t="s">
        <v>386</v>
      </c>
      <c r="M892" t="s">
        <v>387</v>
      </c>
      <c r="O892" t="s">
        <v>480</v>
      </c>
      <c r="P892" t="s">
        <v>481</v>
      </c>
      <c r="Q892" t="s">
        <v>450</v>
      </c>
      <c r="R892">
        <v>2069080</v>
      </c>
      <c r="S892" t="s">
        <v>387</v>
      </c>
      <c r="U892" t="s">
        <v>1642</v>
      </c>
      <c r="V892" t="s">
        <v>398</v>
      </c>
      <c r="W892" s="393">
        <v>437</v>
      </c>
      <c r="X892" s="393">
        <v>0.11</v>
      </c>
      <c r="Y892" s="393">
        <v>0.97</v>
      </c>
      <c r="Z892" s="393">
        <v>437</v>
      </c>
      <c r="AA892">
        <v>0</v>
      </c>
      <c r="AB892" s="400">
        <v>44413.018943437499</v>
      </c>
      <c r="AC892" t="s">
        <v>324</v>
      </c>
    </row>
    <row r="893" spans="1:29">
      <c r="A893" t="s">
        <v>382</v>
      </c>
      <c r="B893" t="s">
        <v>440</v>
      </c>
      <c r="C893" t="s">
        <v>1637</v>
      </c>
      <c r="D893" t="s">
        <v>1638</v>
      </c>
      <c r="E893" t="s">
        <v>390</v>
      </c>
      <c r="F893" t="s">
        <v>391</v>
      </c>
      <c r="G893">
        <v>6101475</v>
      </c>
      <c r="H893">
        <v>202107</v>
      </c>
      <c r="I893" s="400">
        <v>44407</v>
      </c>
      <c r="J893" t="s">
        <v>1016</v>
      </c>
      <c r="K893" t="s">
        <v>386</v>
      </c>
      <c r="M893" t="s">
        <v>387</v>
      </c>
      <c r="O893" t="s">
        <v>480</v>
      </c>
      <c r="P893" t="s">
        <v>481</v>
      </c>
      <c r="Q893" t="s">
        <v>450</v>
      </c>
      <c r="R893">
        <v>2069080</v>
      </c>
      <c r="S893" t="s">
        <v>387</v>
      </c>
      <c r="U893" t="s">
        <v>1642</v>
      </c>
      <c r="V893" t="s">
        <v>398</v>
      </c>
      <c r="W893" s="393">
        <v>437</v>
      </c>
      <c r="X893" s="393">
        <v>0.11</v>
      </c>
      <c r="Y893" s="393">
        <v>0.97</v>
      </c>
      <c r="Z893" s="393">
        <v>437</v>
      </c>
      <c r="AA893">
        <v>0</v>
      </c>
      <c r="AB893" s="400">
        <v>44413.018943437499</v>
      </c>
      <c r="AC893" t="s">
        <v>324</v>
      </c>
    </row>
    <row r="894" spans="1:29">
      <c r="A894" t="s">
        <v>382</v>
      </c>
      <c r="B894" t="s">
        <v>440</v>
      </c>
      <c r="C894" t="s">
        <v>1637</v>
      </c>
      <c r="D894" t="s">
        <v>1638</v>
      </c>
      <c r="E894" t="s">
        <v>390</v>
      </c>
      <c r="F894" t="s">
        <v>391</v>
      </c>
      <c r="G894">
        <v>6101475</v>
      </c>
      <c r="H894">
        <v>202107</v>
      </c>
      <c r="I894" s="400">
        <v>44407</v>
      </c>
      <c r="J894" t="s">
        <v>1016</v>
      </c>
      <c r="K894" t="s">
        <v>386</v>
      </c>
      <c r="M894" t="s">
        <v>387</v>
      </c>
      <c r="O894" t="s">
        <v>480</v>
      </c>
      <c r="P894" t="s">
        <v>481</v>
      </c>
      <c r="Q894" t="s">
        <v>450</v>
      </c>
      <c r="R894">
        <v>2069080</v>
      </c>
      <c r="S894" t="s">
        <v>387</v>
      </c>
      <c r="U894" t="s">
        <v>1642</v>
      </c>
      <c r="V894" t="s">
        <v>398</v>
      </c>
      <c r="W894" s="393">
        <v>437</v>
      </c>
      <c r="X894" s="393">
        <v>0.11</v>
      </c>
      <c r="Y894" s="393">
        <v>0.97</v>
      </c>
      <c r="Z894" s="393">
        <v>437</v>
      </c>
      <c r="AA894">
        <v>0</v>
      </c>
      <c r="AB894" s="400">
        <v>44413.018943437499</v>
      </c>
      <c r="AC894" t="s">
        <v>324</v>
      </c>
    </row>
    <row r="895" spans="1:29">
      <c r="A895" t="s">
        <v>382</v>
      </c>
      <c r="B895" t="s">
        <v>440</v>
      </c>
      <c r="C895" t="s">
        <v>1637</v>
      </c>
      <c r="D895" t="s">
        <v>1638</v>
      </c>
      <c r="E895" t="s">
        <v>390</v>
      </c>
      <c r="F895" t="s">
        <v>391</v>
      </c>
      <c r="G895">
        <v>6101475</v>
      </c>
      <c r="H895">
        <v>202107</v>
      </c>
      <c r="I895" s="400">
        <v>44407</v>
      </c>
      <c r="J895" t="s">
        <v>1016</v>
      </c>
      <c r="K895" t="s">
        <v>386</v>
      </c>
      <c r="M895" t="s">
        <v>387</v>
      </c>
      <c r="O895" t="s">
        <v>480</v>
      </c>
      <c r="P895" t="s">
        <v>481</v>
      </c>
      <c r="Q895" t="s">
        <v>450</v>
      </c>
      <c r="R895">
        <v>2069080</v>
      </c>
      <c r="S895" t="s">
        <v>387</v>
      </c>
      <c r="U895" t="s">
        <v>1642</v>
      </c>
      <c r="V895" t="s">
        <v>398</v>
      </c>
      <c r="W895" s="393">
        <v>437</v>
      </c>
      <c r="X895" s="393">
        <v>0.11</v>
      </c>
      <c r="Y895" s="393">
        <v>0.97</v>
      </c>
      <c r="Z895" s="393">
        <v>437</v>
      </c>
      <c r="AA895">
        <v>0</v>
      </c>
      <c r="AB895" s="400">
        <v>44413.018943437499</v>
      </c>
      <c r="AC895" t="s">
        <v>324</v>
      </c>
    </row>
    <row r="896" spans="1:29">
      <c r="A896" t="s">
        <v>382</v>
      </c>
      <c r="B896" t="s">
        <v>440</v>
      </c>
      <c r="C896" t="s">
        <v>1637</v>
      </c>
      <c r="D896" t="s">
        <v>1638</v>
      </c>
      <c r="E896" t="s">
        <v>390</v>
      </c>
      <c r="F896" t="s">
        <v>391</v>
      </c>
      <c r="G896">
        <v>6101475</v>
      </c>
      <c r="H896">
        <v>202107</v>
      </c>
      <c r="I896" s="400">
        <v>44407</v>
      </c>
      <c r="J896" t="s">
        <v>1016</v>
      </c>
      <c r="K896" t="s">
        <v>386</v>
      </c>
      <c r="M896" t="s">
        <v>387</v>
      </c>
      <c r="O896" t="s">
        <v>480</v>
      </c>
      <c r="P896" t="s">
        <v>481</v>
      </c>
      <c r="Q896" t="s">
        <v>450</v>
      </c>
      <c r="R896">
        <v>2069080</v>
      </c>
      <c r="S896" t="s">
        <v>387</v>
      </c>
      <c r="U896" t="s">
        <v>1642</v>
      </c>
      <c r="V896" t="s">
        <v>398</v>
      </c>
      <c r="W896" s="393">
        <v>437</v>
      </c>
      <c r="X896" s="393">
        <v>0.11</v>
      </c>
      <c r="Y896" s="393">
        <v>0.97</v>
      </c>
      <c r="Z896" s="393">
        <v>437</v>
      </c>
      <c r="AA896">
        <v>0</v>
      </c>
      <c r="AB896" s="400">
        <v>44413.018943599534</v>
      </c>
      <c r="AC896" t="s">
        <v>324</v>
      </c>
    </row>
    <row r="897" spans="1:29">
      <c r="A897" t="s">
        <v>382</v>
      </c>
      <c r="B897" t="s">
        <v>440</v>
      </c>
      <c r="C897" t="s">
        <v>1637</v>
      </c>
      <c r="D897" t="s">
        <v>1638</v>
      </c>
      <c r="E897" t="s">
        <v>390</v>
      </c>
      <c r="F897" t="s">
        <v>391</v>
      </c>
      <c r="G897">
        <v>6101453</v>
      </c>
      <c r="H897">
        <v>202107</v>
      </c>
      <c r="I897" s="400">
        <v>44407</v>
      </c>
      <c r="J897" t="s">
        <v>1016</v>
      </c>
      <c r="K897" t="s">
        <v>386</v>
      </c>
      <c r="M897" t="s">
        <v>387</v>
      </c>
      <c r="O897" t="s">
        <v>480</v>
      </c>
      <c r="P897" t="s">
        <v>481</v>
      </c>
      <c r="Q897" t="s">
        <v>450</v>
      </c>
      <c r="R897">
        <v>2069080</v>
      </c>
      <c r="S897" t="s">
        <v>387</v>
      </c>
      <c r="U897" t="s">
        <v>1643</v>
      </c>
      <c r="V897" t="s">
        <v>398</v>
      </c>
      <c r="W897" s="393">
        <v>313680.5</v>
      </c>
      <c r="X897" s="393">
        <v>80.3</v>
      </c>
      <c r="Y897" s="393">
        <v>693.86</v>
      </c>
      <c r="Z897" s="393">
        <v>313680.5</v>
      </c>
      <c r="AA897">
        <v>0</v>
      </c>
      <c r="AB897" s="400">
        <v>44412.726487499996</v>
      </c>
      <c r="AC897" t="s">
        <v>324</v>
      </c>
    </row>
    <row r="898" spans="1:29">
      <c r="A898" t="s">
        <v>382</v>
      </c>
      <c r="B898" t="s">
        <v>440</v>
      </c>
      <c r="C898" t="s">
        <v>1637</v>
      </c>
      <c r="D898" t="s">
        <v>1638</v>
      </c>
      <c r="E898" t="s">
        <v>390</v>
      </c>
      <c r="F898" t="s">
        <v>391</v>
      </c>
      <c r="G898">
        <v>6101475</v>
      </c>
      <c r="H898">
        <v>202107</v>
      </c>
      <c r="I898" s="400">
        <v>44407</v>
      </c>
      <c r="J898" t="s">
        <v>1016</v>
      </c>
      <c r="K898" t="s">
        <v>386</v>
      </c>
      <c r="M898" t="s">
        <v>387</v>
      </c>
      <c r="O898" t="s">
        <v>480</v>
      </c>
      <c r="P898" t="s">
        <v>481</v>
      </c>
      <c r="Q898" t="s">
        <v>450</v>
      </c>
      <c r="R898">
        <v>2069080</v>
      </c>
      <c r="S898" t="s">
        <v>387</v>
      </c>
      <c r="U898" t="s">
        <v>1642</v>
      </c>
      <c r="V898" t="s">
        <v>398</v>
      </c>
      <c r="W898" s="393">
        <v>437</v>
      </c>
      <c r="X898" s="393">
        <v>0.11</v>
      </c>
      <c r="Y898" s="393">
        <v>0.97</v>
      </c>
      <c r="Z898" s="393">
        <v>437</v>
      </c>
      <c r="AA898">
        <v>0</v>
      </c>
      <c r="AB898" s="400">
        <v>44413.018943055555</v>
      </c>
      <c r="AC898" t="s">
        <v>324</v>
      </c>
    </row>
    <row r="899" spans="1:29">
      <c r="A899" t="s">
        <v>382</v>
      </c>
      <c r="B899" t="s">
        <v>440</v>
      </c>
      <c r="C899" t="s">
        <v>1637</v>
      </c>
      <c r="D899" t="s">
        <v>1638</v>
      </c>
      <c r="E899" t="s">
        <v>390</v>
      </c>
      <c r="F899" t="s">
        <v>391</v>
      </c>
      <c r="G899">
        <v>6101475</v>
      </c>
      <c r="H899">
        <v>202107</v>
      </c>
      <c r="I899" s="400">
        <v>44407</v>
      </c>
      <c r="J899" t="s">
        <v>1016</v>
      </c>
      <c r="K899" t="s">
        <v>386</v>
      </c>
      <c r="M899" t="s">
        <v>387</v>
      </c>
      <c r="O899" t="s">
        <v>480</v>
      </c>
      <c r="P899" t="s">
        <v>481</v>
      </c>
      <c r="Q899" t="s">
        <v>450</v>
      </c>
      <c r="R899">
        <v>2069080</v>
      </c>
      <c r="S899" t="s">
        <v>387</v>
      </c>
      <c r="U899" t="s">
        <v>1642</v>
      </c>
      <c r="V899" t="s">
        <v>398</v>
      </c>
      <c r="W899" s="393">
        <v>437</v>
      </c>
      <c r="X899" s="393">
        <v>0.11</v>
      </c>
      <c r="Y899" s="393">
        <v>0.97</v>
      </c>
      <c r="Z899" s="393">
        <v>437</v>
      </c>
      <c r="AA899">
        <v>0</v>
      </c>
      <c r="AB899" s="400">
        <v>44413.018943252318</v>
      </c>
      <c r="AC899" t="s">
        <v>324</v>
      </c>
    </row>
    <row r="900" spans="1:29">
      <c r="A900" t="s">
        <v>382</v>
      </c>
      <c r="B900" t="s">
        <v>440</v>
      </c>
      <c r="C900" t="s">
        <v>1637</v>
      </c>
      <c r="D900" t="s">
        <v>1638</v>
      </c>
      <c r="E900" t="s">
        <v>390</v>
      </c>
      <c r="F900" t="s">
        <v>391</v>
      </c>
      <c r="G900">
        <v>6101475</v>
      </c>
      <c r="H900">
        <v>202107</v>
      </c>
      <c r="I900" s="400">
        <v>44407</v>
      </c>
      <c r="J900" t="s">
        <v>1016</v>
      </c>
      <c r="K900" t="s">
        <v>386</v>
      </c>
      <c r="M900" t="s">
        <v>387</v>
      </c>
      <c r="O900" t="s">
        <v>480</v>
      </c>
      <c r="P900" t="s">
        <v>481</v>
      </c>
      <c r="Q900" t="s">
        <v>450</v>
      </c>
      <c r="R900">
        <v>2069080</v>
      </c>
      <c r="S900" t="s">
        <v>387</v>
      </c>
      <c r="U900" t="s">
        <v>1642</v>
      </c>
      <c r="V900" t="s">
        <v>398</v>
      </c>
      <c r="W900" s="393">
        <v>437</v>
      </c>
      <c r="X900" s="393">
        <v>0.11</v>
      </c>
      <c r="Y900" s="393">
        <v>0.97</v>
      </c>
      <c r="Z900" s="393">
        <v>437</v>
      </c>
      <c r="AA900">
        <v>0</v>
      </c>
      <c r="AB900" s="400">
        <v>44413.018943252318</v>
      </c>
      <c r="AC900" t="s">
        <v>324</v>
      </c>
    </row>
    <row r="901" spans="1:29">
      <c r="A901" t="s">
        <v>382</v>
      </c>
      <c r="B901" t="s">
        <v>440</v>
      </c>
      <c r="C901" t="s">
        <v>1637</v>
      </c>
      <c r="D901" t="s">
        <v>1638</v>
      </c>
      <c r="E901" t="s">
        <v>390</v>
      </c>
      <c r="F901" t="s">
        <v>391</v>
      </c>
      <c r="G901">
        <v>6101475</v>
      </c>
      <c r="H901">
        <v>202107</v>
      </c>
      <c r="I901" s="400">
        <v>44407</v>
      </c>
      <c r="J901" t="s">
        <v>1016</v>
      </c>
      <c r="K901" t="s">
        <v>386</v>
      </c>
      <c r="M901" t="s">
        <v>387</v>
      </c>
      <c r="O901" t="s">
        <v>480</v>
      </c>
      <c r="P901" t="s">
        <v>481</v>
      </c>
      <c r="Q901" t="s">
        <v>450</v>
      </c>
      <c r="R901">
        <v>2069080</v>
      </c>
      <c r="S901" t="s">
        <v>387</v>
      </c>
      <c r="U901" t="s">
        <v>1642</v>
      </c>
      <c r="V901" t="s">
        <v>398</v>
      </c>
      <c r="W901" s="393">
        <v>437</v>
      </c>
      <c r="X901" s="393">
        <v>0.11</v>
      </c>
      <c r="Y901" s="393">
        <v>0.97</v>
      </c>
      <c r="Z901" s="393">
        <v>437</v>
      </c>
      <c r="AA901">
        <v>0</v>
      </c>
      <c r="AB901" s="400">
        <v>44413.018943252318</v>
      </c>
      <c r="AC901" t="s">
        <v>324</v>
      </c>
    </row>
    <row r="902" spans="1:29">
      <c r="A902" t="s">
        <v>382</v>
      </c>
      <c r="B902" t="s">
        <v>440</v>
      </c>
      <c r="C902" t="s">
        <v>1637</v>
      </c>
      <c r="D902" t="s">
        <v>1638</v>
      </c>
      <c r="E902" t="s">
        <v>390</v>
      </c>
      <c r="F902" t="s">
        <v>391</v>
      </c>
      <c r="G902">
        <v>6101475</v>
      </c>
      <c r="H902">
        <v>202107</v>
      </c>
      <c r="I902" s="400">
        <v>44407</v>
      </c>
      <c r="J902" t="s">
        <v>1016</v>
      </c>
      <c r="K902" t="s">
        <v>386</v>
      </c>
      <c r="M902" t="s">
        <v>387</v>
      </c>
      <c r="O902" t="s">
        <v>480</v>
      </c>
      <c r="P902" t="s">
        <v>481</v>
      </c>
      <c r="Q902" t="s">
        <v>450</v>
      </c>
      <c r="R902">
        <v>2069080</v>
      </c>
      <c r="S902" t="s">
        <v>387</v>
      </c>
      <c r="U902" t="s">
        <v>1642</v>
      </c>
      <c r="V902" t="s">
        <v>398</v>
      </c>
      <c r="W902" s="393">
        <v>437</v>
      </c>
      <c r="X902" s="393">
        <v>0.11</v>
      </c>
      <c r="Y902" s="393">
        <v>0.97</v>
      </c>
      <c r="Z902" s="393">
        <v>437</v>
      </c>
      <c r="AA902">
        <v>0</v>
      </c>
      <c r="AB902" s="400">
        <v>44413.018943252318</v>
      </c>
      <c r="AC902" t="s">
        <v>324</v>
      </c>
    </row>
    <row r="903" spans="1:29">
      <c r="A903" t="s">
        <v>382</v>
      </c>
      <c r="B903" t="s">
        <v>440</v>
      </c>
      <c r="C903" t="s">
        <v>1637</v>
      </c>
      <c r="D903" t="s">
        <v>1638</v>
      </c>
      <c r="E903" t="s">
        <v>390</v>
      </c>
      <c r="F903" t="s">
        <v>391</v>
      </c>
      <c r="G903">
        <v>6101475</v>
      </c>
      <c r="H903">
        <v>202107</v>
      </c>
      <c r="I903" s="400">
        <v>44407</v>
      </c>
      <c r="J903" t="s">
        <v>1016</v>
      </c>
      <c r="K903" t="s">
        <v>386</v>
      </c>
      <c r="M903" t="s">
        <v>387</v>
      </c>
      <c r="O903" t="s">
        <v>480</v>
      </c>
      <c r="P903" t="s">
        <v>481</v>
      </c>
      <c r="Q903" t="s">
        <v>450</v>
      </c>
      <c r="R903">
        <v>2069080</v>
      </c>
      <c r="S903" t="s">
        <v>387</v>
      </c>
      <c r="U903" t="s">
        <v>1642</v>
      </c>
      <c r="V903" t="s">
        <v>398</v>
      </c>
      <c r="W903" s="393">
        <v>437</v>
      </c>
      <c r="X903" s="393">
        <v>0.11</v>
      </c>
      <c r="Y903" s="393">
        <v>0.97</v>
      </c>
      <c r="Z903" s="393">
        <v>437</v>
      </c>
      <c r="AA903">
        <v>0</v>
      </c>
      <c r="AB903" s="400">
        <v>44413.018943252318</v>
      </c>
      <c r="AC903" t="s">
        <v>324</v>
      </c>
    </row>
    <row r="904" spans="1:29">
      <c r="A904" t="s">
        <v>382</v>
      </c>
      <c r="B904" t="s">
        <v>440</v>
      </c>
      <c r="C904" t="s">
        <v>1637</v>
      </c>
      <c r="D904" t="s">
        <v>1638</v>
      </c>
      <c r="E904" t="s">
        <v>390</v>
      </c>
      <c r="F904" t="s">
        <v>391</v>
      </c>
      <c r="G904">
        <v>6101475</v>
      </c>
      <c r="H904">
        <v>202107</v>
      </c>
      <c r="I904" s="400">
        <v>44407</v>
      </c>
      <c r="J904" t="s">
        <v>1016</v>
      </c>
      <c r="K904" t="s">
        <v>386</v>
      </c>
      <c r="M904" t="s">
        <v>387</v>
      </c>
      <c r="O904" t="s">
        <v>480</v>
      </c>
      <c r="P904" t="s">
        <v>481</v>
      </c>
      <c r="Q904" t="s">
        <v>450</v>
      </c>
      <c r="R904">
        <v>2069080</v>
      </c>
      <c r="S904" t="s">
        <v>387</v>
      </c>
      <c r="U904" t="s">
        <v>1642</v>
      </c>
      <c r="V904" t="s">
        <v>398</v>
      </c>
      <c r="W904" s="393">
        <v>437</v>
      </c>
      <c r="X904" s="393">
        <v>0.11</v>
      </c>
      <c r="Y904" s="393">
        <v>0.97</v>
      </c>
      <c r="Z904" s="393">
        <v>437</v>
      </c>
      <c r="AA904">
        <v>0</v>
      </c>
      <c r="AB904" s="400">
        <v>44413.018943252318</v>
      </c>
      <c r="AC904" t="s">
        <v>324</v>
      </c>
    </row>
    <row r="905" spans="1:29">
      <c r="A905" t="s">
        <v>382</v>
      </c>
      <c r="B905" t="s">
        <v>440</v>
      </c>
      <c r="C905" t="s">
        <v>1637</v>
      </c>
      <c r="D905" t="s">
        <v>1638</v>
      </c>
      <c r="E905" t="s">
        <v>390</v>
      </c>
      <c r="F905" t="s">
        <v>391</v>
      </c>
      <c r="G905">
        <v>6101475</v>
      </c>
      <c r="H905">
        <v>202107</v>
      </c>
      <c r="I905" s="400">
        <v>44407</v>
      </c>
      <c r="J905" t="s">
        <v>1016</v>
      </c>
      <c r="K905" t="s">
        <v>386</v>
      </c>
      <c r="M905" t="s">
        <v>387</v>
      </c>
      <c r="O905" t="s">
        <v>480</v>
      </c>
      <c r="P905" t="s">
        <v>481</v>
      </c>
      <c r="Q905" t="s">
        <v>450</v>
      </c>
      <c r="R905">
        <v>2069080</v>
      </c>
      <c r="S905" t="s">
        <v>387</v>
      </c>
      <c r="U905" t="s">
        <v>1642</v>
      </c>
      <c r="V905" t="s">
        <v>398</v>
      </c>
      <c r="W905" s="393">
        <v>437</v>
      </c>
      <c r="X905" s="393">
        <v>0.11</v>
      </c>
      <c r="Y905" s="393">
        <v>0.97</v>
      </c>
      <c r="Z905" s="393">
        <v>437</v>
      </c>
      <c r="AA905">
        <v>0</v>
      </c>
      <c r="AB905" s="400">
        <v>44413.018943252318</v>
      </c>
      <c r="AC905" t="s">
        <v>324</v>
      </c>
    </row>
    <row r="906" spans="1:29">
      <c r="A906" t="s">
        <v>382</v>
      </c>
      <c r="B906" t="s">
        <v>440</v>
      </c>
      <c r="C906" t="s">
        <v>1637</v>
      </c>
      <c r="D906" t="s">
        <v>1638</v>
      </c>
      <c r="E906" t="s">
        <v>390</v>
      </c>
      <c r="F906" t="s">
        <v>391</v>
      </c>
      <c r="G906">
        <v>6101719</v>
      </c>
      <c r="H906">
        <v>202108</v>
      </c>
      <c r="I906" s="400">
        <v>44439</v>
      </c>
      <c r="J906">
        <v>122536</v>
      </c>
      <c r="K906" t="s">
        <v>386</v>
      </c>
      <c r="M906" t="s">
        <v>387</v>
      </c>
      <c r="O906" t="s">
        <v>480</v>
      </c>
      <c r="P906" t="s">
        <v>481</v>
      </c>
      <c r="Q906" t="s">
        <v>450</v>
      </c>
      <c r="R906">
        <v>2069080</v>
      </c>
      <c r="S906" t="s">
        <v>387</v>
      </c>
      <c r="U906" t="s">
        <v>1644</v>
      </c>
      <c r="V906" t="s">
        <v>398</v>
      </c>
      <c r="W906" s="393">
        <v>437</v>
      </c>
      <c r="X906" s="393">
        <v>0.11</v>
      </c>
      <c r="Y906" s="393">
        <v>0.98</v>
      </c>
      <c r="Z906" s="393">
        <v>437</v>
      </c>
      <c r="AA906">
        <v>0</v>
      </c>
      <c r="AB906" s="400">
        <v>44443.928684027778</v>
      </c>
      <c r="AC906" t="s">
        <v>324</v>
      </c>
    </row>
    <row r="907" spans="1:29">
      <c r="A907" t="s">
        <v>382</v>
      </c>
      <c r="B907" t="s">
        <v>440</v>
      </c>
      <c r="C907" t="s">
        <v>1637</v>
      </c>
      <c r="D907" t="s">
        <v>1638</v>
      </c>
      <c r="E907" t="s">
        <v>390</v>
      </c>
      <c r="F907" t="s">
        <v>391</v>
      </c>
      <c r="G907">
        <v>6101719</v>
      </c>
      <c r="H907">
        <v>202108</v>
      </c>
      <c r="I907" s="400">
        <v>44439</v>
      </c>
      <c r="J907">
        <v>122536</v>
      </c>
      <c r="K907" t="s">
        <v>386</v>
      </c>
      <c r="M907" t="s">
        <v>387</v>
      </c>
      <c r="O907" t="s">
        <v>480</v>
      </c>
      <c r="P907" t="s">
        <v>481</v>
      </c>
      <c r="Q907" t="s">
        <v>450</v>
      </c>
      <c r="R907">
        <v>2069080</v>
      </c>
      <c r="S907" t="s">
        <v>387</v>
      </c>
      <c r="U907" t="s">
        <v>1644</v>
      </c>
      <c r="V907" t="s">
        <v>398</v>
      </c>
      <c r="W907" s="393">
        <v>437</v>
      </c>
      <c r="X907" s="393">
        <v>0.11</v>
      </c>
      <c r="Y907" s="393">
        <v>0.98</v>
      </c>
      <c r="Z907" s="393">
        <v>437</v>
      </c>
      <c r="AA907">
        <v>0</v>
      </c>
      <c r="AB907" s="400">
        <v>44443.928684027778</v>
      </c>
      <c r="AC907" t="s">
        <v>324</v>
      </c>
    </row>
    <row r="908" spans="1:29">
      <c r="A908" t="s">
        <v>382</v>
      </c>
      <c r="B908" t="s">
        <v>440</v>
      </c>
      <c r="C908" t="s">
        <v>1637</v>
      </c>
      <c r="D908" t="s">
        <v>1638</v>
      </c>
      <c r="E908" t="s">
        <v>390</v>
      </c>
      <c r="F908" t="s">
        <v>391</v>
      </c>
      <c r="G908">
        <v>6101719</v>
      </c>
      <c r="H908">
        <v>202108</v>
      </c>
      <c r="I908" s="400">
        <v>44439</v>
      </c>
      <c r="J908">
        <v>122536</v>
      </c>
      <c r="K908" t="s">
        <v>386</v>
      </c>
      <c r="M908" t="s">
        <v>387</v>
      </c>
      <c r="O908" t="s">
        <v>480</v>
      </c>
      <c r="P908" t="s">
        <v>481</v>
      </c>
      <c r="Q908" t="s">
        <v>450</v>
      </c>
      <c r="R908">
        <v>2069080</v>
      </c>
      <c r="S908" t="s">
        <v>387</v>
      </c>
      <c r="U908" t="s">
        <v>1644</v>
      </c>
      <c r="V908" t="s">
        <v>398</v>
      </c>
      <c r="W908" s="393">
        <v>437</v>
      </c>
      <c r="X908" s="393">
        <v>0.11</v>
      </c>
      <c r="Y908" s="393">
        <v>0.98</v>
      </c>
      <c r="Z908" s="393">
        <v>437</v>
      </c>
      <c r="AA908">
        <v>0</v>
      </c>
      <c r="AB908" s="400">
        <v>44443.928684027778</v>
      </c>
      <c r="AC908" t="s">
        <v>324</v>
      </c>
    </row>
    <row r="909" spans="1:29">
      <c r="A909" t="s">
        <v>382</v>
      </c>
      <c r="B909" t="s">
        <v>440</v>
      </c>
      <c r="C909" t="s">
        <v>1637</v>
      </c>
      <c r="D909" t="s">
        <v>1638</v>
      </c>
      <c r="E909" t="s">
        <v>390</v>
      </c>
      <c r="F909" t="s">
        <v>391</v>
      </c>
      <c r="G909">
        <v>6101719</v>
      </c>
      <c r="H909">
        <v>202108</v>
      </c>
      <c r="I909" s="400">
        <v>44439</v>
      </c>
      <c r="J909">
        <v>122536</v>
      </c>
      <c r="K909" t="s">
        <v>386</v>
      </c>
      <c r="M909" t="s">
        <v>387</v>
      </c>
      <c r="O909" t="s">
        <v>480</v>
      </c>
      <c r="P909" t="s">
        <v>481</v>
      </c>
      <c r="Q909" t="s">
        <v>450</v>
      </c>
      <c r="R909">
        <v>2069080</v>
      </c>
      <c r="S909" t="s">
        <v>387</v>
      </c>
      <c r="U909" t="s">
        <v>1644</v>
      </c>
      <c r="V909" t="s">
        <v>398</v>
      </c>
      <c r="W909" s="393">
        <v>437</v>
      </c>
      <c r="X909" s="393">
        <v>0.11</v>
      </c>
      <c r="Y909" s="393">
        <v>0.98</v>
      </c>
      <c r="Z909" s="393">
        <v>437</v>
      </c>
      <c r="AA909">
        <v>0</v>
      </c>
      <c r="AB909" s="400">
        <v>44443.928684027778</v>
      </c>
      <c r="AC909" t="s">
        <v>324</v>
      </c>
    </row>
    <row r="910" spans="1:29">
      <c r="A910" t="s">
        <v>382</v>
      </c>
      <c r="B910" t="s">
        <v>440</v>
      </c>
      <c r="C910" t="s">
        <v>1637</v>
      </c>
      <c r="D910" t="s">
        <v>1638</v>
      </c>
      <c r="E910" t="s">
        <v>390</v>
      </c>
      <c r="F910" t="s">
        <v>391</v>
      </c>
      <c r="G910">
        <v>6101719</v>
      </c>
      <c r="H910">
        <v>202108</v>
      </c>
      <c r="I910" s="400">
        <v>44439</v>
      </c>
      <c r="J910">
        <v>122536</v>
      </c>
      <c r="K910" t="s">
        <v>386</v>
      </c>
      <c r="M910" t="s">
        <v>387</v>
      </c>
      <c r="O910" t="s">
        <v>480</v>
      </c>
      <c r="P910" t="s">
        <v>481</v>
      </c>
      <c r="Q910" t="s">
        <v>450</v>
      </c>
      <c r="R910">
        <v>2069080</v>
      </c>
      <c r="S910" t="s">
        <v>387</v>
      </c>
      <c r="U910" t="s">
        <v>1644</v>
      </c>
      <c r="V910" t="s">
        <v>398</v>
      </c>
      <c r="W910" s="393">
        <v>437</v>
      </c>
      <c r="X910" s="393">
        <v>0.11</v>
      </c>
      <c r="Y910" s="393">
        <v>0.98</v>
      </c>
      <c r="Z910" s="393">
        <v>437</v>
      </c>
      <c r="AA910">
        <v>0</v>
      </c>
      <c r="AB910" s="400">
        <v>44443.928684027778</v>
      </c>
      <c r="AC910" t="s">
        <v>324</v>
      </c>
    </row>
    <row r="911" spans="1:29">
      <c r="A911" t="s">
        <v>382</v>
      </c>
      <c r="B911" t="s">
        <v>440</v>
      </c>
      <c r="C911" t="s">
        <v>1637</v>
      </c>
      <c r="D911" t="s">
        <v>1638</v>
      </c>
      <c r="E911" t="s">
        <v>390</v>
      </c>
      <c r="F911" t="s">
        <v>391</v>
      </c>
      <c r="G911">
        <v>6101719</v>
      </c>
      <c r="H911">
        <v>202108</v>
      </c>
      <c r="I911" s="400">
        <v>44439</v>
      </c>
      <c r="J911">
        <v>122536</v>
      </c>
      <c r="K911" t="s">
        <v>386</v>
      </c>
      <c r="M911" t="s">
        <v>387</v>
      </c>
      <c r="O911" t="s">
        <v>480</v>
      </c>
      <c r="P911" t="s">
        <v>481</v>
      </c>
      <c r="Q911" t="s">
        <v>450</v>
      </c>
      <c r="R911">
        <v>2069080</v>
      </c>
      <c r="S911" t="s">
        <v>387</v>
      </c>
      <c r="U911" t="s">
        <v>1644</v>
      </c>
      <c r="V911" t="s">
        <v>398</v>
      </c>
      <c r="W911" s="393">
        <v>437</v>
      </c>
      <c r="X911" s="393">
        <v>0.11</v>
      </c>
      <c r="Y911" s="393">
        <v>0.98</v>
      </c>
      <c r="Z911" s="393">
        <v>437</v>
      </c>
      <c r="AA911">
        <v>0</v>
      </c>
      <c r="AB911" s="400">
        <v>44443.928684027778</v>
      </c>
      <c r="AC911" t="s">
        <v>324</v>
      </c>
    </row>
    <row r="912" spans="1:29">
      <c r="A912" t="s">
        <v>382</v>
      </c>
      <c r="B912" t="s">
        <v>440</v>
      </c>
      <c r="C912" t="s">
        <v>1637</v>
      </c>
      <c r="D912" t="s">
        <v>1638</v>
      </c>
      <c r="E912" t="s">
        <v>390</v>
      </c>
      <c r="F912" t="s">
        <v>391</v>
      </c>
      <c r="G912">
        <v>6101719</v>
      </c>
      <c r="H912">
        <v>202108</v>
      </c>
      <c r="I912" s="400">
        <v>44439</v>
      </c>
      <c r="J912">
        <v>122536</v>
      </c>
      <c r="K912" t="s">
        <v>386</v>
      </c>
      <c r="M912" t="s">
        <v>387</v>
      </c>
      <c r="O912" t="s">
        <v>480</v>
      </c>
      <c r="P912" t="s">
        <v>481</v>
      </c>
      <c r="Q912" t="s">
        <v>450</v>
      </c>
      <c r="R912">
        <v>2069080</v>
      </c>
      <c r="S912" t="s">
        <v>387</v>
      </c>
      <c r="U912" t="s">
        <v>1644</v>
      </c>
      <c r="V912" t="s">
        <v>398</v>
      </c>
      <c r="W912" s="393">
        <v>437</v>
      </c>
      <c r="X912" s="393">
        <v>0.11</v>
      </c>
      <c r="Y912" s="393">
        <v>0.98</v>
      </c>
      <c r="Z912" s="393">
        <v>437</v>
      </c>
      <c r="AA912">
        <v>0</v>
      </c>
      <c r="AB912" s="400">
        <v>44443.928684224535</v>
      </c>
      <c r="AC912" t="s">
        <v>324</v>
      </c>
    </row>
    <row r="913" spans="1:29">
      <c r="A913" t="s">
        <v>382</v>
      </c>
      <c r="B913" t="s">
        <v>440</v>
      </c>
      <c r="C913" t="s">
        <v>1637</v>
      </c>
      <c r="D913" t="s">
        <v>1638</v>
      </c>
      <c r="E913" t="s">
        <v>390</v>
      </c>
      <c r="F913" t="s">
        <v>391</v>
      </c>
      <c r="G913">
        <v>6101719</v>
      </c>
      <c r="H913">
        <v>202108</v>
      </c>
      <c r="I913" s="400">
        <v>44439</v>
      </c>
      <c r="J913">
        <v>122536</v>
      </c>
      <c r="K913" t="s">
        <v>386</v>
      </c>
      <c r="M913" t="s">
        <v>387</v>
      </c>
      <c r="O913" t="s">
        <v>480</v>
      </c>
      <c r="P913" t="s">
        <v>481</v>
      </c>
      <c r="Q913" t="s">
        <v>450</v>
      </c>
      <c r="R913">
        <v>2069080</v>
      </c>
      <c r="S913" t="s">
        <v>387</v>
      </c>
      <c r="U913" t="s">
        <v>1644</v>
      </c>
      <c r="V913" t="s">
        <v>398</v>
      </c>
      <c r="W913" s="393">
        <v>437</v>
      </c>
      <c r="X913" s="393">
        <v>0.11</v>
      </c>
      <c r="Y913" s="393">
        <v>0.98</v>
      </c>
      <c r="Z913" s="393">
        <v>437</v>
      </c>
      <c r="AA913">
        <v>0</v>
      </c>
      <c r="AB913" s="400">
        <v>44443.928684224535</v>
      </c>
      <c r="AC913" t="s">
        <v>324</v>
      </c>
    </row>
    <row r="914" spans="1:29">
      <c r="A914" t="s">
        <v>382</v>
      </c>
      <c r="B914" t="s">
        <v>440</v>
      </c>
      <c r="C914" t="s">
        <v>1637</v>
      </c>
      <c r="D914" t="s">
        <v>1638</v>
      </c>
      <c r="E914" t="s">
        <v>390</v>
      </c>
      <c r="F914" t="s">
        <v>391</v>
      </c>
      <c r="G914">
        <v>6101719</v>
      </c>
      <c r="H914">
        <v>202108</v>
      </c>
      <c r="I914" s="400">
        <v>44439</v>
      </c>
      <c r="J914">
        <v>122536</v>
      </c>
      <c r="K914" t="s">
        <v>386</v>
      </c>
      <c r="M914" t="s">
        <v>387</v>
      </c>
      <c r="O914" t="s">
        <v>480</v>
      </c>
      <c r="P914" t="s">
        <v>481</v>
      </c>
      <c r="Q914" t="s">
        <v>450</v>
      </c>
      <c r="R914">
        <v>2069080</v>
      </c>
      <c r="S914" t="s">
        <v>387</v>
      </c>
      <c r="U914" t="s">
        <v>1644</v>
      </c>
      <c r="V914" t="s">
        <v>398</v>
      </c>
      <c r="W914" s="393">
        <v>437</v>
      </c>
      <c r="X914" s="393">
        <v>0.11</v>
      </c>
      <c r="Y914" s="393">
        <v>0.98</v>
      </c>
      <c r="Z914" s="393">
        <v>437</v>
      </c>
      <c r="AA914">
        <v>0</v>
      </c>
      <c r="AB914" s="400">
        <v>44443.928684224535</v>
      </c>
      <c r="AC914" t="s">
        <v>324</v>
      </c>
    </row>
    <row r="915" spans="1:29">
      <c r="A915" t="s">
        <v>382</v>
      </c>
      <c r="B915" t="s">
        <v>440</v>
      </c>
      <c r="C915" t="s">
        <v>1637</v>
      </c>
      <c r="D915" t="s">
        <v>1638</v>
      </c>
      <c r="E915" t="s">
        <v>390</v>
      </c>
      <c r="F915" t="s">
        <v>391</v>
      </c>
      <c r="G915">
        <v>6101719</v>
      </c>
      <c r="H915">
        <v>202108</v>
      </c>
      <c r="I915" s="400">
        <v>44439</v>
      </c>
      <c r="J915">
        <v>122536</v>
      </c>
      <c r="K915" t="s">
        <v>386</v>
      </c>
      <c r="M915" t="s">
        <v>387</v>
      </c>
      <c r="O915" t="s">
        <v>480</v>
      </c>
      <c r="P915" t="s">
        <v>481</v>
      </c>
      <c r="Q915" t="s">
        <v>450</v>
      </c>
      <c r="R915">
        <v>2069080</v>
      </c>
      <c r="S915" t="s">
        <v>387</v>
      </c>
      <c r="U915" t="s">
        <v>1644</v>
      </c>
      <c r="V915" t="s">
        <v>398</v>
      </c>
      <c r="W915" s="393">
        <v>437</v>
      </c>
      <c r="X915" s="393">
        <v>0.11</v>
      </c>
      <c r="Y915" s="393">
        <v>0.98</v>
      </c>
      <c r="Z915" s="393">
        <v>437</v>
      </c>
      <c r="AA915">
        <v>0</v>
      </c>
      <c r="AB915" s="400">
        <v>44443.928684224535</v>
      </c>
      <c r="AC915" t="s">
        <v>324</v>
      </c>
    </row>
    <row r="916" spans="1:29">
      <c r="A916" t="s">
        <v>382</v>
      </c>
      <c r="B916" t="s">
        <v>440</v>
      </c>
      <c r="C916" t="s">
        <v>1637</v>
      </c>
      <c r="D916" t="s">
        <v>1638</v>
      </c>
      <c r="E916" t="s">
        <v>390</v>
      </c>
      <c r="F916" t="s">
        <v>391</v>
      </c>
      <c r="G916">
        <v>6101761</v>
      </c>
      <c r="H916">
        <v>202108</v>
      </c>
      <c r="I916" s="400">
        <v>44439</v>
      </c>
      <c r="J916">
        <v>122536</v>
      </c>
      <c r="K916" t="s">
        <v>386</v>
      </c>
      <c r="M916" t="s">
        <v>387</v>
      </c>
      <c r="O916" t="s">
        <v>480</v>
      </c>
      <c r="P916" t="s">
        <v>481</v>
      </c>
      <c r="Q916" t="s">
        <v>450</v>
      </c>
      <c r="R916">
        <v>2069080</v>
      </c>
      <c r="S916" t="s">
        <v>387</v>
      </c>
      <c r="U916" t="s">
        <v>1644</v>
      </c>
      <c r="V916" t="s">
        <v>398</v>
      </c>
      <c r="W916" s="393">
        <v>208886</v>
      </c>
      <c r="X916" s="393">
        <v>54.05</v>
      </c>
      <c r="Y916" s="393">
        <v>470.65</v>
      </c>
      <c r="Z916" s="393">
        <v>208886</v>
      </c>
      <c r="AA916">
        <v>0</v>
      </c>
      <c r="AB916" s="400">
        <v>44445.714547372685</v>
      </c>
      <c r="AC916" t="s">
        <v>324</v>
      </c>
    </row>
    <row r="917" spans="1:29">
      <c r="A917" t="s">
        <v>382</v>
      </c>
      <c r="B917" t="s">
        <v>440</v>
      </c>
      <c r="C917" t="s">
        <v>1637</v>
      </c>
      <c r="D917" t="s">
        <v>1638</v>
      </c>
      <c r="E917" t="s">
        <v>390</v>
      </c>
      <c r="F917" t="s">
        <v>391</v>
      </c>
      <c r="G917">
        <v>6101761</v>
      </c>
      <c r="H917">
        <v>202108</v>
      </c>
      <c r="I917" s="400">
        <v>44439</v>
      </c>
      <c r="J917">
        <v>122536</v>
      </c>
      <c r="K917" t="s">
        <v>386</v>
      </c>
      <c r="M917" t="s">
        <v>387</v>
      </c>
      <c r="O917" t="s">
        <v>480</v>
      </c>
      <c r="P917" t="s">
        <v>481</v>
      </c>
      <c r="Q917" t="s">
        <v>450</v>
      </c>
      <c r="R917">
        <v>2069080</v>
      </c>
      <c r="S917" t="s">
        <v>387</v>
      </c>
      <c r="U917" t="s">
        <v>1644</v>
      </c>
      <c r="V917" t="s">
        <v>398</v>
      </c>
      <c r="W917" s="393">
        <v>874</v>
      </c>
      <c r="X917" s="393">
        <v>0.23</v>
      </c>
      <c r="Y917" s="393">
        <v>1.97</v>
      </c>
      <c r="Z917" s="393">
        <v>874</v>
      </c>
      <c r="AA917">
        <v>0</v>
      </c>
      <c r="AB917" s="400">
        <v>44445.714547569441</v>
      </c>
      <c r="AC917" t="s">
        <v>324</v>
      </c>
    </row>
    <row r="918" spans="1:29">
      <c r="A918" t="s">
        <v>382</v>
      </c>
      <c r="B918" t="s">
        <v>440</v>
      </c>
      <c r="C918" t="s">
        <v>1637</v>
      </c>
      <c r="D918" t="s">
        <v>1638</v>
      </c>
      <c r="E918" t="s">
        <v>390</v>
      </c>
      <c r="F918" t="s">
        <v>391</v>
      </c>
      <c r="G918">
        <v>6101761</v>
      </c>
      <c r="H918">
        <v>202108</v>
      </c>
      <c r="I918" s="400">
        <v>44439</v>
      </c>
      <c r="J918">
        <v>122536</v>
      </c>
      <c r="K918" t="s">
        <v>386</v>
      </c>
      <c r="M918" t="s">
        <v>387</v>
      </c>
      <c r="O918" t="s">
        <v>480</v>
      </c>
      <c r="P918" t="s">
        <v>481</v>
      </c>
      <c r="Q918" t="s">
        <v>450</v>
      </c>
      <c r="R918">
        <v>2069080</v>
      </c>
      <c r="S918" t="s">
        <v>387</v>
      </c>
      <c r="U918" t="s">
        <v>1644</v>
      </c>
      <c r="V918" t="s">
        <v>398</v>
      </c>
      <c r="W918" s="393">
        <v>1311</v>
      </c>
      <c r="X918" s="393">
        <v>0.34</v>
      </c>
      <c r="Y918" s="393">
        <v>2.95</v>
      </c>
      <c r="Z918" s="393">
        <v>1311</v>
      </c>
      <c r="AA918">
        <v>0</v>
      </c>
      <c r="AB918" s="400">
        <v>44445.714547569441</v>
      </c>
      <c r="AC918" t="s">
        <v>324</v>
      </c>
    </row>
    <row r="919" spans="1:29">
      <c r="A919" t="s">
        <v>382</v>
      </c>
      <c r="B919" t="s">
        <v>440</v>
      </c>
      <c r="C919" t="s">
        <v>1637</v>
      </c>
      <c r="D919" t="s">
        <v>1638</v>
      </c>
      <c r="E919" t="s">
        <v>390</v>
      </c>
      <c r="F919" t="s">
        <v>391</v>
      </c>
      <c r="G919">
        <v>6101761</v>
      </c>
      <c r="H919">
        <v>202108</v>
      </c>
      <c r="I919" s="400">
        <v>44439</v>
      </c>
      <c r="J919">
        <v>122536</v>
      </c>
      <c r="K919" t="s">
        <v>386</v>
      </c>
      <c r="M919" t="s">
        <v>387</v>
      </c>
      <c r="O919" t="s">
        <v>480</v>
      </c>
      <c r="P919" t="s">
        <v>481</v>
      </c>
      <c r="Q919" t="s">
        <v>450</v>
      </c>
      <c r="R919">
        <v>2069080</v>
      </c>
      <c r="S919" t="s">
        <v>387</v>
      </c>
      <c r="U919" t="s">
        <v>1644</v>
      </c>
      <c r="V919" t="s">
        <v>398</v>
      </c>
      <c r="W919" s="393">
        <v>874</v>
      </c>
      <c r="X919" s="393">
        <v>0.23</v>
      </c>
      <c r="Y919" s="393">
        <v>1.97</v>
      </c>
      <c r="Z919" s="393">
        <v>874</v>
      </c>
      <c r="AA919">
        <v>0</v>
      </c>
      <c r="AB919" s="400">
        <v>44445.714547569441</v>
      </c>
      <c r="AC919" t="s">
        <v>324</v>
      </c>
    </row>
    <row r="920" spans="1:29">
      <c r="A920" t="s">
        <v>382</v>
      </c>
      <c r="B920" t="s">
        <v>440</v>
      </c>
      <c r="C920" t="s">
        <v>1637</v>
      </c>
      <c r="D920" t="s">
        <v>1638</v>
      </c>
      <c r="E920" t="s">
        <v>390</v>
      </c>
      <c r="F920" t="s">
        <v>391</v>
      </c>
      <c r="G920">
        <v>6101855</v>
      </c>
      <c r="H920">
        <v>202108</v>
      </c>
      <c r="I920" s="400">
        <v>44439</v>
      </c>
      <c r="J920">
        <v>122536</v>
      </c>
      <c r="K920" t="s">
        <v>386</v>
      </c>
      <c r="M920" t="s">
        <v>387</v>
      </c>
      <c r="O920" t="s">
        <v>480</v>
      </c>
      <c r="P920" t="s">
        <v>481</v>
      </c>
      <c r="Q920" t="s">
        <v>450</v>
      </c>
      <c r="R920">
        <v>2069080</v>
      </c>
      <c r="S920" t="s">
        <v>387</v>
      </c>
      <c r="U920" t="s">
        <v>1645</v>
      </c>
      <c r="V920" t="s">
        <v>398</v>
      </c>
      <c r="W920" s="393">
        <v>437</v>
      </c>
      <c r="X920" s="393">
        <v>0.11</v>
      </c>
      <c r="Y920" s="393">
        <v>0.98</v>
      </c>
      <c r="Z920" s="393">
        <v>437</v>
      </c>
      <c r="AA920">
        <v>0</v>
      </c>
      <c r="AB920" s="400">
        <v>44448.020356828703</v>
      </c>
      <c r="AC920" t="s">
        <v>324</v>
      </c>
    </row>
    <row r="921" spans="1:29">
      <c r="A921" t="s">
        <v>382</v>
      </c>
      <c r="B921" t="s">
        <v>440</v>
      </c>
      <c r="C921" t="s">
        <v>1637</v>
      </c>
      <c r="D921" t="s">
        <v>1638</v>
      </c>
      <c r="E921" t="s">
        <v>390</v>
      </c>
      <c r="F921" t="s">
        <v>391</v>
      </c>
      <c r="G921">
        <v>6101855</v>
      </c>
      <c r="H921">
        <v>202108</v>
      </c>
      <c r="I921" s="400">
        <v>44439</v>
      </c>
      <c r="J921">
        <v>122536</v>
      </c>
      <c r="K921" t="s">
        <v>386</v>
      </c>
      <c r="M921" t="s">
        <v>387</v>
      </c>
      <c r="O921" t="s">
        <v>480</v>
      </c>
      <c r="P921" t="s">
        <v>481</v>
      </c>
      <c r="Q921" t="s">
        <v>450</v>
      </c>
      <c r="R921">
        <v>2069080</v>
      </c>
      <c r="S921" t="s">
        <v>387</v>
      </c>
      <c r="U921" t="s">
        <v>1645</v>
      </c>
      <c r="V921" t="s">
        <v>398</v>
      </c>
      <c r="W921" s="393">
        <v>437</v>
      </c>
      <c r="X921" s="393">
        <v>0.11</v>
      </c>
      <c r="Y921" s="393">
        <v>0.98</v>
      </c>
      <c r="Z921" s="393">
        <v>437</v>
      </c>
      <c r="AA921">
        <v>0</v>
      </c>
      <c r="AB921" s="400">
        <v>44448.020356828703</v>
      </c>
      <c r="AC921" t="s">
        <v>324</v>
      </c>
    </row>
    <row r="922" spans="1:29">
      <c r="A922" t="s">
        <v>382</v>
      </c>
      <c r="B922" t="s">
        <v>440</v>
      </c>
      <c r="C922" t="s">
        <v>1637</v>
      </c>
      <c r="D922" t="s">
        <v>1638</v>
      </c>
      <c r="E922" t="s">
        <v>390</v>
      </c>
      <c r="F922" t="s">
        <v>391</v>
      </c>
      <c r="G922">
        <v>6101855</v>
      </c>
      <c r="H922">
        <v>202108</v>
      </c>
      <c r="I922" s="400">
        <v>44439</v>
      </c>
      <c r="J922">
        <v>122536</v>
      </c>
      <c r="K922" t="s">
        <v>386</v>
      </c>
      <c r="M922" t="s">
        <v>387</v>
      </c>
      <c r="O922" t="s">
        <v>480</v>
      </c>
      <c r="P922" t="s">
        <v>481</v>
      </c>
      <c r="Q922" t="s">
        <v>450</v>
      </c>
      <c r="R922">
        <v>2069080</v>
      </c>
      <c r="S922" t="s">
        <v>387</v>
      </c>
      <c r="U922" t="s">
        <v>1645</v>
      </c>
      <c r="V922" t="s">
        <v>398</v>
      </c>
      <c r="W922" s="393">
        <v>437</v>
      </c>
      <c r="X922" s="393">
        <v>0.11</v>
      </c>
      <c r="Y922" s="393">
        <v>0.98</v>
      </c>
      <c r="Z922" s="393">
        <v>437</v>
      </c>
      <c r="AA922">
        <v>0</v>
      </c>
      <c r="AB922" s="400">
        <v>44448.020356828703</v>
      </c>
      <c r="AC922" t="s">
        <v>324</v>
      </c>
    </row>
    <row r="923" spans="1:29">
      <c r="A923" t="s">
        <v>382</v>
      </c>
      <c r="B923" t="s">
        <v>440</v>
      </c>
      <c r="C923" t="s">
        <v>1637</v>
      </c>
      <c r="D923" t="s">
        <v>1638</v>
      </c>
      <c r="E923" t="s">
        <v>390</v>
      </c>
      <c r="F923" t="s">
        <v>391</v>
      </c>
      <c r="G923">
        <v>6101717</v>
      </c>
      <c r="H923">
        <v>202108</v>
      </c>
      <c r="I923" s="400">
        <v>44439</v>
      </c>
      <c r="J923">
        <v>122536</v>
      </c>
      <c r="K923" t="s">
        <v>386</v>
      </c>
      <c r="M923" t="s">
        <v>387</v>
      </c>
      <c r="O923" t="s">
        <v>480</v>
      </c>
      <c r="P923" t="s">
        <v>481</v>
      </c>
      <c r="Q923" t="s">
        <v>450</v>
      </c>
      <c r="R923">
        <v>2069080</v>
      </c>
      <c r="S923" t="s">
        <v>387</v>
      </c>
      <c r="U923" t="s">
        <v>1646</v>
      </c>
      <c r="V923" t="s">
        <v>398</v>
      </c>
      <c r="W923" s="393">
        <v>239590</v>
      </c>
      <c r="X923" s="393">
        <v>61.99</v>
      </c>
      <c r="Y923" s="393">
        <v>539.83000000000004</v>
      </c>
      <c r="Z923" s="393">
        <v>239590</v>
      </c>
      <c r="AA923">
        <v>0</v>
      </c>
      <c r="AB923" s="400">
        <v>44443.908521562502</v>
      </c>
      <c r="AC923" t="s">
        <v>324</v>
      </c>
    </row>
    <row r="924" spans="1:29">
      <c r="A924" t="s">
        <v>382</v>
      </c>
      <c r="B924" t="s">
        <v>440</v>
      </c>
      <c r="C924" t="s">
        <v>1637</v>
      </c>
      <c r="D924" t="s">
        <v>1638</v>
      </c>
      <c r="E924" t="s">
        <v>390</v>
      </c>
      <c r="F924" t="s">
        <v>391</v>
      </c>
      <c r="G924">
        <v>6101855</v>
      </c>
      <c r="H924">
        <v>202108</v>
      </c>
      <c r="I924" s="400">
        <v>44439</v>
      </c>
      <c r="J924">
        <v>122536</v>
      </c>
      <c r="K924" t="s">
        <v>386</v>
      </c>
      <c r="M924" t="s">
        <v>387</v>
      </c>
      <c r="O924" t="s">
        <v>480</v>
      </c>
      <c r="P924" t="s">
        <v>481</v>
      </c>
      <c r="Q924" t="s">
        <v>450</v>
      </c>
      <c r="R924">
        <v>2069080</v>
      </c>
      <c r="S924" t="s">
        <v>387</v>
      </c>
      <c r="U924" t="s">
        <v>1645</v>
      </c>
      <c r="V924" t="s">
        <v>398</v>
      </c>
      <c r="W924" s="393">
        <v>437</v>
      </c>
      <c r="X924" s="393">
        <v>0.11</v>
      </c>
      <c r="Y924" s="393">
        <v>0.98</v>
      </c>
      <c r="Z924" s="393">
        <v>437</v>
      </c>
      <c r="AA924">
        <v>0</v>
      </c>
      <c r="AB924" s="400">
        <v>44448.020356631947</v>
      </c>
      <c r="AC924" t="s">
        <v>324</v>
      </c>
    </row>
    <row r="925" spans="1:29">
      <c r="A925" t="s">
        <v>382</v>
      </c>
      <c r="B925" t="s">
        <v>440</v>
      </c>
      <c r="C925" t="s">
        <v>1637</v>
      </c>
      <c r="D925" t="s">
        <v>1638</v>
      </c>
      <c r="E925" t="s">
        <v>390</v>
      </c>
      <c r="F925" t="s">
        <v>391</v>
      </c>
      <c r="G925">
        <v>6101855</v>
      </c>
      <c r="H925">
        <v>202108</v>
      </c>
      <c r="I925" s="400">
        <v>44439</v>
      </c>
      <c r="J925">
        <v>122536</v>
      </c>
      <c r="K925" t="s">
        <v>386</v>
      </c>
      <c r="M925" t="s">
        <v>387</v>
      </c>
      <c r="O925" t="s">
        <v>480</v>
      </c>
      <c r="P925" t="s">
        <v>481</v>
      </c>
      <c r="Q925" t="s">
        <v>450</v>
      </c>
      <c r="R925">
        <v>2069080</v>
      </c>
      <c r="S925" t="s">
        <v>387</v>
      </c>
      <c r="U925" t="s">
        <v>1645</v>
      </c>
      <c r="V925" t="s">
        <v>398</v>
      </c>
      <c r="W925" s="393">
        <v>437</v>
      </c>
      <c r="X925" s="393">
        <v>0.11</v>
      </c>
      <c r="Y925" s="393">
        <v>0.98</v>
      </c>
      <c r="Z925" s="393">
        <v>437</v>
      </c>
      <c r="AA925">
        <v>0</v>
      </c>
      <c r="AB925" s="400">
        <v>44448.020356631947</v>
      </c>
      <c r="AC925" t="s">
        <v>324</v>
      </c>
    </row>
    <row r="926" spans="1:29">
      <c r="A926" t="s">
        <v>382</v>
      </c>
      <c r="B926" t="s">
        <v>440</v>
      </c>
      <c r="C926" t="s">
        <v>1637</v>
      </c>
      <c r="D926" t="s">
        <v>1638</v>
      </c>
      <c r="E926" t="s">
        <v>390</v>
      </c>
      <c r="F926" t="s">
        <v>391</v>
      </c>
      <c r="G926">
        <v>6101719</v>
      </c>
      <c r="H926">
        <v>202108</v>
      </c>
      <c r="I926" s="400">
        <v>44439</v>
      </c>
      <c r="J926">
        <v>122536</v>
      </c>
      <c r="K926" t="s">
        <v>386</v>
      </c>
      <c r="M926" t="s">
        <v>387</v>
      </c>
      <c r="O926" t="s">
        <v>480</v>
      </c>
      <c r="P926" t="s">
        <v>481</v>
      </c>
      <c r="Q926" t="s">
        <v>450</v>
      </c>
      <c r="R926">
        <v>2069080</v>
      </c>
      <c r="S926" t="s">
        <v>387</v>
      </c>
      <c r="U926" t="s">
        <v>1644</v>
      </c>
      <c r="V926" t="s">
        <v>398</v>
      </c>
      <c r="W926" s="393">
        <v>437</v>
      </c>
      <c r="X926" s="393">
        <v>0.11</v>
      </c>
      <c r="Y926" s="393">
        <v>0.98</v>
      </c>
      <c r="Z926" s="393">
        <v>437</v>
      </c>
      <c r="AA926">
        <v>0</v>
      </c>
      <c r="AB926" s="400">
        <v>44443.928683831022</v>
      </c>
      <c r="AC926" t="s">
        <v>324</v>
      </c>
    </row>
    <row r="927" spans="1:29">
      <c r="A927" t="s">
        <v>382</v>
      </c>
      <c r="B927" t="s">
        <v>440</v>
      </c>
      <c r="C927" t="s">
        <v>1637</v>
      </c>
      <c r="D927" t="s">
        <v>1638</v>
      </c>
      <c r="E927" t="s">
        <v>390</v>
      </c>
      <c r="F927" t="s">
        <v>391</v>
      </c>
      <c r="G927">
        <v>6101719</v>
      </c>
      <c r="H927">
        <v>202108</v>
      </c>
      <c r="I927" s="400">
        <v>44439</v>
      </c>
      <c r="J927">
        <v>122536</v>
      </c>
      <c r="K927" t="s">
        <v>386</v>
      </c>
      <c r="M927" t="s">
        <v>387</v>
      </c>
      <c r="O927" t="s">
        <v>480</v>
      </c>
      <c r="P927" t="s">
        <v>481</v>
      </c>
      <c r="Q927" t="s">
        <v>450</v>
      </c>
      <c r="R927">
        <v>2069080</v>
      </c>
      <c r="S927" t="s">
        <v>387</v>
      </c>
      <c r="U927" t="s">
        <v>1644</v>
      </c>
      <c r="V927" t="s">
        <v>398</v>
      </c>
      <c r="W927" s="393">
        <v>437</v>
      </c>
      <c r="X927" s="393">
        <v>0.11</v>
      </c>
      <c r="Y927" s="393">
        <v>0.98</v>
      </c>
      <c r="Z927" s="393">
        <v>437</v>
      </c>
      <c r="AA927">
        <v>0</v>
      </c>
      <c r="AB927" s="400">
        <v>44443.928683831022</v>
      </c>
      <c r="AC927" t="s">
        <v>324</v>
      </c>
    </row>
    <row r="928" spans="1:29">
      <c r="A928" t="s">
        <v>382</v>
      </c>
      <c r="B928" t="s">
        <v>440</v>
      </c>
      <c r="C928" t="s">
        <v>1637</v>
      </c>
      <c r="D928" t="s">
        <v>1638</v>
      </c>
      <c r="E928" t="s">
        <v>390</v>
      </c>
      <c r="F928" t="s">
        <v>391</v>
      </c>
      <c r="G928">
        <v>6101719</v>
      </c>
      <c r="H928">
        <v>202108</v>
      </c>
      <c r="I928" s="400">
        <v>44439</v>
      </c>
      <c r="J928">
        <v>122536</v>
      </c>
      <c r="K928" t="s">
        <v>386</v>
      </c>
      <c r="M928" t="s">
        <v>387</v>
      </c>
      <c r="O928" t="s">
        <v>480</v>
      </c>
      <c r="P928" t="s">
        <v>481</v>
      </c>
      <c r="Q928" t="s">
        <v>450</v>
      </c>
      <c r="R928">
        <v>2069080</v>
      </c>
      <c r="S928" t="s">
        <v>387</v>
      </c>
      <c r="U928" t="s">
        <v>1644</v>
      </c>
      <c r="V928" t="s">
        <v>398</v>
      </c>
      <c r="W928" s="393">
        <v>437</v>
      </c>
      <c r="X928" s="393">
        <v>0.11</v>
      </c>
      <c r="Y928" s="393">
        <v>0.98</v>
      </c>
      <c r="Z928" s="393">
        <v>437</v>
      </c>
      <c r="AA928">
        <v>0</v>
      </c>
      <c r="AB928" s="400">
        <v>44443.928683831022</v>
      </c>
      <c r="AC928" t="s">
        <v>324</v>
      </c>
    </row>
    <row r="929" spans="1:29">
      <c r="A929" t="s">
        <v>382</v>
      </c>
      <c r="B929" t="s">
        <v>440</v>
      </c>
      <c r="C929" t="s">
        <v>1637</v>
      </c>
      <c r="D929" t="s">
        <v>1638</v>
      </c>
      <c r="E929" t="s">
        <v>390</v>
      </c>
      <c r="F929" t="s">
        <v>391</v>
      </c>
      <c r="G929">
        <v>6101719</v>
      </c>
      <c r="H929">
        <v>202108</v>
      </c>
      <c r="I929" s="400">
        <v>44439</v>
      </c>
      <c r="J929">
        <v>122536</v>
      </c>
      <c r="K929" t="s">
        <v>386</v>
      </c>
      <c r="M929" t="s">
        <v>387</v>
      </c>
      <c r="O929" t="s">
        <v>480</v>
      </c>
      <c r="P929" t="s">
        <v>481</v>
      </c>
      <c r="Q929" t="s">
        <v>450</v>
      </c>
      <c r="R929">
        <v>2069080</v>
      </c>
      <c r="S929" t="s">
        <v>387</v>
      </c>
      <c r="U929" t="s">
        <v>1644</v>
      </c>
      <c r="V929" t="s">
        <v>398</v>
      </c>
      <c r="W929" s="393">
        <v>437</v>
      </c>
      <c r="X929" s="393">
        <v>0.11</v>
      </c>
      <c r="Y929" s="393">
        <v>0.98</v>
      </c>
      <c r="Z929" s="393">
        <v>437</v>
      </c>
      <c r="AA929">
        <v>0</v>
      </c>
      <c r="AB929" s="400">
        <v>44443.928683831022</v>
      </c>
      <c r="AC929" t="s">
        <v>324</v>
      </c>
    </row>
    <row r="930" spans="1:29">
      <c r="A930" t="s">
        <v>382</v>
      </c>
      <c r="B930" t="s">
        <v>440</v>
      </c>
      <c r="C930" t="s">
        <v>1637</v>
      </c>
      <c r="D930" t="s">
        <v>1638</v>
      </c>
      <c r="E930" t="s">
        <v>390</v>
      </c>
      <c r="F930" t="s">
        <v>391</v>
      </c>
      <c r="G930">
        <v>6101719</v>
      </c>
      <c r="H930">
        <v>202108</v>
      </c>
      <c r="I930" s="400">
        <v>44439</v>
      </c>
      <c r="J930">
        <v>122536</v>
      </c>
      <c r="K930" t="s">
        <v>386</v>
      </c>
      <c r="M930" t="s">
        <v>387</v>
      </c>
      <c r="O930" t="s">
        <v>480</v>
      </c>
      <c r="P930" t="s">
        <v>481</v>
      </c>
      <c r="Q930" t="s">
        <v>450</v>
      </c>
      <c r="R930">
        <v>2069080</v>
      </c>
      <c r="S930" t="s">
        <v>387</v>
      </c>
      <c r="U930" t="s">
        <v>1644</v>
      </c>
      <c r="V930" t="s">
        <v>398</v>
      </c>
      <c r="W930" s="393">
        <v>437</v>
      </c>
      <c r="X930" s="393">
        <v>0.11</v>
      </c>
      <c r="Y930" s="393">
        <v>0.98</v>
      </c>
      <c r="Z930" s="393">
        <v>437</v>
      </c>
      <c r="AA930">
        <v>0</v>
      </c>
      <c r="AB930" s="400">
        <v>44443.928684027778</v>
      </c>
      <c r="AC930" t="s">
        <v>324</v>
      </c>
    </row>
    <row r="931" spans="1:29">
      <c r="A931" t="s">
        <v>382</v>
      </c>
      <c r="B931" t="s">
        <v>440</v>
      </c>
      <c r="C931" t="s">
        <v>1637</v>
      </c>
      <c r="D931" t="s">
        <v>1638</v>
      </c>
      <c r="E931" t="s">
        <v>390</v>
      </c>
      <c r="F931" t="s">
        <v>391</v>
      </c>
      <c r="G931">
        <v>6101719</v>
      </c>
      <c r="H931">
        <v>202108</v>
      </c>
      <c r="I931" s="400">
        <v>44439</v>
      </c>
      <c r="J931">
        <v>122536</v>
      </c>
      <c r="K931" t="s">
        <v>386</v>
      </c>
      <c r="M931" t="s">
        <v>387</v>
      </c>
      <c r="O931" t="s">
        <v>480</v>
      </c>
      <c r="P931" t="s">
        <v>481</v>
      </c>
      <c r="Q931" t="s">
        <v>450</v>
      </c>
      <c r="R931">
        <v>2069080</v>
      </c>
      <c r="S931" t="s">
        <v>387</v>
      </c>
      <c r="U931" t="s">
        <v>1644</v>
      </c>
      <c r="V931" t="s">
        <v>398</v>
      </c>
      <c r="W931" s="393">
        <v>437</v>
      </c>
      <c r="X931" s="393">
        <v>0.11</v>
      </c>
      <c r="Y931" s="393">
        <v>0.98</v>
      </c>
      <c r="Z931" s="393">
        <v>437</v>
      </c>
      <c r="AA931">
        <v>0</v>
      </c>
      <c r="AB931" s="400">
        <v>44443.928684027778</v>
      </c>
      <c r="AC931" t="s">
        <v>324</v>
      </c>
    </row>
    <row r="932" spans="1:29">
      <c r="A932" t="s">
        <v>382</v>
      </c>
      <c r="B932" t="s">
        <v>440</v>
      </c>
      <c r="C932" t="s">
        <v>1637</v>
      </c>
      <c r="D932" t="s">
        <v>1638</v>
      </c>
      <c r="E932" t="s">
        <v>390</v>
      </c>
      <c r="F932" t="s">
        <v>391</v>
      </c>
      <c r="G932">
        <v>6101719</v>
      </c>
      <c r="H932">
        <v>202108</v>
      </c>
      <c r="I932" s="400">
        <v>44439</v>
      </c>
      <c r="J932">
        <v>122536</v>
      </c>
      <c r="K932" t="s">
        <v>386</v>
      </c>
      <c r="M932" t="s">
        <v>387</v>
      </c>
      <c r="O932" t="s">
        <v>480</v>
      </c>
      <c r="P932" t="s">
        <v>481</v>
      </c>
      <c r="Q932" t="s">
        <v>450</v>
      </c>
      <c r="R932">
        <v>2069080</v>
      </c>
      <c r="S932" t="s">
        <v>387</v>
      </c>
      <c r="U932" t="s">
        <v>1644</v>
      </c>
      <c r="V932" t="s">
        <v>398</v>
      </c>
      <c r="W932" s="393">
        <v>437</v>
      </c>
      <c r="X932" s="393">
        <v>0.11</v>
      </c>
      <c r="Y932" s="393">
        <v>0.98</v>
      </c>
      <c r="Z932" s="393">
        <v>437</v>
      </c>
      <c r="AA932">
        <v>0</v>
      </c>
      <c r="AB932" s="400">
        <v>44443.928684027778</v>
      </c>
      <c r="AC932" t="s">
        <v>324</v>
      </c>
    </row>
    <row r="933" spans="1:29">
      <c r="A933" t="s">
        <v>382</v>
      </c>
      <c r="B933" t="s">
        <v>440</v>
      </c>
      <c r="C933" t="s">
        <v>1637</v>
      </c>
      <c r="D933" t="s">
        <v>1638</v>
      </c>
      <c r="E933" t="s">
        <v>390</v>
      </c>
      <c r="F933" t="s">
        <v>391</v>
      </c>
      <c r="G933">
        <v>6101855</v>
      </c>
      <c r="H933">
        <v>202108</v>
      </c>
      <c r="I933" s="400">
        <v>44439</v>
      </c>
      <c r="J933">
        <v>122536</v>
      </c>
      <c r="K933" t="s">
        <v>386</v>
      </c>
      <c r="M933" t="s">
        <v>387</v>
      </c>
      <c r="O933" t="s">
        <v>480</v>
      </c>
      <c r="P933" t="s">
        <v>481</v>
      </c>
      <c r="Q933" t="s">
        <v>450</v>
      </c>
      <c r="R933">
        <v>2069080</v>
      </c>
      <c r="S933" t="s">
        <v>387</v>
      </c>
      <c r="U933" t="s">
        <v>1645</v>
      </c>
      <c r="V933" t="s">
        <v>398</v>
      </c>
      <c r="W933" s="393">
        <v>437</v>
      </c>
      <c r="X933" s="393">
        <v>0.11</v>
      </c>
      <c r="Y933" s="393">
        <v>0.98</v>
      </c>
      <c r="Z933" s="393">
        <v>437</v>
      </c>
      <c r="AA933">
        <v>0</v>
      </c>
      <c r="AB933" s="400">
        <v>44448.020357372683</v>
      </c>
      <c r="AC933" t="s">
        <v>324</v>
      </c>
    </row>
    <row r="934" spans="1:29">
      <c r="A934" t="s">
        <v>382</v>
      </c>
      <c r="B934" t="s">
        <v>440</v>
      </c>
      <c r="C934" t="s">
        <v>1637</v>
      </c>
      <c r="D934" t="s">
        <v>1638</v>
      </c>
      <c r="E934" t="s">
        <v>390</v>
      </c>
      <c r="F934" t="s">
        <v>391</v>
      </c>
      <c r="G934">
        <v>6101855</v>
      </c>
      <c r="H934">
        <v>202108</v>
      </c>
      <c r="I934" s="400">
        <v>44439</v>
      </c>
      <c r="J934">
        <v>122536</v>
      </c>
      <c r="K934" t="s">
        <v>386</v>
      </c>
      <c r="M934" t="s">
        <v>387</v>
      </c>
      <c r="O934" t="s">
        <v>480</v>
      </c>
      <c r="P934" t="s">
        <v>481</v>
      </c>
      <c r="Q934" t="s">
        <v>450</v>
      </c>
      <c r="R934">
        <v>2069080</v>
      </c>
      <c r="S934" t="s">
        <v>387</v>
      </c>
      <c r="U934" t="s">
        <v>1645</v>
      </c>
      <c r="V934" t="s">
        <v>398</v>
      </c>
      <c r="W934" s="393">
        <v>437</v>
      </c>
      <c r="X934" s="393">
        <v>0.11</v>
      </c>
      <c r="Y934" s="393">
        <v>0.98</v>
      </c>
      <c r="Z934" s="393">
        <v>437</v>
      </c>
      <c r="AA934">
        <v>0</v>
      </c>
      <c r="AB934" s="400">
        <v>44448.02035702546</v>
      </c>
      <c r="AC934" t="s">
        <v>324</v>
      </c>
    </row>
    <row r="935" spans="1:29">
      <c r="A935" t="s">
        <v>382</v>
      </c>
      <c r="B935" t="s">
        <v>440</v>
      </c>
      <c r="C935" t="s">
        <v>1637</v>
      </c>
      <c r="D935" t="s">
        <v>1638</v>
      </c>
      <c r="E935" t="s">
        <v>390</v>
      </c>
      <c r="F935" t="s">
        <v>391</v>
      </c>
      <c r="G935">
        <v>6101855</v>
      </c>
      <c r="H935">
        <v>202108</v>
      </c>
      <c r="I935" s="400">
        <v>44439</v>
      </c>
      <c r="J935">
        <v>122536</v>
      </c>
      <c r="K935" t="s">
        <v>386</v>
      </c>
      <c r="M935" t="s">
        <v>387</v>
      </c>
      <c r="O935" t="s">
        <v>480</v>
      </c>
      <c r="P935" t="s">
        <v>481</v>
      </c>
      <c r="Q935" t="s">
        <v>450</v>
      </c>
      <c r="R935">
        <v>2069080</v>
      </c>
      <c r="S935" t="s">
        <v>387</v>
      </c>
      <c r="U935" t="s">
        <v>1645</v>
      </c>
      <c r="V935" t="s">
        <v>398</v>
      </c>
      <c r="W935" s="393">
        <v>437</v>
      </c>
      <c r="X935" s="393">
        <v>0.11</v>
      </c>
      <c r="Y935" s="393">
        <v>0.98</v>
      </c>
      <c r="Z935" s="393">
        <v>437</v>
      </c>
      <c r="AA935">
        <v>0</v>
      </c>
      <c r="AB935" s="400">
        <v>44448.02035702546</v>
      </c>
      <c r="AC935" t="s">
        <v>324</v>
      </c>
    </row>
    <row r="936" spans="1:29">
      <c r="A936" t="s">
        <v>382</v>
      </c>
      <c r="B936" t="s">
        <v>440</v>
      </c>
      <c r="C936" t="s">
        <v>1637</v>
      </c>
      <c r="D936" t="s">
        <v>1638</v>
      </c>
      <c r="E936" t="s">
        <v>390</v>
      </c>
      <c r="F936" t="s">
        <v>391</v>
      </c>
      <c r="G936">
        <v>6101855</v>
      </c>
      <c r="H936">
        <v>202108</v>
      </c>
      <c r="I936" s="400">
        <v>44439</v>
      </c>
      <c r="J936">
        <v>122536</v>
      </c>
      <c r="K936" t="s">
        <v>386</v>
      </c>
      <c r="M936" t="s">
        <v>387</v>
      </c>
      <c r="O936" t="s">
        <v>480</v>
      </c>
      <c r="P936" t="s">
        <v>481</v>
      </c>
      <c r="Q936" t="s">
        <v>450</v>
      </c>
      <c r="R936">
        <v>2069080</v>
      </c>
      <c r="S936" t="s">
        <v>387</v>
      </c>
      <c r="U936" t="s">
        <v>1645</v>
      </c>
      <c r="V936" t="s">
        <v>398</v>
      </c>
      <c r="W936" s="393">
        <v>437</v>
      </c>
      <c r="X936" s="393">
        <v>0.11</v>
      </c>
      <c r="Y936" s="393">
        <v>0.98</v>
      </c>
      <c r="Z936" s="393">
        <v>437</v>
      </c>
      <c r="AA936">
        <v>0</v>
      </c>
      <c r="AB936" s="400">
        <v>44448.02035702546</v>
      </c>
      <c r="AC936" t="s">
        <v>324</v>
      </c>
    </row>
    <row r="937" spans="1:29">
      <c r="A937" t="s">
        <v>382</v>
      </c>
      <c r="B937" t="s">
        <v>440</v>
      </c>
      <c r="C937" t="s">
        <v>1637</v>
      </c>
      <c r="D937" t="s">
        <v>1638</v>
      </c>
      <c r="E937" t="s">
        <v>390</v>
      </c>
      <c r="F937" t="s">
        <v>391</v>
      </c>
      <c r="G937">
        <v>6101855</v>
      </c>
      <c r="H937">
        <v>202108</v>
      </c>
      <c r="I937" s="400">
        <v>44439</v>
      </c>
      <c r="J937">
        <v>122536</v>
      </c>
      <c r="K937" t="s">
        <v>386</v>
      </c>
      <c r="M937" t="s">
        <v>387</v>
      </c>
      <c r="O937" t="s">
        <v>480</v>
      </c>
      <c r="P937" t="s">
        <v>481</v>
      </c>
      <c r="Q937" t="s">
        <v>450</v>
      </c>
      <c r="R937">
        <v>2069080</v>
      </c>
      <c r="S937" t="s">
        <v>387</v>
      </c>
      <c r="U937" t="s">
        <v>1645</v>
      </c>
      <c r="V937" t="s">
        <v>398</v>
      </c>
      <c r="W937" s="393">
        <v>437</v>
      </c>
      <c r="X937" s="393">
        <v>0.11</v>
      </c>
      <c r="Y937" s="393">
        <v>0.98</v>
      </c>
      <c r="Z937" s="393">
        <v>437</v>
      </c>
      <c r="AA937">
        <v>0</v>
      </c>
      <c r="AB937" s="400">
        <v>44448.020357175927</v>
      </c>
      <c r="AC937" t="s">
        <v>324</v>
      </c>
    </row>
    <row r="938" spans="1:29">
      <c r="A938" t="s">
        <v>382</v>
      </c>
      <c r="B938" t="s">
        <v>440</v>
      </c>
      <c r="C938" t="s">
        <v>1637</v>
      </c>
      <c r="D938" t="s">
        <v>1638</v>
      </c>
      <c r="E938" t="s">
        <v>390</v>
      </c>
      <c r="F938" t="s">
        <v>391</v>
      </c>
      <c r="G938">
        <v>6101855</v>
      </c>
      <c r="H938">
        <v>202108</v>
      </c>
      <c r="I938" s="400">
        <v>44439</v>
      </c>
      <c r="J938">
        <v>122536</v>
      </c>
      <c r="K938" t="s">
        <v>386</v>
      </c>
      <c r="M938" t="s">
        <v>387</v>
      </c>
      <c r="O938" t="s">
        <v>480</v>
      </c>
      <c r="P938" t="s">
        <v>481</v>
      </c>
      <c r="Q938" t="s">
        <v>450</v>
      </c>
      <c r="R938">
        <v>2069080</v>
      </c>
      <c r="S938" t="s">
        <v>387</v>
      </c>
      <c r="U938" t="s">
        <v>1645</v>
      </c>
      <c r="V938" t="s">
        <v>398</v>
      </c>
      <c r="W938" s="393">
        <v>437</v>
      </c>
      <c r="X938" s="393">
        <v>0.11</v>
      </c>
      <c r="Y938" s="393">
        <v>0.98</v>
      </c>
      <c r="Z938" s="393">
        <v>437</v>
      </c>
      <c r="AA938">
        <v>0</v>
      </c>
      <c r="AB938" s="400">
        <v>44448.020357175927</v>
      </c>
      <c r="AC938" t="s">
        <v>324</v>
      </c>
    </row>
    <row r="939" spans="1:29">
      <c r="A939" t="s">
        <v>382</v>
      </c>
      <c r="B939" t="s">
        <v>440</v>
      </c>
      <c r="C939" t="s">
        <v>1637</v>
      </c>
      <c r="D939" t="s">
        <v>1638</v>
      </c>
      <c r="E939" t="s">
        <v>390</v>
      </c>
      <c r="F939" t="s">
        <v>391</v>
      </c>
      <c r="G939">
        <v>6101766</v>
      </c>
      <c r="H939">
        <v>202108</v>
      </c>
      <c r="I939" s="400">
        <v>44439</v>
      </c>
      <c r="J939">
        <v>122536</v>
      </c>
      <c r="K939" t="s">
        <v>386</v>
      </c>
      <c r="M939" t="s">
        <v>387</v>
      </c>
      <c r="O939" t="s">
        <v>480</v>
      </c>
      <c r="P939" t="s">
        <v>481</v>
      </c>
      <c r="Q939" t="s">
        <v>450</v>
      </c>
      <c r="R939">
        <v>2069080</v>
      </c>
      <c r="S939" t="s">
        <v>387</v>
      </c>
      <c r="U939" t="s">
        <v>483</v>
      </c>
      <c r="V939" t="s">
        <v>398</v>
      </c>
      <c r="W939" s="393">
        <v>437</v>
      </c>
      <c r="X939" s="393">
        <v>0.11</v>
      </c>
      <c r="Y939" s="393">
        <v>0.98</v>
      </c>
      <c r="Z939" s="393">
        <v>437</v>
      </c>
      <c r="AA939">
        <v>0</v>
      </c>
      <c r="AB939" s="400">
        <v>44445.786312997683</v>
      </c>
      <c r="AC939" t="s">
        <v>324</v>
      </c>
    </row>
    <row r="940" spans="1:29">
      <c r="A940" t="s">
        <v>382</v>
      </c>
      <c r="B940" t="s">
        <v>440</v>
      </c>
      <c r="C940" t="s">
        <v>1637</v>
      </c>
      <c r="D940" t="s">
        <v>1638</v>
      </c>
      <c r="E940" t="s">
        <v>390</v>
      </c>
      <c r="F940" t="s">
        <v>391</v>
      </c>
      <c r="G940">
        <v>6101766</v>
      </c>
      <c r="H940">
        <v>202108</v>
      </c>
      <c r="I940" s="400">
        <v>44439</v>
      </c>
      <c r="J940">
        <v>122536</v>
      </c>
      <c r="K940" t="s">
        <v>386</v>
      </c>
      <c r="M940" t="s">
        <v>387</v>
      </c>
      <c r="O940" t="s">
        <v>480</v>
      </c>
      <c r="P940" t="s">
        <v>481</v>
      </c>
      <c r="Q940" t="s">
        <v>450</v>
      </c>
      <c r="R940">
        <v>2069080</v>
      </c>
      <c r="S940" t="s">
        <v>387</v>
      </c>
      <c r="U940" t="s">
        <v>483</v>
      </c>
      <c r="V940" t="s">
        <v>398</v>
      </c>
      <c r="W940" s="393">
        <v>437</v>
      </c>
      <c r="X940" s="393">
        <v>0.11</v>
      </c>
      <c r="Y940" s="393">
        <v>0.98</v>
      </c>
      <c r="Z940" s="393">
        <v>437</v>
      </c>
      <c r="AA940">
        <v>0</v>
      </c>
      <c r="AB940" s="400">
        <v>44445.786313194447</v>
      </c>
      <c r="AC940" t="s">
        <v>324</v>
      </c>
    </row>
    <row r="941" spans="1:29">
      <c r="A941" t="s">
        <v>382</v>
      </c>
      <c r="B941" t="s">
        <v>440</v>
      </c>
      <c r="C941" t="s">
        <v>1637</v>
      </c>
      <c r="D941" t="s">
        <v>1638</v>
      </c>
      <c r="E941" t="s">
        <v>390</v>
      </c>
      <c r="F941" t="s">
        <v>391</v>
      </c>
      <c r="G941">
        <v>6101766</v>
      </c>
      <c r="H941">
        <v>202108</v>
      </c>
      <c r="I941" s="400">
        <v>44439</v>
      </c>
      <c r="J941">
        <v>122536</v>
      </c>
      <c r="K941" t="s">
        <v>386</v>
      </c>
      <c r="M941" t="s">
        <v>387</v>
      </c>
      <c r="O941" t="s">
        <v>480</v>
      </c>
      <c r="P941" t="s">
        <v>481</v>
      </c>
      <c r="Q941" t="s">
        <v>450</v>
      </c>
      <c r="R941">
        <v>2069080</v>
      </c>
      <c r="S941" t="s">
        <v>387</v>
      </c>
      <c r="U941" t="s">
        <v>483</v>
      </c>
      <c r="V941" t="s">
        <v>398</v>
      </c>
      <c r="W941" s="393">
        <v>437</v>
      </c>
      <c r="X941" s="393">
        <v>0.11</v>
      </c>
      <c r="Y941" s="393">
        <v>0.98</v>
      </c>
      <c r="Z941" s="393">
        <v>437</v>
      </c>
      <c r="AA941">
        <v>0</v>
      </c>
      <c r="AB941" s="400">
        <v>44445.786313194447</v>
      </c>
      <c r="AC941" t="s">
        <v>324</v>
      </c>
    </row>
    <row r="942" spans="1:29">
      <c r="A942" t="s">
        <v>382</v>
      </c>
      <c r="B942" t="s">
        <v>440</v>
      </c>
      <c r="C942" t="s">
        <v>1637</v>
      </c>
      <c r="D942" t="s">
        <v>1638</v>
      </c>
      <c r="E942" t="s">
        <v>390</v>
      </c>
      <c r="F942" t="s">
        <v>391</v>
      </c>
      <c r="G942">
        <v>6101766</v>
      </c>
      <c r="H942">
        <v>202108</v>
      </c>
      <c r="I942" s="400">
        <v>44439</v>
      </c>
      <c r="J942">
        <v>122536</v>
      </c>
      <c r="K942" t="s">
        <v>386</v>
      </c>
      <c r="M942" t="s">
        <v>387</v>
      </c>
      <c r="O942" t="s">
        <v>480</v>
      </c>
      <c r="P942" t="s">
        <v>481</v>
      </c>
      <c r="Q942" t="s">
        <v>450</v>
      </c>
      <c r="R942">
        <v>2069080</v>
      </c>
      <c r="S942" t="s">
        <v>387</v>
      </c>
      <c r="U942" t="s">
        <v>483</v>
      </c>
      <c r="V942" t="s">
        <v>398</v>
      </c>
      <c r="W942" s="393">
        <v>437</v>
      </c>
      <c r="X942" s="393">
        <v>0.11</v>
      </c>
      <c r="Y942" s="393">
        <v>0.98</v>
      </c>
      <c r="Z942" s="393">
        <v>437</v>
      </c>
      <c r="AA942">
        <v>0</v>
      </c>
      <c r="AB942" s="400">
        <v>44445.786313194447</v>
      </c>
      <c r="AC942" t="s">
        <v>324</v>
      </c>
    </row>
    <row r="943" spans="1:29">
      <c r="A943" t="s">
        <v>382</v>
      </c>
      <c r="B943" t="s">
        <v>440</v>
      </c>
      <c r="C943" t="s">
        <v>1637</v>
      </c>
      <c r="D943" t="s">
        <v>1638</v>
      </c>
      <c r="E943" t="s">
        <v>390</v>
      </c>
      <c r="F943" t="s">
        <v>391</v>
      </c>
      <c r="G943">
        <v>6101766</v>
      </c>
      <c r="H943">
        <v>202108</v>
      </c>
      <c r="I943" s="400">
        <v>44439</v>
      </c>
      <c r="J943">
        <v>122536</v>
      </c>
      <c r="K943" t="s">
        <v>386</v>
      </c>
      <c r="M943" t="s">
        <v>387</v>
      </c>
      <c r="O943" t="s">
        <v>480</v>
      </c>
      <c r="P943" t="s">
        <v>481</v>
      </c>
      <c r="Q943" t="s">
        <v>450</v>
      </c>
      <c r="R943">
        <v>2069080</v>
      </c>
      <c r="S943" t="s">
        <v>387</v>
      </c>
      <c r="U943" t="s">
        <v>483</v>
      </c>
      <c r="V943" t="s">
        <v>398</v>
      </c>
      <c r="W943" s="393">
        <v>437</v>
      </c>
      <c r="X943" s="393">
        <v>0.11</v>
      </c>
      <c r="Y943" s="393">
        <v>0.98</v>
      </c>
      <c r="Z943" s="393">
        <v>437</v>
      </c>
      <c r="AA943">
        <v>0</v>
      </c>
      <c r="AB943" s="400">
        <v>44445.786313194447</v>
      </c>
      <c r="AC943" t="s">
        <v>324</v>
      </c>
    </row>
    <row r="944" spans="1:29">
      <c r="A944" t="s">
        <v>382</v>
      </c>
      <c r="B944" t="s">
        <v>440</v>
      </c>
      <c r="C944" t="s">
        <v>1637</v>
      </c>
      <c r="D944" t="s">
        <v>1638</v>
      </c>
      <c r="E944" t="s">
        <v>390</v>
      </c>
      <c r="F944" t="s">
        <v>391</v>
      </c>
      <c r="G944">
        <v>6101766</v>
      </c>
      <c r="H944">
        <v>202108</v>
      </c>
      <c r="I944" s="400">
        <v>44439</v>
      </c>
      <c r="J944">
        <v>122536</v>
      </c>
      <c r="K944" t="s">
        <v>386</v>
      </c>
      <c r="M944" t="s">
        <v>387</v>
      </c>
      <c r="O944" t="s">
        <v>480</v>
      </c>
      <c r="P944" t="s">
        <v>481</v>
      </c>
      <c r="Q944" t="s">
        <v>450</v>
      </c>
      <c r="R944">
        <v>2069080</v>
      </c>
      <c r="S944" t="s">
        <v>387</v>
      </c>
      <c r="U944" t="s">
        <v>483</v>
      </c>
      <c r="V944" t="s">
        <v>398</v>
      </c>
      <c r="W944" s="393">
        <v>437</v>
      </c>
      <c r="X944" s="393">
        <v>0.11</v>
      </c>
      <c r="Y944" s="393">
        <v>0.98</v>
      </c>
      <c r="Z944" s="393">
        <v>437</v>
      </c>
      <c r="AA944">
        <v>0</v>
      </c>
      <c r="AB944" s="400">
        <v>44445.786313194447</v>
      </c>
      <c r="AC944" t="s">
        <v>324</v>
      </c>
    </row>
    <row r="945" spans="1:29">
      <c r="A945" t="s">
        <v>382</v>
      </c>
      <c r="B945" t="s">
        <v>440</v>
      </c>
      <c r="C945" t="s">
        <v>1637</v>
      </c>
      <c r="D945" t="s">
        <v>1638</v>
      </c>
      <c r="E945" t="s">
        <v>390</v>
      </c>
      <c r="F945" t="s">
        <v>391</v>
      </c>
      <c r="G945">
        <v>6101766</v>
      </c>
      <c r="H945">
        <v>202108</v>
      </c>
      <c r="I945" s="400">
        <v>44439</v>
      </c>
      <c r="J945">
        <v>122536</v>
      </c>
      <c r="K945" t="s">
        <v>386</v>
      </c>
      <c r="M945" t="s">
        <v>387</v>
      </c>
      <c r="O945" t="s">
        <v>480</v>
      </c>
      <c r="P945" t="s">
        <v>481</v>
      </c>
      <c r="Q945" t="s">
        <v>450</v>
      </c>
      <c r="R945">
        <v>2069080</v>
      </c>
      <c r="S945" t="s">
        <v>387</v>
      </c>
      <c r="U945" t="s">
        <v>483</v>
      </c>
      <c r="V945" t="s">
        <v>398</v>
      </c>
      <c r="W945" s="393">
        <v>437</v>
      </c>
      <c r="X945" s="393">
        <v>0.11</v>
      </c>
      <c r="Y945" s="393">
        <v>0.98</v>
      </c>
      <c r="Z945" s="393">
        <v>437</v>
      </c>
      <c r="AA945">
        <v>0</v>
      </c>
      <c r="AB945" s="400">
        <v>44445.786313194447</v>
      </c>
      <c r="AC945" t="s">
        <v>324</v>
      </c>
    </row>
    <row r="946" spans="1:29">
      <c r="A946" t="s">
        <v>382</v>
      </c>
      <c r="B946" t="s">
        <v>440</v>
      </c>
      <c r="C946" t="s">
        <v>1637</v>
      </c>
      <c r="D946" t="s">
        <v>1638</v>
      </c>
      <c r="E946" t="s">
        <v>390</v>
      </c>
      <c r="F946" t="s">
        <v>391</v>
      </c>
      <c r="G946">
        <v>6101766</v>
      </c>
      <c r="H946">
        <v>202108</v>
      </c>
      <c r="I946" s="400">
        <v>44439</v>
      </c>
      <c r="J946">
        <v>122536</v>
      </c>
      <c r="K946" t="s">
        <v>386</v>
      </c>
      <c r="M946" t="s">
        <v>387</v>
      </c>
      <c r="O946" t="s">
        <v>480</v>
      </c>
      <c r="P946" t="s">
        <v>481</v>
      </c>
      <c r="Q946" t="s">
        <v>450</v>
      </c>
      <c r="R946">
        <v>2069080</v>
      </c>
      <c r="S946" t="s">
        <v>387</v>
      </c>
      <c r="U946" t="s">
        <v>483</v>
      </c>
      <c r="V946" t="s">
        <v>398</v>
      </c>
      <c r="W946" s="393">
        <v>437</v>
      </c>
      <c r="X946" s="393">
        <v>0.11</v>
      </c>
      <c r="Y946" s="393">
        <v>0.98</v>
      </c>
      <c r="Z946" s="393">
        <v>437</v>
      </c>
      <c r="AA946">
        <v>0</v>
      </c>
      <c r="AB946" s="400">
        <v>44445.786313194447</v>
      </c>
      <c r="AC946" t="s">
        <v>324</v>
      </c>
    </row>
    <row r="947" spans="1:29">
      <c r="A947" t="s">
        <v>382</v>
      </c>
      <c r="B947" t="s">
        <v>440</v>
      </c>
      <c r="C947" t="s">
        <v>1637</v>
      </c>
      <c r="D947" t="s">
        <v>1638</v>
      </c>
      <c r="E947" t="s">
        <v>390</v>
      </c>
      <c r="F947" t="s">
        <v>391</v>
      </c>
      <c r="G947">
        <v>6101766</v>
      </c>
      <c r="H947">
        <v>202108</v>
      </c>
      <c r="I947" s="400">
        <v>44439</v>
      </c>
      <c r="J947">
        <v>122536</v>
      </c>
      <c r="K947" t="s">
        <v>386</v>
      </c>
      <c r="M947" t="s">
        <v>387</v>
      </c>
      <c r="O947" t="s">
        <v>480</v>
      </c>
      <c r="P947" t="s">
        <v>481</v>
      </c>
      <c r="Q947" t="s">
        <v>450</v>
      </c>
      <c r="R947">
        <v>2069080</v>
      </c>
      <c r="S947" t="s">
        <v>387</v>
      </c>
      <c r="U947" t="s">
        <v>483</v>
      </c>
      <c r="V947" t="s">
        <v>398</v>
      </c>
      <c r="W947" s="393">
        <v>437</v>
      </c>
      <c r="X947" s="393">
        <v>0.11</v>
      </c>
      <c r="Y947" s="393">
        <v>0.98</v>
      </c>
      <c r="Z947" s="393">
        <v>437</v>
      </c>
      <c r="AA947">
        <v>0</v>
      </c>
      <c r="AB947" s="400">
        <v>44445.786313391203</v>
      </c>
      <c r="AC947" t="s">
        <v>324</v>
      </c>
    </row>
    <row r="948" spans="1:29">
      <c r="A948" t="s">
        <v>382</v>
      </c>
      <c r="B948" t="s">
        <v>440</v>
      </c>
      <c r="C948" t="s">
        <v>1637</v>
      </c>
      <c r="D948" t="s">
        <v>1638</v>
      </c>
      <c r="E948" t="s">
        <v>390</v>
      </c>
      <c r="F948" t="s">
        <v>391</v>
      </c>
      <c r="G948">
        <v>6101855</v>
      </c>
      <c r="H948">
        <v>202108</v>
      </c>
      <c r="I948" s="400">
        <v>44439</v>
      </c>
      <c r="J948">
        <v>122536</v>
      </c>
      <c r="K948" t="s">
        <v>386</v>
      </c>
      <c r="M948" t="s">
        <v>387</v>
      </c>
      <c r="O948" t="s">
        <v>480</v>
      </c>
      <c r="P948" t="s">
        <v>481</v>
      </c>
      <c r="Q948" t="s">
        <v>450</v>
      </c>
      <c r="R948">
        <v>2069080</v>
      </c>
      <c r="S948" t="s">
        <v>387</v>
      </c>
      <c r="U948" t="s">
        <v>1645</v>
      </c>
      <c r="V948" t="s">
        <v>398</v>
      </c>
      <c r="W948" s="393">
        <v>437</v>
      </c>
      <c r="X948" s="393">
        <v>0.11</v>
      </c>
      <c r="Y948" s="393">
        <v>0.98</v>
      </c>
      <c r="Z948" s="393">
        <v>437</v>
      </c>
      <c r="AA948">
        <v>0</v>
      </c>
      <c r="AB948" s="400">
        <v>44448.02035648148</v>
      </c>
      <c r="AC948" t="s">
        <v>324</v>
      </c>
    </row>
    <row r="949" spans="1:29">
      <c r="A949" t="s">
        <v>382</v>
      </c>
      <c r="B949" t="s">
        <v>440</v>
      </c>
      <c r="C949" t="s">
        <v>1637</v>
      </c>
      <c r="D949" t="s">
        <v>1638</v>
      </c>
      <c r="E949" t="s">
        <v>390</v>
      </c>
      <c r="F949" t="s">
        <v>391</v>
      </c>
      <c r="G949">
        <v>6101855</v>
      </c>
      <c r="H949">
        <v>202108</v>
      </c>
      <c r="I949" s="400">
        <v>44439</v>
      </c>
      <c r="J949">
        <v>122536</v>
      </c>
      <c r="K949" t="s">
        <v>386</v>
      </c>
      <c r="M949" t="s">
        <v>387</v>
      </c>
      <c r="O949" t="s">
        <v>480</v>
      </c>
      <c r="P949" t="s">
        <v>481</v>
      </c>
      <c r="Q949" t="s">
        <v>450</v>
      </c>
      <c r="R949">
        <v>2069080</v>
      </c>
      <c r="S949" t="s">
        <v>387</v>
      </c>
      <c r="U949" t="s">
        <v>1645</v>
      </c>
      <c r="V949" t="s">
        <v>398</v>
      </c>
      <c r="W949" s="393">
        <v>437</v>
      </c>
      <c r="X949" s="393">
        <v>0.11</v>
      </c>
      <c r="Y949" s="393">
        <v>0.98</v>
      </c>
      <c r="Z949" s="393">
        <v>437</v>
      </c>
      <c r="AA949">
        <v>0</v>
      </c>
      <c r="AB949" s="400">
        <v>44448.020356631947</v>
      </c>
      <c r="AC949" t="s">
        <v>324</v>
      </c>
    </row>
    <row r="950" spans="1:29">
      <c r="A950" t="s">
        <v>382</v>
      </c>
      <c r="B950" t="s">
        <v>440</v>
      </c>
      <c r="C950" t="s">
        <v>1637</v>
      </c>
      <c r="D950" t="s">
        <v>1638</v>
      </c>
      <c r="E950" t="s">
        <v>390</v>
      </c>
      <c r="F950" t="s">
        <v>391</v>
      </c>
      <c r="G950">
        <v>6101766</v>
      </c>
      <c r="H950">
        <v>202108</v>
      </c>
      <c r="I950" s="400">
        <v>44439</v>
      </c>
      <c r="J950">
        <v>122536</v>
      </c>
      <c r="K950" t="s">
        <v>386</v>
      </c>
      <c r="M950" t="s">
        <v>387</v>
      </c>
      <c r="O950" t="s">
        <v>480</v>
      </c>
      <c r="P950" t="s">
        <v>481</v>
      </c>
      <c r="Q950" t="s">
        <v>450</v>
      </c>
      <c r="R950">
        <v>2069080</v>
      </c>
      <c r="S950" t="s">
        <v>387</v>
      </c>
      <c r="U950" t="s">
        <v>1647</v>
      </c>
      <c r="V950" t="s">
        <v>398</v>
      </c>
      <c r="W950" s="393">
        <v>437</v>
      </c>
      <c r="X950" s="393">
        <v>0.11</v>
      </c>
      <c r="Y950" s="393">
        <v>0.98</v>
      </c>
      <c r="Z950" s="393">
        <v>437</v>
      </c>
      <c r="AA950">
        <v>0</v>
      </c>
      <c r="AB950" s="400">
        <v>44445.78631265046</v>
      </c>
      <c r="AC950" t="s">
        <v>324</v>
      </c>
    </row>
    <row r="951" spans="1:29">
      <c r="A951" t="s">
        <v>382</v>
      </c>
      <c r="B951" t="s">
        <v>440</v>
      </c>
      <c r="C951" t="s">
        <v>1637</v>
      </c>
      <c r="D951" t="s">
        <v>1638</v>
      </c>
      <c r="E951" t="s">
        <v>390</v>
      </c>
      <c r="F951" t="s">
        <v>391</v>
      </c>
      <c r="G951">
        <v>6101766</v>
      </c>
      <c r="H951">
        <v>202108</v>
      </c>
      <c r="I951" s="400">
        <v>44439</v>
      </c>
      <c r="J951">
        <v>122536</v>
      </c>
      <c r="K951" t="s">
        <v>386</v>
      </c>
      <c r="M951" t="s">
        <v>387</v>
      </c>
      <c r="O951" t="s">
        <v>480</v>
      </c>
      <c r="P951" t="s">
        <v>481</v>
      </c>
      <c r="Q951" t="s">
        <v>450</v>
      </c>
      <c r="R951">
        <v>2069080</v>
      </c>
      <c r="S951" t="s">
        <v>387</v>
      </c>
      <c r="U951" t="s">
        <v>483</v>
      </c>
      <c r="V951" t="s">
        <v>398</v>
      </c>
      <c r="W951" s="393">
        <v>437</v>
      </c>
      <c r="X951" s="393">
        <v>0.11</v>
      </c>
      <c r="Y951" s="393">
        <v>0.98</v>
      </c>
      <c r="Z951" s="393">
        <v>437</v>
      </c>
      <c r="AA951">
        <v>0</v>
      </c>
      <c r="AB951" s="400">
        <v>44445.786312997683</v>
      </c>
      <c r="AC951" t="s">
        <v>324</v>
      </c>
    </row>
    <row r="952" spans="1:29">
      <c r="A952" t="s">
        <v>382</v>
      </c>
      <c r="B952" t="s">
        <v>440</v>
      </c>
      <c r="C952" t="s">
        <v>1637</v>
      </c>
      <c r="D952" t="s">
        <v>1638</v>
      </c>
      <c r="E952" t="s">
        <v>390</v>
      </c>
      <c r="F952" t="s">
        <v>391</v>
      </c>
      <c r="G952">
        <v>6101766</v>
      </c>
      <c r="H952">
        <v>202108</v>
      </c>
      <c r="I952" s="400">
        <v>44439</v>
      </c>
      <c r="J952">
        <v>122536</v>
      </c>
      <c r="K952" t="s">
        <v>386</v>
      </c>
      <c r="M952" t="s">
        <v>387</v>
      </c>
      <c r="O952" t="s">
        <v>480</v>
      </c>
      <c r="P952" t="s">
        <v>481</v>
      </c>
      <c r="Q952" t="s">
        <v>450</v>
      </c>
      <c r="R952">
        <v>2069080</v>
      </c>
      <c r="S952" t="s">
        <v>387</v>
      </c>
      <c r="U952" t="s">
        <v>483</v>
      </c>
      <c r="V952" t="s">
        <v>398</v>
      </c>
      <c r="W952" s="393">
        <v>437</v>
      </c>
      <c r="X952" s="393">
        <v>0.11</v>
      </c>
      <c r="Y952" s="393">
        <v>0.98</v>
      </c>
      <c r="Z952" s="393">
        <v>437</v>
      </c>
      <c r="AA952">
        <v>0</v>
      </c>
      <c r="AB952" s="400">
        <v>44445.786312997683</v>
      </c>
      <c r="AC952" t="s">
        <v>324</v>
      </c>
    </row>
    <row r="953" spans="1:29">
      <c r="A953" t="s">
        <v>382</v>
      </c>
      <c r="B953" t="s">
        <v>440</v>
      </c>
      <c r="C953" t="s">
        <v>1637</v>
      </c>
      <c r="D953" t="s">
        <v>1638</v>
      </c>
      <c r="E953" t="s">
        <v>390</v>
      </c>
      <c r="F953" t="s">
        <v>391</v>
      </c>
      <c r="G953">
        <v>6101766</v>
      </c>
      <c r="H953">
        <v>202108</v>
      </c>
      <c r="I953" s="400">
        <v>44439</v>
      </c>
      <c r="J953">
        <v>122536</v>
      </c>
      <c r="K953" t="s">
        <v>386</v>
      </c>
      <c r="M953" t="s">
        <v>387</v>
      </c>
      <c r="O953" t="s">
        <v>480</v>
      </c>
      <c r="P953" t="s">
        <v>481</v>
      </c>
      <c r="Q953" t="s">
        <v>450</v>
      </c>
      <c r="R953">
        <v>2069080</v>
      </c>
      <c r="S953" t="s">
        <v>387</v>
      </c>
      <c r="U953" t="s">
        <v>483</v>
      </c>
      <c r="V953" t="s">
        <v>398</v>
      </c>
      <c r="W953" s="393">
        <v>437</v>
      </c>
      <c r="X953" s="393">
        <v>0.11</v>
      </c>
      <c r="Y953" s="393">
        <v>0.98</v>
      </c>
      <c r="Z953" s="393">
        <v>437</v>
      </c>
      <c r="AA953">
        <v>0</v>
      </c>
      <c r="AB953" s="400">
        <v>44445.786312997683</v>
      </c>
      <c r="AC953" t="s">
        <v>324</v>
      </c>
    </row>
    <row r="954" spans="1:29">
      <c r="A954" t="s">
        <v>382</v>
      </c>
      <c r="B954" t="s">
        <v>440</v>
      </c>
      <c r="C954" t="s">
        <v>1637</v>
      </c>
      <c r="D954" t="s">
        <v>1638</v>
      </c>
      <c r="E954" t="s">
        <v>390</v>
      </c>
      <c r="F954" t="s">
        <v>391</v>
      </c>
      <c r="G954">
        <v>6101766</v>
      </c>
      <c r="H954">
        <v>202108</v>
      </c>
      <c r="I954" s="400">
        <v>44439</v>
      </c>
      <c r="J954">
        <v>122536</v>
      </c>
      <c r="K954" t="s">
        <v>386</v>
      </c>
      <c r="M954" t="s">
        <v>387</v>
      </c>
      <c r="O954" t="s">
        <v>480</v>
      </c>
      <c r="P954" t="s">
        <v>481</v>
      </c>
      <c r="Q954" t="s">
        <v>450</v>
      </c>
      <c r="R954">
        <v>2069080</v>
      </c>
      <c r="S954" t="s">
        <v>387</v>
      </c>
      <c r="U954" t="s">
        <v>1647</v>
      </c>
      <c r="V954" t="s">
        <v>398</v>
      </c>
      <c r="W954" s="393">
        <v>437</v>
      </c>
      <c r="X954" s="393">
        <v>0.11</v>
      </c>
      <c r="Y954" s="393">
        <v>0.98</v>
      </c>
      <c r="Z954" s="393">
        <v>437</v>
      </c>
      <c r="AA954">
        <v>0</v>
      </c>
      <c r="AB954" s="400">
        <v>44445.78631265046</v>
      </c>
      <c r="AC954" t="s">
        <v>324</v>
      </c>
    </row>
    <row r="955" spans="1:29">
      <c r="A955" t="s">
        <v>382</v>
      </c>
      <c r="B955" t="s">
        <v>440</v>
      </c>
      <c r="C955" t="s">
        <v>1637</v>
      </c>
      <c r="D955" t="s">
        <v>1638</v>
      </c>
      <c r="E955" t="s">
        <v>390</v>
      </c>
      <c r="F955" t="s">
        <v>391</v>
      </c>
      <c r="G955">
        <v>6101766</v>
      </c>
      <c r="H955">
        <v>202108</v>
      </c>
      <c r="I955" s="400">
        <v>44439</v>
      </c>
      <c r="J955">
        <v>122536</v>
      </c>
      <c r="K955" t="s">
        <v>386</v>
      </c>
      <c r="M955" t="s">
        <v>387</v>
      </c>
      <c r="O955" t="s">
        <v>480</v>
      </c>
      <c r="P955" t="s">
        <v>481</v>
      </c>
      <c r="Q955" t="s">
        <v>450</v>
      </c>
      <c r="R955">
        <v>2069080</v>
      </c>
      <c r="S955" t="s">
        <v>387</v>
      </c>
      <c r="U955" t="s">
        <v>483</v>
      </c>
      <c r="V955" t="s">
        <v>398</v>
      </c>
      <c r="W955" s="393">
        <v>437</v>
      </c>
      <c r="X955" s="393">
        <v>0.11</v>
      </c>
      <c r="Y955" s="393">
        <v>0.98</v>
      </c>
      <c r="Z955" s="393">
        <v>437</v>
      </c>
      <c r="AA955">
        <v>0</v>
      </c>
      <c r="AB955" s="400">
        <v>44445.786312997683</v>
      </c>
      <c r="AC955" t="s">
        <v>324</v>
      </c>
    </row>
    <row r="956" spans="1:29">
      <c r="A956" t="s">
        <v>382</v>
      </c>
      <c r="B956" t="s">
        <v>440</v>
      </c>
      <c r="C956" t="s">
        <v>1637</v>
      </c>
      <c r="D956" t="s">
        <v>1638</v>
      </c>
      <c r="E956" t="s">
        <v>390</v>
      </c>
      <c r="F956" t="s">
        <v>391</v>
      </c>
      <c r="G956">
        <v>6101840</v>
      </c>
      <c r="H956">
        <v>202108</v>
      </c>
      <c r="I956" s="400">
        <v>44439</v>
      </c>
      <c r="J956">
        <v>122536</v>
      </c>
      <c r="K956" t="s">
        <v>386</v>
      </c>
      <c r="M956" t="s">
        <v>387</v>
      </c>
      <c r="O956" t="s">
        <v>480</v>
      </c>
      <c r="P956" t="s">
        <v>481</v>
      </c>
      <c r="Q956" t="s">
        <v>450</v>
      </c>
      <c r="R956">
        <v>2069080</v>
      </c>
      <c r="S956" t="s">
        <v>387</v>
      </c>
      <c r="U956" t="s">
        <v>482</v>
      </c>
      <c r="V956" t="s">
        <v>398</v>
      </c>
      <c r="W956" s="393">
        <v>23598</v>
      </c>
      <c r="X956" s="393">
        <v>6.11</v>
      </c>
      <c r="Y956" s="393">
        <v>53.17</v>
      </c>
      <c r="Z956" s="393">
        <v>23598</v>
      </c>
      <c r="AA956">
        <v>0</v>
      </c>
      <c r="AB956" s="400">
        <v>44446.796669791664</v>
      </c>
      <c r="AC956" t="s">
        <v>324</v>
      </c>
    </row>
    <row r="957" spans="1:29">
      <c r="A957" t="s">
        <v>382</v>
      </c>
      <c r="B957" t="s">
        <v>440</v>
      </c>
      <c r="C957" t="s">
        <v>1637</v>
      </c>
      <c r="D957" t="s">
        <v>1638</v>
      </c>
      <c r="E957" t="s">
        <v>390</v>
      </c>
      <c r="F957" t="s">
        <v>391</v>
      </c>
      <c r="G957">
        <v>6101840</v>
      </c>
      <c r="H957">
        <v>202108</v>
      </c>
      <c r="I957" s="400">
        <v>44439</v>
      </c>
      <c r="J957">
        <v>122536</v>
      </c>
      <c r="K957" t="s">
        <v>386</v>
      </c>
      <c r="M957" t="s">
        <v>387</v>
      </c>
      <c r="O957" t="s">
        <v>480</v>
      </c>
      <c r="P957" t="s">
        <v>481</v>
      </c>
      <c r="Q957" t="s">
        <v>450</v>
      </c>
      <c r="R957">
        <v>2069080</v>
      </c>
      <c r="S957" t="s">
        <v>387</v>
      </c>
      <c r="U957" t="s">
        <v>485</v>
      </c>
      <c r="V957" t="s">
        <v>398</v>
      </c>
      <c r="W957" s="393">
        <v>18791</v>
      </c>
      <c r="X957" s="393">
        <v>4.8600000000000003</v>
      </c>
      <c r="Y957" s="393">
        <v>42.34</v>
      </c>
      <c r="Z957" s="393">
        <v>18791</v>
      </c>
      <c r="AA957">
        <v>0</v>
      </c>
      <c r="AB957" s="400">
        <v>44446.796669791664</v>
      </c>
      <c r="AC957" t="s">
        <v>324</v>
      </c>
    </row>
    <row r="958" spans="1:29">
      <c r="A958" t="s">
        <v>382</v>
      </c>
      <c r="B958" t="s">
        <v>440</v>
      </c>
      <c r="C958" t="s">
        <v>1637</v>
      </c>
      <c r="D958" t="s">
        <v>1638</v>
      </c>
      <c r="E958" t="s">
        <v>390</v>
      </c>
      <c r="F958" t="s">
        <v>391</v>
      </c>
      <c r="G958">
        <v>6102249</v>
      </c>
      <c r="H958">
        <v>202109</v>
      </c>
      <c r="I958" s="400">
        <v>44469</v>
      </c>
      <c r="J958" t="s">
        <v>1016</v>
      </c>
      <c r="K958" t="s">
        <v>386</v>
      </c>
      <c r="M958" t="s">
        <v>387</v>
      </c>
      <c r="O958" t="s">
        <v>480</v>
      </c>
      <c r="P958" t="s">
        <v>481</v>
      </c>
      <c r="Q958" t="s">
        <v>450</v>
      </c>
      <c r="R958">
        <v>2069080</v>
      </c>
      <c r="S958" t="s">
        <v>387</v>
      </c>
      <c r="U958" t="s">
        <v>1648</v>
      </c>
      <c r="V958" t="s">
        <v>398</v>
      </c>
      <c r="W958" s="393">
        <v>470354.5</v>
      </c>
      <c r="X958" s="393">
        <v>122.66</v>
      </c>
      <c r="Y958" s="393">
        <v>1066.56</v>
      </c>
      <c r="Z958" s="393">
        <v>470354.5</v>
      </c>
      <c r="AA958">
        <v>0</v>
      </c>
      <c r="AB958" s="400">
        <v>44474.996316666664</v>
      </c>
      <c r="AC958" t="s">
        <v>324</v>
      </c>
    </row>
    <row r="959" spans="1:29">
      <c r="A959" t="s">
        <v>382</v>
      </c>
      <c r="B959" t="s">
        <v>440</v>
      </c>
      <c r="C959" t="s">
        <v>1637</v>
      </c>
      <c r="D959" t="s">
        <v>1649</v>
      </c>
      <c r="E959" t="s">
        <v>390</v>
      </c>
      <c r="F959" t="s">
        <v>391</v>
      </c>
      <c r="G959">
        <v>6100782</v>
      </c>
      <c r="H959">
        <v>202104</v>
      </c>
      <c r="I959" s="400">
        <v>44316</v>
      </c>
      <c r="J959" t="s">
        <v>452</v>
      </c>
      <c r="K959" t="s">
        <v>386</v>
      </c>
      <c r="M959" t="s">
        <v>387</v>
      </c>
      <c r="O959" t="s">
        <v>480</v>
      </c>
      <c r="P959" t="s">
        <v>481</v>
      </c>
      <c r="Q959" t="s">
        <v>450</v>
      </c>
      <c r="R959">
        <v>2069080</v>
      </c>
      <c r="S959" t="s">
        <v>387</v>
      </c>
      <c r="U959" t="s">
        <v>1650</v>
      </c>
      <c r="V959" t="s">
        <v>398</v>
      </c>
      <c r="W959" s="393">
        <v>49.5</v>
      </c>
      <c r="X959" s="393">
        <v>0.01</v>
      </c>
      <c r="Y959" s="393">
        <v>0.11</v>
      </c>
      <c r="Z959" s="393">
        <v>49.5</v>
      </c>
      <c r="AA959">
        <v>0</v>
      </c>
      <c r="AB959" s="400">
        <v>44321.690706597219</v>
      </c>
      <c r="AC959" t="s">
        <v>324</v>
      </c>
    </row>
    <row r="960" spans="1:29">
      <c r="A960" t="s">
        <v>382</v>
      </c>
      <c r="B960" t="s">
        <v>440</v>
      </c>
      <c r="C960" t="s">
        <v>1637</v>
      </c>
      <c r="D960" t="s">
        <v>1649</v>
      </c>
      <c r="E960" t="s">
        <v>390</v>
      </c>
      <c r="F960" t="s">
        <v>391</v>
      </c>
      <c r="G960">
        <v>6100777</v>
      </c>
      <c r="H960">
        <v>202104</v>
      </c>
      <c r="I960" s="400">
        <v>44316</v>
      </c>
      <c r="J960" t="s">
        <v>452</v>
      </c>
      <c r="K960" t="s">
        <v>386</v>
      </c>
      <c r="M960" t="s">
        <v>387</v>
      </c>
      <c r="O960" t="s">
        <v>480</v>
      </c>
      <c r="P960" t="s">
        <v>481</v>
      </c>
      <c r="Q960" t="s">
        <v>450</v>
      </c>
      <c r="R960">
        <v>2069080</v>
      </c>
      <c r="S960" t="s">
        <v>387</v>
      </c>
      <c r="U960" t="s">
        <v>1651</v>
      </c>
      <c r="V960" t="s">
        <v>398</v>
      </c>
      <c r="W960" s="393">
        <v>-50</v>
      </c>
      <c r="X960" s="393">
        <v>-0.01</v>
      </c>
      <c r="Y960" s="393">
        <v>-0.11</v>
      </c>
      <c r="Z960" s="393">
        <v>-50</v>
      </c>
      <c r="AA960">
        <v>0</v>
      </c>
      <c r="AB960" s="400">
        <v>44320.914591932873</v>
      </c>
      <c r="AC960" t="s">
        <v>324</v>
      </c>
    </row>
    <row r="961" spans="1:29">
      <c r="A961" t="s">
        <v>382</v>
      </c>
      <c r="B961" t="s">
        <v>440</v>
      </c>
      <c r="C961" t="s">
        <v>1637</v>
      </c>
      <c r="D961" t="s">
        <v>1649</v>
      </c>
      <c r="E961" t="s">
        <v>390</v>
      </c>
      <c r="F961" t="s">
        <v>391</v>
      </c>
      <c r="G961">
        <v>6100771</v>
      </c>
      <c r="H961">
        <v>202104</v>
      </c>
      <c r="I961" s="400">
        <v>44316</v>
      </c>
      <c r="J961" t="s">
        <v>452</v>
      </c>
      <c r="K961" t="s">
        <v>386</v>
      </c>
      <c r="M961" t="s">
        <v>387</v>
      </c>
      <c r="O961" t="s">
        <v>480</v>
      </c>
      <c r="P961" t="s">
        <v>481</v>
      </c>
      <c r="Q961" t="s">
        <v>450</v>
      </c>
      <c r="R961">
        <v>2069080</v>
      </c>
      <c r="S961" t="s">
        <v>387</v>
      </c>
      <c r="U961" t="s">
        <v>1652</v>
      </c>
      <c r="V961" t="s">
        <v>398</v>
      </c>
      <c r="W961" s="393">
        <v>2049671.77</v>
      </c>
      <c r="X961" s="393">
        <v>553.41</v>
      </c>
      <c r="Y961" s="393">
        <v>4585.12</v>
      </c>
      <c r="Z961" s="393">
        <v>2049671.77</v>
      </c>
      <c r="AA961">
        <v>0</v>
      </c>
      <c r="AB961" s="400">
        <v>44320.793317048614</v>
      </c>
      <c r="AC961" t="s">
        <v>324</v>
      </c>
    </row>
    <row r="962" spans="1:29">
      <c r="A962" t="s">
        <v>382</v>
      </c>
      <c r="B962" t="s">
        <v>440</v>
      </c>
      <c r="C962" t="s">
        <v>1637</v>
      </c>
      <c r="D962" t="s">
        <v>1649</v>
      </c>
      <c r="E962" t="s">
        <v>390</v>
      </c>
      <c r="F962" t="s">
        <v>391</v>
      </c>
      <c r="G962">
        <v>6101188</v>
      </c>
      <c r="H962">
        <v>202106</v>
      </c>
      <c r="I962" s="400">
        <v>44377</v>
      </c>
      <c r="J962" t="s">
        <v>452</v>
      </c>
      <c r="K962" t="s">
        <v>386</v>
      </c>
      <c r="M962" t="s">
        <v>387</v>
      </c>
      <c r="O962" t="s">
        <v>480</v>
      </c>
      <c r="P962" t="s">
        <v>481</v>
      </c>
      <c r="Q962" t="s">
        <v>450</v>
      </c>
      <c r="R962">
        <v>2069080</v>
      </c>
      <c r="S962" t="s">
        <v>387</v>
      </c>
      <c r="U962" t="s">
        <v>1640</v>
      </c>
      <c r="V962" t="s">
        <v>398</v>
      </c>
      <c r="W962" s="393">
        <v>4455745.37</v>
      </c>
      <c r="X962" s="393">
        <v>1180.77</v>
      </c>
      <c r="Y962" s="393">
        <v>10029.879999999999</v>
      </c>
      <c r="Z962" s="393">
        <v>4455745.37</v>
      </c>
      <c r="AA962">
        <v>0</v>
      </c>
      <c r="AB962" s="400">
        <v>44383.219668634258</v>
      </c>
      <c r="AC962" t="s">
        <v>324</v>
      </c>
    </row>
    <row r="963" spans="1:29">
      <c r="A963" t="s">
        <v>382</v>
      </c>
      <c r="B963" t="s">
        <v>440</v>
      </c>
      <c r="C963" t="s">
        <v>1637</v>
      </c>
      <c r="D963" t="s">
        <v>1649</v>
      </c>
      <c r="E963" t="s">
        <v>390</v>
      </c>
      <c r="F963" t="s">
        <v>391</v>
      </c>
      <c r="G963">
        <v>6101453</v>
      </c>
      <c r="H963">
        <v>202107</v>
      </c>
      <c r="I963" s="400">
        <v>44407</v>
      </c>
      <c r="J963" t="s">
        <v>1016</v>
      </c>
      <c r="K963" t="s">
        <v>386</v>
      </c>
      <c r="M963" t="s">
        <v>387</v>
      </c>
      <c r="O963" t="s">
        <v>480</v>
      </c>
      <c r="P963" t="s">
        <v>481</v>
      </c>
      <c r="Q963" t="s">
        <v>450</v>
      </c>
      <c r="R963">
        <v>2069080</v>
      </c>
      <c r="S963" t="s">
        <v>387</v>
      </c>
      <c r="U963" t="s">
        <v>1653</v>
      </c>
      <c r="V963" t="s">
        <v>398</v>
      </c>
      <c r="W963" s="393">
        <v>3164724.62</v>
      </c>
      <c r="X963" s="393">
        <v>810.17</v>
      </c>
      <c r="Y963" s="393">
        <v>7000.37</v>
      </c>
      <c r="Z963" s="393">
        <v>3164724.62</v>
      </c>
      <c r="AA963">
        <v>0</v>
      </c>
      <c r="AB963" s="400">
        <v>44412.726487499996</v>
      </c>
      <c r="AC963" t="s">
        <v>324</v>
      </c>
    </row>
    <row r="964" spans="1:29">
      <c r="A964" t="s">
        <v>382</v>
      </c>
      <c r="B964" t="s">
        <v>440</v>
      </c>
      <c r="C964" t="s">
        <v>1637</v>
      </c>
      <c r="D964" t="s">
        <v>1649</v>
      </c>
      <c r="E964" t="s">
        <v>390</v>
      </c>
      <c r="F964" t="s">
        <v>391</v>
      </c>
      <c r="G964">
        <v>6101833</v>
      </c>
      <c r="H964">
        <v>202108</v>
      </c>
      <c r="I964" s="400">
        <v>44439</v>
      </c>
      <c r="J964">
        <v>122536</v>
      </c>
      <c r="K964" t="s">
        <v>386</v>
      </c>
      <c r="M964" t="s">
        <v>387</v>
      </c>
      <c r="O964" t="s">
        <v>480</v>
      </c>
      <c r="P964" t="s">
        <v>481</v>
      </c>
      <c r="Q964" t="s">
        <v>450</v>
      </c>
      <c r="R964">
        <v>2069080</v>
      </c>
      <c r="S964" t="s">
        <v>387</v>
      </c>
      <c r="U964" t="s">
        <v>1654</v>
      </c>
      <c r="V964" t="s">
        <v>398</v>
      </c>
      <c r="W964" s="393">
        <v>-33600</v>
      </c>
      <c r="X964" s="393">
        <v>-8.69</v>
      </c>
      <c r="Y964" s="393">
        <v>-75.7</v>
      </c>
      <c r="Z964" s="393">
        <v>-33600</v>
      </c>
      <c r="AA964">
        <v>0</v>
      </c>
      <c r="AB964" s="400">
        <v>44446.751416550927</v>
      </c>
      <c r="AC964" t="s">
        <v>324</v>
      </c>
    </row>
    <row r="965" spans="1:29">
      <c r="A965" t="s">
        <v>382</v>
      </c>
      <c r="B965" t="s">
        <v>440</v>
      </c>
      <c r="C965" t="s">
        <v>1637</v>
      </c>
      <c r="D965" t="s">
        <v>1649</v>
      </c>
      <c r="E965" t="s">
        <v>390</v>
      </c>
      <c r="F965" t="s">
        <v>391</v>
      </c>
      <c r="G965">
        <v>6101717</v>
      </c>
      <c r="H965">
        <v>202108</v>
      </c>
      <c r="I965" s="400">
        <v>44439</v>
      </c>
      <c r="J965">
        <v>122536</v>
      </c>
      <c r="K965" t="s">
        <v>386</v>
      </c>
      <c r="M965" t="s">
        <v>387</v>
      </c>
      <c r="O965" t="s">
        <v>480</v>
      </c>
      <c r="P965" t="s">
        <v>481</v>
      </c>
      <c r="Q965" t="s">
        <v>450</v>
      </c>
      <c r="R965">
        <v>2069080</v>
      </c>
      <c r="S965" t="s">
        <v>387</v>
      </c>
      <c r="U965" t="s">
        <v>1655</v>
      </c>
      <c r="V965" t="s">
        <v>398</v>
      </c>
      <c r="W965" s="393">
        <v>3990363.1</v>
      </c>
      <c r="X965" s="393">
        <v>1032.43</v>
      </c>
      <c r="Y965" s="393">
        <v>8990.77</v>
      </c>
      <c r="Z965" s="393">
        <v>3990363.1</v>
      </c>
      <c r="AA965">
        <v>0</v>
      </c>
      <c r="AB965" s="400">
        <v>44443.908521562502</v>
      </c>
      <c r="AC965" t="s">
        <v>324</v>
      </c>
    </row>
    <row r="966" spans="1:29">
      <c r="A966" t="s">
        <v>382</v>
      </c>
      <c r="B966" t="s">
        <v>440</v>
      </c>
      <c r="C966" t="s">
        <v>1637</v>
      </c>
      <c r="D966" t="s">
        <v>1649</v>
      </c>
      <c r="E966" t="s">
        <v>390</v>
      </c>
      <c r="F966" t="s">
        <v>391</v>
      </c>
      <c r="G966">
        <v>6102249</v>
      </c>
      <c r="H966">
        <v>202109</v>
      </c>
      <c r="I966" s="400">
        <v>44469</v>
      </c>
      <c r="J966" t="s">
        <v>1016</v>
      </c>
      <c r="K966" t="s">
        <v>386</v>
      </c>
      <c r="M966" t="s">
        <v>387</v>
      </c>
      <c r="O966" t="s">
        <v>480</v>
      </c>
      <c r="P966" t="s">
        <v>481</v>
      </c>
      <c r="Q966" t="s">
        <v>450</v>
      </c>
      <c r="R966">
        <v>2069080</v>
      </c>
      <c r="S966" t="s">
        <v>387</v>
      </c>
      <c r="U966" t="s">
        <v>1656</v>
      </c>
      <c r="V966" t="s">
        <v>398</v>
      </c>
      <c r="W966" s="393">
        <v>4029589.33</v>
      </c>
      <c r="X966" s="393">
        <v>1050.8399999999999</v>
      </c>
      <c r="Y966" s="393">
        <v>9137.34</v>
      </c>
      <c r="Z966" s="393">
        <v>4029589.33</v>
      </c>
      <c r="AA966">
        <v>0</v>
      </c>
      <c r="AB966" s="400">
        <v>44474.996316666664</v>
      </c>
      <c r="AC966" t="s">
        <v>324</v>
      </c>
    </row>
    <row r="967" spans="1:29">
      <c r="A967" t="s">
        <v>382</v>
      </c>
      <c r="B967" t="s">
        <v>440</v>
      </c>
      <c r="C967" t="s">
        <v>1637</v>
      </c>
      <c r="D967" t="s">
        <v>1657</v>
      </c>
      <c r="E967" t="s">
        <v>390</v>
      </c>
      <c r="F967" t="s">
        <v>391</v>
      </c>
      <c r="G967">
        <v>6100771</v>
      </c>
      <c r="H967">
        <v>202104</v>
      </c>
      <c r="I967" s="400">
        <v>44316</v>
      </c>
      <c r="J967" t="s">
        <v>452</v>
      </c>
      <c r="K967" t="s">
        <v>386</v>
      </c>
      <c r="M967" t="s">
        <v>387</v>
      </c>
      <c r="O967" t="s">
        <v>480</v>
      </c>
      <c r="P967" t="s">
        <v>481</v>
      </c>
      <c r="Q967" t="s">
        <v>450</v>
      </c>
      <c r="R967">
        <v>2069080</v>
      </c>
      <c r="S967" t="s">
        <v>387</v>
      </c>
      <c r="U967" t="s">
        <v>1639</v>
      </c>
      <c r="V967" t="s">
        <v>398</v>
      </c>
      <c r="W967" s="393">
        <v>974650</v>
      </c>
      <c r="X967" s="393">
        <v>263.16000000000003</v>
      </c>
      <c r="Y967" s="393">
        <v>2180.29</v>
      </c>
      <c r="Z967" s="393">
        <v>974650</v>
      </c>
      <c r="AA967">
        <v>60</v>
      </c>
      <c r="AB967" s="400">
        <v>44320.793316898147</v>
      </c>
      <c r="AC967" t="s">
        <v>324</v>
      </c>
    </row>
    <row r="968" spans="1:29">
      <c r="A968" t="s">
        <v>382</v>
      </c>
      <c r="B968" t="s">
        <v>440</v>
      </c>
      <c r="C968" t="s">
        <v>1637</v>
      </c>
      <c r="D968" t="s">
        <v>1657</v>
      </c>
      <c r="E968" t="s">
        <v>390</v>
      </c>
      <c r="F968" t="s">
        <v>391</v>
      </c>
      <c r="G968">
        <v>6101188</v>
      </c>
      <c r="H968">
        <v>202106</v>
      </c>
      <c r="I968" s="400">
        <v>44377</v>
      </c>
      <c r="J968" t="s">
        <v>452</v>
      </c>
      <c r="K968" t="s">
        <v>386</v>
      </c>
      <c r="M968" t="s">
        <v>387</v>
      </c>
      <c r="O968" t="s">
        <v>480</v>
      </c>
      <c r="P968" t="s">
        <v>481</v>
      </c>
      <c r="Q968" t="s">
        <v>450</v>
      </c>
      <c r="R968">
        <v>2069080</v>
      </c>
      <c r="S968" t="s">
        <v>387</v>
      </c>
      <c r="U968" t="s">
        <v>1640</v>
      </c>
      <c r="V968" t="s">
        <v>398</v>
      </c>
      <c r="W968" s="393">
        <v>100000</v>
      </c>
      <c r="X968" s="393">
        <v>26.5</v>
      </c>
      <c r="Y968" s="393">
        <v>225.1</v>
      </c>
      <c r="Z968" s="393">
        <v>100000</v>
      </c>
      <c r="AA968">
        <v>205</v>
      </c>
      <c r="AB968" s="400">
        <v>44383.219668634258</v>
      </c>
      <c r="AC968" t="s">
        <v>324</v>
      </c>
    </row>
    <row r="969" spans="1:29">
      <c r="A969" t="s">
        <v>382</v>
      </c>
      <c r="B969" t="s">
        <v>440</v>
      </c>
      <c r="C969" t="s">
        <v>1637</v>
      </c>
      <c r="D969" t="s">
        <v>1657</v>
      </c>
      <c r="E969" t="s">
        <v>390</v>
      </c>
      <c r="F969" t="s">
        <v>391</v>
      </c>
      <c r="G969">
        <v>6101475</v>
      </c>
      <c r="H969">
        <v>202107</v>
      </c>
      <c r="I969" s="400">
        <v>44407</v>
      </c>
      <c r="J969" t="s">
        <v>1016</v>
      </c>
      <c r="K969" t="s">
        <v>386</v>
      </c>
      <c r="M969" t="s">
        <v>387</v>
      </c>
      <c r="O969" t="s">
        <v>480</v>
      </c>
      <c r="P969" t="s">
        <v>481</v>
      </c>
      <c r="Q969" t="s">
        <v>450</v>
      </c>
      <c r="R969">
        <v>2069080</v>
      </c>
      <c r="S969" t="s">
        <v>387</v>
      </c>
      <c r="U969" t="s">
        <v>1658</v>
      </c>
      <c r="V969" t="s">
        <v>398</v>
      </c>
      <c r="W969" s="393">
        <v>2300</v>
      </c>
      <c r="X969" s="393">
        <v>0.59</v>
      </c>
      <c r="Y969" s="393">
        <v>5.09</v>
      </c>
      <c r="Z969" s="393">
        <v>2300</v>
      </c>
      <c r="AA969">
        <v>0</v>
      </c>
      <c r="AB969" s="400">
        <v>44413.018944675925</v>
      </c>
      <c r="AC969" t="s">
        <v>324</v>
      </c>
    </row>
    <row r="970" spans="1:29">
      <c r="A970" t="s">
        <v>382</v>
      </c>
      <c r="B970" t="s">
        <v>440</v>
      </c>
      <c r="C970" t="s">
        <v>1637</v>
      </c>
      <c r="D970" t="s">
        <v>1657</v>
      </c>
      <c r="E970" t="s">
        <v>390</v>
      </c>
      <c r="F970" t="s">
        <v>391</v>
      </c>
      <c r="G970">
        <v>6101475</v>
      </c>
      <c r="H970">
        <v>202107</v>
      </c>
      <c r="I970" s="400">
        <v>44407</v>
      </c>
      <c r="J970" t="s">
        <v>1016</v>
      </c>
      <c r="K970" t="s">
        <v>386</v>
      </c>
      <c r="M970" t="s">
        <v>387</v>
      </c>
      <c r="O970" t="s">
        <v>480</v>
      </c>
      <c r="P970" t="s">
        <v>481</v>
      </c>
      <c r="Q970" t="s">
        <v>450</v>
      </c>
      <c r="R970">
        <v>2069080</v>
      </c>
      <c r="S970" t="s">
        <v>387</v>
      </c>
      <c r="U970" t="s">
        <v>1658</v>
      </c>
      <c r="V970" t="s">
        <v>398</v>
      </c>
      <c r="W970" s="393">
        <v>2300</v>
      </c>
      <c r="X970" s="393">
        <v>0.59</v>
      </c>
      <c r="Y970" s="393">
        <v>5.09</v>
      </c>
      <c r="Z970" s="393">
        <v>2300</v>
      </c>
      <c r="AA970">
        <v>0</v>
      </c>
      <c r="AB970" s="400">
        <v>44413.018944675925</v>
      </c>
      <c r="AC970" t="s">
        <v>324</v>
      </c>
    </row>
    <row r="971" spans="1:29">
      <c r="A971" t="s">
        <v>382</v>
      </c>
      <c r="B971" t="s">
        <v>440</v>
      </c>
      <c r="C971" t="s">
        <v>1637</v>
      </c>
      <c r="D971" t="s">
        <v>1657</v>
      </c>
      <c r="E971" t="s">
        <v>390</v>
      </c>
      <c r="F971" t="s">
        <v>391</v>
      </c>
      <c r="G971">
        <v>6101475</v>
      </c>
      <c r="H971">
        <v>202107</v>
      </c>
      <c r="I971" s="400">
        <v>44407</v>
      </c>
      <c r="J971" t="s">
        <v>1016</v>
      </c>
      <c r="K971" t="s">
        <v>386</v>
      </c>
      <c r="M971" t="s">
        <v>387</v>
      </c>
      <c r="O971" t="s">
        <v>480</v>
      </c>
      <c r="P971" t="s">
        <v>481</v>
      </c>
      <c r="Q971" t="s">
        <v>450</v>
      </c>
      <c r="R971">
        <v>2069080</v>
      </c>
      <c r="S971" t="s">
        <v>387</v>
      </c>
      <c r="U971" t="s">
        <v>1658</v>
      </c>
      <c r="V971" t="s">
        <v>398</v>
      </c>
      <c r="W971" s="393">
        <v>2300</v>
      </c>
      <c r="X971" s="393">
        <v>0.59</v>
      </c>
      <c r="Y971" s="393">
        <v>5.09</v>
      </c>
      <c r="Z971" s="393">
        <v>2300</v>
      </c>
      <c r="AA971">
        <v>0</v>
      </c>
      <c r="AB971" s="400">
        <v>44413.018944675925</v>
      </c>
      <c r="AC971" t="s">
        <v>324</v>
      </c>
    </row>
    <row r="972" spans="1:29">
      <c r="A972" t="s">
        <v>382</v>
      </c>
      <c r="B972" t="s">
        <v>440</v>
      </c>
      <c r="C972" t="s">
        <v>1637</v>
      </c>
      <c r="D972" t="s">
        <v>1657</v>
      </c>
      <c r="E972" t="s">
        <v>390</v>
      </c>
      <c r="F972" t="s">
        <v>391</v>
      </c>
      <c r="G972">
        <v>6101475</v>
      </c>
      <c r="H972">
        <v>202107</v>
      </c>
      <c r="I972" s="400">
        <v>44407</v>
      </c>
      <c r="J972" t="s">
        <v>1016</v>
      </c>
      <c r="K972" t="s">
        <v>386</v>
      </c>
      <c r="M972" t="s">
        <v>387</v>
      </c>
      <c r="O972" t="s">
        <v>480</v>
      </c>
      <c r="P972" t="s">
        <v>481</v>
      </c>
      <c r="Q972" t="s">
        <v>450</v>
      </c>
      <c r="R972">
        <v>2069080</v>
      </c>
      <c r="S972" t="s">
        <v>387</v>
      </c>
      <c r="U972" t="s">
        <v>1658</v>
      </c>
      <c r="V972" t="s">
        <v>398</v>
      </c>
      <c r="W972" s="393">
        <v>2300</v>
      </c>
      <c r="X972" s="393">
        <v>0.59</v>
      </c>
      <c r="Y972" s="393">
        <v>5.09</v>
      </c>
      <c r="Z972" s="393">
        <v>2300</v>
      </c>
      <c r="AA972">
        <v>0</v>
      </c>
      <c r="AB972" s="400">
        <v>44413.018944675925</v>
      </c>
      <c r="AC972" t="s">
        <v>324</v>
      </c>
    </row>
    <row r="973" spans="1:29">
      <c r="A973" t="s">
        <v>382</v>
      </c>
      <c r="B973" t="s">
        <v>440</v>
      </c>
      <c r="C973" t="s">
        <v>1637</v>
      </c>
      <c r="D973" t="s">
        <v>1657</v>
      </c>
      <c r="E973" t="s">
        <v>390</v>
      </c>
      <c r="F973" t="s">
        <v>391</v>
      </c>
      <c r="G973">
        <v>6101475</v>
      </c>
      <c r="H973">
        <v>202107</v>
      </c>
      <c r="I973" s="400">
        <v>44407</v>
      </c>
      <c r="J973" t="s">
        <v>1016</v>
      </c>
      <c r="K973" t="s">
        <v>386</v>
      </c>
      <c r="M973" t="s">
        <v>387</v>
      </c>
      <c r="O973" t="s">
        <v>480</v>
      </c>
      <c r="P973" t="s">
        <v>481</v>
      </c>
      <c r="Q973" t="s">
        <v>450</v>
      </c>
      <c r="R973">
        <v>2069080</v>
      </c>
      <c r="S973" t="s">
        <v>387</v>
      </c>
      <c r="U973" t="s">
        <v>1658</v>
      </c>
      <c r="V973" t="s">
        <v>398</v>
      </c>
      <c r="W973" s="393">
        <v>2300</v>
      </c>
      <c r="X973" s="393">
        <v>0.59</v>
      </c>
      <c r="Y973" s="393">
        <v>5.09</v>
      </c>
      <c r="Z973" s="393">
        <v>2300</v>
      </c>
      <c r="AA973">
        <v>0</v>
      </c>
      <c r="AB973" s="400">
        <v>44413.018944675925</v>
      </c>
      <c r="AC973" t="s">
        <v>324</v>
      </c>
    </row>
    <row r="974" spans="1:29">
      <c r="A974" t="s">
        <v>382</v>
      </c>
      <c r="B974" t="s">
        <v>440</v>
      </c>
      <c r="C974" t="s">
        <v>1637</v>
      </c>
      <c r="D974" t="s">
        <v>1657</v>
      </c>
      <c r="E974" t="s">
        <v>390</v>
      </c>
      <c r="F974" t="s">
        <v>391</v>
      </c>
      <c r="G974">
        <v>6101475</v>
      </c>
      <c r="H974">
        <v>202107</v>
      </c>
      <c r="I974" s="400">
        <v>44407</v>
      </c>
      <c r="J974" t="s">
        <v>1016</v>
      </c>
      <c r="K974" t="s">
        <v>386</v>
      </c>
      <c r="M974" t="s">
        <v>387</v>
      </c>
      <c r="O974" t="s">
        <v>480</v>
      </c>
      <c r="P974" t="s">
        <v>481</v>
      </c>
      <c r="Q974" t="s">
        <v>450</v>
      </c>
      <c r="R974">
        <v>2069080</v>
      </c>
      <c r="S974" t="s">
        <v>387</v>
      </c>
      <c r="U974" t="s">
        <v>1658</v>
      </c>
      <c r="V974" t="s">
        <v>398</v>
      </c>
      <c r="W974" s="393">
        <v>2300</v>
      </c>
      <c r="X974" s="393">
        <v>0.59</v>
      </c>
      <c r="Y974" s="393">
        <v>5.09</v>
      </c>
      <c r="Z974" s="393">
        <v>2300</v>
      </c>
      <c r="AA974">
        <v>0</v>
      </c>
      <c r="AB974" s="400">
        <v>44413.018944872689</v>
      </c>
      <c r="AC974" t="s">
        <v>324</v>
      </c>
    </row>
    <row r="975" spans="1:29">
      <c r="A975" t="s">
        <v>382</v>
      </c>
      <c r="B975" t="s">
        <v>440</v>
      </c>
      <c r="C975" t="s">
        <v>1637</v>
      </c>
      <c r="D975" t="s">
        <v>1657</v>
      </c>
      <c r="E975" t="s">
        <v>390</v>
      </c>
      <c r="F975" t="s">
        <v>391</v>
      </c>
      <c r="G975">
        <v>6101475</v>
      </c>
      <c r="H975">
        <v>202107</v>
      </c>
      <c r="I975" s="400">
        <v>44407</v>
      </c>
      <c r="J975" t="s">
        <v>1016</v>
      </c>
      <c r="K975" t="s">
        <v>386</v>
      </c>
      <c r="M975" t="s">
        <v>387</v>
      </c>
      <c r="O975" t="s">
        <v>480</v>
      </c>
      <c r="P975" t="s">
        <v>481</v>
      </c>
      <c r="Q975" t="s">
        <v>450</v>
      </c>
      <c r="R975">
        <v>2069080</v>
      </c>
      <c r="S975" t="s">
        <v>387</v>
      </c>
      <c r="U975" t="s">
        <v>1658</v>
      </c>
      <c r="V975" t="s">
        <v>398</v>
      </c>
      <c r="W975" s="393">
        <v>2300</v>
      </c>
      <c r="X975" s="393">
        <v>0.59</v>
      </c>
      <c r="Y975" s="393">
        <v>5.09</v>
      </c>
      <c r="Z975" s="393">
        <v>2300</v>
      </c>
      <c r="AA975">
        <v>0</v>
      </c>
      <c r="AB975" s="400">
        <v>44413.018944872689</v>
      </c>
      <c r="AC975" t="s">
        <v>324</v>
      </c>
    </row>
    <row r="976" spans="1:29">
      <c r="A976" t="s">
        <v>382</v>
      </c>
      <c r="B976" t="s">
        <v>440</v>
      </c>
      <c r="C976" t="s">
        <v>1637</v>
      </c>
      <c r="D976" t="s">
        <v>1657</v>
      </c>
      <c r="E976" t="s">
        <v>390</v>
      </c>
      <c r="F976" t="s">
        <v>391</v>
      </c>
      <c r="G976">
        <v>6101475</v>
      </c>
      <c r="H976">
        <v>202107</v>
      </c>
      <c r="I976" s="400">
        <v>44407</v>
      </c>
      <c r="J976" t="s">
        <v>1016</v>
      </c>
      <c r="K976" t="s">
        <v>386</v>
      </c>
      <c r="M976" t="s">
        <v>387</v>
      </c>
      <c r="O976" t="s">
        <v>480</v>
      </c>
      <c r="P976" t="s">
        <v>481</v>
      </c>
      <c r="Q976" t="s">
        <v>450</v>
      </c>
      <c r="R976">
        <v>2069080</v>
      </c>
      <c r="S976" t="s">
        <v>387</v>
      </c>
      <c r="U976" t="s">
        <v>1658</v>
      </c>
      <c r="V976" t="s">
        <v>398</v>
      </c>
      <c r="W976" s="393">
        <v>2300</v>
      </c>
      <c r="X976" s="393">
        <v>0.59</v>
      </c>
      <c r="Y976" s="393">
        <v>5.09</v>
      </c>
      <c r="Z976" s="393">
        <v>2300</v>
      </c>
      <c r="AA976">
        <v>0</v>
      </c>
      <c r="AB976" s="400">
        <v>44413.018944872689</v>
      </c>
      <c r="AC976" t="s">
        <v>324</v>
      </c>
    </row>
    <row r="977" spans="1:29">
      <c r="A977" t="s">
        <v>382</v>
      </c>
      <c r="B977" t="s">
        <v>440</v>
      </c>
      <c r="C977" t="s">
        <v>1637</v>
      </c>
      <c r="D977" t="s">
        <v>1657</v>
      </c>
      <c r="E977" t="s">
        <v>390</v>
      </c>
      <c r="F977" t="s">
        <v>391</v>
      </c>
      <c r="G977">
        <v>6101475</v>
      </c>
      <c r="H977">
        <v>202107</v>
      </c>
      <c r="I977" s="400">
        <v>44407</v>
      </c>
      <c r="J977" t="s">
        <v>1016</v>
      </c>
      <c r="K977" t="s">
        <v>386</v>
      </c>
      <c r="M977" t="s">
        <v>387</v>
      </c>
      <c r="O977" t="s">
        <v>480</v>
      </c>
      <c r="P977" t="s">
        <v>481</v>
      </c>
      <c r="Q977" t="s">
        <v>450</v>
      </c>
      <c r="R977">
        <v>2069080</v>
      </c>
      <c r="S977" t="s">
        <v>387</v>
      </c>
      <c r="U977" t="s">
        <v>1658</v>
      </c>
      <c r="V977" t="s">
        <v>398</v>
      </c>
      <c r="W977" s="393">
        <v>2300</v>
      </c>
      <c r="X977" s="393">
        <v>0.59</v>
      </c>
      <c r="Y977" s="393">
        <v>5.09</v>
      </c>
      <c r="Z977" s="393">
        <v>2300</v>
      </c>
      <c r="AA977">
        <v>0</v>
      </c>
      <c r="AB977" s="400">
        <v>44413.018944872689</v>
      </c>
      <c r="AC977" t="s">
        <v>324</v>
      </c>
    </row>
    <row r="978" spans="1:29">
      <c r="A978" t="s">
        <v>382</v>
      </c>
      <c r="B978" t="s">
        <v>440</v>
      </c>
      <c r="C978" t="s">
        <v>1637</v>
      </c>
      <c r="D978" t="s">
        <v>1657</v>
      </c>
      <c r="E978" t="s">
        <v>390</v>
      </c>
      <c r="F978" t="s">
        <v>391</v>
      </c>
      <c r="G978">
        <v>6101475</v>
      </c>
      <c r="H978">
        <v>202107</v>
      </c>
      <c r="I978" s="400">
        <v>44407</v>
      </c>
      <c r="J978" t="s">
        <v>1016</v>
      </c>
      <c r="K978" t="s">
        <v>386</v>
      </c>
      <c r="M978" t="s">
        <v>387</v>
      </c>
      <c r="O978" t="s">
        <v>480</v>
      </c>
      <c r="P978" t="s">
        <v>481</v>
      </c>
      <c r="Q978" t="s">
        <v>450</v>
      </c>
      <c r="R978">
        <v>2069080</v>
      </c>
      <c r="S978" t="s">
        <v>387</v>
      </c>
      <c r="U978" t="s">
        <v>1658</v>
      </c>
      <c r="V978" t="s">
        <v>398</v>
      </c>
      <c r="W978" s="393">
        <v>2300</v>
      </c>
      <c r="X978" s="393">
        <v>0.59</v>
      </c>
      <c r="Y978" s="393">
        <v>5.09</v>
      </c>
      <c r="Z978" s="393">
        <v>2300</v>
      </c>
      <c r="AA978">
        <v>0</v>
      </c>
      <c r="AB978" s="400">
        <v>44413.018944872689</v>
      </c>
      <c r="AC978" t="s">
        <v>324</v>
      </c>
    </row>
    <row r="979" spans="1:29">
      <c r="A979" t="s">
        <v>382</v>
      </c>
      <c r="B979" t="s">
        <v>440</v>
      </c>
      <c r="C979" t="s">
        <v>1637</v>
      </c>
      <c r="D979" t="s">
        <v>1657</v>
      </c>
      <c r="E979" t="s">
        <v>390</v>
      </c>
      <c r="F979" t="s">
        <v>391</v>
      </c>
      <c r="G979">
        <v>6101475</v>
      </c>
      <c r="H979">
        <v>202107</v>
      </c>
      <c r="I979" s="400">
        <v>44407</v>
      </c>
      <c r="J979" t="s">
        <v>1016</v>
      </c>
      <c r="K979" t="s">
        <v>386</v>
      </c>
      <c r="M979" t="s">
        <v>387</v>
      </c>
      <c r="O979" t="s">
        <v>480</v>
      </c>
      <c r="P979" t="s">
        <v>481</v>
      </c>
      <c r="Q979" t="s">
        <v>450</v>
      </c>
      <c r="R979">
        <v>2069080</v>
      </c>
      <c r="S979" t="s">
        <v>387</v>
      </c>
      <c r="U979" t="s">
        <v>1658</v>
      </c>
      <c r="V979" t="s">
        <v>398</v>
      </c>
      <c r="W979" s="393">
        <v>2300</v>
      </c>
      <c r="X979" s="393">
        <v>0.59</v>
      </c>
      <c r="Y979" s="393">
        <v>5.09</v>
      </c>
      <c r="Z979" s="393">
        <v>2300</v>
      </c>
      <c r="AA979">
        <v>0</v>
      </c>
      <c r="AB979" s="400">
        <v>44413.018945057869</v>
      </c>
      <c r="AC979" t="s">
        <v>324</v>
      </c>
    </row>
    <row r="980" spans="1:29">
      <c r="A980" t="s">
        <v>382</v>
      </c>
      <c r="B980" t="s">
        <v>440</v>
      </c>
      <c r="C980" t="s">
        <v>1637</v>
      </c>
      <c r="D980" t="s">
        <v>1657</v>
      </c>
      <c r="E980" t="s">
        <v>390</v>
      </c>
      <c r="F980" t="s">
        <v>391</v>
      </c>
      <c r="G980">
        <v>6101475</v>
      </c>
      <c r="H980">
        <v>202107</v>
      </c>
      <c r="I980" s="400">
        <v>44407</v>
      </c>
      <c r="J980" t="s">
        <v>1016</v>
      </c>
      <c r="K980" t="s">
        <v>386</v>
      </c>
      <c r="M980" t="s">
        <v>387</v>
      </c>
      <c r="O980" t="s">
        <v>480</v>
      </c>
      <c r="P980" t="s">
        <v>481</v>
      </c>
      <c r="Q980" t="s">
        <v>450</v>
      </c>
      <c r="R980">
        <v>2069080</v>
      </c>
      <c r="S980" t="s">
        <v>387</v>
      </c>
      <c r="U980" t="s">
        <v>1658</v>
      </c>
      <c r="V980" t="s">
        <v>398</v>
      </c>
      <c r="W980" s="393">
        <v>2300</v>
      </c>
      <c r="X980" s="393">
        <v>0.59</v>
      </c>
      <c r="Y980" s="393">
        <v>5.09</v>
      </c>
      <c r="Z980" s="393">
        <v>2300</v>
      </c>
      <c r="AA980">
        <v>0</v>
      </c>
      <c r="AB980" s="400">
        <v>44413.018945057869</v>
      </c>
      <c r="AC980" t="s">
        <v>324</v>
      </c>
    </row>
    <row r="981" spans="1:29">
      <c r="A981" t="s">
        <v>382</v>
      </c>
      <c r="B981" t="s">
        <v>440</v>
      </c>
      <c r="C981" t="s">
        <v>1637</v>
      </c>
      <c r="D981" t="s">
        <v>1657</v>
      </c>
      <c r="E981" t="s">
        <v>390</v>
      </c>
      <c r="F981" t="s">
        <v>391</v>
      </c>
      <c r="G981">
        <v>6101475</v>
      </c>
      <c r="H981">
        <v>202107</v>
      </c>
      <c r="I981" s="400">
        <v>44407</v>
      </c>
      <c r="J981" t="s">
        <v>1016</v>
      </c>
      <c r="K981" t="s">
        <v>386</v>
      </c>
      <c r="M981" t="s">
        <v>387</v>
      </c>
      <c r="O981" t="s">
        <v>480</v>
      </c>
      <c r="P981" t="s">
        <v>481</v>
      </c>
      <c r="Q981" t="s">
        <v>450</v>
      </c>
      <c r="R981">
        <v>2069080</v>
      </c>
      <c r="S981" t="s">
        <v>387</v>
      </c>
      <c r="U981" t="s">
        <v>1658</v>
      </c>
      <c r="V981" t="s">
        <v>398</v>
      </c>
      <c r="W981" s="393">
        <v>2300</v>
      </c>
      <c r="X981" s="393">
        <v>0.59</v>
      </c>
      <c r="Y981" s="393">
        <v>5.09</v>
      </c>
      <c r="Z981" s="393">
        <v>2300</v>
      </c>
      <c r="AA981">
        <v>0</v>
      </c>
      <c r="AB981" s="400">
        <v>44413.018945057869</v>
      </c>
      <c r="AC981" t="s">
        <v>324</v>
      </c>
    </row>
    <row r="982" spans="1:29">
      <c r="A982" t="s">
        <v>382</v>
      </c>
      <c r="B982" t="s">
        <v>440</v>
      </c>
      <c r="C982" t="s">
        <v>1637</v>
      </c>
      <c r="D982" t="s">
        <v>1657</v>
      </c>
      <c r="E982" t="s">
        <v>390</v>
      </c>
      <c r="F982" t="s">
        <v>391</v>
      </c>
      <c r="G982">
        <v>6101475</v>
      </c>
      <c r="H982">
        <v>202107</v>
      </c>
      <c r="I982" s="400">
        <v>44407</v>
      </c>
      <c r="J982" t="s">
        <v>1016</v>
      </c>
      <c r="K982" t="s">
        <v>386</v>
      </c>
      <c r="M982" t="s">
        <v>387</v>
      </c>
      <c r="O982" t="s">
        <v>480</v>
      </c>
      <c r="P982" t="s">
        <v>481</v>
      </c>
      <c r="Q982" t="s">
        <v>450</v>
      </c>
      <c r="R982">
        <v>2069080</v>
      </c>
      <c r="S982" t="s">
        <v>387</v>
      </c>
      <c r="U982" t="s">
        <v>1658</v>
      </c>
      <c r="V982" t="s">
        <v>398</v>
      </c>
      <c r="W982" s="393">
        <v>2300</v>
      </c>
      <c r="X982" s="393">
        <v>0.59</v>
      </c>
      <c r="Y982" s="393">
        <v>5.09</v>
      </c>
      <c r="Z982" s="393">
        <v>2300</v>
      </c>
      <c r="AA982">
        <v>0</v>
      </c>
      <c r="AB982" s="400">
        <v>44413.018945057869</v>
      </c>
      <c r="AC982" t="s">
        <v>324</v>
      </c>
    </row>
    <row r="983" spans="1:29">
      <c r="A983" t="s">
        <v>382</v>
      </c>
      <c r="B983" t="s">
        <v>440</v>
      </c>
      <c r="C983" t="s">
        <v>1637</v>
      </c>
      <c r="D983" t="s">
        <v>1657</v>
      </c>
      <c r="E983" t="s">
        <v>390</v>
      </c>
      <c r="F983" t="s">
        <v>391</v>
      </c>
      <c r="G983">
        <v>6101475</v>
      </c>
      <c r="H983">
        <v>202107</v>
      </c>
      <c r="I983" s="400">
        <v>44407</v>
      </c>
      <c r="J983" t="s">
        <v>1016</v>
      </c>
      <c r="K983" t="s">
        <v>386</v>
      </c>
      <c r="M983" t="s">
        <v>387</v>
      </c>
      <c r="O983" t="s">
        <v>480</v>
      </c>
      <c r="P983" t="s">
        <v>481</v>
      </c>
      <c r="Q983" t="s">
        <v>450</v>
      </c>
      <c r="R983">
        <v>2069080</v>
      </c>
      <c r="S983" t="s">
        <v>387</v>
      </c>
      <c r="U983" t="s">
        <v>1658</v>
      </c>
      <c r="V983" t="s">
        <v>398</v>
      </c>
      <c r="W983" s="393">
        <v>2300</v>
      </c>
      <c r="X983" s="393">
        <v>0.59</v>
      </c>
      <c r="Y983" s="393">
        <v>5.09</v>
      </c>
      <c r="Z983" s="393">
        <v>2300</v>
      </c>
      <c r="AA983">
        <v>0</v>
      </c>
      <c r="AB983" s="400">
        <v>44413.018945057869</v>
      </c>
      <c r="AC983" t="s">
        <v>324</v>
      </c>
    </row>
    <row r="984" spans="1:29">
      <c r="A984" t="s">
        <v>382</v>
      </c>
      <c r="B984" t="s">
        <v>440</v>
      </c>
      <c r="C984" t="s">
        <v>1637</v>
      </c>
      <c r="D984" t="s">
        <v>1657</v>
      </c>
      <c r="E984" t="s">
        <v>390</v>
      </c>
      <c r="F984" t="s">
        <v>391</v>
      </c>
      <c r="G984">
        <v>6101475</v>
      </c>
      <c r="H984">
        <v>202107</v>
      </c>
      <c r="I984" s="400">
        <v>44407</v>
      </c>
      <c r="J984" t="s">
        <v>1016</v>
      </c>
      <c r="K984" t="s">
        <v>386</v>
      </c>
      <c r="M984" t="s">
        <v>387</v>
      </c>
      <c r="O984" t="s">
        <v>480</v>
      </c>
      <c r="P984" t="s">
        <v>481</v>
      </c>
      <c r="Q984" t="s">
        <v>450</v>
      </c>
      <c r="R984">
        <v>2069080</v>
      </c>
      <c r="S984" t="s">
        <v>387</v>
      </c>
      <c r="U984" t="s">
        <v>1658</v>
      </c>
      <c r="V984" t="s">
        <v>398</v>
      </c>
      <c r="W984" s="393">
        <v>2300</v>
      </c>
      <c r="X984" s="393">
        <v>0.59</v>
      </c>
      <c r="Y984" s="393">
        <v>5.09</v>
      </c>
      <c r="Z984" s="393">
        <v>2300</v>
      </c>
      <c r="AA984">
        <v>0</v>
      </c>
      <c r="AB984" s="400">
        <v>44413.018945057869</v>
      </c>
      <c r="AC984" t="s">
        <v>324</v>
      </c>
    </row>
    <row r="985" spans="1:29">
      <c r="A985" t="s">
        <v>382</v>
      </c>
      <c r="B985" t="s">
        <v>440</v>
      </c>
      <c r="C985" t="s">
        <v>1637</v>
      </c>
      <c r="D985" t="s">
        <v>1657</v>
      </c>
      <c r="E985" t="s">
        <v>390</v>
      </c>
      <c r="F985" t="s">
        <v>391</v>
      </c>
      <c r="G985">
        <v>6101475</v>
      </c>
      <c r="H985">
        <v>202107</v>
      </c>
      <c r="I985" s="400">
        <v>44407</v>
      </c>
      <c r="J985" t="s">
        <v>1016</v>
      </c>
      <c r="K985" t="s">
        <v>386</v>
      </c>
      <c r="M985" t="s">
        <v>387</v>
      </c>
      <c r="O985" t="s">
        <v>480</v>
      </c>
      <c r="P985" t="s">
        <v>481</v>
      </c>
      <c r="Q985" t="s">
        <v>450</v>
      </c>
      <c r="R985">
        <v>2069080</v>
      </c>
      <c r="S985" t="s">
        <v>387</v>
      </c>
      <c r="U985" t="s">
        <v>1658</v>
      </c>
      <c r="V985" t="s">
        <v>398</v>
      </c>
      <c r="W985" s="393">
        <v>2300</v>
      </c>
      <c r="X985" s="393">
        <v>0.59</v>
      </c>
      <c r="Y985" s="393">
        <v>5.09</v>
      </c>
      <c r="Z985" s="393">
        <v>2300</v>
      </c>
      <c r="AA985">
        <v>0</v>
      </c>
      <c r="AB985" s="400">
        <v>44413.018945254633</v>
      </c>
      <c r="AC985" t="s">
        <v>324</v>
      </c>
    </row>
    <row r="986" spans="1:29">
      <c r="A986" t="s">
        <v>382</v>
      </c>
      <c r="B986" t="s">
        <v>440</v>
      </c>
      <c r="C986" t="s">
        <v>1637</v>
      </c>
      <c r="D986" t="s">
        <v>1657</v>
      </c>
      <c r="E986" t="s">
        <v>390</v>
      </c>
      <c r="F986" t="s">
        <v>391</v>
      </c>
      <c r="G986">
        <v>6101475</v>
      </c>
      <c r="H986">
        <v>202107</v>
      </c>
      <c r="I986" s="400">
        <v>44407</v>
      </c>
      <c r="J986" t="s">
        <v>1016</v>
      </c>
      <c r="K986" t="s">
        <v>386</v>
      </c>
      <c r="M986" t="s">
        <v>387</v>
      </c>
      <c r="O986" t="s">
        <v>480</v>
      </c>
      <c r="P986" t="s">
        <v>481</v>
      </c>
      <c r="Q986" t="s">
        <v>450</v>
      </c>
      <c r="R986">
        <v>2069080</v>
      </c>
      <c r="S986" t="s">
        <v>387</v>
      </c>
      <c r="U986" t="s">
        <v>1658</v>
      </c>
      <c r="V986" t="s">
        <v>398</v>
      </c>
      <c r="W986" s="393">
        <v>2300</v>
      </c>
      <c r="X986" s="393">
        <v>0.59</v>
      </c>
      <c r="Y986" s="393">
        <v>5.09</v>
      </c>
      <c r="Z986" s="393">
        <v>2300</v>
      </c>
      <c r="AA986">
        <v>0</v>
      </c>
      <c r="AB986" s="400">
        <v>44413.018945254633</v>
      </c>
      <c r="AC986" t="s">
        <v>324</v>
      </c>
    </row>
    <row r="987" spans="1:29">
      <c r="A987" t="s">
        <v>382</v>
      </c>
      <c r="B987" t="s">
        <v>440</v>
      </c>
      <c r="C987" t="s">
        <v>1637</v>
      </c>
      <c r="D987" t="s">
        <v>1657</v>
      </c>
      <c r="E987" t="s">
        <v>390</v>
      </c>
      <c r="F987" t="s">
        <v>391</v>
      </c>
      <c r="G987">
        <v>6101475</v>
      </c>
      <c r="H987">
        <v>202107</v>
      </c>
      <c r="I987" s="400">
        <v>44407</v>
      </c>
      <c r="J987" t="s">
        <v>1016</v>
      </c>
      <c r="K987" t="s">
        <v>386</v>
      </c>
      <c r="M987" t="s">
        <v>387</v>
      </c>
      <c r="O987" t="s">
        <v>480</v>
      </c>
      <c r="P987" t="s">
        <v>481</v>
      </c>
      <c r="Q987" t="s">
        <v>450</v>
      </c>
      <c r="R987">
        <v>2069080</v>
      </c>
      <c r="S987" t="s">
        <v>387</v>
      </c>
      <c r="U987" t="s">
        <v>1658</v>
      </c>
      <c r="V987" t="s">
        <v>398</v>
      </c>
      <c r="W987" s="393">
        <v>2300</v>
      </c>
      <c r="X987" s="393">
        <v>0.59</v>
      </c>
      <c r="Y987" s="393">
        <v>5.09</v>
      </c>
      <c r="Z987" s="393">
        <v>2300</v>
      </c>
      <c r="AA987">
        <v>0</v>
      </c>
      <c r="AB987" s="400">
        <v>44413.018945254633</v>
      </c>
      <c r="AC987" t="s">
        <v>324</v>
      </c>
    </row>
    <row r="988" spans="1:29">
      <c r="A988" t="s">
        <v>382</v>
      </c>
      <c r="B988" t="s">
        <v>440</v>
      </c>
      <c r="C988" t="s">
        <v>1637</v>
      </c>
      <c r="D988" t="s">
        <v>1657</v>
      </c>
      <c r="E988" t="s">
        <v>390</v>
      </c>
      <c r="F988" t="s">
        <v>391</v>
      </c>
      <c r="G988">
        <v>6101475</v>
      </c>
      <c r="H988">
        <v>202107</v>
      </c>
      <c r="I988" s="400">
        <v>44407</v>
      </c>
      <c r="J988" t="s">
        <v>1016</v>
      </c>
      <c r="K988" t="s">
        <v>386</v>
      </c>
      <c r="M988" t="s">
        <v>387</v>
      </c>
      <c r="O988" t="s">
        <v>480</v>
      </c>
      <c r="P988" t="s">
        <v>481</v>
      </c>
      <c r="Q988" t="s">
        <v>450</v>
      </c>
      <c r="R988">
        <v>2069080</v>
      </c>
      <c r="S988" t="s">
        <v>387</v>
      </c>
      <c r="U988" t="s">
        <v>1658</v>
      </c>
      <c r="V988" t="s">
        <v>398</v>
      </c>
      <c r="W988" s="393">
        <v>2300</v>
      </c>
      <c r="X988" s="393">
        <v>0.59</v>
      </c>
      <c r="Y988" s="393">
        <v>5.09</v>
      </c>
      <c r="Z988" s="393">
        <v>2300</v>
      </c>
      <c r="AA988">
        <v>0</v>
      </c>
      <c r="AB988" s="400">
        <v>44413.018945254633</v>
      </c>
      <c r="AC988" t="s">
        <v>324</v>
      </c>
    </row>
    <row r="989" spans="1:29">
      <c r="A989" t="s">
        <v>382</v>
      </c>
      <c r="B989" t="s">
        <v>440</v>
      </c>
      <c r="C989" t="s">
        <v>1637</v>
      </c>
      <c r="D989" t="s">
        <v>1657</v>
      </c>
      <c r="E989" t="s">
        <v>390</v>
      </c>
      <c r="F989" t="s">
        <v>391</v>
      </c>
      <c r="G989">
        <v>6101475</v>
      </c>
      <c r="H989">
        <v>202107</v>
      </c>
      <c r="I989" s="400">
        <v>44407</v>
      </c>
      <c r="J989" t="s">
        <v>1016</v>
      </c>
      <c r="K989" t="s">
        <v>386</v>
      </c>
      <c r="M989" t="s">
        <v>387</v>
      </c>
      <c r="O989" t="s">
        <v>480</v>
      </c>
      <c r="P989" t="s">
        <v>481</v>
      </c>
      <c r="Q989" t="s">
        <v>450</v>
      </c>
      <c r="R989">
        <v>2069080</v>
      </c>
      <c r="S989" t="s">
        <v>387</v>
      </c>
      <c r="U989" t="s">
        <v>1658</v>
      </c>
      <c r="V989" t="s">
        <v>398</v>
      </c>
      <c r="W989" s="393">
        <v>2300</v>
      </c>
      <c r="X989" s="393">
        <v>0.59</v>
      </c>
      <c r="Y989" s="393">
        <v>5.09</v>
      </c>
      <c r="Z989" s="393">
        <v>2300</v>
      </c>
      <c r="AA989">
        <v>0</v>
      </c>
      <c r="AB989" s="400">
        <v>44413.018945254633</v>
      </c>
      <c r="AC989" t="s">
        <v>324</v>
      </c>
    </row>
    <row r="990" spans="1:29">
      <c r="A990" t="s">
        <v>382</v>
      </c>
      <c r="B990" t="s">
        <v>440</v>
      </c>
      <c r="C990" t="s">
        <v>1637</v>
      </c>
      <c r="D990" t="s">
        <v>1657</v>
      </c>
      <c r="E990" t="s">
        <v>390</v>
      </c>
      <c r="F990" t="s">
        <v>391</v>
      </c>
      <c r="G990">
        <v>6101475</v>
      </c>
      <c r="H990">
        <v>202107</v>
      </c>
      <c r="I990" s="400">
        <v>44407</v>
      </c>
      <c r="J990" t="s">
        <v>1016</v>
      </c>
      <c r="K990" t="s">
        <v>386</v>
      </c>
      <c r="M990" t="s">
        <v>387</v>
      </c>
      <c r="O990" t="s">
        <v>480</v>
      </c>
      <c r="P990" t="s">
        <v>481</v>
      </c>
      <c r="Q990" t="s">
        <v>450</v>
      </c>
      <c r="R990">
        <v>2069080</v>
      </c>
      <c r="S990" t="s">
        <v>387</v>
      </c>
      <c r="U990" t="s">
        <v>1658</v>
      </c>
      <c r="V990" t="s">
        <v>398</v>
      </c>
      <c r="W990" s="393">
        <v>2300</v>
      </c>
      <c r="X990" s="393">
        <v>0.59</v>
      </c>
      <c r="Y990" s="393">
        <v>5.09</v>
      </c>
      <c r="Z990" s="393">
        <v>2300</v>
      </c>
      <c r="AA990">
        <v>0</v>
      </c>
      <c r="AB990" s="400">
        <v>44413.018945254633</v>
      </c>
      <c r="AC990" t="s">
        <v>324</v>
      </c>
    </row>
    <row r="991" spans="1:29">
      <c r="A991" t="s">
        <v>382</v>
      </c>
      <c r="B991" t="s">
        <v>440</v>
      </c>
      <c r="C991" t="s">
        <v>1637</v>
      </c>
      <c r="D991" t="s">
        <v>1657</v>
      </c>
      <c r="E991" t="s">
        <v>390</v>
      </c>
      <c r="F991" t="s">
        <v>391</v>
      </c>
      <c r="G991">
        <v>6101475</v>
      </c>
      <c r="H991">
        <v>202107</v>
      </c>
      <c r="I991" s="400">
        <v>44407</v>
      </c>
      <c r="J991" t="s">
        <v>1016</v>
      </c>
      <c r="K991" t="s">
        <v>386</v>
      </c>
      <c r="M991" t="s">
        <v>387</v>
      </c>
      <c r="O991" t="s">
        <v>480</v>
      </c>
      <c r="P991" t="s">
        <v>481</v>
      </c>
      <c r="Q991" t="s">
        <v>450</v>
      </c>
      <c r="R991">
        <v>2069080</v>
      </c>
      <c r="S991" t="s">
        <v>387</v>
      </c>
      <c r="U991" t="s">
        <v>1658</v>
      </c>
      <c r="V991" t="s">
        <v>398</v>
      </c>
      <c r="W991" s="393">
        <v>2300</v>
      </c>
      <c r="X991" s="393">
        <v>0.59</v>
      </c>
      <c r="Y991" s="393">
        <v>5.09</v>
      </c>
      <c r="Z991" s="393">
        <v>2300</v>
      </c>
      <c r="AA991">
        <v>0</v>
      </c>
      <c r="AB991" s="400">
        <v>44413.018945405092</v>
      </c>
      <c r="AC991" t="s">
        <v>324</v>
      </c>
    </row>
    <row r="992" spans="1:29">
      <c r="A992" t="s">
        <v>382</v>
      </c>
      <c r="B992" t="s">
        <v>440</v>
      </c>
      <c r="C992" t="s">
        <v>1637</v>
      </c>
      <c r="D992" t="s">
        <v>1657</v>
      </c>
      <c r="E992" t="s">
        <v>390</v>
      </c>
      <c r="F992" t="s">
        <v>391</v>
      </c>
      <c r="G992">
        <v>6101475</v>
      </c>
      <c r="H992">
        <v>202107</v>
      </c>
      <c r="I992" s="400">
        <v>44407</v>
      </c>
      <c r="J992" t="s">
        <v>1016</v>
      </c>
      <c r="K992" t="s">
        <v>386</v>
      </c>
      <c r="M992" t="s">
        <v>387</v>
      </c>
      <c r="O992" t="s">
        <v>480</v>
      </c>
      <c r="P992" t="s">
        <v>481</v>
      </c>
      <c r="Q992" t="s">
        <v>450</v>
      </c>
      <c r="R992">
        <v>2069080</v>
      </c>
      <c r="S992" t="s">
        <v>387</v>
      </c>
      <c r="U992" t="s">
        <v>1658</v>
      </c>
      <c r="V992" t="s">
        <v>398</v>
      </c>
      <c r="W992" s="393">
        <v>2300</v>
      </c>
      <c r="X992" s="393">
        <v>0.59</v>
      </c>
      <c r="Y992" s="393">
        <v>5.09</v>
      </c>
      <c r="Z992" s="393">
        <v>2300</v>
      </c>
      <c r="AA992">
        <v>0</v>
      </c>
      <c r="AB992" s="400">
        <v>44413.018945405092</v>
      </c>
      <c r="AC992" t="s">
        <v>324</v>
      </c>
    </row>
    <row r="993" spans="1:29">
      <c r="A993" t="s">
        <v>382</v>
      </c>
      <c r="B993" t="s">
        <v>440</v>
      </c>
      <c r="C993" t="s">
        <v>1637</v>
      </c>
      <c r="D993" t="s">
        <v>1657</v>
      </c>
      <c r="E993" t="s">
        <v>390</v>
      </c>
      <c r="F993" t="s">
        <v>391</v>
      </c>
      <c r="G993">
        <v>6101475</v>
      </c>
      <c r="H993">
        <v>202107</v>
      </c>
      <c r="I993" s="400">
        <v>44407</v>
      </c>
      <c r="J993" t="s">
        <v>1016</v>
      </c>
      <c r="K993" t="s">
        <v>386</v>
      </c>
      <c r="M993" t="s">
        <v>387</v>
      </c>
      <c r="O993" t="s">
        <v>480</v>
      </c>
      <c r="P993" t="s">
        <v>481</v>
      </c>
      <c r="Q993" t="s">
        <v>450</v>
      </c>
      <c r="R993">
        <v>2069080</v>
      </c>
      <c r="S993" t="s">
        <v>387</v>
      </c>
      <c r="U993" t="s">
        <v>1658</v>
      </c>
      <c r="V993" t="s">
        <v>398</v>
      </c>
      <c r="W993" s="393">
        <v>2300</v>
      </c>
      <c r="X993" s="393">
        <v>0.59</v>
      </c>
      <c r="Y993" s="393">
        <v>5.09</v>
      </c>
      <c r="Z993" s="393">
        <v>2300</v>
      </c>
      <c r="AA993">
        <v>0</v>
      </c>
      <c r="AB993" s="400">
        <v>44413.018945405092</v>
      </c>
      <c r="AC993" t="s">
        <v>324</v>
      </c>
    </row>
    <row r="994" spans="1:29">
      <c r="A994" t="s">
        <v>382</v>
      </c>
      <c r="B994" t="s">
        <v>440</v>
      </c>
      <c r="C994" t="s">
        <v>1637</v>
      </c>
      <c r="D994" t="s">
        <v>1657</v>
      </c>
      <c r="E994" t="s">
        <v>390</v>
      </c>
      <c r="F994" t="s">
        <v>391</v>
      </c>
      <c r="G994">
        <v>6101475</v>
      </c>
      <c r="H994">
        <v>202107</v>
      </c>
      <c r="I994" s="400">
        <v>44407</v>
      </c>
      <c r="J994" t="s">
        <v>1016</v>
      </c>
      <c r="K994" t="s">
        <v>386</v>
      </c>
      <c r="M994" t="s">
        <v>387</v>
      </c>
      <c r="O994" t="s">
        <v>480</v>
      </c>
      <c r="P994" t="s">
        <v>481</v>
      </c>
      <c r="Q994" t="s">
        <v>450</v>
      </c>
      <c r="R994">
        <v>2069080</v>
      </c>
      <c r="S994" t="s">
        <v>387</v>
      </c>
      <c r="U994" t="s">
        <v>1658</v>
      </c>
      <c r="V994" t="s">
        <v>398</v>
      </c>
      <c r="W994" s="393">
        <v>2300</v>
      </c>
      <c r="X994" s="393">
        <v>0.59</v>
      </c>
      <c r="Y994" s="393">
        <v>5.09</v>
      </c>
      <c r="Z994" s="393">
        <v>2300</v>
      </c>
      <c r="AA994">
        <v>0</v>
      </c>
      <c r="AB994" s="400">
        <v>44413.018945405092</v>
      </c>
      <c r="AC994" t="s">
        <v>324</v>
      </c>
    </row>
    <row r="995" spans="1:29">
      <c r="A995" t="s">
        <v>382</v>
      </c>
      <c r="B995" t="s">
        <v>440</v>
      </c>
      <c r="C995" t="s">
        <v>1637</v>
      </c>
      <c r="D995" t="s">
        <v>1657</v>
      </c>
      <c r="E995" t="s">
        <v>390</v>
      </c>
      <c r="F995" t="s">
        <v>391</v>
      </c>
      <c r="G995">
        <v>6101453</v>
      </c>
      <c r="H995">
        <v>202107</v>
      </c>
      <c r="I995" s="400">
        <v>44407</v>
      </c>
      <c r="J995" t="s">
        <v>1016</v>
      </c>
      <c r="K995" t="s">
        <v>386</v>
      </c>
      <c r="M995" t="s">
        <v>387</v>
      </c>
      <c r="O995" t="s">
        <v>480</v>
      </c>
      <c r="P995" t="s">
        <v>481</v>
      </c>
      <c r="Q995" t="s">
        <v>450</v>
      </c>
      <c r="R995">
        <v>2069080</v>
      </c>
      <c r="S995" t="s">
        <v>387</v>
      </c>
      <c r="U995" t="s">
        <v>1659</v>
      </c>
      <c r="V995" t="s">
        <v>398</v>
      </c>
      <c r="W995" s="393">
        <v>1391050</v>
      </c>
      <c r="X995" s="393">
        <v>356.11</v>
      </c>
      <c r="Y995" s="393">
        <v>3077</v>
      </c>
      <c r="Z995" s="393">
        <v>1391050</v>
      </c>
      <c r="AA995">
        <v>0</v>
      </c>
      <c r="AB995" s="400">
        <v>44412.726487499996</v>
      </c>
      <c r="AC995" t="s">
        <v>324</v>
      </c>
    </row>
    <row r="996" spans="1:29">
      <c r="A996" t="s">
        <v>382</v>
      </c>
      <c r="B996" t="s">
        <v>440</v>
      </c>
      <c r="C996" t="s">
        <v>1637</v>
      </c>
      <c r="D996" t="s">
        <v>1657</v>
      </c>
      <c r="E996" t="s">
        <v>390</v>
      </c>
      <c r="F996" t="s">
        <v>391</v>
      </c>
      <c r="G996">
        <v>6101469</v>
      </c>
      <c r="H996">
        <v>202107</v>
      </c>
      <c r="I996" s="400">
        <v>44407</v>
      </c>
      <c r="J996" t="s">
        <v>1016</v>
      </c>
      <c r="K996" t="s">
        <v>386</v>
      </c>
      <c r="M996" t="s">
        <v>387</v>
      </c>
      <c r="O996" t="s">
        <v>480</v>
      </c>
      <c r="P996" t="s">
        <v>481</v>
      </c>
      <c r="Q996" t="s">
        <v>450</v>
      </c>
      <c r="R996">
        <v>2069080</v>
      </c>
      <c r="S996" t="s">
        <v>387</v>
      </c>
      <c r="U996" t="s">
        <v>1659</v>
      </c>
      <c r="V996" t="s">
        <v>398</v>
      </c>
      <c r="W996" s="393">
        <v>29900</v>
      </c>
      <c r="X996" s="393">
        <v>7.65</v>
      </c>
      <c r="Y996" s="393">
        <v>66.14</v>
      </c>
      <c r="Z996" s="393">
        <v>29900</v>
      </c>
      <c r="AA996">
        <v>0</v>
      </c>
      <c r="AB996" s="400">
        <v>44412.81572997685</v>
      </c>
      <c r="AC996" t="s">
        <v>324</v>
      </c>
    </row>
    <row r="997" spans="1:29">
      <c r="A997" t="s">
        <v>382</v>
      </c>
      <c r="B997" t="s">
        <v>440</v>
      </c>
      <c r="C997" t="s">
        <v>1637</v>
      </c>
      <c r="D997" t="s">
        <v>1657</v>
      </c>
      <c r="E997" t="s">
        <v>390</v>
      </c>
      <c r="F997" t="s">
        <v>391</v>
      </c>
      <c r="G997">
        <v>6101766</v>
      </c>
      <c r="H997">
        <v>202108</v>
      </c>
      <c r="I997" s="400">
        <v>44439</v>
      </c>
      <c r="J997">
        <v>122536</v>
      </c>
      <c r="K997" t="s">
        <v>386</v>
      </c>
      <c r="M997" t="s">
        <v>387</v>
      </c>
      <c r="O997" t="s">
        <v>480</v>
      </c>
      <c r="P997" t="s">
        <v>481</v>
      </c>
      <c r="Q997" t="s">
        <v>450</v>
      </c>
      <c r="R997">
        <v>2069080</v>
      </c>
      <c r="S997" t="s">
        <v>387</v>
      </c>
      <c r="U997" t="s">
        <v>1660</v>
      </c>
      <c r="V997" t="s">
        <v>398</v>
      </c>
      <c r="W997" s="393">
        <v>2300</v>
      </c>
      <c r="X997" s="393">
        <v>0.6</v>
      </c>
      <c r="Y997" s="393">
        <v>5.18</v>
      </c>
      <c r="Z997" s="393">
        <v>2300</v>
      </c>
      <c r="AA997">
        <v>0</v>
      </c>
      <c r="AB997" s="400">
        <v>44445.786312847224</v>
      </c>
      <c r="AC997" t="s">
        <v>324</v>
      </c>
    </row>
    <row r="998" spans="1:29">
      <c r="A998" t="s">
        <v>382</v>
      </c>
      <c r="B998" t="s">
        <v>440</v>
      </c>
      <c r="C998" t="s">
        <v>1637</v>
      </c>
      <c r="D998" t="s">
        <v>1657</v>
      </c>
      <c r="E998" t="s">
        <v>390</v>
      </c>
      <c r="F998" t="s">
        <v>391</v>
      </c>
      <c r="G998">
        <v>6101766</v>
      </c>
      <c r="H998">
        <v>202108</v>
      </c>
      <c r="I998" s="400">
        <v>44439</v>
      </c>
      <c r="J998">
        <v>122536</v>
      </c>
      <c r="K998" t="s">
        <v>386</v>
      </c>
      <c r="M998" t="s">
        <v>387</v>
      </c>
      <c r="O998" t="s">
        <v>480</v>
      </c>
      <c r="P998" t="s">
        <v>481</v>
      </c>
      <c r="Q998" t="s">
        <v>450</v>
      </c>
      <c r="R998">
        <v>2069080</v>
      </c>
      <c r="S998" t="s">
        <v>387</v>
      </c>
      <c r="U998" t="s">
        <v>1660</v>
      </c>
      <c r="V998" t="s">
        <v>398</v>
      </c>
      <c r="W998" s="393">
        <v>2300</v>
      </c>
      <c r="X998" s="393">
        <v>0.6</v>
      </c>
      <c r="Y998" s="393">
        <v>5.18</v>
      </c>
      <c r="Z998" s="393">
        <v>2300</v>
      </c>
      <c r="AA998">
        <v>0</v>
      </c>
      <c r="AB998" s="400">
        <v>44445.786312847224</v>
      </c>
      <c r="AC998" t="s">
        <v>324</v>
      </c>
    </row>
    <row r="999" spans="1:29">
      <c r="A999" t="s">
        <v>382</v>
      </c>
      <c r="B999" t="s">
        <v>440</v>
      </c>
      <c r="C999" t="s">
        <v>1637</v>
      </c>
      <c r="D999" t="s">
        <v>1657</v>
      </c>
      <c r="E999" t="s">
        <v>390</v>
      </c>
      <c r="F999" t="s">
        <v>391</v>
      </c>
      <c r="G999">
        <v>6101766</v>
      </c>
      <c r="H999">
        <v>202108</v>
      </c>
      <c r="I999" s="400">
        <v>44439</v>
      </c>
      <c r="J999">
        <v>122536</v>
      </c>
      <c r="K999" t="s">
        <v>386</v>
      </c>
      <c r="M999" t="s">
        <v>387</v>
      </c>
      <c r="O999" t="s">
        <v>480</v>
      </c>
      <c r="P999" t="s">
        <v>481</v>
      </c>
      <c r="Q999" t="s">
        <v>450</v>
      </c>
      <c r="R999">
        <v>2069080</v>
      </c>
      <c r="S999" t="s">
        <v>387</v>
      </c>
      <c r="U999" t="s">
        <v>1660</v>
      </c>
      <c r="V999" t="s">
        <v>398</v>
      </c>
      <c r="W999" s="393">
        <v>2300</v>
      </c>
      <c r="X999" s="393">
        <v>0.6</v>
      </c>
      <c r="Y999" s="393">
        <v>5.18</v>
      </c>
      <c r="Z999" s="393">
        <v>2300</v>
      </c>
      <c r="AA999">
        <v>0</v>
      </c>
      <c r="AB999" s="400">
        <v>44445.786312997683</v>
      </c>
      <c r="AC999" t="s">
        <v>324</v>
      </c>
    </row>
    <row r="1000" spans="1:29">
      <c r="A1000" t="s">
        <v>382</v>
      </c>
      <c r="B1000" t="s">
        <v>440</v>
      </c>
      <c r="C1000" t="s">
        <v>1637</v>
      </c>
      <c r="D1000" t="s">
        <v>1657</v>
      </c>
      <c r="E1000" t="s">
        <v>390</v>
      </c>
      <c r="F1000" t="s">
        <v>391</v>
      </c>
      <c r="G1000">
        <v>6101766</v>
      </c>
      <c r="H1000">
        <v>202108</v>
      </c>
      <c r="I1000" s="400">
        <v>44439</v>
      </c>
      <c r="J1000">
        <v>122536</v>
      </c>
      <c r="K1000" t="s">
        <v>386</v>
      </c>
      <c r="M1000" t="s">
        <v>387</v>
      </c>
      <c r="O1000" t="s">
        <v>480</v>
      </c>
      <c r="P1000" t="s">
        <v>481</v>
      </c>
      <c r="Q1000" t="s">
        <v>450</v>
      </c>
      <c r="R1000">
        <v>2069080</v>
      </c>
      <c r="S1000" t="s">
        <v>387</v>
      </c>
      <c r="U1000" t="s">
        <v>1660</v>
      </c>
      <c r="V1000" t="s">
        <v>398</v>
      </c>
      <c r="W1000" s="393">
        <v>2300</v>
      </c>
      <c r="X1000" s="393">
        <v>0.6</v>
      </c>
      <c r="Y1000" s="393">
        <v>5.18</v>
      </c>
      <c r="Z1000" s="393">
        <v>2300</v>
      </c>
      <c r="AA1000">
        <v>0</v>
      </c>
      <c r="AB1000" s="400">
        <v>44445.786312997683</v>
      </c>
      <c r="AC1000" t="s">
        <v>324</v>
      </c>
    </row>
    <row r="1001" spans="1:29">
      <c r="A1001" t="s">
        <v>382</v>
      </c>
      <c r="B1001" t="s">
        <v>440</v>
      </c>
      <c r="C1001" t="s">
        <v>1637</v>
      </c>
      <c r="D1001" t="s">
        <v>1657</v>
      </c>
      <c r="E1001" t="s">
        <v>390</v>
      </c>
      <c r="F1001" t="s">
        <v>391</v>
      </c>
      <c r="G1001">
        <v>6101766</v>
      </c>
      <c r="H1001">
        <v>202108</v>
      </c>
      <c r="I1001" s="400">
        <v>44439</v>
      </c>
      <c r="J1001">
        <v>122536</v>
      </c>
      <c r="K1001" t="s">
        <v>386</v>
      </c>
      <c r="M1001" t="s">
        <v>387</v>
      </c>
      <c r="O1001" t="s">
        <v>480</v>
      </c>
      <c r="P1001" t="s">
        <v>481</v>
      </c>
      <c r="Q1001" t="s">
        <v>450</v>
      </c>
      <c r="R1001">
        <v>2069080</v>
      </c>
      <c r="S1001" t="s">
        <v>387</v>
      </c>
      <c r="U1001" t="s">
        <v>1660</v>
      </c>
      <c r="V1001" t="s">
        <v>398</v>
      </c>
      <c r="W1001" s="393">
        <v>2300</v>
      </c>
      <c r="X1001" s="393">
        <v>0.6</v>
      </c>
      <c r="Y1001" s="393">
        <v>5.18</v>
      </c>
      <c r="Z1001" s="393">
        <v>2300</v>
      </c>
      <c r="AA1001">
        <v>0</v>
      </c>
      <c r="AB1001" s="400">
        <v>44445.786312997683</v>
      </c>
      <c r="AC1001" t="s">
        <v>324</v>
      </c>
    </row>
    <row r="1002" spans="1:29">
      <c r="A1002" t="s">
        <v>382</v>
      </c>
      <c r="B1002" t="s">
        <v>440</v>
      </c>
      <c r="C1002" t="s">
        <v>1637</v>
      </c>
      <c r="D1002" t="s">
        <v>1657</v>
      </c>
      <c r="E1002" t="s">
        <v>390</v>
      </c>
      <c r="F1002" t="s">
        <v>391</v>
      </c>
      <c r="G1002">
        <v>6101766</v>
      </c>
      <c r="H1002">
        <v>202108</v>
      </c>
      <c r="I1002" s="400">
        <v>44439</v>
      </c>
      <c r="J1002">
        <v>122536</v>
      </c>
      <c r="K1002" t="s">
        <v>386</v>
      </c>
      <c r="M1002" t="s">
        <v>387</v>
      </c>
      <c r="O1002" t="s">
        <v>480</v>
      </c>
      <c r="P1002" t="s">
        <v>481</v>
      </c>
      <c r="Q1002" t="s">
        <v>450</v>
      </c>
      <c r="R1002">
        <v>2069080</v>
      </c>
      <c r="S1002" t="s">
        <v>387</v>
      </c>
      <c r="U1002" t="s">
        <v>1661</v>
      </c>
      <c r="V1002" t="s">
        <v>398</v>
      </c>
      <c r="W1002" s="393">
        <v>2300</v>
      </c>
      <c r="X1002" s="393">
        <v>0.6</v>
      </c>
      <c r="Y1002" s="393">
        <v>5.18</v>
      </c>
      <c r="Z1002" s="393">
        <v>2300</v>
      </c>
      <c r="AA1002">
        <v>0</v>
      </c>
      <c r="AB1002" s="400">
        <v>44445.786312465279</v>
      </c>
      <c r="AC1002" t="s">
        <v>324</v>
      </c>
    </row>
    <row r="1003" spans="1:29">
      <c r="A1003" t="s">
        <v>382</v>
      </c>
      <c r="B1003" t="s">
        <v>440</v>
      </c>
      <c r="C1003" t="s">
        <v>1637</v>
      </c>
      <c r="D1003" t="s">
        <v>1657</v>
      </c>
      <c r="E1003" t="s">
        <v>390</v>
      </c>
      <c r="F1003" t="s">
        <v>391</v>
      </c>
      <c r="G1003">
        <v>6101766</v>
      </c>
      <c r="H1003">
        <v>202108</v>
      </c>
      <c r="I1003" s="400">
        <v>44439</v>
      </c>
      <c r="J1003">
        <v>122536</v>
      </c>
      <c r="K1003" t="s">
        <v>386</v>
      </c>
      <c r="M1003" t="s">
        <v>387</v>
      </c>
      <c r="O1003" t="s">
        <v>480</v>
      </c>
      <c r="P1003" t="s">
        <v>481</v>
      </c>
      <c r="Q1003" t="s">
        <v>450</v>
      </c>
      <c r="R1003">
        <v>2069080</v>
      </c>
      <c r="S1003" t="s">
        <v>387</v>
      </c>
      <c r="U1003" t="s">
        <v>1661</v>
      </c>
      <c r="V1003" t="s">
        <v>398</v>
      </c>
      <c r="W1003" s="393">
        <v>2300</v>
      </c>
      <c r="X1003" s="393">
        <v>0.6</v>
      </c>
      <c r="Y1003" s="393">
        <v>5.18</v>
      </c>
      <c r="Z1003" s="393">
        <v>2300</v>
      </c>
      <c r="AA1003">
        <v>0</v>
      </c>
      <c r="AB1003" s="400">
        <v>44445.786312465279</v>
      </c>
      <c r="AC1003" t="s">
        <v>324</v>
      </c>
    </row>
    <row r="1004" spans="1:29">
      <c r="A1004" t="s">
        <v>382</v>
      </c>
      <c r="B1004" t="s">
        <v>440</v>
      </c>
      <c r="C1004" t="s">
        <v>1637</v>
      </c>
      <c r="D1004" t="s">
        <v>1657</v>
      </c>
      <c r="E1004" t="s">
        <v>390</v>
      </c>
      <c r="F1004" t="s">
        <v>391</v>
      </c>
      <c r="G1004">
        <v>6101766</v>
      </c>
      <c r="H1004">
        <v>202108</v>
      </c>
      <c r="I1004" s="400">
        <v>44439</v>
      </c>
      <c r="J1004">
        <v>122536</v>
      </c>
      <c r="K1004" t="s">
        <v>386</v>
      </c>
      <c r="M1004" t="s">
        <v>387</v>
      </c>
      <c r="O1004" t="s">
        <v>480</v>
      </c>
      <c r="P1004" t="s">
        <v>481</v>
      </c>
      <c r="Q1004" t="s">
        <v>450</v>
      </c>
      <c r="R1004">
        <v>2069080</v>
      </c>
      <c r="S1004" t="s">
        <v>387</v>
      </c>
      <c r="U1004" t="s">
        <v>1661</v>
      </c>
      <c r="V1004" t="s">
        <v>398</v>
      </c>
      <c r="W1004" s="393">
        <v>2300</v>
      </c>
      <c r="X1004" s="393">
        <v>0.6</v>
      </c>
      <c r="Y1004" s="393">
        <v>5.18</v>
      </c>
      <c r="Z1004" s="393">
        <v>2300</v>
      </c>
      <c r="AA1004">
        <v>0</v>
      </c>
      <c r="AB1004" s="400">
        <v>44445.786312465279</v>
      </c>
      <c r="AC1004" t="s">
        <v>324</v>
      </c>
    </row>
    <row r="1005" spans="1:29">
      <c r="A1005" t="s">
        <v>382</v>
      </c>
      <c r="B1005" t="s">
        <v>440</v>
      </c>
      <c r="C1005" t="s">
        <v>1637</v>
      </c>
      <c r="D1005" t="s">
        <v>1657</v>
      </c>
      <c r="E1005" t="s">
        <v>390</v>
      </c>
      <c r="F1005" t="s">
        <v>391</v>
      </c>
      <c r="G1005">
        <v>6101766</v>
      </c>
      <c r="H1005">
        <v>202108</v>
      </c>
      <c r="I1005" s="400">
        <v>44439</v>
      </c>
      <c r="J1005">
        <v>122536</v>
      </c>
      <c r="K1005" t="s">
        <v>386</v>
      </c>
      <c r="M1005" t="s">
        <v>387</v>
      </c>
      <c r="O1005" t="s">
        <v>480</v>
      </c>
      <c r="P1005" t="s">
        <v>481</v>
      </c>
      <c r="Q1005" t="s">
        <v>450</v>
      </c>
      <c r="R1005">
        <v>2069080</v>
      </c>
      <c r="S1005" t="s">
        <v>387</v>
      </c>
      <c r="U1005" t="s">
        <v>1660</v>
      </c>
      <c r="V1005" t="s">
        <v>398</v>
      </c>
      <c r="W1005" s="393">
        <v>2300</v>
      </c>
      <c r="X1005" s="393">
        <v>0.6</v>
      </c>
      <c r="Y1005" s="393">
        <v>5.18</v>
      </c>
      <c r="Z1005" s="393">
        <v>2300</v>
      </c>
      <c r="AA1005">
        <v>0</v>
      </c>
      <c r="AB1005" s="400">
        <v>44445.78631265046</v>
      </c>
      <c r="AC1005" t="s">
        <v>324</v>
      </c>
    </row>
    <row r="1006" spans="1:29">
      <c r="A1006" t="s">
        <v>382</v>
      </c>
      <c r="B1006" t="s">
        <v>440</v>
      </c>
      <c r="C1006" t="s">
        <v>1637</v>
      </c>
      <c r="D1006" t="s">
        <v>1657</v>
      </c>
      <c r="E1006" t="s">
        <v>390</v>
      </c>
      <c r="F1006" t="s">
        <v>391</v>
      </c>
      <c r="G1006">
        <v>6101766</v>
      </c>
      <c r="H1006">
        <v>202108</v>
      </c>
      <c r="I1006" s="400">
        <v>44439</v>
      </c>
      <c r="J1006">
        <v>122536</v>
      </c>
      <c r="K1006" t="s">
        <v>386</v>
      </c>
      <c r="M1006" t="s">
        <v>387</v>
      </c>
      <c r="O1006" t="s">
        <v>480</v>
      </c>
      <c r="P1006" t="s">
        <v>481</v>
      </c>
      <c r="Q1006" t="s">
        <v>450</v>
      </c>
      <c r="R1006">
        <v>2069080</v>
      </c>
      <c r="S1006" t="s">
        <v>387</v>
      </c>
      <c r="U1006" t="s">
        <v>1660</v>
      </c>
      <c r="V1006" t="s">
        <v>398</v>
      </c>
      <c r="W1006" s="393">
        <v>2300</v>
      </c>
      <c r="X1006" s="393">
        <v>0.6</v>
      </c>
      <c r="Y1006" s="393">
        <v>5.18</v>
      </c>
      <c r="Z1006" s="393">
        <v>2300</v>
      </c>
      <c r="AA1006">
        <v>0</v>
      </c>
      <c r="AB1006" s="400">
        <v>44445.78631265046</v>
      </c>
      <c r="AC1006" t="s">
        <v>324</v>
      </c>
    </row>
    <row r="1007" spans="1:29">
      <c r="A1007" t="s">
        <v>382</v>
      </c>
      <c r="B1007" t="s">
        <v>440</v>
      </c>
      <c r="C1007" t="s">
        <v>1637</v>
      </c>
      <c r="D1007" t="s">
        <v>1657</v>
      </c>
      <c r="E1007" t="s">
        <v>390</v>
      </c>
      <c r="F1007" t="s">
        <v>391</v>
      </c>
      <c r="G1007">
        <v>6101766</v>
      </c>
      <c r="H1007">
        <v>202108</v>
      </c>
      <c r="I1007" s="400">
        <v>44439</v>
      </c>
      <c r="J1007">
        <v>122536</v>
      </c>
      <c r="K1007" t="s">
        <v>386</v>
      </c>
      <c r="M1007" t="s">
        <v>387</v>
      </c>
      <c r="O1007" t="s">
        <v>480</v>
      </c>
      <c r="P1007" t="s">
        <v>481</v>
      </c>
      <c r="Q1007" t="s">
        <v>450</v>
      </c>
      <c r="R1007">
        <v>2069080</v>
      </c>
      <c r="S1007" t="s">
        <v>387</v>
      </c>
      <c r="U1007" t="s">
        <v>1660</v>
      </c>
      <c r="V1007" t="s">
        <v>398</v>
      </c>
      <c r="W1007" s="393">
        <v>2300</v>
      </c>
      <c r="X1007" s="393">
        <v>0.6</v>
      </c>
      <c r="Y1007" s="393">
        <v>5.18</v>
      </c>
      <c r="Z1007" s="393">
        <v>2300</v>
      </c>
      <c r="AA1007">
        <v>0</v>
      </c>
      <c r="AB1007" s="400">
        <v>44445.78631265046</v>
      </c>
      <c r="AC1007" t="s">
        <v>324</v>
      </c>
    </row>
    <row r="1008" spans="1:29">
      <c r="A1008" t="s">
        <v>382</v>
      </c>
      <c r="B1008" t="s">
        <v>440</v>
      </c>
      <c r="C1008" t="s">
        <v>1637</v>
      </c>
      <c r="D1008" t="s">
        <v>1657</v>
      </c>
      <c r="E1008" t="s">
        <v>390</v>
      </c>
      <c r="F1008" t="s">
        <v>391</v>
      </c>
      <c r="G1008">
        <v>6101766</v>
      </c>
      <c r="H1008">
        <v>202108</v>
      </c>
      <c r="I1008" s="400">
        <v>44439</v>
      </c>
      <c r="J1008">
        <v>122536</v>
      </c>
      <c r="K1008" t="s">
        <v>386</v>
      </c>
      <c r="M1008" t="s">
        <v>387</v>
      </c>
      <c r="O1008" t="s">
        <v>480</v>
      </c>
      <c r="P1008" t="s">
        <v>481</v>
      </c>
      <c r="Q1008" t="s">
        <v>450</v>
      </c>
      <c r="R1008">
        <v>2069080</v>
      </c>
      <c r="S1008" t="s">
        <v>387</v>
      </c>
      <c r="U1008" t="s">
        <v>1660</v>
      </c>
      <c r="V1008" t="s">
        <v>398</v>
      </c>
      <c r="W1008" s="393">
        <v>2300</v>
      </c>
      <c r="X1008" s="393">
        <v>0.6</v>
      </c>
      <c r="Y1008" s="393">
        <v>5.18</v>
      </c>
      <c r="Z1008" s="393">
        <v>2300</v>
      </c>
      <c r="AA1008">
        <v>0</v>
      </c>
      <c r="AB1008" s="400">
        <v>44445.786312847224</v>
      </c>
      <c r="AC1008" t="s">
        <v>324</v>
      </c>
    </row>
    <row r="1009" spans="1:29">
      <c r="A1009" t="s">
        <v>382</v>
      </c>
      <c r="B1009" t="s">
        <v>440</v>
      </c>
      <c r="C1009" t="s">
        <v>1637</v>
      </c>
      <c r="D1009" t="s">
        <v>1657</v>
      </c>
      <c r="E1009" t="s">
        <v>390</v>
      </c>
      <c r="F1009" t="s">
        <v>391</v>
      </c>
      <c r="G1009">
        <v>6101766</v>
      </c>
      <c r="H1009">
        <v>202108</v>
      </c>
      <c r="I1009" s="400">
        <v>44439</v>
      </c>
      <c r="J1009">
        <v>122536</v>
      </c>
      <c r="K1009" t="s">
        <v>386</v>
      </c>
      <c r="M1009" t="s">
        <v>387</v>
      </c>
      <c r="O1009" t="s">
        <v>480</v>
      </c>
      <c r="P1009" t="s">
        <v>481</v>
      </c>
      <c r="Q1009" t="s">
        <v>450</v>
      </c>
      <c r="R1009">
        <v>2069080</v>
      </c>
      <c r="S1009" t="s">
        <v>387</v>
      </c>
      <c r="U1009" t="s">
        <v>1660</v>
      </c>
      <c r="V1009" t="s">
        <v>398</v>
      </c>
      <c r="W1009" s="393">
        <v>2300</v>
      </c>
      <c r="X1009" s="393">
        <v>0.6</v>
      </c>
      <c r="Y1009" s="393">
        <v>5.18</v>
      </c>
      <c r="Z1009" s="393">
        <v>2300</v>
      </c>
      <c r="AA1009">
        <v>0</v>
      </c>
      <c r="AB1009" s="400">
        <v>44445.786312847224</v>
      </c>
      <c r="AC1009" t="s">
        <v>324</v>
      </c>
    </row>
    <row r="1010" spans="1:29">
      <c r="A1010" t="s">
        <v>382</v>
      </c>
      <c r="B1010" t="s">
        <v>440</v>
      </c>
      <c r="C1010" t="s">
        <v>1637</v>
      </c>
      <c r="D1010" t="s">
        <v>1657</v>
      </c>
      <c r="E1010" t="s">
        <v>390</v>
      </c>
      <c r="F1010" t="s">
        <v>391</v>
      </c>
      <c r="G1010">
        <v>6101766</v>
      </c>
      <c r="H1010">
        <v>202108</v>
      </c>
      <c r="I1010" s="400">
        <v>44439</v>
      </c>
      <c r="J1010">
        <v>122536</v>
      </c>
      <c r="K1010" t="s">
        <v>386</v>
      </c>
      <c r="M1010" t="s">
        <v>387</v>
      </c>
      <c r="O1010" t="s">
        <v>480</v>
      </c>
      <c r="P1010" t="s">
        <v>481</v>
      </c>
      <c r="Q1010" t="s">
        <v>450</v>
      </c>
      <c r="R1010">
        <v>2069080</v>
      </c>
      <c r="S1010" t="s">
        <v>387</v>
      </c>
      <c r="U1010" t="s">
        <v>1660</v>
      </c>
      <c r="V1010" t="s">
        <v>398</v>
      </c>
      <c r="W1010" s="393">
        <v>2300</v>
      </c>
      <c r="X1010" s="393">
        <v>0.6</v>
      </c>
      <c r="Y1010" s="393">
        <v>5.18</v>
      </c>
      <c r="Z1010" s="393">
        <v>2300</v>
      </c>
      <c r="AA1010">
        <v>0</v>
      </c>
      <c r="AB1010" s="400">
        <v>44445.786312847224</v>
      </c>
      <c r="AC1010" t="s">
        <v>324</v>
      </c>
    </row>
    <row r="1011" spans="1:29">
      <c r="A1011" t="s">
        <v>382</v>
      </c>
      <c r="B1011" t="s">
        <v>440</v>
      </c>
      <c r="C1011" t="s">
        <v>1637</v>
      </c>
      <c r="D1011" t="s">
        <v>1657</v>
      </c>
      <c r="E1011" t="s">
        <v>390</v>
      </c>
      <c r="F1011" t="s">
        <v>391</v>
      </c>
      <c r="G1011">
        <v>6101766</v>
      </c>
      <c r="H1011">
        <v>202108</v>
      </c>
      <c r="I1011" s="400">
        <v>44439</v>
      </c>
      <c r="J1011">
        <v>122536</v>
      </c>
      <c r="K1011" t="s">
        <v>386</v>
      </c>
      <c r="M1011" t="s">
        <v>387</v>
      </c>
      <c r="O1011" t="s">
        <v>480</v>
      </c>
      <c r="P1011" t="s">
        <v>481</v>
      </c>
      <c r="Q1011" t="s">
        <v>450</v>
      </c>
      <c r="R1011">
        <v>2069080</v>
      </c>
      <c r="S1011" t="s">
        <v>387</v>
      </c>
      <c r="U1011" t="s">
        <v>1660</v>
      </c>
      <c r="V1011" t="s">
        <v>398</v>
      </c>
      <c r="W1011" s="393">
        <v>2300</v>
      </c>
      <c r="X1011" s="393">
        <v>0.6</v>
      </c>
      <c r="Y1011" s="393">
        <v>5.18</v>
      </c>
      <c r="Z1011" s="393">
        <v>2300</v>
      </c>
      <c r="AA1011">
        <v>0</v>
      </c>
      <c r="AB1011" s="400">
        <v>44445.786312847224</v>
      </c>
      <c r="AC1011" t="s">
        <v>324</v>
      </c>
    </row>
    <row r="1012" spans="1:29">
      <c r="A1012" t="s">
        <v>382</v>
      </c>
      <c r="B1012" t="s">
        <v>440</v>
      </c>
      <c r="C1012" t="s">
        <v>1637</v>
      </c>
      <c r="D1012" t="s">
        <v>1657</v>
      </c>
      <c r="E1012" t="s">
        <v>390</v>
      </c>
      <c r="F1012" t="s">
        <v>391</v>
      </c>
      <c r="G1012">
        <v>6101766</v>
      </c>
      <c r="H1012">
        <v>202108</v>
      </c>
      <c r="I1012" s="400">
        <v>44439</v>
      </c>
      <c r="J1012">
        <v>122536</v>
      </c>
      <c r="K1012" t="s">
        <v>386</v>
      </c>
      <c r="M1012" t="s">
        <v>387</v>
      </c>
      <c r="O1012" t="s">
        <v>480</v>
      </c>
      <c r="P1012" t="s">
        <v>481</v>
      </c>
      <c r="Q1012" t="s">
        <v>450</v>
      </c>
      <c r="R1012">
        <v>2069080</v>
      </c>
      <c r="S1012" t="s">
        <v>387</v>
      </c>
      <c r="U1012" t="s">
        <v>1660</v>
      </c>
      <c r="V1012" t="s">
        <v>398</v>
      </c>
      <c r="W1012" s="393">
        <v>2300</v>
      </c>
      <c r="X1012" s="393">
        <v>0.6</v>
      </c>
      <c r="Y1012" s="393">
        <v>5.18</v>
      </c>
      <c r="Z1012" s="393">
        <v>2300</v>
      </c>
      <c r="AA1012">
        <v>0</v>
      </c>
      <c r="AB1012" s="400">
        <v>44445.786312847224</v>
      </c>
      <c r="AC1012" t="s">
        <v>324</v>
      </c>
    </row>
    <row r="1013" spans="1:29">
      <c r="A1013" t="s">
        <v>382</v>
      </c>
      <c r="B1013" t="s">
        <v>440</v>
      </c>
      <c r="C1013" t="s">
        <v>1637</v>
      </c>
      <c r="D1013" t="s">
        <v>1657</v>
      </c>
      <c r="E1013" t="s">
        <v>390</v>
      </c>
      <c r="F1013" t="s">
        <v>391</v>
      </c>
      <c r="G1013">
        <v>6101719</v>
      </c>
      <c r="H1013">
        <v>202108</v>
      </c>
      <c r="I1013" s="400">
        <v>44439</v>
      </c>
      <c r="J1013">
        <v>122536</v>
      </c>
      <c r="K1013" t="s">
        <v>386</v>
      </c>
      <c r="M1013" t="s">
        <v>387</v>
      </c>
      <c r="O1013" t="s">
        <v>480</v>
      </c>
      <c r="P1013" t="s">
        <v>481</v>
      </c>
      <c r="Q1013" t="s">
        <v>450</v>
      </c>
      <c r="R1013">
        <v>2069080</v>
      </c>
      <c r="S1013" t="s">
        <v>387</v>
      </c>
      <c r="U1013" t="s">
        <v>1660</v>
      </c>
      <c r="V1013" t="s">
        <v>398</v>
      </c>
      <c r="W1013" s="393">
        <v>2300</v>
      </c>
      <c r="X1013" s="393">
        <v>0.6</v>
      </c>
      <c r="Y1013" s="393">
        <v>5.18</v>
      </c>
      <c r="Z1013" s="393">
        <v>2300</v>
      </c>
      <c r="AA1013">
        <v>0</v>
      </c>
      <c r="AB1013" s="400">
        <v>44443.928684375001</v>
      </c>
      <c r="AC1013" t="s">
        <v>324</v>
      </c>
    </row>
    <row r="1014" spans="1:29">
      <c r="A1014" t="s">
        <v>382</v>
      </c>
      <c r="B1014" t="s">
        <v>440</v>
      </c>
      <c r="C1014" t="s">
        <v>1637</v>
      </c>
      <c r="D1014" t="s">
        <v>1657</v>
      </c>
      <c r="E1014" t="s">
        <v>390</v>
      </c>
      <c r="F1014" t="s">
        <v>391</v>
      </c>
      <c r="G1014">
        <v>6101719</v>
      </c>
      <c r="H1014">
        <v>202108</v>
      </c>
      <c r="I1014" s="400">
        <v>44439</v>
      </c>
      <c r="J1014">
        <v>122536</v>
      </c>
      <c r="K1014" t="s">
        <v>386</v>
      </c>
      <c r="M1014" t="s">
        <v>387</v>
      </c>
      <c r="O1014" t="s">
        <v>480</v>
      </c>
      <c r="P1014" t="s">
        <v>481</v>
      </c>
      <c r="Q1014" t="s">
        <v>450</v>
      </c>
      <c r="R1014">
        <v>2069080</v>
      </c>
      <c r="S1014" t="s">
        <v>387</v>
      </c>
      <c r="U1014" t="s">
        <v>1660</v>
      </c>
      <c r="V1014" t="s">
        <v>398</v>
      </c>
      <c r="W1014" s="393">
        <v>2300</v>
      </c>
      <c r="X1014" s="393">
        <v>0.6</v>
      </c>
      <c r="Y1014" s="393">
        <v>5.18</v>
      </c>
      <c r="Z1014" s="393">
        <v>2300</v>
      </c>
      <c r="AA1014">
        <v>0</v>
      </c>
      <c r="AB1014" s="400">
        <v>44443.928684375001</v>
      </c>
      <c r="AC1014" t="s">
        <v>324</v>
      </c>
    </row>
    <row r="1015" spans="1:29">
      <c r="A1015" t="s">
        <v>382</v>
      </c>
      <c r="B1015" t="s">
        <v>440</v>
      </c>
      <c r="C1015" t="s">
        <v>1637</v>
      </c>
      <c r="D1015" t="s">
        <v>1657</v>
      </c>
      <c r="E1015" t="s">
        <v>390</v>
      </c>
      <c r="F1015" t="s">
        <v>391</v>
      </c>
      <c r="G1015">
        <v>6101719</v>
      </c>
      <c r="H1015">
        <v>202108</v>
      </c>
      <c r="I1015" s="400">
        <v>44439</v>
      </c>
      <c r="J1015">
        <v>122536</v>
      </c>
      <c r="K1015" t="s">
        <v>386</v>
      </c>
      <c r="M1015" t="s">
        <v>387</v>
      </c>
      <c r="O1015" t="s">
        <v>480</v>
      </c>
      <c r="P1015" t="s">
        <v>481</v>
      </c>
      <c r="Q1015" t="s">
        <v>450</v>
      </c>
      <c r="R1015">
        <v>2069080</v>
      </c>
      <c r="S1015" t="s">
        <v>387</v>
      </c>
      <c r="U1015" t="s">
        <v>1660</v>
      </c>
      <c r="V1015" t="s">
        <v>398</v>
      </c>
      <c r="W1015" s="393">
        <v>2300</v>
      </c>
      <c r="X1015" s="393">
        <v>0.6</v>
      </c>
      <c r="Y1015" s="393">
        <v>5.18</v>
      </c>
      <c r="Z1015" s="393">
        <v>2300</v>
      </c>
      <c r="AA1015">
        <v>0</v>
      </c>
      <c r="AB1015" s="400">
        <v>44443.928684571758</v>
      </c>
      <c r="AC1015" t="s">
        <v>324</v>
      </c>
    </row>
    <row r="1016" spans="1:29">
      <c r="A1016" t="s">
        <v>382</v>
      </c>
      <c r="B1016" t="s">
        <v>440</v>
      </c>
      <c r="C1016" t="s">
        <v>1637</v>
      </c>
      <c r="D1016" t="s">
        <v>1657</v>
      </c>
      <c r="E1016" t="s">
        <v>390</v>
      </c>
      <c r="F1016" t="s">
        <v>391</v>
      </c>
      <c r="G1016">
        <v>6101719</v>
      </c>
      <c r="H1016">
        <v>202108</v>
      </c>
      <c r="I1016" s="400">
        <v>44439</v>
      </c>
      <c r="J1016">
        <v>122536</v>
      </c>
      <c r="K1016" t="s">
        <v>386</v>
      </c>
      <c r="M1016" t="s">
        <v>387</v>
      </c>
      <c r="O1016" t="s">
        <v>480</v>
      </c>
      <c r="P1016" t="s">
        <v>481</v>
      </c>
      <c r="Q1016" t="s">
        <v>450</v>
      </c>
      <c r="R1016">
        <v>2069080</v>
      </c>
      <c r="S1016" t="s">
        <v>387</v>
      </c>
      <c r="U1016" t="s">
        <v>1660</v>
      </c>
      <c r="V1016" t="s">
        <v>398</v>
      </c>
      <c r="W1016" s="393">
        <v>2300</v>
      </c>
      <c r="X1016" s="393">
        <v>0.6</v>
      </c>
      <c r="Y1016" s="393">
        <v>5.18</v>
      </c>
      <c r="Z1016" s="393">
        <v>2300</v>
      </c>
      <c r="AA1016">
        <v>0</v>
      </c>
      <c r="AB1016" s="400">
        <v>44443.928684571758</v>
      </c>
      <c r="AC1016" t="s">
        <v>324</v>
      </c>
    </row>
    <row r="1017" spans="1:29">
      <c r="A1017" t="s">
        <v>382</v>
      </c>
      <c r="B1017" t="s">
        <v>440</v>
      </c>
      <c r="C1017" t="s">
        <v>1637</v>
      </c>
      <c r="D1017" t="s">
        <v>1657</v>
      </c>
      <c r="E1017" t="s">
        <v>390</v>
      </c>
      <c r="F1017" t="s">
        <v>391</v>
      </c>
      <c r="G1017">
        <v>6101719</v>
      </c>
      <c r="H1017">
        <v>202108</v>
      </c>
      <c r="I1017" s="400">
        <v>44439</v>
      </c>
      <c r="J1017">
        <v>122536</v>
      </c>
      <c r="K1017" t="s">
        <v>386</v>
      </c>
      <c r="M1017" t="s">
        <v>387</v>
      </c>
      <c r="O1017" t="s">
        <v>480</v>
      </c>
      <c r="P1017" t="s">
        <v>481</v>
      </c>
      <c r="Q1017" t="s">
        <v>450</v>
      </c>
      <c r="R1017">
        <v>2069080</v>
      </c>
      <c r="S1017" t="s">
        <v>387</v>
      </c>
      <c r="U1017" t="s">
        <v>1660</v>
      </c>
      <c r="V1017" t="s">
        <v>398</v>
      </c>
      <c r="W1017" s="393">
        <v>2300</v>
      </c>
      <c r="X1017" s="393">
        <v>0.6</v>
      </c>
      <c r="Y1017" s="393">
        <v>5.18</v>
      </c>
      <c r="Z1017" s="393">
        <v>2300</v>
      </c>
      <c r="AA1017">
        <v>0</v>
      </c>
      <c r="AB1017" s="400">
        <v>44443.928684571758</v>
      </c>
      <c r="AC1017" t="s">
        <v>324</v>
      </c>
    </row>
    <row r="1018" spans="1:29">
      <c r="A1018" t="s">
        <v>382</v>
      </c>
      <c r="B1018" t="s">
        <v>440</v>
      </c>
      <c r="C1018" t="s">
        <v>1637</v>
      </c>
      <c r="D1018" t="s">
        <v>1657</v>
      </c>
      <c r="E1018" t="s">
        <v>390</v>
      </c>
      <c r="F1018" t="s">
        <v>391</v>
      </c>
      <c r="G1018">
        <v>6101719</v>
      </c>
      <c r="H1018">
        <v>202108</v>
      </c>
      <c r="I1018" s="400">
        <v>44439</v>
      </c>
      <c r="J1018">
        <v>122536</v>
      </c>
      <c r="K1018" t="s">
        <v>386</v>
      </c>
      <c r="M1018" t="s">
        <v>387</v>
      </c>
      <c r="O1018" t="s">
        <v>480</v>
      </c>
      <c r="P1018" t="s">
        <v>481</v>
      </c>
      <c r="Q1018" t="s">
        <v>450</v>
      </c>
      <c r="R1018">
        <v>2069080</v>
      </c>
      <c r="S1018" t="s">
        <v>387</v>
      </c>
      <c r="U1018" t="s">
        <v>1660</v>
      </c>
      <c r="V1018" t="s">
        <v>398</v>
      </c>
      <c r="W1018" s="393">
        <v>2300</v>
      </c>
      <c r="X1018" s="393">
        <v>0.6</v>
      </c>
      <c r="Y1018" s="393">
        <v>5.18</v>
      </c>
      <c r="Z1018" s="393">
        <v>2300</v>
      </c>
      <c r="AA1018">
        <v>0</v>
      </c>
      <c r="AB1018" s="400">
        <v>44443.928684571758</v>
      </c>
      <c r="AC1018" t="s">
        <v>324</v>
      </c>
    </row>
    <row r="1019" spans="1:29">
      <c r="A1019" t="s">
        <v>382</v>
      </c>
      <c r="B1019" t="s">
        <v>440</v>
      </c>
      <c r="C1019" t="s">
        <v>1637</v>
      </c>
      <c r="D1019" t="s">
        <v>1657</v>
      </c>
      <c r="E1019" t="s">
        <v>390</v>
      </c>
      <c r="F1019" t="s">
        <v>391</v>
      </c>
      <c r="G1019">
        <v>6101719</v>
      </c>
      <c r="H1019">
        <v>202108</v>
      </c>
      <c r="I1019" s="400">
        <v>44439</v>
      </c>
      <c r="J1019">
        <v>122536</v>
      </c>
      <c r="K1019" t="s">
        <v>386</v>
      </c>
      <c r="M1019" t="s">
        <v>387</v>
      </c>
      <c r="O1019" t="s">
        <v>480</v>
      </c>
      <c r="P1019" t="s">
        <v>481</v>
      </c>
      <c r="Q1019" t="s">
        <v>450</v>
      </c>
      <c r="R1019">
        <v>2069080</v>
      </c>
      <c r="S1019" t="s">
        <v>387</v>
      </c>
      <c r="U1019" t="s">
        <v>1660</v>
      </c>
      <c r="V1019" t="s">
        <v>398</v>
      </c>
      <c r="W1019" s="393">
        <v>2300</v>
      </c>
      <c r="X1019" s="393">
        <v>0.6</v>
      </c>
      <c r="Y1019" s="393">
        <v>5.18</v>
      </c>
      <c r="Z1019" s="393">
        <v>2300</v>
      </c>
      <c r="AA1019">
        <v>0</v>
      </c>
      <c r="AB1019" s="400">
        <v>44443.928684571758</v>
      </c>
      <c r="AC1019" t="s">
        <v>324</v>
      </c>
    </row>
    <row r="1020" spans="1:29">
      <c r="A1020" t="s">
        <v>382</v>
      </c>
      <c r="B1020" t="s">
        <v>440</v>
      </c>
      <c r="C1020" t="s">
        <v>1637</v>
      </c>
      <c r="D1020" t="s">
        <v>1657</v>
      </c>
      <c r="E1020" t="s">
        <v>390</v>
      </c>
      <c r="F1020" t="s">
        <v>391</v>
      </c>
      <c r="G1020">
        <v>6101719</v>
      </c>
      <c r="H1020">
        <v>202108</v>
      </c>
      <c r="I1020" s="400">
        <v>44439</v>
      </c>
      <c r="J1020">
        <v>122536</v>
      </c>
      <c r="K1020" t="s">
        <v>386</v>
      </c>
      <c r="M1020" t="s">
        <v>387</v>
      </c>
      <c r="O1020" t="s">
        <v>480</v>
      </c>
      <c r="P1020" t="s">
        <v>481</v>
      </c>
      <c r="Q1020" t="s">
        <v>450</v>
      </c>
      <c r="R1020">
        <v>2069080</v>
      </c>
      <c r="S1020" t="s">
        <v>387</v>
      </c>
      <c r="U1020" t="s">
        <v>1660</v>
      </c>
      <c r="V1020" t="s">
        <v>398</v>
      </c>
      <c r="W1020" s="393">
        <v>2300</v>
      </c>
      <c r="X1020" s="393">
        <v>0.6</v>
      </c>
      <c r="Y1020" s="393">
        <v>5.18</v>
      </c>
      <c r="Z1020" s="393">
        <v>2300</v>
      </c>
      <c r="AA1020">
        <v>0</v>
      </c>
      <c r="AB1020" s="400">
        <v>44443.928684571758</v>
      </c>
      <c r="AC1020" t="s">
        <v>324</v>
      </c>
    </row>
    <row r="1021" spans="1:29">
      <c r="A1021" t="s">
        <v>382</v>
      </c>
      <c r="B1021" t="s">
        <v>440</v>
      </c>
      <c r="C1021" t="s">
        <v>1637</v>
      </c>
      <c r="D1021" t="s">
        <v>1657</v>
      </c>
      <c r="E1021" t="s">
        <v>390</v>
      </c>
      <c r="F1021" t="s">
        <v>391</v>
      </c>
      <c r="G1021">
        <v>6101719</v>
      </c>
      <c r="H1021">
        <v>202108</v>
      </c>
      <c r="I1021" s="400">
        <v>44439</v>
      </c>
      <c r="J1021">
        <v>122536</v>
      </c>
      <c r="K1021" t="s">
        <v>386</v>
      </c>
      <c r="M1021" t="s">
        <v>387</v>
      </c>
      <c r="O1021" t="s">
        <v>480</v>
      </c>
      <c r="P1021" t="s">
        <v>481</v>
      </c>
      <c r="Q1021" t="s">
        <v>450</v>
      </c>
      <c r="R1021">
        <v>2069080</v>
      </c>
      <c r="S1021" t="s">
        <v>387</v>
      </c>
      <c r="U1021" t="s">
        <v>1660</v>
      </c>
      <c r="V1021" t="s">
        <v>398</v>
      </c>
      <c r="W1021" s="393">
        <v>2300</v>
      </c>
      <c r="X1021" s="393">
        <v>0.6</v>
      </c>
      <c r="Y1021" s="393">
        <v>5.18</v>
      </c>
      <c r="Z1021" s="393">
        <v>2300</v>
      </c>
      <c r="AA1021">
        <v>0</v>
      </c>
      <c r="AB1021" s="400">
        <v>44443.928684756946</v>
      </c>
      <c r="AC1021" t="s">
        <v>324</v>
      </c>
    </row>
    <row r="1022" spans="1:29">
      <c r="A1022" t="s">
        <v>382</v>
      </c>
      <c r="B1022" t="s">
        <v>440</v>
      </c>
      <c r="C1022" t="s">
        <v>1637</v>
      </c>
      <c r="D1022" t="s">
        <v>1657</v>
      </c>
      <c r="E1022" t="s">
        <v>390</v>
      </c>
      <c r="F1022" t="s">
        <v>391</v>
      </c>
      <c r="G1022">
        <v>6101719</v>
      </c>
      <c r="H1022">
        <v>202108</v>
      </c>
      <c r="I1022" s="400">
        <v>44439</v>
      </c>
      <c r="J1022">
        <v>122536</v>
      </c>
      <c r="K1022" t="s">
        <v>386</v>
      </c>
      <c r="M1022" t="s">
        <v>387</v>
      </c>
      <c r="O1022" t="s">
        <v>480</v>
      </c>
      <c r="P1022" t="s">
        <v>481</v>
      </c>
      <c r="Q1022" t="s">
        <v>450</v>
      </c>
      <c r="R1022">
        <v>2069080</v>
      </c>
      <c r="S1022" t="s">
        <v>387</v>
      </c>
      <c r="U1022" t="s">
        <v>1660</v>
      </c>
      <c r="V1022" t="s">
        <v>398</v>
      </c>
      <c r="W1022" s="393">
        <v>2300</v>
      </c>
      <c r="X1022" s="393">
        <v>0.6</v>
      </c>
      <c r="Y1022" s="393">
        <v>5.18</v>
      </c>
      <c r="Z1022" s="393">
        <v>2300</v>
      </c>
      <c r="AA1022">
        <v>0</v>
      </c>
      <c r="AB1022" s="400">
        <v>44443.928684756946</v>
      </c>
      <c r="AC1022" t="s">
        <v>324</v>
      </c>
    </row>
    <row r="1023" spans="1:29">
      <c r="A1023" t="s">
        <v>382</v>
      </c>
      <c r="B1023" t="s">
        <v>440</v>
      </c>
      <c r="C1023" t="s">
        <v>1637</v>
      </c>
      <c r="D1023" t="s">
        <v>1657</v>
      </c>
      <c r="E1023" t="s">
        <v>390</v>
      </c>
      <c r="F1023" t="s">
        <v>391</v>
      </c>
      <c r="G1023">
        <v>6101719</v>
      </c>
      <c r="H1023">
        <v>202108</v>
      </c>
      <c r="I1023" s="400">
        <v>44439</v>
      </c>
      <c r="J1023">
        <v>122536</v>
      </c>
      <c r="K1023" t="s">
        <v>386</v>
      </c>
      <c r="M1023" t="s">
        <v>387</v>
      </c>
      <c r="O1023" t="s">
        <v>480</v>
      </c>
      <c r="P1023" t="s">
        <v>481</v>
      </c>
      <c r="Q1023" t="s">
        <v>450</v>
      </c>
      <c r="R1023">
        <v>2069080</v>
      </c>
      <c r="S1023" t="s">
        <v>387</v>
      </c>
      <c r="U1023" t="s">
        <v>1660</v>
      </c>
      <c r="V1023" t="s">
        <v>398</v>
      </c>
      <c r="W1023" s="393">
        <v>2300</v>
      </c>
      <c r="X1023" s="393">
        <v>0.6</v>
      </c>
      <c r="Y1023" s="393">
        <v>5.18</v>
      </c>
      <c r="Z1023" s="393">
        <v>2300</v>
      </c>
      <c r="AA1023">
        <v>0</v>
      </c>
      <c r="AB1023" s="400">
        <v>44443.928684756946</v>
      </c>
      <c r="AC1023" t="s">
        <v>324</v>
      </c>
    </row>
    <row r="1024" spans="1:29">
      <c r="A1024" t="s">
        <v>382</v>
      </c>
      <c r="B1024" t="s">
        <v>440</v>
      </c>
      <c r="C1024" t="s">
        <v>1637</v>
      </c>
      <c r="D1024" t="s">
        <v>1657</v>
      </c>
      <c r="E1024" t="s">
        <v>390</v>
      </c>
      <c r="F1024" t="s">
        <v>391</v>
      </c>
      <c r="G1024">
        <v>6101719</v>
      </c>
      <c r="H1024">
        <v>202108</v>
      </c>
      <c r="I1024" s="400">
        <v>44439</v>
      </c>
      <c r="J1024">
        <v>122536</v>
      </c>
      <c r="K1024" t="s">
        <v>386</v>
      </c>
      <c r="M1024" t="s">
        <v>387</v>
      </c>
      <c r="O1024" t="s">
        <v>480</v>
      </c>
      <c r="P1024" t="s">
        <v>481</v>
      </c>
      <c r="Q1024" t="s">
        <v>450</v>
      </c>
      <c r="R1024">
        <v>2069080</v>
      </c>
      <c r="S1024" t="s">
        <v>387</v>
      </c>
      <c r="U1024" t="s">
        <v>1660</v>
      </c>
      <c r="V1024" t="s">
        <v>398</v>
      </c>
      <c r="W1024" s="393">
        <v>2300</v>
      </c>
      <c r="X1024" s="393">
        <v>0.6</v>
      </c>
      <c r="Y1024" s="393">
        <v>5.18</v>
      </c>
      <c r="Z1024" s="393">
        <v>2300</v>
      </c>
      <c r="AA1024">
        <v>0</v>
      </c>
      <c r="AB1024" s="400">
        <v>44443.928684756946</v>
      </c>
      <c r="AC1024" t="s">
        <v>324</v>
      </c>
    </row>
    <row r="1025" spans="1:29">
      <c r="A1025" t="s">
        <v>382</v>
      </c>
      <c r="B1025" t="s">
        <v>440</v>
      </c>
      <c r="C1025" t="s">
        <v>1637</v>
      </c>
      <c r="D1025" t="s">
        <v>1657</v>
      </c>
      <c r="E1025" t="s">
        <v>390</v>
      </c>
      <c r="F1025" t="s">
        <v>391</v>
      </c>
      <c r="G1025">
        <v>6101719</v>
      </c>
      <c r="H1025">
        <v>202108</v>
      </c>
      <c r="I1025" s="400">
        <v>44439</v>
      </c>
      <c r="J1025">
        <v>122536</v>
      </c>
      <c r="K1025" t="s">
        <v>386</v>
      </c>
      <c r="M1025" t="s">
        <v>387</v>
      </c>
      <c r="O1025" t="s">
        <v>480</v>
      </c>
      <c r="P1025" t="s">
        <v>481</v>
      </c>
      <c r="Q1025" t="s">
        <v>450</v>
      </c>
      <c r="R1025">
        <v>2069080</v>
      </c>
      <c r="S1025" t="s">
        <v>387</v>
      </c>
      <c r="U1025" t="s">
        <v>1660</v>
      </c>
      <c r="V1025" t="s">
        <v>398</v>
      </c>
      <c r="W1025" s="393">
        <v>2300</v>
      </c>
      <c r="X1025" s="393">
        <v>0.6</v>
      </c>
      <c r="Y1025" s="393">
        <v>5.18</v>
      </c>
      <c r="Z1025" s="393">
        <v>2300</v>
      </c>
      <c r="AA1025">
        <v>0</v>
      </c>
      <c r="AB1025" s="400">
        <v>44443.928684756946</v>
      </c>
      <c r="AC1025" t="s">
        <v>324</v>
      </c>
    </row>
    <row r="1026" spans="1:29">
      <c r="A1026" t="s">
        <v>382</v>
      </c>
      <c r="B1026" t="s">
        <v>440</v>
      </c>
      <c r="C1026" t="s">
        <v>1637</v>
      </c>
      <c r="D1026" t="s">
        <v>1657</v>
      </c>
      <c r="E1026" t="s">
        <v>390</v>
      </c>
      <c r="F1026" t="s">
        <v>391</v>
      </c>
      <c r="G1026">
        <v>6101719</v>
      </c>
      <c r="H1026">
        <v>202108</v>
      </c>
      <c r="I1026" s="400">
        <v>44439</v>
      </c>
      <c r="J1026">
        <v>122536</v>
      </c>
      <c r="K1026" t="s">
        <v>386</v>
      </c>
      <c r="M1026" t="s">
        <v>387</v>
      </c>
      <c r="O1026" t="s">
        <v>480</v>
      </c>
      <c r="P1026" t="s">
        <v>481</v>
      </c>
      <c r="Q1026" t="s">
        <v>450</v>
      </c>
      <c r="R1026">
        <v>2069080</v>
      </c>
      <c r="S1026" t="s">
        <v>387</v>
      </c>
      <c r="U1026" t="s">
        <v>1660</v>
      </c>
      <c r="V1026" t="s">
        <v>398</v>
      </c>
      <c r="W1026" s="393">
        <v>2300</v>
      </c>
      <c r="X1026" s="393">
        <v>0.6</v>
      </c>
      <c r="Y1026" s="393">
        <v>5.18</v>
      </c>
      <c r="Z1026" s="393">
        <v>2300</v>
      </c>
      <c r="AA1026">
        <v>0</v>
      </c>
      <c r="AB1026" s="400">
        <v>44443.928684224535</v>
      </c>
      <c r="AC1026" t="s">
        <v>324</v>
      </c>
    </row>
    <row r="1027" spans="1:29">
      <c r="A1027" t="s">
        <v>382</v>
      </c>
      <c r="B1027" t="s">
        <v>440</v>
      </c>
      <c r="C1027" t="s">
        <v>1637</v>
      </c>
      <c r="D1027" t="s">
        <v>1657</v>
      </c>
      <c r="E1027" t="s">
        <v>390</v>
      </c>
      <c r="F1027" t="s">
        <v>391</v>
      </c>
      <c r="G1027">
        <v>6101719</v>
      </c>
      <c r="H1027">
        <v>202108</v>
      </c>
      <c r="I1027" s="400">
        <v>44439</v>
      </c>
      <c r="J1027">
        <v>122536</v>
      </c>
      <c r="K1027" t="s">
        <v>386</v>
      </c>
      <c r="M1027" t="s">
        <v>387</v>
      </c>
      <c r="O1027" t="s">
        <v>480</v>
      </c>
      <c r="P1027" t="s">
        <v>481</v>
      </c>
      <c r="Q1027" t="s">
        <v>450</v>
      </c>
      <c r="R1027">
        <v>2069080</v>
      </c>
      <c r="S1027" t="s">
        <v>387</v>
      </c>
      <c r="U1027" t="s">
        <v>1660</v>
      </c>
      <c r="V1027" t="s">
        <v>398</v>
      </c>
      <c r="W1027" s="393">
        <v>2300</v>
      </c>
      <c r="X1027" s="393">
        <v>0.6</v>
      </c>
      <c r="Y1027" s="393">
        <v>5.18</v>
      </c>
      <c r="Z1027" s="393">
        <v>2300</v>
      </c>
      <c r="AA1027">
        <v>0</v>
      </c>
      <c r="AB1027" s="400">
        <v>44443.928684375001</v>
      </c>
      <c r="AC1027" t="s">
        <v>324</v>
      </c>
    </row>
    <row r="1028" spans="1:29">
      <c r="A1028" t="s">
        <v>382</v>
      </c>
      <c r="B1028" t="s">
        <v>440</v>
      </c>
      <c r="C1028" t="s">
        <v>1637</v>
      </c>
      <c r="D1028" t="s">
        <v>1657</v>
      </c>
      <c r="E1028" t="s">
        <v>390</v>
      </c>
      <c r="F1028" t="s">
        <v>391</v>
      </c>
      <c r="G1028">
        <v>6101719</v>
      </c>
      <c r="H1028">
        <v>202108</v>
      </c>
      <c r="I1028" s="400">
        <v>44439</v>
      </c>
      <c r="J1028">
        <v>122536</v>
      </c>
      <c r="K1028" t="s">
        <v>386</v>
      </c>
      <c r="M1028" t="s">
        <v>387</v>
      </c>
      <c r="O1028" t="s">
        <v>480</v>
      </c>
      <c r="P1028" t="s">
        <v>481</v>
      </c>
      <c r="Q1028" t="s">
        <v>450</v>
      </c>
      <c r="R1028">
        <v>2069080</v>
      </c>
      <c r="S1028" t="s">
        <v>387</v>
      </c>
      <c r="U1028" t="s">
        <v>1660</v>
      </c>
      <c r="V1028" t="s">
        <v>398</v>
      </c>
      <c r="W1028" s="393">
        <v>2300</v>
      </c>
      <c r="X1028" s="393">
        <v>0.6</v>
      </c>
      <c r="Y1028" s="393">
        <v>5.18</v>
      </c>
      <c r="Z1028" s="393">
        <v>2300</v>
      </c>
      <c r="AA1028">
        <v>0</v>
      </c>
      <c r="AB1028" s="400">
        <v>44443.928684375001</v>
      </c>
      <c r="AC1028" t="s">
        <v>324</v>
      </c>
    </row>
    <row r="1029" spans="1:29">
      <c r="A1029" t="s">
        <v>382</v>
      </c>
      <c r="B1029" t="s">
        <v>440</v>
      </c>
      <c r="C1029" t="s">
        <v>1637</v>
      </c>
      <c r="D1029" t="s">
        <v>1657</v>
      </c>
      <c r="E1029" t="s">
        <v>390</v>
      </c>
      <c r="F1029" t="s">
        <v>391</v>
      </c>
      <c r="G1029">
        <v>6101719</v>
      </c>
      <c r="H1029">
        <v>202108</v>
      </c>
      <c r="I1029" s="400">
        <v>44439</v>
      </c>
      <c r="J1029">
        <v>122536</v>
      </c>
      <c r="K1029" t="s">
        <v>386</v>
      </c>
      <c r="M1029" t="s">
        <v>387</v>
      </c>
      <c r="O1029" t="s">
        <v>480</v>
      </c>
      <c r="P1029" t="s">
        <v>481</v>
      </c>
      <c r="Q1029" t="s">
        <v>450</v>
      </c>
      <c r="R1029">
        <v>2069080</v>
      </c>
      <c r="S1029" t="s">
        <v>387</v>
      </c>
      <c r="U1029" t="s">
        <v>1660</v>
      </c>
      <c r="V1029" t="s">
        <v>398</v>
      </c>
      <c r="W1029" s="393">
        <v>2300</v>
      </c>
      <c r="X1029" s="393">
        <v>0.6</v>
      </c>
      <c r="Y1029" s="393">
        <v>5.18</v>
      </c>
      <c r="Z1029" s="393">
        <v>2300</v>
      </c>
      <c r="AA1029">
        <v>0</v>
      </c>
      <c r="AB1029" s="400">
        <v>44443.928684375001</v>
      </c>
      <c r="AC1029" t="s">
        <v>324</v>
      </c>
    </row>
    <row r="1030" spans="1:29">
      <c r="A1030" t="s">
        <v>382</v>
      </c>
      <c r="B1030" t="s">
        <v>440</v>
      </c>
      <c r="C1030" t="s">
        <v>1637</v>
      </c>
      <c r="D1030" t="s">
        <v>1657</v>
      </c>
      <c r="E1030" t="s">
        <v>390</v>
      </c>
      <c r="F1030" t="s">
        <v>391</v>
      </c>
      <c r="G1030">
        <v>6101855</v>
      </c>
      <c r="H1030">
        <v>202108</v>
      </c>
      <c r="I1030" s="400">
        <v>44439</v>
      </c>
      <c r="J1030">
        <v>122536</v>
      </c>
      <c r="K1030" t="s">
        <v>386</v>
      </c>
      <c r="M1030" t="s">
        <v>387</v>
      </c>
      <c r="O1030" t="s">
        <v>480</v>
      </c>
      <c r="P1030" t="s">
        <v>481</v>
      </c>
      <c r="Q1030" t="s">
        <v>450</v>
      </c>
      <c r="R1030">
        <v>2069080</v>
      </c>
      <c r="S1030" t="s">
        <v>387</v>
      </c>
      <c r="U1030" t="s">
        <v>1662</v>
      </c>
      <c r="V1030" t="s">
        <v>398</v>
      </c>
      <c r="W1030" s="393">
        <v>2300</v>
      </c>
      <c r="X1030" s="393">
        <v>0.6</v>
      </c>
      <c r="Y1030" s="393">
        <v>5.18</v>
      </c>
      <c r="Z1030" s="393">
        <v>2300</v>
      </c>
      <c r="AA1030">
        <v>0</v>
      </c>
      <c r="AB1030" s="400">
        <v>44448.02035590278</v>
      </c>
      <c r="AC1030" t="s">
        <v>324</v>
      </c>
    </row>
    <row r="1031" spans="1:29">
      <c r="A1031" t="s">
        <v>382</v>
      </c>
      <c r="B1031" t="s">
        <v>440</v>
      </c>
      <c r="C1031" t="s">
        <v>1637</v>
      </c>
      <c r="D1031" t="s">
        <v>1657</v>
      </c>
      <c r="E1031" t="s">
        <v>390</v>
      </c>
      <c r="F1031" t="s">
        <v>391</v>
      </c>
      <c r="G1031">
        <v>6101855</v>
      </c>
      <c r="H1031">
        <v>202108</v>
      </c>
      <c r="I1031" s="400">
        <v>44439</v>
      </c>
      <c r="J1031">
        <v>122536</v>
      </c>
      <c r="K1031" t="s">
        <v>386</v>
      </c>
      <c r="M1031" t="s">
        <v>387</v>
      </c>
      <c r="O1031" t="s">
        <v>480</v>
      </c>
      <c r="P1031" t="s">
        <v>481</v>
      </c>
      <c r="Q1031" t="s">
        <v>450</v>
      </c>
      <c r="R1031">
        <v>2069080</v>
      </c>
      <c r="S1031" t="s">
        <v>387</v>
      </c>
      <c r="U1031" t="s">
        <v>1662</v>
      </c>
      <c r="V1031" t="s">
        <v>398</v>
      </c>
      <c r="W1031" s="393">
        <v>2300</v>
      </c>
      <c r="X1031" s="393">
        <v>0.6</v>
      </c>
      <c r="Y1031" s="393">
        <v>5.18</v>
      </c>
      <c r="Z1031" s="393">
        <v>2300</v>
      </c>
      <c r="AA1031">
        <v>0</v>
      </c>
      <c r="AB1031" s="400">
        <v>44448.02035590278</v>
      </c>
      <c r="AC1031" t="s">
        <v>324</v>
      </c>
    </row>
    <row r="1032" spans="1:29">
      <c r="A1032" t="s">
        <v>382</v>
      </c>
      <c r="B1032" t="s">
        <v>440</v>
      </c>
      <c r="C1032" t="s">
        <v>1637</v>
      </c>
      <c r="D1032" t="s">
        <v>1657</v>
      </c>
      <c r="E1032" t="s">
        <v>390</v>
      </c>
      <c r="F1032" t="s">
        <v>391</v>
      </c>
      <c r="G1032">
        <v>6101855</v>
      </c>
      <c r="H1032">
        <v>202108</v>
      </c>
      <c r="I1032" s="400">
        <v>44439</v>
      </c>
      <c r="J1032">
        <v>122536</v>
      </c>
      <c r="K1032" t="s">
        <v>386</v>
      </c>
      <c r="M1032" t="s">
        <v>387</v>
      </c>
      <c r="O1032" t="s">
        <v>480</v>
      </c>
      <c r="P1032" t="s">
        <v>481</v>
      </c>
      <c r="Q1032" t="s">
        <v>450</v>
      </c>
      <c r="R1032">
        <v>2069080</v>
      </c>
      <c r="S1032" t="s">
        <v>387</v>
      </c>
      <c r="U1032" t="s">
        <v>1662</v>
      </c>
      <c r="V1032" t="s">
        <v>398</v>
      </c>
      <c r="W1032" s="393">
        <v>2300</v>
      </c>
      <c r="X1032" s="393">
        <v>0.6</v>
      </c>
      <c r="Y1032" s="393">
        <v>5.18</v>
      </c>
      <c r="Z1032" s="393">
        <v>2300</v>
      </c>
      <c r="AA1032">
        <v>0</v>
      </c>
      <c r="AB1032" s="400">
        <v>44448.020356099536</v>
      </c>
      <c r="AC1032" t="s">
        <v>324</v>
      </c>
    </row>
    <row r="1033" spans="1:29">
      <c r="A1033" t="s">
        <v>382</v>
      </c>
      <c r="B1033" t="s">
        <v>440</v>
      </c>
      <c r="C1033" t="s">
        <v>1637</v>
      </c>
      <c r="D1033" t="s">
        <v>1657</v>
      </c>
      <c r="E1033" t="s">
        <v>390</v>
      </c>
      <c r="F1033" t="s">
        <v>391</v>
      </c>
      <c r="G1033">
        <v>6101855</v>
      </c>
      <c r="H1033">
        <v>202108</v>
      </c>
      <c r="I1033" s="400">
        <v>44439</v>
      </c>
      <c r="J1033">
        <v>122536</v>
      </c>
      <c r="K1033" t="s">
        <v>386</v>
      </c>
      <c r="M1033" t="s">
        <v>387</v>
      </c>
      <c r="O1033" t="s">
        <v>480</v>
      </c>
      <c r="P1033" t="s">
        <v>481</v>
      </c>
      <c r="Q1033" t="s">
        <v>450</v>
      </c>
      <c r="R1033">
        <v>2069080</v>
      </c>
      <c r="S1033" t="s">
        <v>387</v>
      </c>
      <c r="U1033" t="s">
        <v>1662</v>
      </c>
      <c r="V1033" t="s">
        <v>398</v>
      </c>
      <c r="W1033" s="393">
        <v>2300</v>
      </c>
      <c r="X1033" s="393">
        <v>0.6</v>
      </c>
      <c r="Y1033" s="393">
        <v>5.18</v>
      </c>
      <c r="Z1033" s="393">
        <v>2300</v>
      </c>
      <c r="AA1033">
        <v>0</v>
      </c>
      <c r="AB1033" s="400">
        <v>44448.020356099536</v>
      </c>
      <c r="AC1033" t="s">
        <v>324</v>
      </c>
    </row>
    <row r="1034" spans="1:29">
      <c r="A1034" t="s">
        <v>382</v>
      </c>
      <c r="B1034" t="s">
        <v>440</v>
      </c>
      <c r="C1034" t="s">
        <v>1637</v>
      </c>
      <c r="D1034" t="s">
        <v>1657</v>
      </c>
      <c r="E1034" t="s">
        <v>390</v>
      </c>
      <c r="F1034" t="s">
        <v>391</v>
      </c>
      <c r="G1034">
        <v>6101855</v>
      </c>
      <c r="H1034">
        <v>202108</v>
      </c>
      <c r="I1034" s="400">
        <v>44439</v>
      </c>
      <c r="J1034">
        <v>122536</v>
      </c>
      <c r="K1034" t="s">
        <v>386</v>
      </c>
      <c r="M1034" t="s">
        <v>387</v>
      </c>
      <c r="O1034" t="s">
        <v>480</v>
      </c>
      <c r="P1034" t="s">
        <v>481</v>
      </c>
      <c r="Q1034" t="s">
        <v>450</v>
      </c>
      <c r="R1034">
        <v>2069080</v>
      </c>
      <c r="S1034" t="s">
        <v>387</v>
      </c>
      <c r="U1034" t="s">
        <v>1662</v>
      </c>
      <c r="V1034" t="s">
        <v>398</v>
      </c>
      <c r="W1034" s="393">
        <v>2300</v>
      </c>
      <c r="X1034" s="393">
        <v>0.6</v>
      </c>
      <c r="Y1034" s="393">
        <v>5.18</v>
      </c>
      <c r="Z1034" s="393">
        <v>2300</v>
      </c>
      <c r="AA1034">
        <v>0</v>
      </c>
      <c r="AB1034" s="400">
        <v>44448.020356099536</v>
      </c>
      <c r="AC1034" t="s">
        <v>324</v>
      </c>
    </row>
    <row r="1035" spans="1:29">
      <c r="A1035" t="s">
        <v>382</v>
      </c>
      <c r="B1035" t="s">
        <v>440</v>
      </c>
      <c r="C1035" t="s">
        <v>1637</v>
      </c>
      <c r="D1035" t="s">
        <v>1657</v>
      </c>
      <c r="E1035" t="s">
        <v>390</v>
      </c>
      <c r="F1035" t="s">
        <v>391</v>
      </c>
      <c r="G1035">
        <v>6101855</v>
      </c>
      <c r="H1035">
        <v>202108</v>
      </c>
      <c r="I1035" s="400">
        <v>44439</v>
      </c>
      <c r="J1035">
        <v>122536</v>
      </c>
      <c r="K1035" t="s">
        <v>386</v>
      </c>
      <c r="M1035" t="s">
        <v>387</v>
      </c>
      <c r="O1035" t="s">
        <v>480</v>
      </c>
      <c r="P1035" t="s">
        <v>481</v>
      </c>
      <c r="Q1035" t="s">
        <v>450</v>
      </c>
      <c r="R1035">
        <v>2069080</v>
      </c>
      <c r="S1035" t="s">
        <v>387</v>
      </c>
      <c r="U1035" t="s">
        <v>1662</v>
      </c>
      <c r="V1035" t="s">
        <v>398</v>
      </c>
      <c r="W1035" s="393">
        <v>2300</v>
      </c>
      <c r="X1035" s="393">
        <v>0.6</v>
      </c>
      <c r="Y1035" s="393">
        <v>5.18</v>
      </c>
      <c r="Z1035" s="393">
        <v>2300</v>
      </c>
      <c r="AA1035">
        <v>0</v>
      </c>
      <c r="AB1035" s="400">
        <v>44448.020356099536</v>
      </c>
      <c r="AC1035" t="s">
        <v>324</v>
      </c>
    </row>
    <row r="1036" spans="1:29">
      <c r="A1036" t="s">
        <v>382</v>
      </c>
      <c r="B1036" t="s">
        <v>440</v>
      </c>
      <c r="C1036" t="s">
        <v>1637</v>
      </c>
      <c r="D1036" t="s">
        <v>1657</v>
      </c>
      <c r="E1036" t="s">
        <v>390</v>
      </c>
      <c r="F1036" t="s">
        <v>391</v>
      </c>
      <c r="G1036">
        <v>6101855</v>
      </c>
      <c r="H1036">
        <v>202108</v>
      </c>
      <c r="I1036" s="400">
        <v>44439</v>
      </c>
      <c r="J1036">
        <v>122536</v>
      </c>
      <c r="K1036" t="s">
        <v>386</v>
      </c>
      <c r="M1036" t="s">
        <v>387</v>
      </c>
      <c r="O1036" t="s">
        <v>480</v>
      </c>
      <c r="P1036" t="s">
        <v>481</v>
      </c>
      <c r="Q1036" t="s">
        <v>450</v>
      </c>
      <c r="R1036">
        <v>2069080</v>
      </c>
      <c r="S1036" t="s">
        <v>387</v>
      </c>
      <c r="U1036" t="s">
        <v>1662</v>
      </c>
      <c r="V1036" t="s">
        <v>398</v>
      </c>
      <c r="W1036" s="393">
        <v>2300</v>
      </c>
      <c r="X1036" s="393">
        <v>0.6</v>
      </c>
      <c r="Y1036" s="393">
        <v>5.18</v>
      </c>
      <c r="Z1036" s="393">
        <v>2300</v>
      </c>
      <c r="AA1036">
        <v>0</v>
      </c>
      <c r="AB1036" s="400">
        <v>44448.020356099536</v>
      </c>
      <c r="AC1036" t="s">
        <v>324</v>
      </c>
    </row>
    <row r="1037" spans="1:29">
      <c r="A1037" t="s">
        <v>382</v>
      </c>
      <c r="B1037" t="s">
        <v>440</v>
      </c>
      <c r="C1037" t="s">
        <v>1637</v>
      </c>
      <c r="D1037" t="s">
        <v>1657</v>
      </c>
      <c r="E1037" t="s">
        <v>390</v>
      </c>
      <c r="F1037" t="s">
        <v>391</v>
      </c>
      <c r="G1037">
        <v>6101855</v>
      </c>
      <c r="H1037">
        <v>202108</v>
      </c>
      <c r="I1037" s="400">
        <v>44439</v>
      </c>
      <c r="J1037">
        <v>122536</v>
      </c>
      <c r="K1037" t="s">
        <v>386</v>
      </c>
      <c r="M1037" t="s">
        <v>387</v>
      </c>
      <c r="O1037" t="s">
        <v>480</v>
      </c>
      <c r="P1037" t="s">
        <v>481</v>
      </c>
      <c r="Q1037" t="s">
        <v>450</v>
      </c>
      <c r="R1037">
        <v>2069080</v>
      </c>
      <c r="S1037" t="s">
        <v>387</v>
      </c>
      <c r="U1037" t="s">
        <v>1662</v>
      </c>
      <c r="V1037" t="s">
        <v>398</v>
      </c>
      <c r="W1037" s="393">
        <v>2300</v>
      </c>
      <c r="X1037" s="393">
        <v>0.6</v>
      </c>
      <c r="Y1037" s="393">
        <v>5.18</v>
      </c>
      <c r="Z1037" s="393">
        <v>2300</v>
      </c>
      <c r="AA1037">
        <v>0</v>
      </c>
      <c r="AB1037" s="400">
        <v>44448.020356099536</v>
      </c>
      <c r="AC1037" t="s">
        <v>324</v>
      </c>
    </row>
    <row r="1038" spans="1:29">
      <c r="A1038" t="s">
        <v>382</v>
      </c>
      <c r="B1038" t="s">
        <v>440</v>
      </c>
      <c r="C1038" t="s">
        <v>1637</v>
      </c>
      <c r="D1038" t="s">
        <v>1657</v>
      </c>
      <c r="E1038" t="s">
        <v>390</v>
      </c>
      <c r="F1038" t="s">
        <v>391</v>
      </c>
      <c r="G1038">
        <v>6101855</v>
      </c>
      <c r="H1038">
        <v>202108</v>
      </c>
      <c r="I1038" s="400">
        <v>44439</v>
      </c>
      <c r="J1038">
        <v>122536</v>
      </c>
      <c r="K1038" t="s">
        <v>386</v>
      </c>
      <c r="M1038" t="s">
        <v>387</v>
      </c>
      <c r="O1038" t="s">
        <v>480</v>
      </c>
      <c r="P1038" t="s">
        <v>481</v>
      </c>
      <c r="Q1038" t="s">
        <v>450</v>
      </c>
      <c r="R1038">
        <v>2069080</v>
      </c>
      <c r="S1038" t="s">
        <v>387</v>
      </c>
      <c r="U1038" t="s">
        <v>1662</v>
      </c>
      <c r="V1038" t="s">
        <v>398</v>
      </c>
      <c r="W1038" s="393">
        <v>2300</v>
      </c>
      <c r="X1038" s="393">
        <v>0.6</v>
      </c>
      <c r="Y1038" s="393">
        <v>5.18</v>
      </c>
      <c r="Z1038" s="393">
        <v>2300</v>
      </c>
      <c r="AA1038">
        <v>0</v>
      </c>
      <c r="AB1038" s="400">
        <v>44448.02035648148</v>
      </c>
      <c r="AC1038" t="s">
        <v>324</v>
      </c>
    </row>
    <row r="1039" spans="1:29">
      <c r="A1039" t="s">
        <v>382</v>
      </c>
      <c r="B1039" t="s">
        <v>440</v>
      </c>
      <c r="C1039" t="s">
        <v>1637</v>
      </c>
      <c r="D1039" t="s">
        <v>1657</v>
      </c>
      <c r="E1039" t="s">
        <v>390</v>
      </c>
      <c r="F1039" t="s">
        <v>391</v>
      </c>
      <c r="G1039">
        <v>6101717</v>
      </c>
      <c r="H1039">
        <v>202108</v>
      </c>
      <c r="I1039" s="400">
        <v>44439</v>
      </c>
      <c r="J1039">
        <v>122536</v>
      </c>
      <c r="K1039" t="s">
        <v>386</v>
      </c>
      <c r="M1039" t="s">
        <v>387</v>
      </c>
      <c r="O1039" t="s">
        <v>480</v>
      </c>
      <c r="P1039" t="s">
        <v>481</v>
      </c>
      <c r="Q1039" t="s">
        <v>450</v>
      </c>
      <c r="R1039">
        <v>2069080</v>
      </c>
      <c r="S1039" t="s">
        <v>387</v>
      </c>
      <c r="U1039" t="s">
        <v>1663</v>
      </c>
      <c r="V1039" t="s">
        <v>398</v>
      </c>
      <c r="W1039" s="393">
        <v>1261000</v>
      </c>
      <c r="X1039" s="393">
        <v>326.26</v>
      </c>
      <c r="Y1039" s="393">
        <v>2841.18</v>
      </c>
      <c r="Z1039" s="393">
        <v>1261000</v>
      </c>
      <c r="AA1039">
        <v>0</v>
      </c>
      <c r="AB1039" s="400">
        <v>44443.908521724537</v>
      </c>
      <c r="AC1039" t="s">
        <v>324</v>
      </c>
    </row>
    <row r="1040" spans="1:29">
      <c r="A1040" t="s">
        <v>382</v>
      </c>
      <c r="B1040" t="s">
        <v>440</v>
      </c>
      <c r="C1040" t="s">
        <v>1637</v>
      </c>
      <c r="D1040" t="s">
        <v>1657</v>
      </c>
      <c r="E1040" t="s">
        <v>390</v>
      </c>
      <c r="F1040" t="s">
        <v>391</v>
      </c>
      <c r="G1040">
        <v>6101855</v>
      </c>
      <c r="H1040">
        <v>202108</v>
      </c>
      <c r="I1040" s="400">
        <v>44439</v>
      </c>
      <c r="J1040">
        <v>122536</v>
      </c>
      <c r="K1040" t="s">
        <v>386</v>
      </c>
      <c r="M1040" t="s">
        <v>387</v>
      </c>
      <c r="O1040" t="s">
        <v>480</v>
      </c>
      <c r="P1040" t="s">
        <v>481</v>
      </c>
      <c r="Q1040" t="s">
        <v>450</v>
      </c>
      <c r="R1040">
        <v>2069080</v>
      </c>
      <c r="S1040" t="s">
        <v>387</v>
      </c>
      <c r="U1040" t="s">
        <v>1662</v>
      </c>
      <c r="V1040" t="s">
        <v>398</v>
      </c>
      <c r="W1040" s="393">
        <v>2300</v>
      </c>
      <c r="X1040" s="393">
        <v>0.6</v>
      </c>
      <c r="Y1040" s="393">
        <v>5.18</v>
      </c>
      <c r="Z1040" s="393">
        <v>2300</v>
      </c>
      <c r="AA1040">
        <v>0</v>
      </c>
      <c r="AB1040" s="400">
        <v>44448.020355752313</v>
      </c>
      <c r="AC1040" t="s">
        <v>324</v>
      </c>
    </row>
    <row r="1041" spans="1:29">
      <c r="A1041" t="s">
        <v>382</v>
      </c>
      <c r="B1041" t="s">
        <v>440</v>
      </c>
      <c r="C1041" t="s">
        <v>1637</v>
      </c>
      <c r="D1041" t="s">
        <v>1657</v>
      </c>
      <c r="E1041" t="s">
        <v>390</v>
      </c>
      <c r="F1041" t="s">
        <v>391</v>
      </c>
      <c r="G1041">
        <v>6101855</v>
      </c>
      <c r="H1041">
        <v>202108</v>
      </c>
      <c r="I1041" s="400">
        <v>44439</v>
      </c>
      <c r="J1041">
        <v>122536</v>
      </c>
      <c r="K1041" t="s">
        <v>386</v>
      </c>
      <c r="M1041" t="s">
        <v>387</v>
      </c>
      <c r="O1041" t="s">
        <v>480</v>
      </c>
      <c r="P1041" t="s">
        <v>481</v>
      </c>
      <c r="Q1041" t="s">
        <v>450</v>
      </c>
      <c r="R1041">
        <v>2069080</v>
      </c>
      <c r="S1041" t="s">
        <v>387</v>
      </c>
      <c r="U1041" t="s">
        <v>1662</v>
      </c>
      <c r="V1041" t="s">
        <v>398</v>
      </c>
      <c r="W1041" s="393">
        <v>2300</v>
      </c>
      <c r="X1041" s="393">
        <v>0.6</v>
      </c>
      <c r="Y1041" s="393">
        <v>5.18</v>
      </c>
      <c r="Z1041" s="393">
        <v>2300</v>
      </c>
      <c r="AA1041">
        <v>0</v>
      </c>
      <c r="AB1041" s="400">
        <v>44448.020355752313</v>
      </c>
      <c r="AC1041" t="s">
        <v>324</v>
      </c>
    </row>
    <row r="1042" spans="1:29">
      <c r="A1042" t="s">
        <v>382</v>
      </c>
      <c r="B1042" t="s">
        <v>440</v>
      </c>
      <c r="C1042" t="s">
        <v>1637</v>
      </c>
      <c r="D1042" t="s">
        <v>1657</v>
      </c>
      <c r="E1042" t="s">
        <v>390</v>
      </c>
      <c r="F1042" t="s">
        <v>391</v>
      </c>
      <c r="G1042">
        <v>6101855</v>
      </c>
      <c r="H1042">
        <v>202108</v>
      </c>
      <c r="I1042" s="400">
        <v>44439</v>
      </c>
      <c r="J1042">
        <v>122536</v>
      </c>
      <c r="K1042" t="s">
        <v>386</v>
      </c>
      <c r="M1042" t="s">
        <v>387</v>
      </c>
      <c r="O1042" t="s">
        <v>480</v>
      </c>
      <c r="P1042" t="s">
        <v>481</v>
      </c>
      <c r="Q1042" t="s">
        <v>450</v>
      </c>
      <c r="R1042">
        <v>2069080</v>
      </c>
      <c r="S1042" t="s">
        <v>387</v>
      </c>
      <c r="U1042" t="s">
        <v>1662</v>
      </c>
      <c r="V1042" t="s">
        <v>398</v>
      </c>
      <c r="W1042" s="393">
        <v>2300</v>
      </c>
      <c r="X1042" s="393">
        <v>0.6</v>
      </c>
      <c r="Y1042" s="393">
        <v>5.18</v>
      </c>
      <c r="Z1042" s="393">
        <v>2300</v>
      </c>
      <c r="AA1042">
        <v>0</v>
      </c>
      <c r="AB1042" s="400">
        <v>44448.02035590278</v>
      </c>
      <c r="AC1042" t="s">
        <v>324</v>
      </c>
    </row>
    <row r="1043" spans="1:29">
      <c r="A1043" t="s">
        <v>382</v>
      </c>
      <c r="B1043" t="s">
        <v>440</v>
      </c>
      <c r="C1043" t="s">
        <v>1637</v>
      </c>
      <c r="D1043" t="s">
        <v>1657</v>
      </c>
      <c r="E1043" t="s">
        <v>390</v>
      </c>
      <c r="F1043" t="s">
        <v>391</v>
      </c>
      <c r="G1043">
        <v>6101855</v>
      </c>
      <c r="H1043">
        <v>202108</v>
      </c>
      <c r="I1043" s="400">
        <v>44439</v>
      </c>
      <c r="J1043">
        <v>122536</v>
      </c>
      <c r="K1043" t="s">
        <v>386</v>
      </c>
      <c r="M1043" t="s">
        <v>387</v>
      </c>
      <c r="O1043" t="s">
        <v>480</v>
      </c>
      <c r="P1043" t="s">
        <v>481</v>
      </c>
      <c r="Q1043" t="s">
        <v>450</v>
      </c>
      <c r="R1043">
        <v>2069080</v>
      </c>
      <c r="S1043" t="s">
        <v>387</v>
      </c>
      <c r="U1043" t="s">
        <v>1662</v>
      </c>
      <c r="V1043" t="s">
        <v>398</v>
      </c>
      <c r="W1043" s="393">
        <v>2300</v>
      </c>
      <c r="X1043" s="393">
        <v>0.6</v>
      </c>
      <c r="Y1043" s="393">
        <v>5.18</v>
      </c>
      <c r="Z1043" s="393">
        <v>2300</v>
      </c>
      <c r="AA1043">
        <v>0</v>
      </c>
      <c r="AB1043" s="400">
        <v>44448.02035590278</v>
      </c>
      <c r="AC1043" t="s">
        <v>324</v>
      </c>
    </row>
    <row r="1044" spans="1:29">
      <c r="A1044" t="s">
        <v>382</v>
      </c>
      <c r="B1044" t="s">
        <v>440</v>
      </c>
      <c r="C1044" t="s">
        <v>1637</v>
      </c>
      <c r="D1044" t="s">
        <v>1657</v>
      </c>
      <c r="E1044" t="s">
        <v>390</v>
      </c>
      <c r="F1044" t="s">
        <v>391</v>
      </c>
      <c r="G1044">
        <v>6101761</v>
      </c>
      <c r="H1044">
        <v>202108</v>
      </c>
      <c r="I1044" s="400">
        <v>44439</v>
      </c>
      <c r="J1044">
        <v>122536</v>
      </c>
      <c r="K1044" t="s">
        <v>386</v>
      </c>
      <c r="M1044" t="s">
        <v>387</v>
      </c>
      <c r="O1044" t="s">
        <v>480</v>
      </c>
      <c r="P1044" t="s">
        <v>481</v>
      </c>
      <c r="Q1044" t="s">
        <v>450</v>
      </c>
      <c r="R1044">
        <v>2069080</v>
      </c>
      <c r="S1044" t="s">
        <v>387</v>
      </c>
      <c r="U1044" t="s">
        <v>1660</v>
      </c>
      <c r="V1044" t="s">
        <v>398</v>
      </c>
      <c r="W1044" s="393">
        <v>4600</v>
      </c>
      <c r="X1044" s="393">
        <v>1.19</v>
      </c>
      <c r="Y1044" s="393">
        <v>10.36</v>
      </c>
      <c r="Z1044" s="393">
        <v>4600</v>
      </c>
      <c r="AA1044">
        <v>0</v>
      </c>
      <c r="AB1044" s="400">
        <v>44445.714547766205</v>
      </c>
      <c r="AC1044" t="s">
        <v>324</v>
      </c>
    </row>
    <row r="1045" spans="1:29">
      <c r="A1045" t="s">
        <v>382</v>
      </c>
      <c r="B1045" t="s">
        <v>440</v>
      </c>
      <c r="C1045" t="s">
        <v>1637</v>
      </c>
      <c r="D1045" t="s">
        <v>1657</v>
      </c>
      <c r="E1045" t="s">
        <v>390</v>
      </c>
      <c r="F1045" t="s">
        <v>391</v>
      </c>
      <c r="G1045">
        <v>6101766</v>
      </c>
      <c r="H1045">
        <v>202108</v>
      </c>
      <c r="I1045" s="400">
        <v>44439</v>
      </c>
      <c r="J1045">
        <v>122536</v>
      </c>
      <c r="K1045" t="s">
        <v>386</v>
      </c>
      <c r="M1045" t="s">
        <v>387</v>
      </c>
      <c r="O1045" t="s">
        <v>480</v>
      </c>
      <c r="P1045" t="s">
        <v>481</v>
      </c>
      <c r="Q1045" t="s">
        <v>450</v>
      </c>
      <c r="R1045">
        <v>2069080</v>
      </c>
      <c r="S1045" t="s">
        <v>387</v>
      </c>
      <c r="U1045" t="s">
        <v>1647</v>
      </c>
      <c r="V1045" t="s">
        <v>398</v>
      </c>
      <c r="W1045" s="393">
        <v>437</v>
      </c>
      <c r="X1045" s="393">
        <v>0.11</v>
      </c>
      <c r="Y1045" s="393">
        <v>0.98</v>
      </c>
      <c r="Z1045" s="393">
        <v>437</v>
      </c>
      <c r="AA1045">
        <v>0</v>
      </c>
      <c r="AB1045" s="400">
        <v>44445.78631265046</v>
      </c>
      <c r="AC1045" t="s">
        <v>324</v>
      </c>
    </row>
    <row r="1046" spans="1:29">
      <c r="A1046" t="s">
        <v>382</v>
      </c>
      <c r="B1046" t="s">
        <v>440</v>
      </c>
      <c r="C1046" t="s">
        <v>1637</v>
      </c>
      <c r="D1046" t="s">
        <v>1657</v>
      </c>
      <c r="E1046" t="s">
        <v>390</v>
      </c>
      <c r="F1046" t="s">
        <v>391</v>
      </c>
      <c r="G1046">
        <v>6101761</v>
      </c>
      <c r="H1046">
        <v>202108</v>
      </c>
      <c r="I1046" s="400">
        <v>44439</v>
      </c>
      <c r="J1046">
        <v>122536</v>
      </c>
      <c r="K1046" t="s">
        <v>386</v>
      </c>
      <c r="M1046" t="s">
        <v>387</v>
      </c>
      <c r="O1046" t="s">
        <v>480</v>
      </c>
      <c r="P1046" t="s">
        <v>481</v>
      </c>
      <c r="Q1046" t="s">
        <v>450</v>
      </c>
      <c r="R1046">
        <v>2069080</v>
      </c>
      <c r="S1046" t="s">
        <v>387</v>
      </c>
      <c r="U1046" t="s">
        <v>1660</v>
      </c>
      <c r="V1046" t="s">
        <v>398</v>
      </c>
      <c r="W1046" s="393">
        <v>6900</v>
      </c>
      <c r="X1046" s="393">
        <v>1.79</v>
      </c>
      <c r="Y1046" s="393">
        <v>15.55</v>
      </c>
      <c r="Z1046" s="393">
        <v>6900</v>
      </c>
      <c r="AA1046">
        <v>0</v>
      </c>
      <c r="AB1046" s="400">
        <v>44445.714547766205</v>
      </c>
      <c r="AC1046" t="s">
        <v>324</v>
      </c>
    </row>
    <row r="1047" spans="1:29">
      <c r="A1047" t="s">
        <v>382</v>
      </c>
      <c r="B1047" t="s">
        <v>440</v>
      </c>
      <c r="C1047" t="s">
        <v>1637</v>
      </c>
      <c r="D1047" t="s">
        <v>1657</v>
      </c>
      <c r="E1047" t="s">
        <v>390</v>
      </c>
      <c r="F1047" t="s">
        <v>391</v>
      </c>
      <c r="G1047">
        <v>6101761</v>
      </c>
      <c r="H1047">
        <v>202108</v>
      </c>
      <c r="I1047" s="400">
        <v>44439</v>
      </c>
      <c r="J1047">
        <v>122536</v>
      </c>
      <c r="K1047" t="s">
        <v>386</v>
      </c>
      <c r="M1047" t="s">
        <v>387</v>
      </c>
      <c r="O1047" t="s">
        <v>480</v>
      </c>
      <c r="P1047" t="s">
        <v>481</v>
      </c>
      <c r="Q1047" t="s">
        <v>450</v>
      </c>
      <c r="R1047">
        <v>2069080</v>
      </c>
      <c r="S1047" t="s">
        <v>387</v>
      </c>
      <c r="U1047" t="s">
        <v>1660</v>
      </c>
      <c r="V1047" t="s">
        <v>398</v>
      </c>
      <c r="W1047" s="393">
        <v>4600</v>
      </c>
      <c r="X1047" s="393">
        <v>1.19</v>
      </c>
      <c r="Y1047" s="393">
        <v>10.36</v>
      </c>
      <c r="Z1047" s="393">
        <v>4600</v>
      </c>
      <c r="AA1047">
        <v>0</v>
      </c>
      <c r="AB1047" s="400">
        <v>44445.714547916665</v>
      </c>
      <c r="AC1047" t="s">
        <v>324</v>
      </c>
    </row>
    <row r="1048" spans="1:29">
      <c r="A1048" t="s">
        <v>382</v>
      </c>
      <c r="B1048" t="s">
        <v>440</v>
      </c>
      <c r="C1048" t="s">
        <v>1637</v>
      </c>
      <c r="D1048" t="s">
        <v>1657</v>
      </c>
      <c r="E1048" t="s">
        <v>390</v>
      </c>
      <c r="F1048" t="s">
        <v>391</v>
      </c>
      <c r="G1048">
        <v>6101761</v>
      </c>
      <c r="H1048">
        <v>202108</v>
      </c>
      <c r="I1048" s="400">
        <v>44439</v>
      </c>
      <c r="J1048">
        <v>122536</v>
      </c>
      <c r="K1048" t="s">
        <v>386</v>
      </c>
      <c r="M1048" t="s">
        <v>387</v>
      </c>
      <c r="O1048" t="s">
        <v>480</v>
      </c>
      <c r="P1048" t="s">
        <v>481</v>
      </c>
      <c r="Q1048" t="s">
        <v>450</v>
      </c>
      <c r="R1048">
        <v>2069080</v>
      </c>
      <c r="S1048" t="s">
        <v>387</v>
      </c>
      <c r="U1048" t="s">
        <v>1660</v>
      </c>
      <c r="V1048" t="s">
        <v>398</v>
      </c>
      <c r="W1048" s="393">
        <v>1099400</v>
      </c>
      <c r="X1048" s="393">
        <v>284.45</v>
      </c>
      <c r="Y1048" s="393">
        <v>2477.08</v>
      </c>
      <c r="Z1048" s="393">
        <v>1099400</v>
      </c>
      <c r="AA1048">
        <v>0</v>
      </c>
      <c r="AB1048" s="400">
        <v>44445.714547916665</v>
      </c>
      <c r="AC1048" t="s">
        <v>324</v>
      </c>
    </row>
    <row r="1049" spans="1:29">
      <c r="A1049" t="s">
        <v>382</v>
      </c>
      <c r="B1049" t="s">
        <v>440</v>
      </c>
      <c r="C1049" t="s">
        <v>1637</v>
      </c>
      <c r="D1049" t="s">
        <v>1657</v>
      </c>
      <c r="E1049" t="s">
        <v>390</v>
      </c>
      <c r="F1049" t="s">
        <v>391</v>
      </c>
      <c r="G1049">
        <v>6102249</v>
      </c>
      <c r="H1049">
        <v>202109</v>
      </c>
      <c r="I1049" s="400">
        <v>44469</v>
      </c>
      <c r="J1049" t="s">
        <v>1016</v>
      </c>
      <c r="K1049" t="s">
        <v>386</v>
      </c>
      <c r="M1049" t="s">
        <v>387</v>
      </c>
      <c r="O1049" t="s">
        <v>480</v>
      </c>
      <c r="P1049" t="s">
        <v>481</v>
      </c>
      <c r="Q1049" t="s">
        <v>450</v>
      </c>
      <c r="R1049">
        <v>2069080</v>
      </c>
      <c r="S1049" t="s">
        <v>387</v>
      </c>
      <c r="U1049" t="s">
        <v>1664</v>
      </c>
      <c r="V1049" t="s">
        <v>398</v>
      </c>
      <c r="W1049" s="393">
        <v>1325550</v>
      </c>
      <c r="X1049" s="393">
        <v>345.68</v>
      </c>
      <c r="Y1049" s="393">
        <v>3005.76</v>
      </c>
      <c r="Z1049" s="393">
        <v>1325550</v>
      </c>
      <c r="AA1049">
        <v>0</v>
      </c>
      <c r="AB1049" s="400">
        <v>44474.996316469907</v>
      </c>
      <c r="AC1049" t="s">
        <v>324</v>
      </c>
    </row>
    <row r="1050" spans="1:29">
      <c r="A1050" t="s">
        <v>382</v>
      </c>
      <c r="B1050" t="s">
        <v>440</v>
      </c>
      <c r="C1050" t="s">
        <v>1637</v>
      </c>
      <c r="D1050" t="s">
        <v>1657</v>
      </c>
      <c r="E1050" t="s">
        <v>390</v>
      </c>
      <c r="F1050" t="s">
        <v>391</v>
      </c>
      <c r="G1050">
        <v>6101941</v>
      </c>
      <c r="H1050">
        <v>202109</v>
      </c>
      <c r="I1050" s="400">
        <v>44445</v>
      </c>
      <c r="J1050">
        <v>124932</v>
      </c>
      <c r="K1050" t="s">
        <v>386</v>
      </c>
      <c r="M1050" t="s">
        <v>387</v>
      </c>
      <c r="O1050" t="s">
        <v>480</v>
      </c>
      <c r="P1050" t="s">
        <v>481</v>
      </c>
      <c r="Q1050" t="s">
        <v>450</v>
      </c>
      <c r="R1050">
        <v>2069080</v>
      </c>
      <c r="S1050" t="s">
        <v>1665</v>
      </c>
      <c r="U1050" t="s">
        <v>1666</v>
      </c>
      <c r="V1050" t="s">
        <v>398</v>
      </c>
      <c r="W1050" s="393">
        <v>880</v>
      </c>
      <c r="X1050" s="393">
        <v>0.23</v>
      </c>
      <c r="Y1050" s="393">
        <v>2.04</v>
      </c>
      <c r="Z1050" s="393">
        <v>880</v>
      </c>
      <c r="AA1050">
        <v>0</v>
      </c>
      <c r="AB1050" s="400">
        <v>44459.110483368058</v>
      </c>
      <c r="AC1050" t="s">
        <v>324</v>
      </c>
    </row>
    <row r="1051" spans="1:29">
      <c r="A1051" t="s">
        <v>382</v>
      </c>
      <c r="B1051" t="s">
        <v>440</v>
      </c>
      <c r="C1051" t="s">
        <v>1637</v>
      </c>
      <c r="D1051" t="s">
        <v>1657</v>
      </c>
      <c r="E1051" t="s">
        <v>390</v>
      </c>
      <c r="F1051" t="s">
        <v>391</v>
      </c>
      <c r="G1051">
        <v>6102272</v>
      </c>
      <c r="H1051">
        <v>202109</v>
      </c>
      <c r="I1051" s="400">
        <v>44469</v>
      </c>
      <c r="J1051">
        <v>125062</v>
      </c>
      <c r="K1051" t="s">
        <v>386</v>
      </c>
      <c r="M1051" t="s">
        <v>387</v>
      </c>
      <c r="O1051" t="s">
        <v>480</v>
      </c>
      <c r="P1051" t="s">
        <v>481</v>
      </c>
      <c r="Q1051" t="s">
        <v>450</v>
      </c>
      <c r="R1051">
        <v>2069080</v>
      </c>
      <c r="S1051" t="s">
        <v>387</v>
      </c>
      <c r="U1051" t="s">
        <v>1667</v>
      </c>
      <c r="V1051" t="s">
        <v>398</v>
      </c>
      <c r="W1051" s="393">
        <v>23100</v>
      </c>
      <c r="X1051" s="393">
        <v>6.02</v>
      </c>
      <c r="Y1051" s="393">
        <v>52.38</v>
      </c>
      <c r="Z1051" s="393">
        <v>23100</v>
      </c>
      <c r="AA1051">
        <v>0</v>
      </c>
      <c r="AB1051" s="400">
        <v>44475.17009359954</v>
      </c>
      <c r="AC1051" t="s">
        <v>324</v>
      </c>
    </row>
    <row r="1052" spans="1:29">
      <c r="A1052" t="s">
        <v>382</v>
      </c>
      <c r="B1052" t="s">
        <v>440</v>
      </c>
      <c r="C1052" t="s">
        <v>1637</v>
      </c>
      <c r="D1052" t="s">
        <v>1657</v>
      </c>
      <c r="E1052" t="s">
        <v>390</v>
      </c>
      <c r="F1052" t="s">
        <v>391</v>
      </c>
      <c r="G1052">
        <v>6102272</v>
      </c>
      <c r="H1052">
        <v>202109</v>
      </c>
      <c r="I1052" s="400">
        <v>44469</v>
      </c>
      <c r="J1052">
        <v>125062</v>
      </c>
      <c r="K1052" t="s">
        <v>386</v>
      </c>
      <c r="M1052" t="s">
        <v>387</v>
      </c>
      <c r="O1052" t="s">
        <v>480</v>
      </c>
      <c r="P1052" t="s">
        <v>481</v>
      </c>
      <c r="Q1052" t="s">
        <v>450</v>
      </c>
      <c r="R1052">
        <v>2069080</v>
      </c>
      <c r="S1052" t="s">
        <v>387</v>
      </c>
      <c r="U1052" t="s">
        <v>1667</v>
      </c>
      <c r="V1052" t="s">
        <v>398</v>
      </c>
      <c r="W1052" s="393">
        <v>6840</v>
      </c>
      <c r="X1052" s="393">
        <v>1.78</v>
      </c>
      <c r="Y1052" s="393">
        <v>15.51</v>
      </c>
      <c r="Z1052" s="393">
        <v>6840</v>
      </c>
      <c r="AA1052">
        <v>0</v>
      </c>
      <c r="AB1052" s="400">
        <v>44475.17009359954</v>
      </c>
      <c r="AC1052" t="s">
        <v>324</v>
      </c>
    </row>
    <row r="1053" spans="1:29">
      <c r="A1053" t="s">
        <v>382</v>
      </c>
      <c r="B1053" t="s">
        <v>440</v>
      </c>
      <c r="C1053" t="s">
        <v>1637</v>
      </c>
      <c r="D1053" t="s">
        <v>1668</v>
      </c>
      <c r="E1053" t="s">
        <v>390</v>
      </c>
      <c r="F1053" t="s">
        <v>391</v>
      </c>
      <c r="G1053">
        <v>6102284</v>
      </c>
      <c r="H1053">
        <v>202109</v>
      </c>
      <c r="I1053" s="400">
        <v>44469</v>
      </c>
      <c r="J1053">
        <v>125062</v>
      </c>
      <c r="K1053" t="s">
        <v>386</v>
      </c>
      <c r="M1053" t="s">
        <v>387</v>
      </c>
      <c r="O1053" t="s">
        <v>1669</v>
      </c>
      <c r="P1053" t="s">
        <v>1670</v>
      </c>
      <c r="Q1053" t="s">
        <v>450</v>
      </c>
      <c r="R1053">
        <v>2069080</v>
      </c>
      <c r="S1053" t="s">
        <v>1671</v>
      </c>
      <c r="U1053" t="s">
        <v>1672</v>
      </c>
      <c r="V1053" t="s">
        <v>398</v>
      </c>
      <c r="W1053" s="393">
        <v>-100</v>
      </c>
      <c r="X1053" s="393">
        <v>-0.03</v>
      </c>
      <c r="Y1053" s="393">
        <v>-0.23</v>
      </c>
      <c r="Z1053" s="393">
        <v>-100</v>
      </c>
      <c r="AA1053">
        <v>0</v>
      </c>
      <c r="AB1053" s="400">
        <v>44476.949520752314</v>
      </c>
      <c r="AC1053" t="s">
        <v>324</v>
      </c>
    </row>
    <row r="1054" spans="1:29">
      <c r="A1054" t="s">
        <v>381</v>
      </c>
      <c r="B1054" t="s">
        <v>382</v>
      </c>
      <c r="C1054" t="s">
        <v>1673</v>
      </c>
      <c r="D1054" t="s">
        <v>1673</v>
      </c>
      <c r="E1054" t="s">
        <v>383</v>
      </c>
      <c r="F1054" t="s">
        <v>384</v>
      </c>
      <c r="G1054">
        <v>11020743</v>
      </c>
      <c r="H1054">
        <v>202112</v>
      </c>
      <c r="I1054" s="400">
        <v>44561</v>
      </c>
      <c r="J1054" t="s">
        <v>1674</v>
      </c>
      <c r="K1054" t="s">
        <v>386</v>
      </c>
      <c r="M1054" t="s">
        <v>387</v>
      </c>
      <c r="O1054" t="s">
        <v>387</v>
      </c>
      <c r="P1054" t="s">
        <v>387</v>
      </c>
      <c r="Q1054" t="s">
        <v>1635</v>
      </c>
      <c r="R1054">
        <v>2069202</v>
      </c>
      <c r="S1054" t="s">
        <v>387</v>
      </c>
      <c r="U1054" t="s">
        <v>1675</v>
      </c>
      <c r="V1054" t="s">
        <v>375</v>
      </c>
      <c r="W1054" s="393">
        <v>33943.19</v>
      </c>
      <c r="X1054" s="393">
        <v>33943.19</v>
      </c>
      <c r="Y1054" s="393">
        <v>299494.33</v>
      </c>
      <c r="Z1054" s="393">
        <v>29983.01</v>
      </c>
      <c r="AA1054">
        <v>0</v>
      </c>
      <c r="AB1054" s="400">
        <v>44581.895071840278</v>
      </c>
      <c r="AC1054" t="s">
        <v>346</v>
      </c>
    </row>
    <row r="1055" spans="1:29">
      <c r="A1055" t="s">
        <v>382</v>
      </c>
      <c r="B1055" t="s">
        <v>440</v>
      </c>
      <c r="C1055" t="s">
        <v>388</v>
      </c>
      <c r="D1055" t="s">
        <v>389</v>
      </c>
      <c r="E1055" t="s">
        <v>390</v>
      </c>
      <c r="F1055" t="s">
        <v>391</v>
      </c>
      <c r="G1055">
        <v>6103125</v>
      </c>
      <c r="H1055">
        <v>202111</v>
      </c>
      <c r="I1055" s="400">
        <v>44530</v>
      </c>
      <c r="J1055">
        <v>119010</v>
      </c>
      <c r="K1055" t="s">
        <v>386</v>
      </c>
      <c r="L1055" t="s">
        <v>392</v>
      </c>
      <c r="M1055" t="s">
        <v>393</v>
      </c>
      <c r="O1055" t="s">
        <v>394</v>
      </c>
      <c r="P1055" t="s">
        <v>395</v>
      </c>
      <c r="Q1055" t="s">
        <v>396</v>
      </c>
      <c r="R1055">
        <v>2069148</v>
      </c>
      <c r="S1055" t="s">
        <v>392</v>
      </c>
      <c r="U1055" t="s">
        <v>1676</v>
      </c>
      <c r="V1055" t="s">
        <v>398</v>
      </c>
      <c r="W1055" s="393">
        <v>24754689</v>
      </c>
      <c r="X1055" s="393">
        <v>6236.2</v>
      </c>
      <c r="Y1055" s="393">
        <v>53923.88</v>
      </c>
      <c r="Z1055" s="393">
        <v>24754689</v>
      </c>
      <c r="AA1055">
        <v>0</v>
      </c>
      <c r="AB1055" s="400">
        <v>44533.671625613424</v>
      </c>
      <c r="AC1055" t="s">
        <v>437</v>
      </c>
    </row>
    <row r="1056" spans="1:29">
      <c r="A1056" t="s">
        <v>382</v>
      </c>
      <c r="B1056" t="s">
        <v>382</v>
      </c>
      <c r="C1056" t="s">
        <v>388</v>
      </c>
      <c r="D1056" t="s">
        <v>389</v>
      </c>
      <c r="E1056" t="s">
        <v>390</v>
      </c>
      <c r="F1056" t="s">
        <v>391</v>
      </c>
      <c r="G1056">
        <v>6102961</v>
      </c>
      <c r="H1056">
        <v>202111</v>
      </c>
      <c r="I1056" s="400">
        <v>44519</v>
      </c>
      <c r="J1056">
        <v>119010</v>
      </c>
      <c r="K1056" t="s">
        <v>386</v>
      </c>
      <c r="L1056" t="s">
        <v>399</v>
      </c>
      <c r="M1056" t="s">
        <v>400</v>
      </c>
      <c r="O1056" t="s">
        <v>401</v>
      </c>
      <c r="P1056" t="s">
        <v>402</v>
      </c>
      <c r="Q1056" t="s">
        <v>396</v>
      </c>
      <c r="R1056">
        <v>2069147</v>
      </c>
      <c r="S1056" t="s">
        <v>399</v>
      </c>
      <c r="U1056" t="s">
        <v>1677</v>
      </c>
      <c r="V1056" t="s">
        <v>398</v>
      </c>
      <c r="W1056" s="393">
        <v>20500000</v>
      </c>
      <c r="X1056" s="393">
        <v>5245.75</v>
      </c>
      <c r="Y1056" s="393">
        <v>44983.77</v>
      </c>
      <c r="Z1056" s="393">
        <v>20500000</v>
      </c>
      <c r="AA1056">
        <v>0</v>
      </c>
      <c r="AB1056" s="400">
        <v>44529.764076307867</v>
      </c>
      <c r="AC1056" t="s">
        <v>439</v>
      </c>
    </row>
    <row r="1057" spans="1:29">
      <c r="A1057" t="s">
        <v>382</v>
      </c>
      <c r="B1057" t="s">
        <v>382</v>
      </c>
      <c r="C1057" t="s">
        <v>388</v>
      </c>
      <c r="D1057" t="s">
        <v>389</v>
      </c>
      <c r="E1057" t="s">
        <v>390</v>
      </c>
      <c r="F1057" t="s">
        <v>391</v>
      </c>
      <c r="G1057">
        <v>6103533</v>
      </c>
      <c r="H1057">
        <v>202112</v>
      </c>
      <c r="I1057" s="400">
        <v>44561</v>
      </c>
      <c r="J1057">
        <v>119010</v>
      </c>
      <c r="K1057" t="s">
        <v>386</v>
      </c>
      <c r="L1057" t="s">
        <v>392</v>
      </c>
      <c r="M1057" t="s">
        <v>393</v>
      </c>
      <c r="O1057" t="s">
        <v>394</v>
      </c>
      <c r="P1057" t="s">
        <v>395</v>
      </c>
      <c r="Q1057" t="s">
        <v>396</v>
      </c>
      <c r="R1057">
        <v>2069148</v>
      </c>
      <c r="S1057" t="s">
        <v>430</v>
      </c>
      <c r="U1057" t="s">
        <v>1678</v>
      </c>
      <c r="V1057" t="s">
        <v>398</v>
      </c>
      <c r="W1057" s="393">
        <v>-15864689</v>
      </c>
      <c r="X1057" s="393">
        <v>-4105</v>
      </c>
      <c r="Y1057" s="393">
        <v>-35745</v>
      </c>
      <c r="Z1057" s="393">
        <v>-15864689</v>
      </c>
      <c r="AA1057">
        <v>0</v>
      </c>
      <c r="AB1057" s="400">
        <v>44576.042806793979</v>
      </c>
      <c r="AC1057" t="s">
        <v>437</v>
      </c>
    </row>
    <row r="1058" spans="1:29">
      <c r="A1058" t="s">
        <v>382</v>
      </c>
      <c r="B1058" t="s">
        <v>440</v>
      </c>
      <c r="C1058" t="s">
        <v>388</v>
      </c>
      <c r="D1058" t="s">
        <v>389</v>
      </c>
      <c r="E1058" t="s">
        <v>390</v>
      </c>
      <c r="F1058" t="s">
        <v>391</v>
      </c>
      <c r="G1058">
        <v>6103532</v>
      </c>
      <c r="H1058">
        <v>202112</v>
      </c>
      <c r="I1058" s="400">
        <v>44561</v>
      </c>
      <c r="J1058">
        <v>119010</v>
      </c>
      <c r="K1058" t="s">
        <v>386</v>
      </c>
      <c r="L1058" t="s">
        <v>392</v>
      </c>
      <c r="M1058" t="s">
        <v>393</v>
      </c>
      <c r="O1058" t="s">
        <v>394</v>
      </c>
      <c r="P1058" t="s">
        <v>395</v>
      </c>
      <c r="Q1058" t="s">
        <v>396</v>
      </c>
      <c r="R1058">
        <v>2069148</v>
      </c>
      <c r="S1058" t="s">
        <v>430</v>
      </c>
      <c r="U1058" t="s">
        <v>1679</v>
      </c>
      <c r="V1058" t="s">
        <v>398</v>
      </c>
      <c r="W1058" s="393">
        <v>1071563</v>
      </c>
      <c r="X1058" s="393">
        <v>298.97000000000003</v>
      </c>
      <c r="Y1058" s="393">
        <v>2523.5300000000002</v>
      </c>
      <c r="Z1058" s="393">
        <v>1071563</v>
      </c>
      <c r="AA1058">
        <v>0</v>
      </c>
      <c r="AB1058" s="400">
        <v>44576.041299803241</v>
      </c>
      <c r="AC1058" t="s">
        <v>437</v>
      </c>
    </row>
    <row r="1059" spans="1:29">
      <c r="A1059" t="s">
        <v>382</v>
      </c>
      <c r="B1059" t="s">
        <v>440</v>
      </c>
      <c r="C1059" t="s">
        <v>388</v>
      </c>
      <c r="D1059" t="s">
        <v>389</v>
      </c>
      <c r="E1059" t="s">
        <v>390</v>
      </c>
      <c r="F1059" t="s">
        <v>391</v>
      </c>
      <c r="G1059">
        <v>6103532</v>
      </c>
      <c r="H1059">
        <v>202112</v>
      </c>
      <c r="I1059" s="400">
        <v>44561</v>
      </c>
      <c r="J1059">
        <v>119010</v>
      </c>
      <c r="K1059" t="s">
        <v>386</v>
      </c>
      <c r="L1059" t="s">
        <v>392</v>
      </c>
      <c r="M1059" t="s">
        <v>393</v>
      </c>
      <c r="O1059" t="s">
        <v>394</v>
      </c>
      <c r="P1059" t="s">
        <v>395</v>
      </c>
      <c r="Q1059" t="s">
        <v>396</v>
      </c>
      <c r="R1059">
        <v>2069148</v>
      </c>
      <c r="S1059" t="s">
        <v>430</v>
      </c>
      <c r="U1059" t="s">
        <v>1679</v>
      </c>
      <c r="V1059" t="s">
        <v>398</v>
      </c>
      <c r="W1059" s="393">
        <v>-1071563</v>
      </c>
      <c r="X1059" s="393">
        <v>-294.68</v>
      </c>
      <c r="Y1059" s="393">
        <v>-2441.02</v>
      </c>
      <c r="Z1059" s="393">
        <v>-1071563</v>
      </c>
      <c r="AA1059">
        <v>0</v>
      </c>
      <c r="AB1059" s="400">
        <v>44576.041299803241</v>
      </c>
      <c r="AC1059" t="s">
        <v>437</v>
      </c>
    </row>
    <row r="1060" spans="1:29">
      <c r="A1060" t="s">
        <v>382</v>
      </c>
      <c r="B1060" t="s">
        <v>382</v>
      </c>
      <c r="C1060" t="s">
        <v>388</v>
      </c>
      <c r="D1060" t="s">
        <v>389</v>
      </c>
      <c r="E1060" t="s">
        <v>390</v>
      </c>
      <c r="F1060" t="s">
        <v>391</v>
      </c>
      <c r="G1060">
        <v>6103533</v>
      </c>
      <c r="H1060">
        <v>202112</v>
      </c>
      <c r="I1060" s="400">
        <v>44561</v>
      </c>
      <c r="J1060">
        <v>119010</v>
      </c>
      <c r="K1060" t="s">
        <v>386</v>
      </c>
      <c r="L1060" t="s">
        <v>392</v>
      </c>
      <c r="M1060" t="s">
        <v>393</v>
      </c>
      <c r="O1060" t="s">
        <v>394</v>
      </c>
      <c r="P1060" t="s">
        <v>395</v>
      </c>
      <c r="Q1060" t="s">
        <v>396</v>
      </c>
      <c r="R1060">
        <v>2069148</v>
      </c>
      <c r="S1060" t="s">
        <v>430</v>
      </c>
      <c r="U1060" t="s">
        <v>1680</v>
      </c>
      <c r="V1060" t="s">
        <v>398</v>
      </c>
      <c r="W1060" s="393">
        <v>3214689</v>
      </c>
      <c r="X1060" s="393">
        <v>896.9</v>
      </c>
      <c r="Y1060" s="393">
        <v>7570.58</v>
      </c>
      <c r="Z1060" s="393">
        <v>3214689</v>
      </c>
      <c r="AA1060">
        <v>0</v>
      </c>
      <c r="AB1060" s="400">
        <v>44576.042806793979</v>
      </c>
      <c r="AC1060" t="s">
        <v>437</v>
      </c>
    </row>
    <row r="1061" spans="1:29">
      <c r="A1061" t="s">
        <v>382</v>
      </c>
      <c r="B1061" t="s">
        <v>382</v>
      </c>
      <c r="C1061" t="s">
        <v>388</v>
      </c>
      <c r="D1061" t="s">
        <v>389</v>
      </c>
      <c r="E1061" t="s">
        <v>390</v>
      </c>
      <c r="F1061" t="s">
        <v>391</v>
      </c>
      <c r="G1061">
        <v>6103533</v>
      </c>
      <c r="H1061">
        <v>202112</v>
      </c>
      <c r="I1061" s="400">
        <v>44561</v>
      </c>
      <c r="J1061">
        <v>119010</v>
      </c>
      <c r="K1061" t="s">
        <v>386</v>
      </c>
      <c r="L1061" t="s">
        <v>392</v>
      </c>
      <c r="M1061" t="s">
        <v>393</v>
      </c>
      <c r="O1061" t="s">
        <v>394</v>
      </c>
      <c r="P1061" t="s">
        <v>395</v>
      </c>
      <c r="Q1061" t="s">
        <v>396</v>
      </c>
      <c r="R1061">
        <v>2069148</v>
      </c>
      <c r="S1061" t="s">
        <v>430</v>
      </c>
      <c r="U1061" t="s">
        <v>1681</v>
      </c>
      <c r="V1061" t="s">
        <v>398</v>
      </c>
      <c r="W1061" s="393">
        <v>4500000</v>
      </c>
      <c r="X1061" s="393">
        <v>1255.5</v>
      </c>
      <c r="Y1061" s="393">
        <v>10597.5</v>
      </c>
      <c r="Z1061" s="393">
        <v>4500000</v>
      </c>
      <c r="AA1061">
        <v>0</v>
      </c>
      <c r="AB1061" s="400">
        <v>44576.042806793979</v>
      </c>
      <c r="AC1061" t="s">
        <v>437</v>
      </c>
    </row>
    <row r="1062" spans="1:29">
      <c r="A1062" t="s">
        <v>382</v>
      </c>
      <c r="B1062" t="s">
        <v>382</v>
      </c>
      <c r="C1062" t="s">
        <v>388</v>
      </c>
      <c r="D1062" t="s">
        <v>389</v>
      </c>
      <c r="E1062" t="s">
        <v>390</v>
      </c>
      <c r="F1062" t="s">
        <v>391</v>
      </c>
      <c r="G1062">
        <v>6103533</v>
      </c>
      <c r="H1062">
        <v>202112</v>
      </c>
      <c r="I1062" s="400">
        <v>44561</v>
      </c>
      <c r="J1062">
        <v>119010</v>
      </c>
      <c r="K1062" t="s">
        <v>386</v>
      </c>
      <c r="L1062" t="s">
        <v>392</v>
      </c>
      <c r="M1062" t="s">
        <v>393</v>
      </c>
      <c r="O1062" t="s">
        <v>394</v>
      </c>
      <c r="P1062" t="s">
        <v>395</v>
      </c>
      <c r="Q1062" t="s">
        <v>396</v>
      </c>
      <c r="R1062">
        <v>2069148</v>
      </c>
      <c r="S1062" t="s">
        <v>430</v>
      </c>
      <c r="U1062" t="s">
        <v>1682</v>
      </c>
      <c r="V1062" t="s">
        <v>398</v>
      </c>
      <c r="W1062" s="393">
        <v>2370000</v>
      </c>
      <c r="X1062" s="393">
        <v>661.23</v>
      </c>
      <c r="Y1062" s="393">
        <v>5581.35</v>
      </c>
      <c r="Z1062" s="393">
        <v>2370000</v>
      </c>
      <c r="AA1062">
        <v>0</v>
      </c>
      <c r="AB1062" s="400">
        <v>44576.042806793979</v>
      </c>
      <c r="AC1062" t="s">
        <v>437</v>
      </c>
    </row>
    <row r="1063" spans="1:29">
      <c r="A1063" t="s">
        <v>382</v>
      </c>
      <c r="B1063" t="s">
        <v>440</v>
      </c>
      <c r="C1063" t="s">
        <v>388</v>
      </c>
      <c r="D1063" t="s">
        <v>389</v>
      </c>
      <c r="E1063" t="s">
        <v>390</v>
      </c>
      <c r="F1063" t="s">
        <v>391</v>
      </c>
      <c r="G1063">
        <v>6103538</v>
      </c>
      <c r="H1063">
        <v>202112</v>
      </c>
      <c r="I1063" s="400">
        <v>44561</v>
      </c>
      <c r="J1063">
        <v>119010</v>
      </c>
      <c r="K1063" t="s">
        <v>386</v>
      </c>
      <c r="L1063" t="s">
        <v>392</v>
      </c>
      <c r="M1063" t="s">
        <v>393</v>
      </c>
      <c r="O1063" t="s">
        <v>394</v>
      </c>
      <c r="P1063" t="s">
        <v>395</v>
      </c>
      <c r="Q1063" t="s">
        <v>396</v>
      </c>
      <c r="R1063">
        <v>2069148</v>
      </c>
      <c r="S1063" t="s">
        <v>430</v>
      </c>
      <c r="U1063" t="s">
        <v>1683</v>
      </c>
      <c r="V1063" t="s">
        <v>398</v>
      </c>
      <c r="W1063" s="393">
        <v>-24754689</v>
      </c>
      <c r="X1063" s="393">
        <v>-6236.2</v>
      </c>
      <c r="Y1063" s="393">
        <v>-53923.88</v>
      </c>
      <c r="Z1063" s="393">
        <v>-24754689</v>
      </c>
      <c r="AA1063">
        <v>0</v>
      </c>
      <c r="AB1063" s="400">
        <v>44580.042569675927</v>
      </c>
      <c r="AC1063" t="s">
        <v>437</v>
      </c>
    </row>
    <row r="1064" spans="1:29">
      <c r="A1064" t="s">
        <v>382</v>
      </c>
      <c r="B1064" t="s">
        <v>440</v>
      </c>
      <c r="C1064" t="s">
        <v>388</v>
      </c>
      <c r="D1064" t="s">
        <v>389</v>
      </c>
      <c r="E1064" t="s">
        <v>390</v>
      </c>
      <c r="F1064" t="s">
        <v>391</v>
      </c>
      <c r="G1064">
        <v>6103538</v>
      </c>
      <c r="H1064">
        <v>202112</v>
      </c>
      <c r="I1064" s="400">
        <v>44561</v>
      </c>
      <c r="J1064">
        <v>119010</v>
      </c>
      <c r="K1064" t="s">
        <v>386</v>
      </c>
      <c r="L1064" t="s">
        <v>392</v>
      </c>
      <c r="M1064" t="s">
        <v>393</v>
      </c>
      <c r="O1064" t="s">
        <v>394</v>
      </c>
      <c r="P1064" t="s">
        <v>395</v>
      </c>
      <c r="Q1064" t="s">
        <v>396</v>
      </c>
      <c r="R1064">
        <v>2069148</v>
      </c>
      <c r="S1064" t="s">
        <v>430</v>
      </c>
      <c r="U1064" t="s">
        <v>1684</v>
      </c>
      <c r="V1064" t="s">
        <v>398</v>
      </c>
      <c r="W1064" s="393">
        <v>3214689</v>
      </c>
      <c r="X1064" s="393">
        <v>896.9</v>
      </c>
      <c r="Y1064" s="393">
        <v>7570.59</v>
      </c>
      <c r="Z1064" s="393">
        <v>3214689</v>
      </c>
      <c r="AA1064">
        <v>0</v>
      </c>
      <c r="AB1064" s="400">
        <v>44580.042569675927</v>
      </c>
      <c r="AC1064" t="s">
        <v>437</v>
      </c>
    </row>
    <row r="1065" spans="1:29">
      <c r="A1065" t="s">
        <v>382</v>
      </c>
      <c r="B1065" t="s">
        <v>440</v>
      </c>
      <c r="C1065" t="s">
        <v>388</v>
      </c>
      <c r="D1065" t="s">
        <v>389</v>
      </c>
      <c r="E1065" t="s">
        <v>390</v>
      </c>
      <c r="F1065" t="s">
        <v>391</v>
      </c>
      <c r="G1065">
        <v>6103538</v>
      </c>
      <c r="H1065">
        <v>202112</v>
      </c>
      <c r="I1065" s="400">
        <v>44561</v>
      </c>
      <c r="J1065">
        <v>119010</v>
      </c>
      <c r="K1065" t="s">
        <v>386</v>
      </c>
      <c r="L1065" t="s">
        <v>392</v>
      </c>
      <c r="M1065" t="s">
        <v>393</v>
      </c>
      <c r="O1065" t="s">
        <v>394</v>
      </c>
      <c r="P1065" t="s">
        <v>395</v>
      </c>
      <c r="Q1065" t="s">
        <v>396</v>
      </c>
      <c r="R1065">
        <v>2069148</v>
      </c>
      <c r="S1065" t="s">
        <v>430</v>
      </c>
      <c r="U1065" t="s">
        <v>1685</v>
      </c>
      <c r="V1065" t="s">
        <v>398</v>
      </c>
      <c r="W1065" s="393">
        <v>4500000</v>
      </c>
      <c r="X1065" s="393">
        <v>1255.5</v>
      </c>
      <c r="Y1065" s="393">
        <v>10597.5</v>
      </c>
      <c r="Z1065" s="393">
        <v>4500000</v>
      </c>
      <c r="AA1065">
        <v>0</v>
      </c>
      <c r="AB1065" s="400">
        <v>44580.042569675927</v>
      </c>
      <c r="AC1065" t="s">
        <v>437</v>
      </c>
    </row>
    <row r="1066" spans="1:29">
      <c r="A1066" t="s">
        <v>382</v>
      </c>
      <c r="B1066" t="s">
        <v>440</v>
      </c>
      <c r="C1066" t="s">
        <v>388</v>
      </c>
      <c r="D1066" t="s">
        <v>389</v>
      </c>
      <c r="E1066" t="s">
        <v>390</v>
      </c>
      <c r="F1066" t="s">
        <v>391</v>
      </c>
      <c r="G1066">
        <v>6103538</v>
      </c>
      <c r="H1066">
        <v>202112</v>
      </c>
      <c r="I1066" s="400">
        <v>44561</v>
      </c>
      <c r="J1066">
        <v>119010</v>
      </c>
      <c r="K1066" t="s">
        <v>386</v>
      </c>
      <c r="L1066" t="s">
        <v>392</v>
      </c>
      <c r="M1066" t="s">
        <v>393</v>
      </c>
      <c r="O1066" t="s">
        <v>394</v>
      </c>
      <c r="P1066" t="s">
        <v>395</v>
      </c>
      <c r="Q1066" t="s">
        <v>396</v>
      </c>
      <c r="R1066">
        <v>2069148</v>
      </c>
      <c r="S1066" t="s">
        <v>430</v>
      </c>
      <c r="U1066" t="s">
        <v>1686</v>
      </c>
      <c r="V1066" t="s">
        <v>398</v>
      </c>
      <c r="W1066" s="393">
        <v>2370000</v>
      </c>
      <c r="X1066" s="393">
        <v>661.23</v>
      </c>
      <c r="Y1066" s="393">
        <v>5581.35</v>
      </c>
      <c r="Z1066" s="393">
        <v>2370000</v>
      </c>
      <c r="AA1066">
        <v>0</v>
      </c>
      <c r="AB1066" s="400">
        <v>44580.042569675927</v>
      </c>
      <c r="AC1066" t="s">
        <v>437</v>
      </c>
    </row>
    <row r="1067" spans="1:29">
      <c r="A1067" t="s">
        <v>382</v>
      </c>
      <c r="B1067" t="s">
        <v>440</v>
      </c>
      <c r="C1067" t="s">
        <v>388</v>
      </c>
      <c r="D1067" t="s">
        <v>389</v>
      </c>
      <c r="E1067" t="s">
        <v>390</v>
      </c>
      <c r="F1067" t="s">
        <v>391</v>
      </c>
      <c r="G1067">
        <v>6103538</v>
      </c>
      <c r="H1067">
        <v>202112</v>
      </c>
      <c r="I1067" s="400">
        <v>44561</v>
      </c>
      <c r="J1067">
        <v>119010</v>
      </c>
      <c r="K1067" t="s">
        <v>386</v>
      </c>
      <c r="L1067" t="s">
        <v>392</v>
      </c>
      <c r="M1067" t="s">
        <v>393</v>
      </c>
      <c r="O1067" t="s">
        <v>394</v>
      </c>
      <c r="P1067" t="s">
        <v>395</v>
      </c>
      <c r="Q1067" t="s">
        <v>396</v>
      </c>
      <c r="R1067">
        <v>2069148</v>
      </c>
      <c r="S1067" t="s">
        <v>430</v>
      </c>
      <c r="U1067" t="s">
        <v>1687</v>
      </c>
      <c r="V1067" t="s">
        <v>398</v>
      </c>
      <c r="W1067" s="393">
        <v>5670000</v>
      </c>
      <c r="X1067" s="393">
        <v>1581.93</v>
      </c>
      <c r="Y1067" s="393">
        <v>13352.85</v>
      </c>
      <c r="Z1067" s="393">
        <v>5670000</v>
      </c>
      <c r="AA1067">
        <v>0</v>
      </c>
      <c r="AB1067" s="400">
        <v>44580.042569675927</v>
      </c>
      <c r="AC1067" t="s">
        <v>437</v>
      </c>
    </row>
    <row r="1068" spans="1:29">
      <c r="A1068" t="s">
        <v>382</v>
      </c>
      <c r="B1068" t="s">
        <v>440</v>
      </c>
      <c r="C1068" t="s">
        <v>388</v>
      </c>
      <c r="D1068" t="s">
        <v>389</v>
      </c>
      <c r="E1068" t="s">
        <v>390</v>
      </c>
      <c r="F1068" t="s">
        <v>391</v>
      </c>
      <c r="G1068">
        <v>6103538</v>
      </c>
      <c r="H1068">
        <v>202112</v>
      </c>
      <c r="I1068" s="400">
        <v>44561</v>
      </c>
      <c r="J1068">
        <v>119010</v>
      </c>
      <c r="K1068" t="s">
        <v>386</v>
      </c>
      <c r="L1068" t="s">
        <v>392</v>
      </c>
      <c r="M1068" t="s">
        <v>393</v>
      </c>
      <c r="O1068" t="s">
        <v>394</v>
      </c>
      <c r="P1068" t="s">
        <v>395</v>
      </c>
      <c r="Q1068" t="s">
        <v>396</v>
      </c>
      <c r="R1068">
        <v>2069148</v>
      </c>
      <c r="S1068" t="s">
        <v>430</v>
      </c>
      <c r="U1068" t="s">
        <v>1688</v>
      </c>
      <c r="V1068" t="s">
        <v>398</v>
      </c>
      <c r="W1068" s="393">
        <v>4000000</v>
      </c>
      <c r="X1068" s="393">
        <v>1116</v>
      </c>
      <c r="Y1068" s="393">
        <v>9420</v>
      </c>
      <c r="Z1068" s="393">
        <v>4000000</v>
      </c>
      <c r="AA1068">
        <v>0</v>
      </c>
      <c r="AB1068" s="400">
        <v>44580.042569675927</v>
      </c>
      <c r="AC1068" t="s">
        <v>437</v>
      </c>
    </row>
    <row r="1069" spans="1:29">
      <c r="A1069" t="s">
        <v>382</v>
      </c>
      <c r="B1069" t="s">
        <v>440</v>
      </c>
      <c r="C1069" t="s">
        <v>388</v>
      </c>
      <c r="D1069" t="s">
        <v>389</v>
      </c>
      <c r="E1069" t="s">
        <v>390</v>
      </c>
      <c r="F1069" t="s">
        <v>391</v>
      </c>
      <c r="G1069">
        <v>6103538</v>
      </c>
      <c r="H1069">
        <v>202112</v>
      </c>
      <c r="I1069" s="400">
        <v>44561</v>
      </c>
      <c r="J1069">
        <v>119010</v>
      </c>
      <c r="K1069" t="s">
        <v>386</v>
      </c>
      <c r="L1069" t="s">
        <v>392</v>
      </c>
      <c r="M1069" t="s">
        <v>393</v>
      </c>
      <c r="O1069" t="s">
        <v>394</v>
      </c>
      <c r="P1069" t="s">
        <v>395</v>
      </c>
      <c r="Q1069" t="s">
        <v>396</v>
      </c>
      <c r="R1069">
        <v>2069148</v>
      </c>
      <c r="S1069" t="s">
        <v>430</v>
      </c>
      <c r="U1069" t="s">
        <v>1689</v>
      </c>
      <c r="V1069" t="s">
        <v>398</v>
      </c>
      <c r="W1069" s="393">
        <v>5000000</v>
      </c>
      <c r="X1069" s="393">
        <v>1395</v>
      </c>
      <c r="Y1069" s="393">
        <v>11775</v>
      </c>
      <c r="Z1069" s="393">
        <v>5000000</v>
      </c>
      <c r="AA1069">
        <v>0</v>
      </c>
      <c r="AB1069" s="400">
        <v>44580.042569675927</v>
      </c>
      <c r="AC1069" t="s">
        <v>437</v>
      </c>
    </row>
    <row r="1070" spans="1:29">
      <c r="A1070" t="s">
        <v>382</v>
      </c>
      <c r="B1070" t="s">
        <v>440</v>
      </c>
      <c r="C1070" t="s">
        <v>388</v>
      </c>
      <c r="D1070" t="s">
        <v>389</v>
      </c>
      <c r="E1070" t="s">
        <v>390</v>
      </c>
      <c r="F1070" t="s">
        <v>391</v>
      </c>
      <c r="G1070">
        <v>6103539</v>
      </c>
      <c r="H1070">
        <v>202112</v>
      </c>
      <c r="I1070" s="400">
        <v>44561</v>
      </c>
      <c r="J1070">
        <v>119010</v>
      </c>
      <c r="K1070" t="s">
        <v>386</v>
      </c>
      <c r="L1070" t="s">
        <v>392</v>
      </c>
      <c r="M1070" t="s">
        <v>393</v>
      </c>
      <c r="O1070" t="s">
        <v>394</v>
      </c>
      <c r="P1070" t="s">
        <v>395</v>
      </c>
      <c r="Q1070" t="s">
        <v>396</v>
      </c>
      <c r="R1070">
        <v>2069148</v>
      </c>
      <c r="S1070" t="s">
        <v>430</v>
      </c>
      <c r="U1070" t="s">
        <v>1690</v>
      </c>
      <c r="V1070" t="s">
        <v>398</v>
      </c>
      <c r="W1070" s="393">
        <v>9943318</v>
      </c>
      <c r="X1070" s="393">
        <v>2774.19</v>
      </c>
      <c r="Y1070" s="393">
        <v>23416.51</v>
      </c>
      <c r="Z1070" s="393">
        <v>9943318</v>
      </c>
      <c r="AA1070">
        <v>0</v>
      </c>
      <c r="AB1070" s="400">
        <v>44580.187755983796</v>
      </c>
      <c r="AC1070" t="s">
        <v>437</v>
      </c>
    </row>
    <row r="1071" spans="1:29">
      <c r="A1071" t="s">
        <v>382</v>
      </c>
      <c r="B1071" t="s">
        <v>440</v>
      </c>
      <c r="C1071" t="s">
        <v>388</v>
      </c>
      <c r="D1071" t="s">
        <v>389</v>
      </c>
      <c r="E1071" t="s">
        <v>390</v>
      </c>
      <c r="F1071" t="s">
        <v>391</v>
      </c>
      <c r="G1071">
        <v>6103539</v>
      </c>
      <c r="H1071">
        <v>202112</v>
      </c>
      <c r="I1071" s="400">
        <v>44561</v>
      </c>
      <c r="J1071">
        <v>119010</v>
      </c>
      <c r="K1071" t="s">
        <v>386</v>
      </c>
      <c r="L1071" t="s">
        <v>392</v>
      </c>
      <c r="M1071" t="s">
        <v>393</v>
      </c>
      <c r="O1071" t="s">
        <v>394</v>
      </c>
      <c r="P1071" t="s">
        <v>395</v>
      </c>
      <c r="Q1071" t="s">
        <v>396</v>
      </c>
      <c r="R1071">
        <v>2069148</v>
      </c>
      <c r="S1071" t="s">
        <v>430</v>
      </c>
      <c r="U1071" t="s">
        <v>1691</v>
      </c>
      <c r="V1071" t="s">
        <v>398</v>
      </c>
      <c r="W1071" s="393">
        <v>6785346</v>
      </c>
      <c r="X1071" s="393">
        <v>1893.11</v>
      </c>
      <c r="Y1071" s="393">
        <v>15979.49</v>
      </c>
      <c r="Z1071" s="393">
        <v>6785346</v>
      </c>
      <c r="AA1071">
        <v>0</v>
      </c>
      <c r="AB1071" s="400">
        <v>44580.187755983796</v>
      </c>
      <c r="AC1071" t="s">
        <v>437</v>
      </c>
    </row>
    <row r="1072" spans="1:29">
      <c r="A1072" t="s">
        <v>382</v>
      </c>
      <c r="B1072" t="s">
        <v>440</v>
      </c>
      <c r="C1072" t="s">
        <v>388</v>
      </c>
      <c r="D1072" t="s">
        <v>389</v>
      </c>
      <c r="E1072" t="s">
        <v>390</v>
      </c>
      <c r="F1072" t="s">
        <v>391</v>
      </c>
      <c r="G1072">
        <v>6103539</v>
      </c>
      <c r="H1072">
        <v>202112</v>
      </c>
      <c r="I1072" s="400">
        <v>44561</v>
      </c>
      <c r="J1072">
        <v>119010</v>
      </c>
      <c r="K1072" t="s">
        <v>386</v>
      </c>
      <c r="L1072" t="s">
        <v>392</v>
      </c>
      <c r="M1072" t="s">
        <v>393</v>
      </c>
      <c r="O1072" t="s">
        <v>394</v>
      </c>
      <c r="P1072" t="s">
        <v>395</v>
      </c>
      <c r="Q1072" t="s">
        <v>396</v>
      </c>
      <c r="R1072">
        <v>2069148</v>
      </c>
      <c r="S1072" t="s">
        <v>430</v>
      </c>
      <c r="U1072" t="s">
        <v>1692</v>
      </c>
      <c r="V1072" t="s">
        <v>398</v>
      </c>
      <c r="W1072" s="393">
        <v>6790000</v>
      </c>
      <c r="X1072" s="393">
        <v>1894.41</v>
      </c>
      <c r="Y1072" s="393">
        <v>15990.45</v>
      </c>
      <c r="Z1072" s="393">
        <v>6790000</v>
      </c>
      <c r="AA1072">
        <v>0</v>
      </c>
      <c r="AB1072" s="400">
        <v>44580.187755983796</v>
      </c>
      <c r="AC1072" t="s">
        <v>437</v>
      </c>
    </row>
    <row r="1073" spans="1:29">
      <c r="A1073" t="s">
        <v>382</v>
      </c>
      <c r="B1073" t="s">
        <v>382</v>
      </c>
      <c r="C1073" t="s">
        <v>388</v>
      </c>
      <c r="D1073" t="s">
        <v>389</v>
      </c>
      <c r="E1073" t="s">
        <v>390</v>
      </c>
      <c r="F1073" t="s">
        <v>391</v>
      </c>
      <c r="G1073">
        <v>6103533</v>
      </c>
      <c r="H1073">
        <v>202112</v>
      </c>
      <c r="I1073" s="400">
        <v>44561</v>
      </c>
      <c r="J1073">
        <v>119010</v>
      </c>
      <c r="K1073" t="s">
        <v>386</v>
      </c>
      <c r="L1073" t="s">
        <v>392</v>
      </c>
      <c r="M1073" t="s">
        <v>393</v>
      </c>
      <c r="O1073" t="s">
        <v>394</v>
      </c>
      <c r="P1073" t="s">
        <v>395</v>
      </c>
      <c r="Q1073" t="s">
        <v>396</v>
      </c>
      <c r="R1073">
        <v>2069148</v>
      </c>
      <c r="S1073" t="s">
        <v>430</v>
      </c>
      <c r="U1073" t="s">
        <v>1693</v>
      </c>
      <c r="V1073" t="s">
        <v>398</v>
      </c>
      <c r="W1073" s="393">
        <v>3780000</v>
      </c>
      <c r="X1073" s="393">
        <v>1054.6300000000001</v>
      </c>
      <c r="Y1073" s="393">
        <v>8901.9</v>
      </c>
      <c r="Z1073" s="393">
        <v>3780000</v>
      </c>
      <c r="AA1073">
        <v>0</v>
      </c>
      <c r="AB1073" s="400">
        <v>44576.042806793979</v>
      </c>
      <c r="AC1073" t="s">
        <v>437</v>
      </c>
    </row>
    <row r="1074" spans="1:29">
      <c r="A1074" t="s">
        <v>382</v>
      </c>
      <c r="B1074" t="s">
        <v>382</v>
      </c>
      <c r="C1074" t="s">
        <v>388</v>
      </c>
      <c r="D1074" t="s">
        <v>389</v>
      </c>
      <c r="E1074" t="s">
        <v>390</v>
      </c>
      <c r="F1074" t="s">
        <v>391</v>
      </c>
      <c r="G1074">
        <v>6103533</v>
      </c>
      <c r="H1074">
        <v>202112</v>
      </c>
      <c r="I1074" s="400">
        <v>44561</v>
      </c>
      <c r="J1074">
        <v>119010</v>
      </c>
      <c r="K1074" t="s">
        <v>386</v>
      </c>
      <c r="L1074" t="s">
        <v>392</v>
      </c>
      <c r="M1074" t="s">
        <v>393</v>
      </c>
      <c r="O1074" t="s">
        <v>394</v>
      </c>
      <c r="P1074" t="s">
        <v>395</v>
      </c>
      <c r="Q1074" t="s">
        <v>396</v>
      </c>
      <c r="R1074">
        <v>2069148</v>
      </c>
      <c r="S1074" t="s">
        <v>430</v>
      </c>
      <c r="U1074" t="s">
        <v>1694</v>
      </c>
      <c r="V1074" t="s">
        <v>398</v>
      </c>
      <c r="W1074" s="393">
        <v>2000000</v>
      </c>
      <c r="X1074" s="393">
        <v>558</v>
      </c>
      <c r="Y1074" s="393">
        <v>4710</v>
      </c>
      <c r="Z1074" s="393">
        <v>2000000</v>
      </c>
      <c r="AA1074">
        <v>0</v>
      </c>
      <c r="AB1074" s="400">
        <v>44576.042806793979</v>
      </c>
      <c r="AC1074" t="s">
        <v>437</v>
      </c>
    </row>
    <row r="1075" spans="1:29">
      <c r="A1075" t="s">
        <v>382</v>
      </c>
      <c r="B1075" t="s">
        <v>440</v>
      </c>
      <c r="C1075" t="s">
        <v>388</v>
      </c>
      <c r="D1075" t="s">
        <v>389</v>
      </c>
      <c r="E1075" t="s">
        <v>390</v>
      </c>
      <c r="F1075" t="s">
        <v>391</v>
      </c>
      <c r="G1075">
        <v>6103539</v>
      </c>
      <c r="H1075">
        <v>202112</v>
      </c>
      <c r="I1075" s="400">
        <v>44561</v>
      </c>
      <c r="J1075">
        <v>119010</v>
      </c>
      <c r="K1075" t="s">
        <v>386</v>
      </c>
      <c r="L1075" t="s">
        <v>392</v>
      </c>
      <c r="M1075" t="s">
        <v>393</v>
      </c>
      <c r="O1075" t="s">
        <v>394</v>
      </c>
      <c r="P1075" t="s">
        <v>395</v>
      </c>
      <c r="Q1075" t="s">
        <v>396</v>
      </c>
      <c r="R1075">
        <v>2069148</v>
      </c>
      <c r="S1075" t="s">
        <v>430</v>
      </c>
      <c r="U1075" t="s">
        <v>1695</v>
      </c>
      <c r="V1075" t="s">
        <v>398</v>
      </c>
      <c r="W1075" s="393">
        <v>6000000</v>
      </c>
      <c r="X1075" s="393">
        <v>1674</v>
      </c>
      <c r="Y1075" s="393">
        <v>14130</v>
      </c>
      <c r="Z1075" s="393">
        <v>6000000</v>
      </c>
      <c r="AA1075">
        <v>0</v>
      </c>
      <c r="AB1075" s="400">
        <v>44580.187755983796</v>
      </c>
      <c r="AC1075" t="s">
        <v>437</v>
      </c>
    </row>
    <row r="1076" spans="1:29">
      <c r="A1076" t="s">
        <v>382</v>
      </c>
      <c r="B1076" t="s">
        <v>440</v>
      </c>
      <c r="C1076" t="s">
        <v>388</v>
      </c>
      <c r="D1076" t="s">
        <v>389</v>
      </c>
      <c r="E1076" t="s">
        <v>390</v>
      </c>
      <c r="F1076" t="s">
        <v>391</v>
      </c>
      <c r="G1076">
        <v>6103527</v>
      </c>
      <c r="H1076">
        <v>202112</v>
      </c>
      <c r="I1076" s="400">
        <v>44561</v>
      </c>
      <c r="J1076">
        <v>119010</v>
      </c>
      <c r="K1076" t="s">
        <v>386</v>
      </c>
      <c r="L1076" t="s">
        <v>399</v>
      </c>
      <c r="M1076" t="s">
        <v>400</v>
      </c>
      <c r="O1076" t="s">
        <v>401</v>
      </c>
      <c r="P1076" t="s">
        <v>402</v>
      </c>
      <c r="Q1076" t="s">
        <v>396</v>
      </c>
      <c r="R1076">
        <v>2069147</v>
      </c>
      <c r="S1076" t="s">
        <v>399</v>
      </c>
      <c r="U1076" t="s">
        <v>1696</v>
      </c>
      <c r="V1076" t="s">
        <v>398</v>
      </c>
      <c r="W1076" s="393">
        <v>2800000</v>
      </c>
      <c r="X1076" s="393">
        <v>703.3</v>
      </c>
      <c r="Y1076" s="393">
        <v>6205.61</v>
      </c>
      <c r="Z1076" s="393">
        <v>2800000</v>
      </c>
      <c r="AA1076">
        <v>0</v>
      </c>
      <c r="AB1076" s="400">
        <v>44575.749431446762</v>
      </c>
      <c r="AC1076" t="s">
        <v>439</v>
      </c>
    </row>
    <row r="1077" spans="1:29">
      <c r="A1077" t="s">
        <v>382</v>
      </c>
      <c r="B1077" t="s">
        <v>440</v>
      </c>
      <c r="C1077" t="s">
        <v>388</v>
      </c>
      <c r="D1077" t="s">
        <v>389</v>
      </c>
      <c r="E1077" t="s">
        <v>390</v>
      </c>
      <c r="F1077" t="s">
        <v>391</v>
      </c>
      <c r="G1077">
        <v>6103527</v>
      </c>
      <c r="H1077">
        <v>202112</v>
      </c>
      <c r="I1077" s="400">
        <v>44561</v>
      </c>
      <c r="J1077">
        <v>119010</v>
      </c>
      <c r="K1077" t="s">
        <v>386</v>
      </c>
      <c r="L1077" t="s">
        <v>399</v>
      </c>
      <c r="M1077" t="s">
        <v>400</v>
      </c>
      <c r="O1077" t="s">
        <v>401</v>
      </c>
      <c r="P1077" t="s">
        <v>402</v>
      </c>
      <c r="Q1077" t="s">
        <v>396</v>
      </c>
      <c r="R1077">
        <v>2069147</v>
      </c>
      <c r="S1077" t="s">
        <v>399</v>
      </c>
      <c r="U1077" t="s">
        <v>1697</v>
      </c>
      <c r="V1077" t="s">
        <v>398</v>
      </c>
      <c r="W1077" s="393">
        <v>2800000</v>
      </c>
      <c r="X1077" s="393">
        <v>703.3</v>
      </c>
      <c r="Y1077" s="393">
        <v>6205.61</v>
      </c>
      <c r="Z1077" s="393">
        <v>2800000</v>
      </c>
      <c r="AA1077">
        <v>0</v>
      </c>
      <c r="AB1077" s="400">
        <v>44575.749431446762</v>
      </c>
      <c r="AC1077" t="s">
        <v>439</v>
      </c>
    </row>
    <row r="1078" spans="1:29">
      <c r="A1078" t="s">
        <v>382</v>
      </c>
      <c r="B1078" t="s">
        <v>440</v>
      </c>
      <c r="C1078" t="s">
        <v>388</v>
      </c>
      <c r="D1078" t="s">
        <v>389</v>
      </c>
      <c r="E1078" t="s">
        <v>390</v>
      </c>
      <c r="F1078" t="s">
        <v>391</v>
      </c>
      <c r="G1078">
        <v>6103527</v>
      </c>
      <c r="H1078">
        <v>202112</v>
      </c>
      <c r="I1078" s="400">
        <v>44561</v>
      </c>
      <c r="J1078">
        <v>119010</v>
      </c>
      <c r="K1078" t="s">
        <v>386</v>
      </c>
      <c r="L1078" t="s">
        <v>399</v>
      </c>
      <c r="M1078" t="s">
        <v>400</v>
      </c>
      <c r="O1078" t="s">
        <v>401</v>
      </c>
      <c r="P1078" t="s">
        <v>402</v>
      </c>
      <c r="Q1078" t="s">
        <v>396</v>
      </c>
      <c r="R1078">
        <v>2069147</v>
      </c>
      <c r="S1078" t="s">
        <v>399</v>
      </c>
      <c r="U1078" t="s">
        <v>1698</v>
      </c>
      <c r="V1078" t="s">
        <v>398</v>
      </c>
      <c r="W1078" s="393">
        <v>2800000</v>
      </c>
      <c r="X1078" s="393">
        <v>703.3</v>
      </c>
      <c r="Y1078" s="393">
        <v>6205.61</v>
      </c>
      <c r="Z1078" s="393">
        <v>2800000</v>
      </c>
      <c r="AA1078">
        <v>0</v>
      </c>
      <c r="AB1078" s="400">
        <v>44575.749431446762</v>
      </c>
      <c r="AC1078" t="s">
        <v>439</v>
      </c>
    </row>
    <row r="1079" spans="1:29">
      <c r="A1079" t="s">
        <v>382</v>
      </c>
      <c r="B1079" t="s">
        <v>440</v>
      </c>
      <c r="C1079" t="s">
        <v>388</v>
      </c>
      <c r="D1079" t="s">
        <v>389</v>
      </c>
      <c r="E1079" t="s">
        <v>390</v>
      </c>
      <c r="F1079" t="s">
        <v>391</v>
      </c>
      <c r="G1079">
        <v>6103527</v>
      </c>
      <c r="H1079">
        <v>202112</v>
      </c>
      <c r="I1079" s="400">
        <v>44561</v>
      </c>
      <c r="J1079">
        <v>119010</v>
      </c>
      <c r="K1079" t="s">
        <v>386</v>
      </c>
      <c r="L1079" t="s">
        <v>399</v>
      </c>
      <c r="M1079" t="s">
        <v>400</v>
      </c>
      <c r="O1079" t="s">
        <v>401</v>
      </c>
      <c r="P1079" t="s">
        <v>402</v>
      </c>
      <c r="Q1079" t="s">
        <v>396</v>
      </c>
      <c r="R1079">
        <v>2069147</v>
      </c>
      <c r="S1079" t="s">
        <v>399</v>
      </c>
      <c r="U1079" t="s">
        <v>1699</v>
      </c>
      <c r="V1079" t="s">
        <v>398</v>
      </c>
      <c r="W1079" s="393">
        <v>3000000</v>
      </c>
      <c r="X1079" s="393">
        <v>753.54</v>
      </c>
      <c r="Y1079" s="393">
        <v>6648.87</v>
      </c>
      <c r="Z1079" s="393">
        <v>3000000</v>
      </c>
      <c r="AA1079">
        <v>0</v>
      </c>
      <c r="AB1079" s="400">
        <v>44575.749431446762</v>
      </c>
      <c r="AC1079" t="s">
        <v>439</v>
      </c>
    </row>
    <row r="1080" spans="1:29">
      <c r="A1080" t="s">
        <v>382</v>
      </c>
      <c r="B1080" t="s">
        <v>440</v>
      </c>
      <c r="C1080" t="s">
        <v>388</v>
      </c>
      <c r="D1080" t="s">
        <v>389</v>
      </c>
      <c r="E1080" t="s">
        <v>390</v>
      </c>
      <c r="F1080" t="s">
        <v>391</v>
      </c>
      <c r="G1080">
        <v>6103527</v>
      </c>
      <c r="H1080">
        <v>202112</v>
      </c>
      <c r="I1080" s="400">
        <v>44561</v>
      </c>
      <c r="J1080">
        <v>119010</v>
      </c>
      <c r="K1080" t="s">
        <v>386</v>
      </c>
      <c r="L1080" t="s">
        <v>399</v>
      </c>
      <c r="M1080" t="s">
        <v>400</v>
      </c>
      <c r="O1080" t="s">
        <v>401</v>
      </c>
      <c r="P1080" t="s">
        <v>402</v>
      </c>
      <c r="Q1080" t="s">
        <v>396</v>
      </c>
      <c r="R1080">
        <v>2069147</v>
      </c>
      <c r="S1080" t="s">
        <v>399</v>
      </c>
      <c r="U1080" t="s">
        <v>1700</v>
      </c>
      <c r="V1080" t="s">
        <v>398</v>
      </c>
      <c r="W1080" s="393">
        <v>2500000</v>
      </c>
      <c r="X1080" s="393">
        <v>627.95000000000005</v>
      </c>
      <c r="Y1080" s="393">
        <v>5540.73</v>
      </c>
      <c r="Z1080" s="393">
        <v>2500000</v>
      </c>
      <c r="AA1080">
        <v>0</v>
      </c>
      <c r="AB1080" s="400">
        <v>44575.749431446762</v>
      </c>
      <c r="AC1080" t="s">
        <v>439</v>
      </c>
    </row>
    <row r="1081" spans="1:29">
      <c r="A1081" t="s">
        <v>382</v>
      </c>
      <c r="B1081" t="s">
        <v>440</v>
      </c>
      <c r="C1081" t="s">
        <v>388</v>
      </c>
      <c r="D1081" t="s">
        <v>389</v>
      </c>
      <c r="E1081" t="s">
        <v>390</v>
      </c>
      <c r="F1081" t="s">
        <v>391</v>
      </c>
      <c r="G1081">
        <v>6103527</v>
      </c>
      <c r="H1081">
        <v>202112</v>
      </c>
      <c r="I1081" s="400">
        <v>44561</v>
      </c>
      <c r="J1081">
        <v>119010</v>
      </c>
      <c r="K1081" t="s">
        <v>386</v>
      </c>
      <c r="L1081" t="s">
        <v>399</v>
      </c>
      <c r="M1081" t="s">
        <v>400</v>
      </c>
      <c r="O1081" t="s">
        <v>401</v>
      </c>
      <c r="P1081" t="s">
        <v>402</v>
      </c>
      <c r="Q1081" t="s">
        <v>396</v>
      </c>
      <c r="R1081">
        <v>2069147</v>
      </c>
      <c r="S1081" t="s">
        <v>399</v>
      </c>
      <c r="U1081" t="s">
        <v>1701</v>
      </c>
      <c r="V1081" t="s">
        <v>398</v>
      </c>
      <c r="W1081" s="393">
        <v>2000000</v>
      </c>
      <c r="X1081" s="393">
        <v>502.36</v>
      </c>
      <c r="Y1081" s="393">
        <v>4432.58</v>
      </c>
      <c r="Z1081" s="393">
        <v>2000000</v>
      </c>
      <c r="AA1081">
        <v>0</v>
      </c>
      <c r="AB1081" s="400">
        <v>44575.749431446762</v>
      </c>
      <c r="AC1081" t="s">
        <v>439</v>
      </c>
    </row>
    <row r="1082" spans="1:29">
      <c r="A1082" t="s">
        <v>382</v>
      </c>
      <c r="B1082" t="s">
        <v>440</v>
      </c>
      <c r="C1082" t="s">
        <v>388</v>
      </c>
      <c r="D1082" t="s">
        <v>389</v>
      </c>
      <c r="E1082" t="s">
        <v>390</v>
      </c>
      <c r="F1082" t="s">
        <v>391</v>
      </c>
      <c r="G1082">
        <v>6103527</v>
      </c>
      <c r="H1082">
        <v>202112</v>
      </c>
      <c r="I1082" s="400">
        <v>44561</v>
      </c>
      <c r="J1082">
        <v>119010</v>
      </c>
      <c r="K1082" t="s">
        <v>386</v>
      </c>
      <c r="L1082" t="s">
        <v>399</v>
      </c>
      <c r="M1082" t="s">
        <v>400</v>
      </c>
      <c r="O1082" t="s">
        <v>401</v>
      </c>
      <c r="P1082" t="s">
        <v>402</v>
      </c>
      <c r="Q1082" t="s">
        <v>396</v>
      </c>
      <c r="R1082">
        <v>2069147</v>
      </c>
      <c r="S1082" t="s">
        <v>399</v>
      </c>
      <c r="U1082" t="s">
        <v>1702</v>
      </c>
      <c r="V1082" t="s">
        <v>398</v>
      </c>
      <c r="W1082" s="393">
        <v>1500000</v>
      </c>
      <c r="X1082" s="393">
        <v>376.77</v>
      </c>
      <c r="Y1082" s="393">
        <v>3324.44</v>
      </c>
      <c r="Z1082" s="393">
        <v>1500000</v>
      </c>
      <c r="AA1082">
        <v>0</v>
      </c>
      <c r="AB1082" s="400">
        <v>44575.749431446762</v>
      </c>
      <c r="AC1082" t="s">
        <v>439</v>
      </c>
    </row>
    <row r="1083" spans="1:29">
      <c r="A1083" t="s">
        <v>382</v>
      </c>
      <c r="B1083" t="s">
        <v>440</v>
      </c>
      <c r="C1083" t="s">
        <v>388</v>
      </c>
      <c r="D1083" t="s">
        <v>389</v>
      </c>
      <c r="E1083" t="s">
        <v>390</v>
      </c>
      <c r="F1083" t="s">
        <v>391</v>
      </c>
      <c r="G1083">
        <v>6103527</v>
      </c>
      <c r="H1083">
        <v>202112</v>
      </c>
      <c r="I1083" s="400">
        <v>44561</v>
      </c>
      <c r="J1083">
        <v>119010</v>
      </c>
      <c r="K1083" t="s">
        <v>386</v>
      </c>
      <c r="L1083" t="s">
        <v>399</v>
      </c>
      <c r="M1083" t="s">
        <v>400</v>
      </c>
      <c r="O1083" t="s">
        <v>401</v>
      </c>
      <c r="P1083" t="s">
        <v>402</v>
      </c>
      <c r="Q1083" t="s">
        <v>396</v>
      </c>
      <c r="R1083">
        <v>2069147</v>
      </c>
      <c r="S1083" t="s">
        <v>399</v>
      </c>
      <c r="U1083" t="s">
        <v>1703</v>
      </c>
      <c r="V1083" t="s">
        <v>398</v>
      </c>
      <c r="W1083" s="393">
        <v>3000000</v>
      </c>
      <c r="X1083" s="393">
        <v>753.54</v>
      </c>
      <c r="Y1083" s="393">
        <v>6648.87</v>
      </c>
      <c r="Z1083" s="393">
        <v>3000000</v>
      </c>
      <c r="AA1083">
        <v>0</v>
      </c>
      <c r="AB1083" s="400">
        <v>44575.749431446762</v>
      </c>
      <c r="AC1083" t="s">
        <v>439</v>
      </c>
    </row>
    <row r="1084" spans="1:29">
      <c r="A1084" t="s">
        <v>382</v>
      </c>
      <c r="B1084" t="s">
        <v>440</v>
      </c>
      <c r="C1084" t="s">
        <v>388</v>
      </c>
      <c r="D1084" t="s">
        <v>389</v>
      </c>
      <c r="E1084" t="s">
        <v>390</v>
      </c>
      <c r="F1084" t="s">
        <v>391</v>
      </c>
      <c r="G1084">
        <v>6103527</v>
      </c>
      <c r="H1084">
        <v>202112</v>
      </c>
      <c r="I1084" s="400">
        <v>44561</v>
      </c>
      <c r="J1084">
        <v>119010</v>
      </c>
      <c r="K1084" t="s">
        <v>386</v>
      </c>
      <c r="L1084" t="s">
        <v>399</v>
      </c>
      <c r="M1084" t="s">
        <v>400</v>
      </c>
      <c r="O1084" t="s">
        <v>401</v>
      </c>
      <c r="P1084" t="s">
        <v>402</v>
      </c>
      <c r="Q1084" t="s">
        <v>396</v>
      </c>
      <c r="R1084">
        <v>2069147</v>
      </c>
      <c r="S1084" t="s">
        <v>399</v>
      </c>
      <c r="U1084" t="s">
        <v>1704</v>
      </c>
      <c r="V1084" t="s">
        <v>398</v>
      </c>
      <c r="W1084" s="393">
        <v>3000000</v>
      </c>
      <c r="X1084" s="393">
        <v>753.54</v>
      </c>
      <c r="Y1084" s="393">
        <v>6648.87</v>
      </c>
      <c r="Z1084" s="393">
        <v>3000000</v>
      </c>
      <c r="AA1084">
        <v>0</v>
      </c>
      <c r="AB1084" s="400">
        <v>44575.749431446762</v>
      </c>
      <c r="AC1084" t="s">
        <v>439</v>
      </c>
    </row>
    <row r="1085" spans="1:29">
      <c r="A1085" t="s">
        <v>382</v>
      </c>
      <c r="B1085" t="s">
        <v>440</v>
      </c>
      <c r="C1085" t="s">
        <v>388</v>
      </c>
      <c r="D1085" t="s">
        <v>389</v>
      </c>
      <c r="E1085" t="s">
        <v>390</v>
      </c>
      <c r="F1085" t="s">
        <v>391</v>
      </c>
      <c r="G1085">
        <v>6103527</v>
      </c>
      <c r="H1085">
        <v>202112</v>
      </c>
      <c r="I1085" s="400">
        <v>44561</v>
      </c>
      <c r="J1085">
        <v>119010</v>
      </c>
      <c r="K1085" t="s">
        <v>386</v>
      </c>
      <c r="L1085" t="s">
        <v>399</v>
      </c>
      <c r="M1085" t="s">
        <v>400</v>
      </c>
      <c r="O1085" t="s">
        <v>401</v>
      </c>
      <c r="P1085" t="s">
        <v>402</v>
      </c>
      <c r="Q1085" t="s">
        <v>396</v>
      </c>
      <c r="R1085">
        <v>2069147</v>
      </c>
      <c r="S1085" t="s">
        <v>399</v>
      </c>
      <c r="U1085" t="s">
        <v>1705</v>
      </c>
      <c r="V1085" t="s">
        <v>398</v>
      </c>
      <c r="W1085" s="393">
        <v>5500000</v>
      </c>
      <c r="X1085" s="393">
        <v>1381.49</v>
      </c>
      <c r="Y1085" s="393">
        <v>12189.6</v>
      </c>
      <c r="Z1085" s="393">
        <v>5500000</v>
      </c>
      <c r="AA1085">
        <v>0</v>
      </c>
      <c r="AB1085" s="400">
        <v>44575.749431446762</v>
      </c>
      <c r="AC1085" t="s">
        <v>439</v>
      </c>
    </row>
    <row r="1086" spans="1:29">
      <c r="A1086" t="s">
        <v>382</v>
      </c>
      <c r="B1086" t="s">
        <v>440</v>
      </c>
      <c r="C1086" t="s">
        <v>388</v>
      </c>
      <c r="D1086" t="s">
        <v>389</v>
      </c>
      <c r="E1086" t="s">
        <v>390</v>
      </c>
      <c r="F1086" t="s">
        <v>391</v>
      </c>
      <c r="G1086">
        <v>6103525</v>
      </c>
      <c r="H1086">
        <v>202112</v>
      </c>
      <c r="I1086" s="400">
        <v>44561</v>
      </c>
      <c r="J1086">
        <v>119010</v>
      </c>
      <c r="K1086" t="s">
        <v>386</v>
      </c>
      <c r="L1086" t="s">
        <v>399</v>
      </c>
      <c r="M1086" t="s">
        <v>400</v>
      </c>
      <c r="O1086" t="s">
        <v>401</v>
      </c>
      <c r="P1086" t="s">
        <v>402</v>
      </c>
      <c r="Q1086" t="s">
        <v>396</v>
      </c>
      <c r="R1086">
        <v>2069147</v>
      </c>
      <c r="S1086" t="s">
        <v>399</v>
      </c>
      <c r="U1086" t="s">
        <v>1706</v>
      </c>
      <c r="V1086" t="s">
        <v>398</v>
      </c>
      <c r="W1086" s="393">
        <v>2000000</v>
      </c>
      <c r="X1086" s="393">
        <v>502.36</v>
      </c>
      <c r="Y1086" s="393">
        <v>4432.58</v>
      </c>
      <c r="Z1086" s="393">
        <v>2000000</v>
      </c>
      <c r="AA1086">
        <v>0</v>
      </c>
      <c r="AB1086" s="400">
        <v>44574.979683831021</v>
      </c>
      <c r="AC1086" t="s">
        <v>439</v>
      </c>
    </row>
    <row r="1087" spans="1:29">
      <c r="A1087" t="s">
        <v>382</v>
      </c>
      <c r="B1087" t="s">
        <v>440</v>
      </c>
      <c r="C1087" t="s">
        <v>388</v>
      </c>
      <c r="D1087" t="s">
        <v>389</v>
      </c>
      <c r="E1087" t="s">
        <v>390</v>
      </c>
      <c r="F1087" t="s">
        <v>391</v>
      </c>
      <c r="G1087">
        <v>6103525</v>
      </c>
      <c r="H1087">
        <v>202112</v>
      </c>
      <c r="I1087" s="400">
        <v>44561</v>
      </c>
      <c r="J1087">
        <v>119010</v>
      </c>
      <c r="K1087" t="s">
        <v>386</v>
      </c>
      <c r="L1087" t="s">
        <v>399</v>
      </c>
      <c r="M1087" t="s">
        <v>400</v>
      </c>
      <c r="O1087" t="s">
        <v>401</v>
      </c>
      <c r="P1087" t="s">
        <v>402</v>
      </c>
      <c r="Q1087" t="s">
        <v>396</v>
      </c>
      <c r="R1087">
        <v>2069147</v>
      </c>
      <c r="S1087" t="s">
        <v>399</v>
      </c>
      <c r="U1087" t="s">
        <v>1707</v>
      </c>
      <c r="V1087" t="s">
        <v>398</v>
      </c>
      <c r="W1087" s="393">
        <v>2500000</v>
      </c>
      <c r="X1087" s="393">
        <v>627.95000000000005</v>
      </c>
      <c r="Y1087" s="393">
        <v>5540.73</v>
      </c>
      <c r="Z1087" s="393">
        <v>2500000</v>
      </c>
      <c r="AA1087">
        <v>0</v>
      </c>
      <c r="AB1087" s="400">
        <v>44574.979683831021</v>
      </c>
      <c r="AC1087" t="s">
        <v>439</v>
      </c>
    </row>
    <row r="1088" spans="1:29">
      <c r="A1088" t="s">
        <v>382</v>
      </c>
      <c r="B1088" t="s">
        <v>440</v>
      </c>
      <c r="C1088" t="s">
        <v>388</v>
      </c>
      <c r="D1088" t="s">
        <v>389</v>
      </c>
      <c r="E1088" t="s">
        <v>390</v>
      </c>
      <c r="F1088" t="s">
        <v>391</v>
      </c>
      <c r="G1088">
        <v>6103525</v>
      </c>
      <c r="H1088">
        <v>202112</v>
      </c>
      <c r="I1088" s="400">
        <v>44561</v>
      </c>
      <c r="J1088">
        <v>119010</v>
      </c>
      <c r="K1088" t="s">
        <v>386</v>
      </c>
      <c r="L1088" t="s">
        <v>399</v>
      </c>
      <c r="M1088" t="s">
        <v>400</v>
      </c>
      <c r="O1088" t="s">
        <v>401</v>
      </c>
      <c r="P1088" t="s">
        <v>402</v>
      </c>
      <c r="Q1088" t="s">
        <v>396</v>
      </c>
      <c r="R1088">
        <v>2069147</v>
      </c>
      <c r="S1088" t="s">
        <v>399</v>
      </c>
      <c r="U1088" t="s">
        <v>1708</v>
      </c>
      <c r="V1088" t="s">
        <v>398</v>
      </c>
      <c r="W1088" s="393">
        <v>3000000</v>
      </c>
      <c r="X1088" s="393">
        <v>753.54</v>
      </c>
      <c r="Y1088" s="393">
        <v>6648.87</v>
      </c>
      <c r="Z1088" s="393">
        <v>3000000</v>
      </c>
      <c r="AA1088">
        <v>0</v>
      </c>
      <c r="AB1088" s="400">
        <v>44574.979683831021</v>
      </c>
      <c r="AC1088" t="s">
        <v>439</v>
      </c>
    </row>
    <row r="1089" spans="1:29">
      <c r="A1089" t="s">
        <v>382</v>
      </c>
      <c r="B1089" t="s">
        <v>440</v>
      </c>
      <c r="C1089" t="s">
        <v>388</v>
      </c>
      <c r="D1089" t="s">
        <v>389</v>
      </c>
      <c r="E1089" t="s">
        <v>390</v>
      </c>
      <c r="F1089" t="s">
        <v>391</v>
      </c>
      <c r="G1089">
        <v>6103525</v>
      </c>
      <c r="H1089">
        <v>202112</v>
      </c>
      <c r="I1089" s="400">
        <v>44561</v>
      </c>
      <c r="J1089">
        <v>119010</v>
      </c>
      <c r="K1089" t="s">
        <v>386</v>
      </c>
      <c r="L1089" t="s">
        <v>399</v>
      </c>
      <c r="M1089" t="s">
        <v>400</v>
      </c>
      <c r="O1089" t="s">
        <v>401</v>
      </c>
      <c r="P1089" t="s">
        <v>402</v>
      </c>
      <c r="Q1089" t="s">
        <v>396</v>
      </c>
      <c r="R1089">
        <v>2069147</v>
      </c>
      <c r="S1089" t="s">
        <v>399</v>
      </c>
      <c r="U1089" t="s">
        <v>1709</v>
      </c>
      <c r="V1089" t="s">
        <v>398</v>
      </c>
      <c r="W1089" s="393">
        <v>8400000</v>
      </c>
      <c r="X1089" s="393">
        <v>2109.91</v>
      </c>
      <c r="Y1089" s="393">
        <v>18616.84</v>
      </c>
      <c r="Z1089" s="393">
        <v>8400000</v>
      </c>
      <c r="AA1089">
        <v>0</v>
      </c>
      <c r="AB1089" s="400">
        <v>44574.979683831021</v>
      </c>
      <c r="AC1089" t="s">
        <v>439</v>
      </c>
    </row>
    <row r="1090" spans="1:29">
      <c r="A1090" t="s">
        <v>382</v>
      </c>
      <c r="B1090" t="s">
        <v>440</v>
      </c>
      <c r="C1090" t="s">
        <v>388</v>
      </c>
      <c r="D1090" t="s">
        <v>389</v>
      </c>
      <c r="E1090" t="s">
        <v>390</v>
      </c>
      <c r="F1090" t="s">
        <v>391</v>
      </c>
      <c r="G1090">
        <v>6103525</v>
      </c>
      <c r="H1090">
        <v>202112</v>
      </c>
      <c r="I1090" s="400">
        <v>44561</v>
      </c>
      <c r="J1090">
        <v>119010</v>
      </c>
      <c r="K1090" t="s">
        <v>386</v>
      </c>
      <c r="L1090" t="s">
        <v>399</v>
      </c>
      <c r="M1090" t="s">
        <v>400</v>
      </c>
      <c r="O1090" t="s">
        <v>401</v>
      </c>
      <c r="P1090" t="s">
        <v>402</v>
      </c>
      <c r="Q1090" t="s">
        <v>396</v>
      </c>
      <c r="R1090">
        <v>2069147</v>
      </c>
      <c r="S1090" t="s">
        <v>399</v>
      </c>
      <c r="U1090" t="s">
        <v>1710</v>
      </c>
      <c r="V1090" t="s">
        <v>398</v>
      </c>
      <c r="W1090" s="393">
        <v>11200000</v>
      </c>
      <c r="X1090" s="393">
        <v>2813.22</v>
      </c>
      <c r="Y1090" s="393">
        <v>24822.45</v>
      </c>
      <c r="Z1090" s="393">
        <v>11200000</v>
      </c>
      <c r="AA1090">
        <v>0</v>
      </c>
      <c r="AB1090" s="400">
        <v>44574.979683831021</v>
      </c>
      <c r="AC1090" t="s">
        <v>439</v>
      </c>
    </row>
    <row r="1091" spans="1:29">
      <c r="A1091" t="s">
        <v>382</v>
      </c>
      <c r="B1091" t="s">
        <v>440</v>
      </c>
      <c r="C1091" t="s">
        <v>388</v>
      </c>
      <c r="D1091" t="s">
        <v>389</v>
      </c>
      <c r="E1091" t="s">
        <v>390</v>
      </c>
      <c r="F1091" t="s">
        <v>391</v>
      </c>
      <c r="G1091">
        <v>6103525</v>
      </c>
      <c r="H1091">
        <v>202112</v>
      </c>
      <c r="I1091" s="400">
        <v>44561</v>
      </c>
      <c r="J1091">
        <v>119010</v>
      </c>
      <c r="K1091" t="s">
        <v>386</v>
      </c>
      <c r="L1091" t="s">
        <v>399</v>
      </c>
      <c r="M1091" t="s">
        <v>400</v>
      </c>
      <c r="O1091" t="s">
        <v>401</v>
      </c>
      <c r="P1091" t="s">
        <v>402</v>
      </c>
      <c r="Q1091" t="s">
        <v>396</v>
      </c>
      <c r="R1091">
        <v>2069147</v>
      </c>
      <c r="S1091" t="s">
        <v>399</v>
      </c>
      <c r="U1091" t="s">
        <v>1711</v>
      </c>
      <c r="V1091" t="s">
        <v>398</v>
      </c>
      <c r="W1091" s="393">
        <v>8400000</v>
      </c>
      <c r="X1091" s="393">
        <v>2109.91</v>
      </c>
      <c r="Y1091" s="393">
        <v>18616.84</v>
      </c>
      <c r="Z1091" s="393">
        <v>8400000</v>
      </c>
      <c r="AA1091">
        <v>0</v>
      </c>
      <c r="AB1091" s="400">
        <v>44574.979683831021</v>
      </c>
      <c r="AC1091" t="s">
        <v>439</v>
      </c>
    </row>
    <row r="1092" spans="1:29">
      <c r="A1092" t="s">
        <v>382</v>
      </c>
      <c r="B1092" t="s">
        <v>382</v>
      </c>
      <c r="C1092" t="s">
        <v>388</v>
      </c>
      <c r="D1092" t="s">
        <v>389</v>
      </c>
      <c r="E1092" t="s">
        <v>390</v>
      </c>
      <c r="F1092" t="s">
        <v>391</v>
      </c>
      <c r="G1092">
        <v>6103362</v>
      </c>
      <c r="H1092">
        <v>202112</v>
      </c>
      <c r="I1092" s="400">
        <v>44552</v>
      </c>
      <c r="J1092">
        <v>119010</v>
      </c>
      <c r="K1092" t="s">
        <v>386</v>
      </c>
      <c r="L1092" t="s">
        <v>399</v>
      </c>
      <c r="M1092" t="s">
        <v>400</v>
      </c>
      <c r="O1092" t="s">
        <v>401</v>
      </c>
      <c r="P1092" t="s">
        <v>402</v>
      </c>
      <c r="Q1092" t="s">
        <v>396</v>
      </c>
      <c r="R1092">
        <v>2069147</v>
      </c>
      <c r="S1092" t="s">
        <v>403</v>
      </c>
      <c r="U1092" t="s">
        <v>1712</v>
      </c>
      <c r="V1092" t="s">
        <v>398</v>
      </c>
      <c r="W1092" s="393">
        <v>5000000</v>
      </c>
      <c r="X1092" s="393">
        <v>1395</v>
      </c>
      <c r="Y1092" s="393">
        <v>11815</v>
      </c>
      <c r="Z1092" s="393">
        <v>5000000</v>
      </c>
      <c r="AA1092">
        <v>0</v>
      </c>
      <c r="AB1092" s="400">
        <v>44552.753291435183</v>
      </c>
      <c r="AC1092" t="s">
        <v>439</v>
      </c>
    </row>
    <row r="1093" spans="1:29">
      <c r="A1093" t="s">
        <v>382</v>
      </c>
      <c r="B1093" t="s">
        <v>382</v>
      </c>
      <c r="C1093" t="s">
        <v>388</v>
      </c>
      <c r="D1093" t="s">
        <v>389</v>
      </c>
      <c r="E1093" t="s">
        <v>390</v>
      </c>
      <c r="F1093" t="s">
        <v>391</v>
      </c>
      <c r="G1093">
        <v>6103362</v>
      </c>
      <c r="H1093">
        <v>202112</v>
      </c>
      <c r="I1093" s="400">
        <v>44552</v>
      </c>
      <c r="J1093">
        <v>119010</v>
      </c>
      <c r="K1093" t="s">
        <v>386</v>
      </c>
      <c r="L1093" t="s">
        <v>399</v>
      </c>
      <c r="M1093" t="s">
        <v>400</v>
      </c>
      <c r="O1093" t="s">
        <v>401</v>
      </c>
      <c r="P1093" t="s">
        <v>402</v>
      </c>
      <c r="Q1093" t="s">
        <v>396</v>
      </c>
      <c r="R1093">
        <v>2069147</v>
      </c>
      <c r="S1093" t="s">
        <v>403</v>
      </c>
      <c r="U1093" t="s">
        <v>1713</v>
      </c>
      <c r="V1093" t="s">
        <v>398</v>
      </c>
      <c r="W1093" s="393">
        <v>6000000</v>
      </c>
      <c r="X1093" s="393">
        <v>1674</v>
      </c>
      <c r="Y1093" s="393">
        <v>14178</v>
      </c>
      <c r="Z1093" s="393">
        <v>6000000</v>
      </c>
      <c r="AA1093">
        <v>0</v>
      </c>
      <c r="AB1093" s="400">
        <v>44552.753291435183</v>
      </c>
      <c r="AC1093" t="s">
        <v>439</v>
      </c>
    </row>
    <row r="1094" spans="1:29">
      <c r="A1094" t="s">
        <v>382</v>
      </c>
      <c r="B1094" t="s">
        <v>382</v>
      </c>
      <c r="C1094" t="s">
        <v>388</v>
      </c>
      <c r="D1094" t="s">
        <v>389</v>
      </c>
      <c r="E1094" t="s">
        <v>390</v>
      </c>
      <c r="F1094" t="s">
        <v>391</v>
      </c>
      <c r="G1094">
        <v>6103368</v>
      </c>
      <c r="H1094">
        <v>202112</v>
      </c>
      <c r="I1094" s="400">
        <v>44552</v>
      </c>
      <c r="J1094">
        <v>119010</v>
      </c>
      <c r="K1094" t="s">
        <v>386</v>
      </c>
      <c r="L1094" t="s">
        <v>399</v>
      </c>
      <c r="M1094" t="s">
        <v>400</v>
      </c>
      <c r="O1094" t="s">
        <v>401</v>
      </c>
      <c r="P1094" t="s">
        <v>402</v>
      </c>
      <c r="Q1094" t="s">
        <v>396</v>
      </c>
      <c r="R1094">
        <v>2069147</v>
      </c>
      <c r="S1094" t="s">
        <v>403</v>
      </c>
      <c r="U1094" t="s">
        <v>1714</v>
      </c>
      <c r="V1094" t="s">
        <v>398</v>
      </c>
      <c r="W1094" s="393">
        <v>1500000</v>
      </c>
      <c r="X1094" s="393">
        <v>383.84</v>
      </c>
      <c r="Y1094" s="393">
        <v>3291.5</v>
      </c>
      <c r="Z1094" s="393">
        <v>1500000</v>
      </c>
      <c r="AA1094">
        <v>0</v>
      </c>
      <c r="AB1094" s="400">
        <v>44552.789570717592</v>
      </c>
      <c r="AC1094" t="s">
        <v>439</v>
      </c>
    </row>
    <row r="1095" spans="1:29">
      <c r="A1095" t="s">
        <v>382</v>
      </c>
      <c r="B1095" t="s">
        <v>382</v>
      </c>
      <c r="C1095" t="s">
        <v>388</v>
      </c>
      <c r="D1095" t="s">
        <v>389</v>
      </c>
      <c r="E1095" t="s">
        <v>390</v>
      </c>
      <c r="F1095" t="s">
        <v>391</v>
      </c>
      <c r="G1095">
        <v>6103368</v>
      </c>
      <c r="H1095">
        <v>202112</v>
      </c>
      <c r="I1095" s="400">
        <v>44552</v>
      </c>
      <c r="J1095">
        <v>119010</v>
      </c>
      <c r="K1095" t="s">
        <v>386</v>
      </c>
      <c r="L1095" t="s">
        <v>399</v>
      </c>
      <c r="M1095" t="s">
        <v>400</v>
      </c>
      <c r="O1095" t="s">
        <v>401</v>
      </c>
      <c r="P1095" t="s">
        <v>402</v>
      </c>
      <c r="Q1095" t="s">
        <v>396</v>
      </c>
      <c r="R1095">
        <v>2069147</v>
      </c>
      <c r="S1095" t="s">
        <v>403</v>
      </c>
      <c r="U1095" t="s">
        <v>1715</v>
      </c>
      <c r="V1095" t="s">
        <v>398</v>
      </c>
      <c r="W1095" s="393">
        <v>2000000</v>
      </c>
      <c r="X1095" s="393">
        <v>511.78</v>
      </c>
      <c r="Y1095" s="393">
        <v>4388.66</v>
      </c>
      <c r="Z1095" s="393">
        <v>2000000</v>
      </c>
      <c r="AA1095">
        <v>0</v>
      </c>
      <c r="AB1095" s="400">
        <v>44552.789570717592</v>
      </c>
      <c r="AC1095" t="s">
        <v>439</v>
      </c>
    </row>
    <row r="1096" spans="1:29">
      <c r="A1096" t="s">
        <v>382</v>
      </c>
      <c r="B1096" t="s">
        <v>382</v>
      </c>
      <c r="C1096" t="s">
        <v>388</v>
      </c>
      <c r="D1096" t="s">
        <v>389</v>
      </c>
      <c r="E1096" t="s">
        <v>390</v>
      </c>
      <c r="F1096" t="s">
        <v>391</v>
      </c>
      <c r="G1096">
        <v>6103368</v>
      </c>
      <c r="H1096">
        <v>202112</v>
      </c>
      <c r="I1096" s="400">
        <v>44552</v>
      </c>
      <c r="J1096">
        <v>119010</v>
      </c>
      <c r="K1096" t="s">
        <v>386</v>
      </c>
      <c r="L1096" t="s">
        <v>399</v>
      </c>
      <c r="M1096" t="s">
        <v>400</v>
      </c>
      <c r="O1096" t="s">
        <v>401</v>
      </c>
      <c r="P1096" t="s">
        <v>402</v>
      </c>
      <c r="Q1096" t="s">
        <v>396</v>
      </c>
      <c r="R1096">
        <v>2069147</v>
      </c>
      <c r="S1096" t="s">
        <v>403</v>
      </c>
      <c r="U1096" t="s">
        <v>1716</v>
      </c>
      <c r="V1096" t="s">
        <v>398</v>
      </c>
      <c r="W1096" s="393">
        <v>2500000</v>
      </c>
      <c r="X1096" s="393">
        <v>639.73</v>
      </c>
      <c r="Y1096" s="393">
        <v>5485.83</v>
      </c>
      <c r="Z1096" s="393">
        <v>2500000</v>
      </c>
      <c r="AA1096">
        <v>0</v>
      </c>
      <c r="AB1096" s="400">
        <v>44552.789570717592</v>
      </c>
      <c r="AC1096" t="s">
        <v>439</v>
      </c>
    </row>
    <row r="1097" spans="1:29">
      <c r="A1097" t="s">
        <v>382</v>
      </c>
      <c r="B1097" t="s">
        <v>382</v>
      </c>
      <c r="C1097" t="s">
        <v>388</v>
      </c>
      <c r="D1097" t="s">
        <v>389</v>
      </c>
      <c r="E1097" t="s">
        <v>390</v>
      </c>
      <c r="F1097" t="s">
        <v>391</v>
      </c>
      <c r="G1097">
        <v>6103368</v>
      </c>
      <c r="H1097">
        <v>202112</v>
      </c>
      <c r="I1097" s="400">
        <v>44552</v>
      </c>
      <c r="J1097">
        <v>119010</v>
      </c>
      <c r="K1097" t="s">
        <v>386</v>
      </c>
      <c r="L1097" t="s">
        <v>399</v>
      </c>
      <c r="M1097" t="s">
        <v>400</v>
      </c>
      <c r="O1097" t="s">
        <v>401</v>
      </c>
      <c r="P1097" t="s">
        <v>402</v>
      </c>
      <c r="Q1097" t="s">
        <v>396</v>
      </c>
      <c r="R1097">
        <v>2069147</v>
      </c>
      <c r="S1097" t="s">
        <v>403</v>
      </c>
      <c r="U1097" t="s">
        <v>1717</v>
      </c>
      <c r="V1097" t="s">
        <v>398</v>
      </c>
      <c r="W1097" s="393">
        <v>3000000</v>
      </c>
      <c r="X1097" s="393">
        <v>767.67</v>
      </c>
      <c r="Y1097" s="393">
        <v>6582.99</v>
      </c>
      <c r="Z1097" s="393">
        <v>3000000</v>
      </c>
      <c r="AA1097">
        <v>0</v>
      </c>
      <c r="AB1097" s="400">
        <v>44552.789570717592</v>
      </c>
      <c r="AC1097" t="s">
        <v>439</v>
      </c>
    </row>
    <row r="1098" spans="1:29">
      <c r="A1098" t="s">
        <v>382</v>
      </c>
      <c r="B1098" t="s">
        <v>382</v>
      </c>
      <c r="C1098" t="s">
        <v>388</v>
      </c>
      <c r="D1098" t="s">
        <v>389</v>
      </c>
      <c r="E1098" t="s">
        <v>390</v>
      </c>
      <c r="F1098" t="s">
        <v>391</v>
      </c>
      <c r="G1098">
        <v>6103368</v>
      </c>
      <c r="H1098">
        <v>202112</v>
      </c>
      <c r="I1098" s="400">
        <v>44552</v>
      </c>
      <c r="J1098">
        <v>119010</v>
      </c>
      <c r="K1098" t="s">
        <v>386</v>
      </c>
      <c r="L1098" t="s">
        <v>399</v>
      </c>
      <c r="M1098" t="s">
        <v>400</v>
      </c>
      <c r="O1098" t="s">
        <v>401</v>
      </c>
      <c r="P1098" t="s">
        <v>402</v>
      </c>
      <c r="Q1098" t="s">
        <v>396</v>
      </c>
      <c r="R1098">
        <v>2069147</v>
      </c>
      <c r="S1098" t="s">
        <v>403</v>
      </c>
      <c r="U1098" t="s">
        <v>1718</v>
      </c>
      <c r="V1098" t="s">
        <v>398</v>
      </c>
      <c r="W1098" s="393">
        <v>3000000</v>
      </c>
      <c r="X1098" s="393">
        <v>767.67</v>
      </c>
      <c r="Y1098" s="393">
        <v>6582.99</v>
      </c>
      <c r="Z1098" s="393">
        <v>3000000</v>
      </c>
      <c r="AA1098">
        <v>0</v>
      </c>
      <c r="AB1098" s="400">
        <v>44552.789570717592</v>
      </c>
      <c r="AC1098" t="s">
        <v>439</v>
      </c>
    </row>
    <row r="1099" spans="1:29">
      <c r="A1099" t="s">
        <v>382</v>
      </c>
      <c r="B1099" t="s">
        <v>382</v>
      </c>
      <c r="C1099" t="s">
        <v>388</v>
      </c>
      <c r="D1099" t="s">
        <v>389</v>
      </c>
      <c r="E1099" t="s">
        <v>390</v>
      </c>
      <c r="F1099" t="s">
        <v>391</v>
      </c>
      <c r="G1099">
        <v>6103368</v>
      </c>
      <c r="H1099">
        <v>202112</v>
      </c>
      <c r="I1099" s="400">
        <v>44552</v>
      </c>
      <c r="J1099">
        <v>119010</v>
      </c>
      <c r="K1099" t="s">
        <v>386</v>
      </c>
      <c r="L1099" t="s">
        <v>399</v>
      </c>
      <c r="M1099" t="s">
        <v>400</v>
      </c>
      <c r="O1099" t="s">
        <v>401</v>
      </c>
      <c r="P1099" t="s">
        <v>402</v>
      </c>
      <c r="Q1099" t="s">
        <v>396</v>
      </c>
      <c r="R1099">
        <v>2069147</v>
      </c>
      <c r="S1099" t="s">
        <v>403</v>
      </c>
      <c r="U1099" t="s">
        <v>1719</v>
      </c>
      <c r="V1099" t="s">
        <v>398</v>
      </c>
      <c r="W1099" s="393">
        <v>-20500000</v>
      </c>
      <c r="X1099" s="393">
        <v>-5245.75</v>
      </c>
      <c r="Y1099" s="393">
        <v>-44983.77</v>
      </c>
      <c r="Z1099" s="393">
        <v>-20500000</v>
      </c>
      <c r="AA1099">
        <v>0</v>
      </c>
      <c r="AB1099" s="400">
        <v>44552.789570717592</v>
      </c>
      <c r="AC1099" t="s">
        <v>439</v>
      </c>
    </row>
    <row r="1100" spans="1:29">
      <c r="A1100" t="s">
        <v>382</v>
      </c>
      <c r="B1100" t="s">
        <v>382</v>
      </c>
      <c r="C1100" t="s">
        <v>388</v>
      </c>
      <c r="D1100" t="s">
        <v>389</v>
      </c>
      <c r="E1100" t="s">
        <v>390</v>
      </c>
      <c r="F1100" t="s">
        <v>391</v>
      </c>
      <c r="G1100">
        <v>6103368</v>
      </c>
      <c r="H1100">
        <v>202112</v>
      </c>
      <c r="I1100" s="400">
        <v>44552</v>
      </c>
      <c r="J1100">
        <v>119010</v>
      </c>
      <c r="K1100" t="s">
        <v>386</v>
      </c>
      <c r="L1100" t="s">
        <v>399</v>
      </c>
      <c r="M1100" t="s">
        <v>400</v>
      </c>
      <c r="O1100" t="s">
        <v>401</v>
      </c>
      <c r="P1100" t="s">
        <v>402</v>
      </c>
      <c r="Q1100" t="s">
        <v>396</v>
      </c>
      <c r="R1100">
        <v>2069147</v>
      </c>
      <c r="S1100" t="s">
        <v>403</v>
      </c>
      <c r="U1100" t="s">
        <v>1720</v>
      </c>
      <c r="V1100" t="s">
        <v>398</v>
      </c>
      <c r="W1100" s="393">
        <v>5500000</v>
      </c>
      <c r="X1100" s="393">
        <v>1407.4</v>
      </c>
      <c r="Y1100" s="393">
        <v>12068.82</v>
      </c>
      <c r="Z1100" s="393">
        <v>5500000</v>
      </c>
      <c r="AA1100">
        <v>0</v>
      </c>
      <c r="AB1100" s="400">
        <v>44552.789570717592</v>
      </c>
      <c r="AC1100" t="s">
        <v>439</v>
      </c>
    </row>
    <row r="1101" spans="1:29">
      <c r="A1101" t="s">
        <v>382</v>
      </c>
      <c r="B1101" t="s">
        <v>382</v>
      </c>
      <c r="C1101" t="s">
        <v>388</v>
      </c>
      <c r="D1101" t="s">
        <v>389</v>
      </c>
      <c r="E1101" t="s">
        <v>390</v>
      </c>
      <c r="F1101" t="s">
        <v>391</v>
      </c>
      <c r="G1101">
        <v>6103368</v>
      </c>
      <c r="H1101">
        <v>202112</v>
      </c>
      <c r="I1101" s="400">
        <v>44552</v>
      </c>
      <c r="J1101">
        <v>119010</v>
      </c>
      <c r="K1101" t="s">
        <v>386</v>
      </c>
      <c r="L1101" t="s">
        <v>399</v>
      </c>
      <c r="M1101" t="s">
        <v>400</v>
      </c>
      <c r="O1101" t="s">
        <v>401</v>
      </c>
      <c r="P1101" t="s">
        <v>402</v>
      </c>
      <c r="Q1101" t="s">
        <v>396</v>
      </c>
      <c r="R1101">
        <v>2069147</v>
      </c>
      <c r="S1101" t="s">
        <v>403</v>
      </c>
      <c r="U1101" t="s">
        <v>1721</v>
      </c>
      <c r="V1101" t="s">
        <v>398</v>
      </c>
      <c r="W1101" s="393">
        <v>3000000</v>
      </c>
      <c r="X1101" s="393">
        <v>767.67</v>
      </c>
      <c r="Y1101" s="393">
        <v>6582.99</v>
      </c>
      <c r="Z1101" s="393">
        <v>3000000</v>
      </c>
      <c r="AA1101">
        <v>0</v>
      </c>
      <c r="AB1101" s="400">
        <v>44552.789570717592</v>
      </c>
      <c r="AC1101" t="s">
        <v>439</v>
      </c>
    </row>
    <row r="1102" spans="1:29">
      <c r="A1102" t="s">
        <v>382</v>
      </c>
      <c r="B1102" t="s">
        <v>440</v>
      </c>
      <c r="C1102" t="s">
        <v>388</v>
      </c>
      <c r="D1102" t="s">
        <v>389</v>
      </c>
      <c r="E1102" t="s">
        <v>390</v>
      </c>
      <c r="F1102" t="s">
        <v>391</v>
      </c>
      <c r="G1102">
        <v>6103528</v>
      </c>
      <c r="H1102">
        <v>202112</v>
      </c>
      <c r="I1102" s="400">
        <v>44561</v>
      </c>
      <c r="J1102">
        <v>119010</v>
      </c>
      <c r="K1102" t="s">
        <v>386</v>
      </c>
      <c r="L1102" t="s">
        <v>399</v>
      </c>
      <c r="M1102" t="s">
        <v>400</v>
      </c>
      <c r="O1102" t="s">
        <v>401</v>
      </c>
      <c r="P1102" t="s">
        <v>402</v>
      </c>
      <c r="Q1102" t="s">
        <v>396</v>
      </c>
      <c r="R1102">
        <v>2069147</v>
      </c>
      <c r="S1102" t="s">
        <v>399</v>
      </c>
      <c r="U1102" t="s">
        <v>1722</v>
      </c>
      <c r="V1102" t="s">
        <v>398</v>
      </c>
      <c r="W1102" s="393">
        <v>-2000000</v>
      </c>
      <c r="X1102" s="393">
        <v>-502.36</v>
      </c>
      <c r="Y1102" s="393">
        <v>-4432.58</v>
      </c>
      <c r="Z1102" s="393">
        <v>-2000000</v>
      </c>
      <c r="AA1102">
        <v>0</v>
      </c>
      <c r="AB1102" s="400">
        <v>44575.963348645833</v>
      </c>
      <c r="AC1102" t="s">
        <v>439</v>
      </c>
    </row>
    <row r="1103" spans="1:29">
      <c r="A1103" t="s">
        <v>382</v>
      </c>
      <c r="B1103" t="s">
        <v>440</v>
      </c>
      <c r="C1103" t="s">
        <v>388</v>
      </c>
      <c r="D1103" t="s">
        <v>389</v>
      </c>
      <c r="E1103" t="s">
        <v>390</v>
      </c>
      <c r="F1103" t="s">
        <v>391</v>
      </c>
      <c r="G1103">
        <v>6103528</v>
      </c>
      <c r="H1103">
        <v>202112</v>
      </c>
      <c r="I1103" s="400">
        <v>44561</v>
      </c>
      <c r="J1103">
        <v>119010</v>
      </c>
      <c r="K1103" t="s">
        <v>386</v>
      </c>
      <c r="L1103" t="s">
        <v>399</v>
      </c>
      <c r="M1103" t="s">
        <v>400</v>
      </c>
      <c r="O1103" t="s">
        <v>401</v>
      </c>
      <c r="P1103" t="s">
        <v>402</v>
      </c>
      <c r="Q1103" t="s">
        <v>396</v>
      </c>
      <c r="R1103">
        <v>2069147</v>
      </c>
      <c r="S1103" t="s">
        <v>399</v>
      </c>
      <c r="U1103" t="s">
        <v>1723</v>
      </c>
      <c r="V1103" t="s">
        <v>398</v>
      </c>
      <c r="W1103" s="393">
        <v>-1500000</v>
      </c>
      <c r="X1103" s="393">
        <v>-376.77</v>
      </c>
      <c r="Y1103" s="393">
        <v>-3324.44</v>
      </c>
      <c r="Z1103" s="393">
        <v>-1500000</v>
      </c>
      <c r="AA1103">
        <v>0</v>
      </c>
      <c r="AB1103" s="400">
        <v>44575.963348645833</v>
      </c>
      <c r="AC1103" t="s">
        <v>439</v>
      </c>
    </row>
    <row r="1104" spans="1:29">
      <c r="A1104" t="s">
        <v>382</v>
      </c>
      <c r="B1104" t="s">
        <v>440</v>
      </c>
      <c r="C1104" t="s">
        <v>388</v>
      </c>
      <c r="D1104" t="s">
        <v>389</v>
      </c>
      <c r="E1104" t="s">
        <v>390</v>
      </c>
      <c r="F1104" t="s">
        <v>391</v>
      </c>
      <c r="G1104">
        <v>6103528</v>
      </c>
      <c r="H1104">
        <v>202112</v>
      </c>
      <c r="I1104" s="400">
        <v>44561</v>
      </c>
      <c r="J1104">
        <v>119010</v>
      </c>
      <c r="K1104" t="s">
        <v>386</v>
      </c>
      <c r="L1104" t="s">
        <v>399</v>
      </c>
      <c r="M1104" t="s">
        <v>400</v>
      </c>
      <c r="O1104" t="s">
        <v>401</v>
      </c>
      <c r="P1104" t="s">
        <v>402</v>
      </c>
      <c r="Q1104" t="s">
        <v>396</v>
      </c>
      <c r="R1104">
        <v>2069147</v>
      </c>
      <c r="S1104" t="s">
        <v>399</v>
      </c>
      <c r="U1104" t="s">
        <v>1724</v>
      </c>
      <c r="V1104" t="s">
        <v>398</v>
      </c>
      <c r="W1104" s="393">
        <v>-3000000</v>
      </c>
      <c r="X1104" s="393">
        <v>-753.54</v>
      </c>
      <c r="Y1104" s="393">
        <v>-6648.87</v>
      </c>
      <c r="Z1104" s="393">
        <v>-3000000</v>
      </c>
      <c r="AA1104">
        <v>0</v>
      </c>
      <c r="AB1104" s="400">
        <v>44575.963348645833</v>
      </c>
      <c r="AC1104" t="s">
        <v>439</v>
      </c>
    </row>
    <row r="1105" spans="1:29">
      <c r="A1105" t="s">
        <v>382</v>
      </c>
      <c r="B1105" t="s">
        <v>440</v>
      </c>
      <c r="C1105" t="s">
        <v>388</v>
      </c>
      <c r="D1105" t="s">
        <v>389</v>
      </c>
      <c r="E1105" t="s">
        <v>390</v>
      </c>
      <c r="F1105" t="s">
        <v>391</v>
      </c>
      <c r="G1105">
        <v>6103528</v>
      </c>
      <c r="H1105">
        <v>202112</v>
      </c>
      <c r="I1105" s="400">
        <v>44561</v>
      </c>
      <c r="J1105">
        <v>119010</v>
      </c>
      <c r="K1105" t="s">
        <v>386</v>
      </c>
      <c r="L1105" t="s">
        <v>399</v>
      </c>
      <c r="M1105" t="s">
        <v>400</v>
      </c>
      <c r="O1105" t="s">
        <v>401</v>
      </c>
      <c r="P1105" t="s">
        <v>402</v>
      </c>
      <c r="Q1105" t="s">
        <v>396</v>
      </c>
      <c r="R1105">
        <v>2069147</v>
      </c>
      <c r="S1105" t="s">
        <v>399</v>
      </c>
      <c r="U1105" t="s">
        <v>1725</v>
      </c>
      <c r="V1105" t="s">
        <v>398</v>
      </c>
      <c r="W1105" s="393">
        <v>-3000000</v>
      </c>
      <c r="X1105" s="393">
        <v>-753.54</v>
      </c>
      <c r="Y1105" s="393">
        <v>-6648.87</v>
      </c>
      <c r="Z1105" s="393">
        <v>-3000000</v>
      </c>
      <c r="AA1105">
        <v>0</v>
      </c>
      <c r="AB1105" s="400">
        <v>44575.963348645833</v>
      </c>
      <c r="AC1105" t="s">
        <v>439</v>
      </c>
    </row>
    <row r="1106" spans="1:29">
      <c r="A1106" t="s">
        <v>382</v>
      </c>
      <c r="B1106" t="s">
        <v>440</v>
      </c>
      <c r="C1106" t="s">
        <v>388</v>
      </c>
      <c r="D1106" t="s">
        <v>389</v>
      </c>
      <c r="E1106" t="s">
        <v>390</v>
      </c>
      <c r="F1106" t="s">
        <v>391</v>
      </c>
      <c r="G1106">
        <v>6103528</v>
      </c>
      <c r="H1106">
        <v>202112</v>
      </c>
      <c r="I1106" s="400">
        <v>44561</v>
      </c>
      <c r="J1106">
        <v>119010</v>
      </c>
      <c r="K1106" t="s">
        <v>386</v>
      </c>
      <c r="L1106" t="s">
        <v>399</v>
      </c>
      <c r="M1106" t="s">
        <v>400</v>
      </c>
      <c r="O1106" t="s">
        <v>401</v>
      </c>
      <c r="P1106" t="s">
        <v>402</v>
      </c>
      <c r="Q1106" t="s">
        <v>396</v>
      </c>
      <c r="R1106">
        <v>2069147</v>
      </c>
      <c r="S1106" t="s">
        <v>399</v>
      </c>
      <c r="U1106" t="s">
        <v>1726</v>
      </c>
      <c r="V1106" t="s">
        <v>398</v>
      </c>
      <c r="W1106" s="393">
        <v>-5500000</v>
      </c>
      <c r="X1106" s="393">
        <v>-1381.49</v>
      </c>
      <c r="Y1106" s="393">
        <v>-12189.6</v>
      </c>
      <c r="Z1106" s="393">
        <v>-5500000</v>
      </c>
      <c r="AA1106">
        <v>0</v>
      </c>
      <c r="AB1106" s="400">
        <v>44575.963348645833</v>
      </c>
      <c r="AC1106" t="s">
        <v>439</v>
      </c>
    </row>
    <row r="1107" spans="1:29">
      <c r="A1107" t="s">
        <v>382</v>
      </c>
      <c r="B1107" t="s">
        <v>440</v>
      </c>
      <c r="C1107" t="s">
        <v>388</v>
      </c>
      <c r="D1107" t="s">
        <v>389</v>
      </c>
      <c r="E1107" t="s">
        <v>390</v>
      </c>
      <c r="F1107" t="s">
        <v>391</v>
      </c>
      <c r="G1107">
        <v>6103528</v>
      </c>
      <c r="H1107">
        <v>202112</v>
      </c>
      <c r="I1107" s="400">
        <v>44561</v>
      </c>
      <c r="J1107">
        <v>119010</v>
      </c>
      <c r="K1107" t="s">
        <v>386</v>
      </c>
      <c r="L1107" t="s">
        <v>399</v>
      </c>
      <c r="M1107" t="s">
        <v>400</v>
      </c>
      <c r="O1107" t="s">
        <v>401</v>
      </c>
      <c r="P1107" t="s">
        <v>402</v>
      </c>
      <c r="Q1107" t="s">
        <v>396</v>
      </c>
      <c r="R1107">
        <v>2069147</v>
      </c>
      <c r="S1107" t="s">
        <v>399</v>
      </c>
      <c r="U1107" t="s">
        <v>1727</v>
      </c>
      <c r="V1107" t="s">
        <v>398</v>
      </c>
      <c r="W1107" s="393">
        <v>-2800000</v>
      </c>
      <c r="X1107" s="393">
        <v>-703.3</v>
      </c>
      <c r="Y1107" s="393">
        <v>-6205.61</v>
      </c>
      <c r="Z1107" s="393">
        <v>-2800000</v>
      </c>
      <c r="AA1107">
        <v>0</v>
      </c>
      <c r="AB1107" s="400">
        <v>44575.963348645833</v>
      </c>
      <c r="AC1107" t="s">
        <v>439</v>
      </c>
    </row>
    <row r="1108" spans="1:29">
      <c r="A1108" t="s">
        <v>382</v>
      </c>
      <c r="B1108" t="s">
        <v>440</v>
      </c>
      <c r="C1108" t="s">
        <v>388</v>
      </c>
      <c r="D1108" t="s">
        <v>389</v>
      </c>
      <c r="E1108" t="s">
        <v>390</v>
      </c>
      <c r="F1108" t="s">
        <v>391</v>
      </c>
      <c r="G1108">
        <v>6103528</v>
      </c>
      <c r="H1108">
        <v>202112</v>
      </c>
      <c r="I1108" s="400">
        <v>44561</v>
      </c>
      <c r="J1108">
        <v>119010</v>
      </c>
      <c r="K1108" t="s">
        <v>386</v>
      </c>
      <c r="L1108" t="s">
        <v>399</v>
      </c>
      <c r="M1108" t="s">
        <v>400</v>
      </c>
      <c r="O1108" t="s">
        <v>401</v>
      </c>
      <c r="P1108" t="s">
        <v>402</v>
      </c>
      <c r="Q1108" t="s">
        <v>396</v>
      </c>
      <c r="R1108">
        <v>2069147</v>
      </c>
      <c r="S1108" t="s">
        <v>399</v>
      </c>
      <c r="U1108" t="s">
        <v>1728</v>
      </c>
      <c r="V1108" t="s">
        <v>398</v>
      </c>
      <c r="W1108" s="393">
        <v>-2800000</v>
      </c>
      <c r="X1108" s="393">
        <v>-703.3</v>
      </c>
      <c r="Y1108" s="393">
        <v>-6205.61</v>
      </c>
      <c r="Z1108" s="393">
        <v>-2800000</v>
      </c>
      <c r="AA1108">
        <v>0</v>
      </c>
      <c r="AB1108" s="400">
        <v>44575.963348645833</v>
      </c>
      <c r="AC1108" t="s">
        <v>439</v>
      </c>
    </row>
    <row r="1109" spans="1:29">
      <c r="A1109" t="s">
        <v>382</v>
      </c>
      <c r="B1109" t="s">
        <v>440</v>
      </c>
      <c r="C1109" t="s">
        <v>388</v>
      </c>
      <c r="D1109" t="s">
        <v>389</v>
      </c>
      <c r="E1109" t="s">
        <v>390</v>
      </c>
      <c r="F1109" t="s">
        <v>391</v>
      </c>
      <c r="G1109">
        <v>6103528</v>
      </c>
      <c r="H1109">
        <v>202112</v>
      </c>
      <c r="I1109" s="400">
        <v>44561</v>
      </c>
      <c r="J1109">
        <v>119010</v>
      </c>
      <c r="K1109" t="s">
        <v>386</v>
      </c>
      <c r="L1109" t="s">
        <v>399</v>
      </c>
      <c r="M1109" t="s">
        <v>400</v>
      </c>
      <c r="O1109" t="s">
        <v>401</v>
      </c>
      <c r="P1109" t="s">
        <v>402</v>
      </c>
      <c r="Q1109" t="s">
        <v>396</v>
      </c>
      <c r="R1109">
        <v>2069147</v>
      </c>
      <c r="S1109" t="s">
        <v>399</v>
      </c>
      <c r="U1109" t="s">
        <v>1729</v>
      </c>
      <c r="V1109" t="s">
        <v>398</v>
      </c>
      <c r="W1109" s="393">
        <v>-2800000</v>
      </c>
      <c r="X1109" s="393">
        <v>-703.3</v>
      </c>
      <c r="Y1109" s="393">
        <v>-6205.61</v>
      </c>
      <c r="Z1109" s="393">
        <v>-2800000</v>
      </c>
      <c r="AA1109">
        <v>0</v>
      </c>
      <c r="AB1109" s="400">
        <v>44575.963348645833</v>
      </c>
      <c r="AC1109" t="s">
        <v>439</v>
      </c>
    </row>
    <row r="1110" spans="1:29">
      <c r="A1110" t="s">
        <v>382</v>
      </c>
      <c r="B1110" t="s">
        <v>440</v>
      </c>
      <c r="C1110" t="s">
        <v>388</v>
      </c>
      <c r="D1110" t="s">
        <v>389</v>
      </c>
      <c r="E1110" t="s">
        <v>390</v>
      </c>
      <c r="F1110" t="s">
        <v>391</v>
      </c>
      <c r="G1110">
        <v>6103528</v>
      </c>
      <c r="H1110">
        <v>202112</v>
      </c>
      <c r="I1110" s="400">
        <v>44561</v>
      </c>
      <c r="J1110">
        <v>119010</v>
      </c>
      <c r="K1110" t="s">
        <v>386</v>
      </c>
      <c r="L1110" t="s">
        <v>399</v>
      </c>
      <c r="M1110" t="s">
        <v>400</v>
      </c>
      <c r="O1110" t="s">
        <v>401</v>
      </c>
      <c r="P1110" t="s">
        <v>402</v>
      </c>
      <c r="Q1110" t="s">
        <v>396</v>
      </c>
      <c r="R1110">
        <v>2069147</v>
      </c>
      <c r="S1110" t="s">
        <v>399</v>
      </c>
      <c r="U1110" t="s">
        <v>1730</v>
      </c>
      <c r="V1110" t="s">
        <v>398</v>
      </c>
      <c r="W1110" s="393">
        <v>-3000000</v>
      </c>
      <c r="X1110" s="393">
        <v>-753.54</v>
      </c>
      <c r="Y1110" s="393">
        <v>-6648.87</v>
      </c>
      <c r="Z1110" s="393">
        <v>-3000000</v>
      </c>
      <c r="AA1110">
        <v>0</v>
      </c>
      <c r="AB1110" s="400">
        <v>44575.963348645833</v>
      </c>
      <c r="AC1110" t="s">
        <v>439</v>
      </c>
    </row>
    <row r="1111" spans="1:29">
      <c r="A1111" t="s">
        <v>382</v>
      </c>
      <c r="B1111" t="s">
        <v>440</v>
      </c>
      <c r="C1111" t="s">
        <v>388</v>
      </c>
      <c r="D1111" t="s">
        <v>389</v>
      </c>
      <c r="E1111" t="s">
        <v>390</v>
      </c>
      <c r="F1111" t="s">
        <v>391</v>
      </c>
      <c r="G1111">
        <v>6103529</v>
      </c>
      <c r="H1111">
        <v>202112</v>
      </c>
      <c r="I1111" s="400">
        <v>44561</v>
      </c>
      <c r="J1111">
        <v>119010</v>
      </c>
      <c r="K1111" t="s">
        <v>386</v>
      </c>
      <c r="L1111" t="s">
        <v>399</v>
      </c>
      <c r="M1111" t="s">
        <v>400</v>
      </c>
      <c r="O1111" t="s">
        <v>401</v>
      </c>
      <c r="P1111" t="s">
        <v>402</v>
      </c>
      <c r="Q1111" t="s">
        <v>396</v>
      </c>
      <c r="R1111">
        <v>2069147</v>
      </c>
      <c r="S1111" t="s">
        <v>399</v>
      </c>
      <c r="U1111" t="s">
        <v>1696</v>
      </c>
      <c r="V1111" t="s">
        <v>398</v>
      </c>
      <c r="W1111" s="393">
        <v>2800000</v>
      </c>
      <c r="X1111" s="393">
        <v>954.74</v>
      </c>
      <c r="Y1111" s="393">
        <v>7678.54</v>
      </c>
      <c r="Z1111" s="393">
        <v>2800000</v>
      </c>
      <c r="AA1111">
        <v>0</v>
      </c>
      <c r="AB1111" s="400">
        <v>44575.966131331021</v>
      </c>
      <c r="AC1111" t="s">
        <v>439</v>
      </c>
    </row>
    <row r="1112" spans="1:29">
      <c r="A1112" t="s">
        <v>382</v>
      </c>
      <c r="B1112" t="s">
        <v>440</v>
      </c>
      <c r="C1112" t="s">
        <v>388</v>
      </c>
      <c r="D1112" t="s">
        <v>389</v>
      </c>
      <c r="E1112" t="s">
        <v>390</v>
      </c>
      <c r="F1112" t="s">
        <v>391</v>
      </c>
      <c r="G1112">
        <v>6103529</v>
      </c>
      <c r="H1112">
        <v>202112</v>
      </c>
      <c r="I1112" s="400">
        <v>44561</v>
      </c>
      <c r="J1112">
        <v>119010</v>
      </c>
      <c r="K1112" t="s">
        <v>386</v>
      </c>
      <c r="L1112" t="s">
        <v>399</v>
      </c>
      <c r="M1112" t="s">
        <v>400</v>
      </c>
      <c r="O1112" t="s">
        <v>401</v>
      </c>
      <c r="P1112" t="s">
        <v>402</v>
      </c>
      <c r="Q1112" t="s">
        <v>396</v>
      </c>
      <c r="R1112">
        <v>2069147</v>
      </c>
      <c r="S1112" t="s">
        <v>399</v>
      </c>
      <c r="U1112" t="s">
        <v>1697</v>
      </c>
      <c r="V1112" t="s">
        <v>398</v>
      </c>
      <c r="W1112" s="393">
        <v>2800000</v>
      </c>
      <c r="X1112" s="393">
        <v>954.74</v>
      </c>
      <c r="Y1112" s="393">
        <v>7678.54</v>
      </c>
      <c r="Z1112" s="393">
        <v>2800000</v>
      </c>
      <c r="AA1112">
        <v>0</v>
      </c>
      <c r="AB1112" s="400">
        <v>44575.966131331021</v>
      </c>
      <c r="AC1112" t="s">
        <v>439</v>
      </c>
    </row>
    <row r="1113" spans="1:29">
      <c r="A1113" t="s">
        <v>382</v>
      </c>
      <c r="B1113" t="s">
        <v>440</v>
      </c>
      <c r="C1113" t="s">
        <v>388</v>
      </c>
      <c r="D1113" t="s">
        <v>389</v>
      </c>
      <c r="E1113" t="s">
        <v>390</v>
      </c>
      <c r="F1113" t="s">
        <v>391</v>
      </c>
      <c r="G1113">
        <v>6103529</v>
      </c>
      <c r="H1113">
        <v>202112</v>
      </c>
      <c r="I1113" s="400">
        <v>44561</v>
      </c>
      <c r="J1113">
        <v>119010</v>
      </c>
      <c r="K1113" t="s">
        <v>386</v>
      </c>
      <c r="L1113" t="s">
        <v>399</v>
      </c>
      <c r="M1113" t="s">
        <v>400</v>
      </c>
      <c r="O1113" t="s">
        <v>401</v>
      </c>
      <c r="P1113" t="s">
        <v>402</v>
      </c>
      <c r="Q1113" t="s">
        <v>396</v>
      </c>
      <c r="R1113">
        <v>2069147</v>
      </c>
      <c r="S1113" t="s">
        <v>399</v>
      </c>
      <c r="U1113" t="s">
        <v>1698</v>
      </c>
      <c r="V1113" t="s">
        <v>398</v>
      </c>
      <c r="W1113" s="393">
        <v>2800000</v>
      </c>
      <c r="X1113" s="393">
        <v>954.74</v>
      </c>
      <c r="Y1113" s="393">
        <v>7678.54</v>
      </c>
      <c r="Z1113" s="393">
        <v>2800000</v>
      </c>
      <c r="AA1113">
        <v>0</v>
      </c>
      <c r="AB1113" s="400">
        <v>44575.966131331021</v>
      </c>
      <c r="AC1113" t="s">
        <v>439</v>
      </c>
    </row>
    <row r="1114" spans="1:29">
      <c r="A1114" t="s">
        <v>382</v>
      </c>
      <c r="B1114" t="s">
        <v>440</v>
      </c>
      <c r="C1114" t="s">
        <v>388</v>
      </c>
      <c r="D1114" t="s">
        <v>389</v>
      </c>
      <c r="E1114" t="s">
        <v>390</v>
      </c>
      <c r="F1114" t="s">
        <v>391</v>
      </c>
      <c r="G1114">
        <v>6103529</v>
      </c>
      <c r="H1114">
        <v>202112</v>
      </c>
      <c r="I1114" s="400">
        <v>44561</v>
      </c>
      <c r="J1114">
        <v>119010</v>
      </c>
      <c r="K1114" t="s">
        <v>386</v>
      </c>
      <c r="L1114" t="s">
        <v>399</v>
      </c>
      <c r="M1114" t="s">
        <v>400</v>
      </c>
      <c r="O1114" t="s">
        <v>401</v>
      </c>
      <c r="P1114" t="s">
        <v>402</v>
      </c>
      <c r="Q1114" t="s">
        <v>396</v>
      </c>
      <c r="R1114">
        <v>2069147</v>
      </c>
      <c r="S1114" t="s">
        <v>399</v>
      </c>
      <c r="U1114" t="s">
        <v>1699</v>
      </c>
      <c r="V1114" t="s">
        <v>398</v>
      </c>
      <c r="W1114" s="393">
        <v>3000000</v>
      </c>
      <c r="X1114" s="393">
        <v>1022.94</v>
      </c>
      <c r="Y1114" s="393">
        <v>8227.01</v>
      </c>
      <c r="Z1114" s="393">
        <v>3000000</v>
      </c>
      <c r="AA1114">
        <v>0</v>
      </c>
      <c r="AB1114" s="400">
        <v>44575.966131331021</v>
      </c>
      <c r="AC1114" t="s">
        <v>439</v>
      </c>
    </row>
    <row r="1115" spans="1:29">
      <c r="A1115" t="s">
        <v>382</v>
      </c>
      <c r="B1115" t="s">
        <v>440</v>
      </c>
      <c r="C1115" t="s">
        <v>388</v>
      </c>
      <c r="D1115" t="s">
        <v>389</v>
      </c>
      <c r="E1115" t="s">
        <v>390</v>
      </c>
      <c r="F1115" t="s">
        <v>391</v>
      </c>
      <c r="G1115">
        <v>6103529</v>
      </c>
      <c r="H1115">
        <v>202112</v>
      </c>
      <c r="I1115" s="400">
        <v>44561</v>
      </c>
      <c r="J1115">
        <v>119010</v>
      </c>
      <c r="K1115" t="s">
        <v>386</v>
      </c>
      <c r="L1115" t="s">
        <v>399</v>
      </c>
      <c r="M1115" t="s">
        <v>400</v>
      </c>
      <c r="O1115" t="s">
        <v>401</v>
      </c>
      <c r="P1115" t="s">
        <v>402</v>
      </c>
      <c r="Q1115" t="s">
        <v>396</v>
      </c>
      <c r="R1115">
        <v>2069147</v>
      </c>
      <c r="S1115" t="s">
        <v>399</v>
      </c>
      <c r="U1115" t="s">
        <v>1700</v>
      </c>
      <c r="V1115" t="s">
        <v>398</v>
      </c>
      <c r="W1115" s="393">
        <v>2500000</v>
      </c>
      <c r="X1115" s="393">
        <v>852.45</v>
      </c>
      <c r="Y1115" s="393">
        <v>6855.84</v>
      </c>
      <c r="Z1115" s="393">
        <v>2500000</v>
      </c>
      <c r="AA1115">
        <v>0</v>
      </c>
      <c r="AB1115" s="400">
        <v>44575.966131331021</v>
      </c>
      <c r="AC1115" t="s">
        <v>439</v>
      </c>
    </row>
    <row r="1116" spans="1:29">
      <c r="A1116" t="s">
        <v>382</v>
      </c>
      <c r="B1116" t="s">
        <v>440</v>
      </c>
      <c r="C1116" t="s">
        <v>388</v>
      </c>
      <c r="D1116" t="s">
        <v>389</v>
      </c>
      <c r="E1116" t="s">
        <v>390</v>
      </c>
      <c r="F1116" t="s">
        <v>391</v>
      </c>
      <c r="G1116">
        <v>6103529</v>
      </c>
      <c r="H1116">
        <v>202112</v>
      </c>
      <c r="I1116" s="400">
        <v>44561</v>
      </c>
      <c r="J1116">
        <v>119010</v>
      </c>
      <c r="K1116" t="s">
        <v>386</v>
      </c>
      <c r="L1116" t="s">
        <v>399</v>
      </c>
      <c r="M1116" t="s">
        <v>400</v>
      </c>
      <c r="O1116" t="s">
        <v>401</v>
      </c>
      <c r="P1116" t="s">
        <v>402</v>
      </c>
      <c r="Q1116" t="s">
        <v>396</v>
      </c>
      <c r="R1116">
        <v>2069147</v>
      </c>
      <c r="S1116" t="s">
        <v>399</v>
      </c>
      <c r="U1116" t="s">
        <v>1701</v>
      </c>
      <c r="V1116" t="s">
        <v>398</v>
      </c>
      <c r="W1116" s="393">
        <v>2000000</v>
      </c>
      <c r="X1116" s="393">
        <v>681.96</v>
      </c>
      <c r="Y1116" s="393">
        <v>5484.67</v>
      </c>
      <c r="Z1116" s="393">
        <v>2000000</v>
      </c>
      <c r="AA1116">
        <v>0</v>
      </c>
      <c r="AB1116" s="400">
        <v>44575.966131331021</v>
      </c>
      <c r="AC1116" t="s">
        <v>439</v>
      </c>
    </row>
    <row r="1117" spans="1:29">
      <c r="A1117" t="s">
        <v>382</v>
      </c>
      <c r="B1117" t="s">
        <v>440</v>
      </c>
      <c r="C1117" t="s">
        <v>388</v>
      </c>
      <c r="D1117" t="s">
        <v>389</v>
      </c>
      <c r="E1117" t="s">
        <v>390</v>
      </c>
      <c r="F1117" t="s">
        <v>391</v>
      </c>
      <c r="G1117">
        <v>6103529</v>
      </c>
      <c r="H1117">
        <v>202112</v>
      </c>
      <c r="I1117" s="400">
        <v>44561</v>
      </c>
      <c r="J1117">
        <v>119010</v>
      </c>
      <c r="K1117" t="s">
        <v>386</v>
      </c>
      <c r="L1117" t="s">
        <v>399</v>
      </c>
      <c r="M1117" t="s">
        <v>400</v>
      </c>
      <c r="O1117" t="s">
        <v>401</v>
      </c>
      <c r="P1117" t="s">
        <v>402</v>
      </c>
      <c r="Q1117" t="s">
        <v>396</v>
      </c>
      <c r="R1117">
        <v>2069147</v>
      </c>
      <c r="S1117" t="s">
        <v>399</v>
      </c>
      <c r="U1117" t="s">
        <v>1702</v>
      </c>
      <c r="V1117" t="s">
        <v>398</v>
      </c>
      <c r="W1117" s="393">
        <v>1500000</v>
      </c>
      <c r="X1117" s="393">
        <v>511.47</v>
      </c>
      <c r="Y1117" s="393">
        <v>4113.5</v>
      </c>
      <c r="Z1117" s="393">
        <v>1500000</v>
      </c>
      <c r="AA1117">
        <v>0</v>
      </c>
      <c r="AB1117" s="400">
        <v>44575.966131331021</v>
      </c>
      <c r="AC1117" t="s">
        <v>439</v>
      </c>
    </row>
    <row r="1118" spans="1:29">
      <c r="A1118" t="s">
        <v>382</v>
      </c>
      <c r="B1118" t="s">
        <v>440</v>
      </c>
      <c r="C1118" t="s">
        <v>388</v>
      </c>
      <c r="D1118" t="s">
        <v>389</v>
      </c>
      <c r="E1118" t="s">
        <v>390</v>
      </c>
      <c r="F1118" t="s">
        <v>391</v>
      </c>
      <c r="G1118">
        <v>6103529</v>
      </c>
      <c r="H1118">
        <v>202112</v>
      </c>
      <c r="I1118" s="400">
        <v>44561</v>
      </c>
      <c r="J1118">
        <v>119010</v>
      </c>
      <c r="K1118" t="s">
        <v>386</v>
      </c>
      <c r="L1118" t="s">
        <v>399</v>
      </c>
      <c r="M1118" t="s">
        <v>400</v>
      </c>
      <c r="O1118" t="s">
        <v>401</v>
      </c>
      <c r="P1118" t="s">
        <v>402</v>
      </c>
      <c r="Q1118" t="s">
        <v>396</v>
      </c>
      <c r="R1118">
        <v>2069147</v>
      </c>
      <c r="S1118" t="s">
        <v>399</v>
      </c>
      <c r="U1118" t="s">
        <v>1703</v>
      </c>
      <c r="V1118" t="s">
        <v>398</v>
      </c>
      <c r="W1118" s="393">
        <v>3000000</v>
      </c>
      <c r="X1118" s="393">
        <v>1022.94</v>
      </c>
      <c r="Y1118" s="393">
        <v>8227.01</v>
      </c>
      <c r="Z1118" s="393">
        <v>3000000</v>
      </c>
      <c r="AA1118">
        <v>0</v>
      </c>
      <c r="AB1118" s="400">
        <v>44575.966131331021</v>
      </c>
      <c r="AC1118" t="s">
        <v>439</v>
      </c>
    </row>
    <row r="1119" spans="1:29">
      <c r="A1119" t="s">
        <v>382</v>
      </c>
      <c r="B1119" t="s">
        <v>440</v>
      </c>
      <c r="C1119" t="s">
        <v>388</v>
      </c>
      <c r="D1119" t="s">
        <v>389</v>
      </c>
      <c r="E1119" t="s">
        <v>390</v>
      </c>
      <c r="F1119" t="s">
        <v>391</v>
      </c>
      <c r="G1119">
        <v>6103529</v>
      </c>
      <c r="H1119">
        <v>202112</v>
      </c>
      <c r="I1119" s="400">
        <v>44561</v>
      </c>
      <c r="J1119">
        <v>119010</v>
      </c>
      <c r="K1119" t="s">
        <v>386</v>
      </c>
      <c r="L1119" t="s">
        <v>399</v>
      </c>
      <c r="M1119" t="s">
        <v>400</v>
      </c>
      <c r="O1119" t="s">
        <v>401</v>
      </c>
      <c r="P1119" t="s">
        <v>402</v>
      </c>
      <c r="Q1119" t="s">
        <v>396</v>
      </c>
      <c r="R1119">
        <v>2069147</v>
      </c>
      <c r="S1119" t="s">
        <v>399</v>
      </c>
      <c r="U1119" t="s">
        <v>1704</v>
      </c>
      <c r="V1119" t="s">
        <v>398</v>
      </c>
      <c r="W1119" s="393">
        <v>3000000</v>
      </c>
      <c r="X1119" s="393">
        <v>1022.94</v>
      </c>
      <c r="Y1119" s="393">
        <v>8227.01</v>
      </c>
      <c r="Z1119" s="393">
        <v>3000000</v>
      </c>
      <c r="AA1119">
        <v>0</v>
      </c>
      <c r="AB1119" s="400">
        <v>44575.966131331021</v>
      </c>
      <c r="AC1119" t="s">
        <v>439</v>
      </c>
    </row>
    <row r="1120" spans="1:29">
      <c r="A1120" t="s">
        <v>382</v>
      </c>
      <c r="B1120" t="s">
        <v>440</v>
      </c>
      <c r="C1120" t="s">
        <v>388</v>
      </c>
      <c r="D1120" t="s">
        <v>389</v>
      </c>
      <c r="E1120" t="s">
        <v>390</v>
      </c>
      <c r="F1120" t="s">
        <v>391</v>
      </c>
      <c r="G1120">
        <v>6103529</v>
      </c>
      <c r="H1120">
        <v>202112</v>
      </c>
      <c r="I1120" s="400">
        <v>44561</v>
      </c>
      <c r="J1120">
        <v>119010</v>
      </c>
      <c r="K1120" t="s">
        <v>386</v>
      </c>
      <c r="L1120" t="s">
        <v>399</v>
      </c>
      <c r="M1120" t="s">
        <v>400</v>
      </c>
      <c r="O1120" t="s">
        <v>401</v>
      </c>
      <c r="P1120" t="s">
        <v>402</v>
      </c>
      <c r="Q1120" t="s">
        <v>396</v>
      </c>
      <c r="R1120">
        <v>2069147</v>
      </c>
      <c r="S1120" t="s">
        <v>399</v>
      </c>
      <c r="U1120" t="s">
        <v>1705</v>
      </c>
      <c r="V1120" t="s">
        <v>398</v>
      </c>
      <c r="W1120" s="393">
        <v>5500000</v>
      </c>
      <c r="X1120" s="393">
        <v>1875.38</v>
      </c>
      <c r="Y1120" s="393">
        <v>15082.85</v>
      </c>
      <c r="Z1120" s="393">
        <v>5500000</v>
      </c>
      <c r="AA1120">
        <v>0</v>
      </c>
      <c r="AB1120" s="400">
        <v>44575.966131331021</v>
      </c>
      <c r="AC1120" t="s">
        <v>439</v>
      </c>
    </row>
    <row r="1121" spans="1:29">
      <c r="A1121" t="s">
        <v>382</v>
      </c>
      <c r="B1121" t="s">
        <v>440</v>
      </c>
      <c r="C1121" t="s">
        <v>388</v>
      </c>
      <c r="D1121" t="s">
        <v>389</v>
      </c>
      <c r="E1121" t="s">
        <v>390</v>
      </c>
      <c r="F1121" t="s">
        <v>391</v>
      </c>
      <c r="G1121">
        <v>6103525</v>
      </c>
      <c r="H1121">
        <v>202112</v>
      </c>
      <c r="I1121" s="400">
        <v>44561</v>
      </c>
      <c r="J1121">
        <v>119010</v>
      </c>
      <c r="K1121" t="s">
        <v>386</v>
      </c>
      <c r="L1121" t="s">
        <v>399</v>
      </c>
      <c r="M1121" t="s">
        <v>400</v>
      </c>
      <c r="O1121" t="s">
        <v>401</v>
      </c>
      <c r="P1121" t="s">
        <v>402</v>
      </c>
      <c r="Q1121" t="s">
        <v>396</v>
      </c>
      <c r="R1121">
        <v>2069147</v>
      </c>
      <c r="S1121" t="s">
        <v>399</v>
      </c>
      <c r="U1121" t="s">
        <v>1731</v>
      </c>
      <c r="V1121" t="s">
        <v>398</v>
      </c>
      <c r="W1121" s="393">
        <v>5500000</v>
      </c>
      <c r="X1121" s="393">
        <v>1381.49</v>
      </c>
      <c r="Y1121" s="393">
        <v>12189.6</v>
      </c>
      <c r="Z1121" s="393">
        <v>5500000</v>
      </c>
      <c r="AA1121">
        <v>0</v>
      </c>
      <c r="AB1121" s="400">
        <v>44574.979683831021</v>
      </c>
      <c r="AC1121" t="s">
        <v>439</v>
      </c>
    </row>
    <row r="1122" spans="1:29">
      <c r="A1122" t="s">
        <v>382</v>
      </c>
      <c r="B1122" t="s">
        <v>440</v>
      </c>
      <c r="C1122" t="s">
        <v>388</v>
      </c>
      <c r="D1122" t="s">
        <v>389</v>
      </c>
      <c r="E1122" t="s">
        <v>390</v>
      </c>
      <c r="F1122" t="s">
        <v>391</v>
      </c>
      <c r="G1122">
        <v>6103525</v>
      </c>
      <c r="H1122">
        <v>202112</v>
      </c>
      <c r="I1122" s="400">
        <v>44561</v>
      </c>
      <c r="J1122">
        <v>119010</v>
      </c>
      <c r="K1122" t="s">
        <v>386</v>
      </c>
      <c r="L1122" t="s">
        <v>399</v>
      </c>
      <c r="M1122" t="s">
        <v>400</v>
      </c>
      <c r="O1122" t="s">
        <v>401</v>
      </c>
      <c r="P1122" t="s">
        <v>402</v>
      </c>
      <c r="Q1122" t="s">
        <v>396</v>
      </c>
      <c r="R1122">
        <v>2069147</v>
      </c>
      <c r="S1122" t="s">
        <v>399</v>
      </c>
      <c r="U1122" t="s">
        <v>1732</v>
      </c>
      <c r="V1122" t="s">
        <v>398</v>
      </c>
      <c r="W1122" s="393">
        <v>3000000</v>
      </c>
      <c r="X1122" s="393">
        <v>753.54</v>
      </c>
      <c r="Y1122" s="393">
        <v>6648.87</v>
      </c>
      <c r="Z1122" s="393">
        <v>3000000</v>
      </c>
      <c r="AA1122">
        <v>0</v>
      </c>
      <c r="AB1122" s="400">
        <v>44574.979683831021</v>
      </c>
      <c r="AC1122" t="s">
        <v>439</v>
      </c>
    </row>
    <row r="1123" spans="1:29">
      <c r="A1123" t="s">
        <v>382</v>
      </c>
      <c r="B1123" t="s">
        <v>440</v>
      </c>
      <c r="C1123" t="s">
        <v>388</v>
      </c>
      <c r="D1123" t="s">
        <v>389</v>
      </c>
      <c r="E1123" t="s">
        <v>390</v>
      </c>
      <c r="F1123" t="s">
        <v>391</v>
      </c>
      <c r="G1123">
        <v>6103525</v>
      </c>
      <c r="H1123">
        <v>202112</v>
      </c>
      <c r="I1123" s="400">
        <v>44561</v>
      </c>
      <c r="J1123">
        <v>119010</v>
      </c>
      <c r="K1123" t="s">
        <v>386</v>
      </c>
      <c r="L1123" t="s">
        <v>399</v>
      </c>
      <c r="M1123" t="s">
        <v>400</v>
      </c>
      <c r="O1123" t="s">
        <v>401</v>
      </c>
      <c r="P1123" t="s">
        <v>402</v>
      </c>
      <c r="Q1123" t="s">
        <v>396</v>
      </c>
      <c r="R1123">
        <v>2069147</v>
      </c>
      <c r="S1123" t="s">
        <v>399</v>
      </c>
      <c r="U1123" t="s">
        <v>1733</v>
      </c>
      <c r="V1123" t="s">
        <v>398</v>
      </c>
      <c r="W1123" s="393">
        <v>3000000</v>
      </c>
      <c r="X1123" s="393">
        <v>753.54</v>
      </c>
      <c r="Y1123" s="393">
        <v>6648.87</v>
      </c>
      <c r="Z1123" s="393">
        <v>3000000</v>
      </c>
      <c r="AA1123">
        <v>0</v>
      </c>
      <c r="AB1123" s="400">
        <v>44574.979683831021</v>
      </c>
      <c r="AC1123" t="s">
        <v>439</v>
      </c>
    </row>
    <row r="1124" spans="1:29">
      <c r="A1124" t="s">
        <v>382</v>
      </c>
      <c r="B1124" t="s">
        <v>440</v>
      </c>
      <c r="C1124" t="s">
        <v>388</v>
      </c>
      <c r="D1124" t="s">
        <v>389</v>
      </c>
      <c r="E1124" t="s">
        <v>390</v>
      </c>
      <c r="F1124" t="s">
        <v>391</v>
      </c>
      <c r="G1124">
        <v>6103525</v>
      </c>
      <c r="H1124">
        <v>202112</v>
      </c>
      <c r="I1124" s="400">
        <v>44561</v>
      </c>
      <c r="J1124">
        <v>119010</v>
      </c>
      <c r="K1124" t="s">
        <v>386</v>
      </c>
      <c r="L1124" t="s">
        <v>399</v>
      </c>
      <c r="M1124" t="s">
        <v>400</v>
      </c>
      <c r="O1124" t="s">
        <v>401</v>
      </c>
      <c r="P1124" t="s">
        <v>402</v>
      </c>
      <c r="Q1124" t="s">
        <v>396</v>
      </c>
      <c r="R1124">
        <v>2069147</v>
      </c>
      <c r="S1124" t="s">
        <v>399</v>
      </c>
      <c r="U1124" t="s">
        <v>1734</v>
      </c>
      <c r="V1124" t="s">
        <v>398</v>
      </c>
      <c r="W1124" s="393">
        <v>1500000</v>
      </c>
      <c r="X1124" s="393">
        <v>376.77</v>
      </c>
      <c r="Y1124" s="393">
        <v>3324.44</v>
      </c>
      <c r="Z1124" s="393">
        <v>1500000</v>
      </c>
      <c r="AA1124">
        <v>0</v>
      </c>
      <c r="AB1124" s="400">
        <v>44574.979683831021</v>
      </c>
      <c r="AC1124" t="s">
        <v>439</v>
      </c>
    </row>
    <row r="1125" spans="1:29">
      <c r="A1125" t="s">
        <v>382</v>
      </c>
      <c r="B1125" t="s">
        <v>382</v>
      </c>
      <c r="C1125" t="s">
        <v>388</v>
      </c>
      <c r="D1125" t="s">
        <v>389</v>
      </c>
      <c r="E1125" t="s">
        <v>390</v>
      </c>
      <c r="F1125" t="s">
        <v>391</v>
      </c>
      <c r="G1125">
        <v>6103365</v>
      </c>
      <c r="H1125">
        <v>202112</v>
      </c>
      <c r="I1125" s="400">
        <v>44552</v>
      </c>
      <c r="J1125">
        <v>119010</v>
      </c>
      <c r="K1125" t="s">
        <v>386</v>
      </c>
      <c r="L1125" t="s">
        <v>399</v>
      </c>
      <c r="M1125" t="s">
        <v>400</v>
      </c>
      <c r="O1125" t="s">
        <v>401</v>
      </c>
      <c r="P1125" t="s">
        <v>402</v>
      </c>
      <c r="Q1125" t="s">
        <v>396</v>
      </c>
      <c r="R1125">
        <v>2069147</v>
      </c>
      <c r="S1125" t="s">
        <v>403</v>
      </c>
      <c r="U1125" t="s">
        <v>1735</v>
      </c>
      <c r="V1125" t="s">
        <v>398</v>
      </c>
      <c r="W1125" s="393">
        <v>-20500000</v>
      </c>
      <c r="X1125" s="393">
        <v>-5345.99</v>
      </c>
      <c r="Y1125" s="393">
        <v>-46484.98</v>
      </c>
      <c r="Z1125" s="393">
        <v>-20500000</v>
      </c>
      <c r="AA1125">
        <v>0</v>
      </c>
      <c r="AB1125" s="400">
        <v>44552.757233483797</v>
      </c>
      <c r="AC1125" t="s">
        <v>439</v>
      </c>
    </row>
    <row r="1126" spans="1:29">
      <c r="A1126" t="s">
        <v>382</v>
      </c>
      <c r="B1126" t="s">
        <v>382</v>
      </c>
      <c r="C1126" t="s">
        <v>388</v>
      </c>
      <c r="D1126" t="s">
        <v>389</v>
      </c>
      <c r="E1126" t="s">
        <v>390</v>
      </c>
      <c r="F1126" t="s">
        <v>391</v>
      </c>
      <c r="G1126">
        <v>6103365</v>
      </c>
      <c r="H1126">
        <v>202112</v>
      </c>
      <c r="I1126" s="400">
        <v>44552</v>
      </c>
      <c r="J1126">
        <v>119010</v>
      </c>
      <c r="K1126" t="s">
        <v>386</v>
      </c>
      <c r="L1126" t="s">
        <v>399</v>
      </c>
      <c r="M1126" t="s">
        <v>400</v>
      </c>
      <c r="O1126" t="s">
        <v>401</v>
      </c>
      <c r="P1126" t="s">
        <v>402</v>
      </c>
      <c r="Q1126" t="s">
        <v>396</v>
      </c>
      <c r="R1126">
        <v>2069147</v>
      </c>
      <c r="S1126" t="s">
        <v>403</v>
      </c>
      <c r="U1126" t="s">
        <v>1736</v>
      </c>
      <c r="V1126" t="s">
        <v>398</v>
      </c>
      <c r="W1126" s="393">
        <v>5500000</v>
      </c>
      <c r="X1126" s="393">
        <v>1434.29</v>
      </c>
      <c r="Y1126" s="393">
        <v>12471.58</v>
      </c>
      <c r="Z1126" s="393">
        <v>5500000</v>
      </c>
      <c r="AA1126">
        <v>0</v>
      </c>
      <c r="AB1126" s="400">
        <v>44552.757233483797</v>
      </c>
      <c r="AC1126" t="s">
        <v>439</v>
      </c>
    </row>
    <row r="1127" spans="1:29">
      <c r="A1127" t="s">
        <v>382</v>
      </c>
      <c r="B1127" t="s">
        <v>382</v>
      </c>
      <c r="C1127" t="s">
        <v>388</v>
      </c>
      <c r="D1127" t="s">
        <v>389</v>
      </c>
      <c r="E1127" t="s">
        <v>390</v>
      </c>
      <c r="F1127" t="s">
        <v>391</v>
      </c>
      <c r="G1127">
        <v>6103365</v>
      </c>
      <c r="H1127">
        <v>202112</v>
      </c>
      <c r="I1127" s="400">
        <v>44552</v>
      </c>
      <c r="J1127">
        <v>119010</v>
      </c>
      <c r="K1127" t="s">
        <v>386</v>
      </c>
      <c r="L1127" t="s">
        <v>399</v>
      </c>
      <c r="M1127" t="s">
        <v>400</v>
      </c>
      <c r="O1127" t="s">
        <v>401</v>
      </c>
      <c r="P1127" t="s">
        <v>402</v>
      </c>
      <c r="Q1127" t="s">
        <v>396</v>
      </c>
      <c r="R1127">
        <v>2069147</v>
      </c>
      <c r="S1127" t="s">
        <v>403</v>
      </c>
      <c r="U1127" t="s">
        <v>1737</v>
      </c>
      <c r="V1127" t="s">
        <v>398</v>
      </c>
      <c r="W1127" s="393">
        <v>1500000</v>
      </c>
      <c r="X1127" s="393">
        <v>391.17</v>
      </c>
      <c r="Y1127" s="393">
        <v>3401.34</v>
      </c>
      <c r="Z1127" s="393">
        <v>1500000</v>
      </c>
      <c r="AA1127">
        <v>0</v>
      </c>
      <c r="AB1127" s="400">
        <v>44552.757233483797</v>
      </c>
      <c r="AC1127" t="s">
        <v>439</v>
      </c>
    </row>
    <row r="1128" spans="1:29">
      <c r="A1128" t="s">
        <v>382</v>
      </c>
      <c r="B1128" t="s">
        <v>382</v>
      </c>
      <c r="C1128" t="s">
        <v>388</v>
      </c>
      <c r="D1128" t="s">
        <v>389</v>
      </c>
      <c r="E1128" t="s">
        <v>390</v>
      </c>
      <c r="F1128" t="s">
        <v>391</v>
      </c>
      <c r="G1128">
        <v>6103365</v>
      </c>
      <c r="H1128">
        <v>202112</v>
      </c>
      <c r="I1128" s="400">
        <v>44552</v>
      </c>
      <c r="J1128">
        <v>119010</v>
      </c>
      <c r="K1128" t="s">
        <v>386</v>
      </c>
      <c r="L1128" t="s">
        <v>399</v>
      </c>
      <c r="M1128" t="s">
        <v>400</v>
      </c>
      <c r="O1128" t="s">
        <v>401</v>
      </c>
      <c r="P1128" t="s">
        <v>402</v>
      </c>
      <c r="Q1128" t="s">
        <v>396</v>
      </c>
      <c r="R1128">
        <v>2069147</v>
      </c>
      <c r="S1128" t="s">
        <v>403</v>
      </c>
      <c r="U1128" t="s">
        <v>1738</v>
      </c>
      <c r="V1128" t="s">
        <v>398</v>
      </c>
      <c r="W1128" s="393">
        <v>2000000</v>
      </c>
      <c r="X1128" s="393">
        <v>521.55999999999995</v>
      </c>
      <c r="Y1128" s="393">
        <v>4535.12</v>
      </c>
      <c r="Z1128" s="393">
        <v>2000000</v>
      </c>
      <c r="AA1128">
        <v>0</v>
      </c>
      <c r="AB1128" s="400">
        <v>44552.757233483797</v>
      </c>
      <c r="AC1128" t="s">
        <v>439</v>
      </c>
    </row>
    <row r="1129" spans="1:29">
      <c r="A1129" t="s">
        <v>382</v>
      </c>
      <c r="B1129" t="s">
        <v>382</v>
      </c>
      <c r="C1129" t="s">
        <v>388</v>
      </c>
      <c r="D1129" t="s">
        <v>389</v>
      </c>
      <c r="E1129" t="s">
        <v>390</v>
      </c>
      <c r="F1129" t="s">
        <v>391</v>
      </c>
      <c r="G1129">
        <v>6103365</v>
      </c>
      <c r="H1129">
        <v>202112</v>
      </c>
      <c r="I1129" s="400">
        <v>44552</v>
      </c>
      <c r="J1129">
        <v>119010</v>
      </c>
      <c r="K1129" t="s">
        <v>386</v>
      </c>
      <c r="L1129" t="s">
        <v>399</v>
      </c>
      <c r="M1129" t="s">
        <v>400</v>
      </c>
      <c r="O1129" t="s">
        <v>401</v>
      </c>
      <c r="P1129" t="s">
        <v>402</v>
      </c>
      <c r="Q1129" t="s">
        <v>396</v>
      </c>
      <c r="R1129">
        <v>2069147</v>
      </c>
      <c r="S1129" t="s">
        <v>403</v>
      </c>
      <c r="U1129" t="s">
        <v>1739</v>
      </c>
      <c r="V1129" t="s">
        <v>398</v>
      </c>
      <c r="W1129" s="393">
        <v>2500000</v>
      </c>
      <c r="X1129" s="393">
        <v>651.95000000000005</v>
      </c>
      <c r="Y1129" s="393">
        <v>5668.9</v>
      </c>
      <c r="Z1129" s="393">
        <v>2500000</v>
      </c>
      <c r="AA1129">
        <v>0</v>
      </c>
      <c r="AB1129" s="400">
        <v>44552.757233483797</v>
      </c>
      <c r="AC1129" t="s">
        <v>439</v>
      </c>
    </row>
    <row r="1130" spans="1:29">
      <c r="A1130" t="s">
        <v>382</v>
      </c>
      <c r="B1130" t="s">
        <v>382</v>
      </c>
      <c r="C1130" t="s">
        <v>388</v>
      </c>
      <c r="D1130" t="s">
        <v>389</v>
      </c>
      <c r="E1130" t="s">
        <v>390</v>
      </c>
      <c r="F1130" t="s">
        <v>391</v>
      </c>
      <c r="G1130">
        <v>6103365</v>
      </c>
      <c r="H1130">
        <v>202112</v>
      </c>
      <c r="I1130" s="400">
        <v>44552</v>
      </c>
      <c r="J1130">
        <v>119010</v>
      </c>
      <c r="K1130" t="s">
        <v>386</v>
      </c>
      <c r="L1130" t="s">
        <v>399</v>
      </c>
      <c r="M1130" t="s">
        <v>400</v>
      </c>
      <c r="O1130" t="s">
        <v>401</v>
      </c>
      <c r="P1130" t="s">
        <v>402</v>
      </c>
      <c r="Q1130" t="s">
        <v>396</v>
      </c>
      <c r="R1130">
        <v>2069147</v>
      </c>
      <c r="S1130" t="s">
        <v>403</v>
      </c>
      <c r="U1130" t="s">
        <v>1740</v>
      </c>
      <c r="V1130" t="s">
        <v>398</v>
      </c>
      <c r="W1130" s="393">
        <v>3000000</v>
      </c>
      <c r="X1130" s="393">
        <v>782.34</v>
      </c>
      <c r="Y1130" s="393">
        <v>6802.68</v>
      </c>
      <c r="Z1130" s="393">
        <v>3000000</v>
      </c>
      <c r="AA1130">
        <v>0</v>
      </c>
      <c r="AB1130" s="400">
        <v>44552.757233483797</v>
      </c>
      <c r="AC1130" t="s">
        <v>439</v>
      </c>
    </row>
    <row r="1131" spans="1:29">
      <c r="A1131" t="s">
        <v>382</v>
      </c>
      <c r="B1131" t="s">
        <v>382</v>
      </c>
      <c r="C1131" t="s">
        <v>388</v>
      </c>
      <c r="D1131" t="s">
        <v>389</v>
      </c>
      <c r="E1131" t="s">
        <v>390</v>
      </c>
      <c r="F1131" t="s">
        <v>391</v>
      </c>
      <c r="G1131">
        <v>6103365</v>
      </c>
      <c r="H1131">
        <v>202112</v>
      </c>
      <c r="I1131" s="400">
        <v>44552</v>
      </c>
      <c r="J1131">
        <v>119010</v>
      </c>
      <c r="K1131" t="s">
        <v>386</v>
      </c>
      <c r="L1131" t="s">
        <v>399</v>
      </c>
      <c r="M1131" t="s">
        <v>400</v>
      </c>
      <c r="O1131" t="s">
        <v>401</v>
      </c>
      <c r="P1131" t="s">
        <v>402</v>
      </c>
      <c r="Q1131" t="s">
        <v>396</v>
      </c>
      <c r="R1131">
        <v>2069147</v>
      </c>
      <c r="S1131" t="s">
        <v>403</v>
      </c>
      <c r="U1131" t="s">
        <v>1741</v>
      </c>
      <c r="V1131" t="s">
        <v>398</v>
      </c>
      <c r="W1131" s="393">
        <v>3000000</v>
      </c>
      <c r="X1131" s="393">
        <v>782.34</v>
      </c>
      <c r="Y1131" s="393">
        <v>6802.68</v>
      </c>
      <c r="Z1131" s="393">
        <v>3000000</v>
      </c>
      <c r="AA1131">
        <v>0</v>
      </c>
      <c r="AB1131" s="400">
        <v>44552.757233483797</v>
      </c>
      <c r="AC1131" t="s">
        <v>439</v>
      </c>
    </row>
    <row r="1132" spans="1:29">
      <c r="A1132" t="s">
        <v>382</v>
      </c>
      <c r="B1132" t="s">
        <v>382</v>
      </c>
      <c r="C1132" t="s">
        <v>388</v>
      </c>
      <c r="D1132" t="s">
        <v>389</v>
      </c>
      <c r="E1132" t="s">
        <v>390</v>
      </c>
      <c r="F1132" t="s">
        <v>391</v>
      </c>
      <c r="G1132">
        <v>6103365</v>
      </c>
      <c r="H1132">
        <v>202112</v>
      </c>
      <c r="I1132" s="400">
        <v>44552</v>
      </c>
      <c r="J1132">
        <v>119010</v>
      </c>
      <c r="K1132" t="s">
        <v>386</v>
      </c>
      <c r="L1132" t="s">
        <v>399</v>
      </c>
      <c r="M1132" t="s">
        <v>400</v>
      </c>
      <c r="O1132" t="s">
        <v>401</v>
      </c>
      <c r="P1132" t="s">
        <v>402</v>
      </c>
      <c r="Q1132" t="s">
        <v>396</v>
      </c>
      <c r="R1132">
        <v>2069147</v>
      </c>
      <c r="S1132" t="s">
        <v>403</v>
      </c>
      <c r="U1132" t="s">
        <v>1742</v>
      </c>
      <c r="V1132" t="s">
        <v>398</v>
      </c>
      <c r="W1132" s="393">
        <v>3000000</v>
      </c>
      <c r="X1132" s="393">
        <v>782.34</v>
      </c>
      <c r="Y1132" s="393">
        <v>6802.68</v>
      </c>
      <c r="Z1132" s="393">
        <v>3000000</v>
      </c>
      <c r="AA1132">
        <v>0</v>
      </c>
      <c r="AB1132" s="400">
        <v>44552.757233483797</v>
      </c>
      <c r="AC1132" t="s">
        <v>439</v>
      </c>
    </row>
    <row r="1133" spans="1:29">
      <c r="A1133" t="s">
        <v>382</v>
      </c>
      <c r="B1133" t="s">
        <v>382</v>
      </c>
      <c r="C1133" t="s">
        <v>388</v>
      </c>
      <c r="D1133" t="s">
        <v>389</v>
      </c>
      <c r="E1133" t="s">
        <v>390</v>
      </c>
      <c r="F1133" t="s">
        <v>391</v>
      </c>
      <c r="G1133">
        <v>6103363</v>
      </c>
      <c r="H1133">
        <v>202112</v>
      </c>
      <c r="I1133" s="400">
        <v>44552</v>
      </c>
      <c r="J1133">
        <v>119010</v>
      </c>
      <c r="K1133" t="s">
        <v>386</v>
      </c>
      <c r="L1133" t="s">
        <v>399</v>
      </c>
      <c r="M1133" t="s">
        <v>400</v>
      </c>
      <c r="O1133" t="s">
        <v>401</v>
      </c>
      <c r="P1133" t="s">
        <v>402</v>
      </c>
      <c r="Q1133" t="s">
        <v>396</v>
      </c>
      <c r="R1133">
        <v>2069147</v>
      </c>
      <c r="S1133" t="s">
        <v>403</v>
      </c>
      <c r="U1133" t="s">
        <v>1743</v>
      </c>
      <c r="V1133" t="s">
        <v>398</v>
      </c>
      <c r="W1133" s="393">
        <v>-29500000</v>
      </c>
      <c r="X1133" s="393">
        <v>-7552</v>
      </c>
      <c r="Y1133" s="393">
        <v>-65254</v>
      </c>
      <c r="Z1133" s="393">
        <v>-29500000</v>
      </c>
      <c r="AA1133">
        <v>0</v>
      </c>
      <c r="AB1133" s="400">
        <v>44552.75555347222</v>
      </c>
      <c r="AC1133" t="s">
        <v>439</v>
      </c>
    </row>
    <row r="1134" spans="1:29">
      <c r="A1134" t="s">
        <v>382</v>
      </c>
      <c r="B1134" t="s">
        <v>382</v>
      </c>
      <c r="C1134" t="s">
        <v>388</v>
      </c>
      <c r="D1134" t="s">
        <v>389</v>
      </c>
      <c r="E1134" t="s">
        <v>390</v>
      </c>
      <c r="F1134" t="s">
        <v>391</v>
      </c>
      <c r="G1134">
        <v>6103363</v>
      </c>
      <c r="H1134">
        <v>202112</v>
      </c>
      <c r="I1134" s="400">
        <v>44552</v>
      </c>
      <c r="J1134">
        <v>119010</v>
      </c>
      <c r="K1134" t="s">
        <v>386</v>
      </c>
      <c r="L1134" t="s">
        <v>399</v>
      </c>
      <c r="M1134" t="s">
        <v>400</v>
      </c>
      <c r="O1134" t="s">
        <v>401</v>
      </c>
      <c r="P1134" t="s">
        <v>402</v>
      </c>
      <c r="Q1134" t="s">
        <v>396</v>
      </c>
      <c r="R1134">
        <v>2069147</v>
      </c>
      <c r="S1134" t="s">
        <v>403</v>
      </c>
      <c r="U1134" t="s">
        <v>1744</v>
      </c>
      <c r="V1134" t="s">
        <v>398</v>
      </c>
      <c r="W1134" s="393">
        <v>5500000</v>
      </c>
      <c r="X1134" s="393">
        <v>1408</v>
      </c>
      <c r="Y1134" s="393">
        <v>12166</v>
      </c>
      <c r="Z1134" s="393">
        <v>5500000</v>
      </c>
      <c r="AA1134">
        <v>0</v>
      </c>
      <c r="AB1134" s="400">
        <v>44552.75555347222</v>
      </c>
      <c r="AC1134" t="s">
        <v>439</v>
      </c>
    </row>
    <row r="1135" spans="1:29">
      <c r="A1135" t="s">
        <v>382</v>
      </c>
      <c r="B1135" t="s">
        <v>382</v>
      </c>
      <c r="C1135" t="s">
        <v>388</v>
      </c>
      <c r="D1135" t="s">
        <v>389</v>
      </c>
      <c r="E1135" t="s">
        <v>390</v>
      </c>
      <c r="F1135" t="s">
        <v>391</v>
      </c>
      <c r="G1135">
        <v>6103363</v>
      </c>
      <c r="H1135">
        <v>202112</v>
      </c>
      <c r="I1135" s="400">
        <v>44552</v>
      </c>
      <c r="J1135">
        <v>119010</v>
      </c>
      <c r="K1135" t="s">
        <v>386</v>
      </c>
      <c r="L1135" t="s">
        <v>399</v>
      </c>
      <c r="M1135" t="s">
        <v>400</v>
      </c>
      <c r="O1135" t="s">
        <v>401</v>
      </c>
      <c r="P1135" t="s">
        <v>402</v>
      </c>
      <c r="Q1135" t="s">
        <v>396</v>
      </c>
      <c r="R1135">
        <v>2069147</v>
      </c>
      <c r="S1135" t="s">
        <v>403</v>
      </c>
      <c r="U1135" t="s">
        <v>1745</v>
      </c>
      <c r="V1135" t="s">
        <v>398</v>
      </c>
      <c r="W1135" s="393">
        <v>1500000</v>
      </c>
      <c r="X1135" s="393">
        <v>384</v>
      </c>
      <c r="Y1135" s="393">
        <v>3318</v>
      </c>
      <c r="Z1135" s="393">
        <v>1500000</v>
      </c>
      <c r="AA1135">
        <v>0</v>
      </c>
      <c r="AB1135" s="400">
        <v>44552.75555347222</v>
      </c>
      <c r="AC1135" t="s">
        <v>439</v>
      </c>
    </row>
    <row r="1136" spans="1:29">
      <c r="A1136" t="s">
        <v>382</v>
      </c>
      <c r="B1136" t="s">
        <v>382</v>
      </c>
      <c r="C1136" t="s">
        <v>388</v>
      </c>
      <c r="D1136" t="s">
        <v>389</v>
      </c>
      <c r="E1136" t="s">
        <v>390</v>
      </c>
      <c r="F1136" t="s">
        <v>391</v>
      </c>
      <c r="G1136">
        <v>6103363</v>
      </c>
      <c r="H1136">
        <v>202112</v>
      </c>
      <c r="I1136" s="400">
        <v>44552</v>
      </c>
      <c r="J1136">
        <v>119010</v>
      </c>
      <c r="K1136" t="s">
        <v>386</v>
      </c>
      <c r="L1136" t="s">
        <v>399</v>
      </c>
      <c r="M1136" t="s">
        <v>400</v>
      </c>
      <c r="O1136" t="s">
        <v>401</v>
      </c>
      <c r="P1136" t="s">
        <v>402</v>
      </c>
      <c r="Q1136" t="s">
        <v>396</v>
      </c>
      <c r="R1136">
        <v>2069147</v>
      </c>
      <c r="S1136" t="s">
        <v>403</v>
      </c>
      <c r="U1136" t="s">
        <v>1746</v>
      </c>
      <c r="V1136" t="s">
        <v>398</v>
      </c>
      <c r="W1136" s="393">
        <v>2000000</v>
      </c>
      <c r="X1136" s="393">
        <v>512</v>
      </c>
      <c r="Y1136" s="393">
        <v>4424</v>
      </c>
      <c r="Z1136" s="393">
        <v>2000000</v>
      </c>
      <c r="AA1136">
        <v>0</v>
      </c>
      <c r="AB1136" s="400">
        <v>44552.75555347222</v>
      </c>
      <c r="AC1136" t="s">
        <v>439</v>
      </c>
    </row>
    <row r="1137" spans="1:29">
      <c r="A1137" t="s">
        <v>382</v>
      </c>
      <c r="B1137" t="s">
        <v>382</v>
      </c>
      <c r="C1137" t="s">
        <v>388</v>
      </c>
      <c r="D1137" t="s">
        <v>389</v>
      </c>
      <c r="E1137" t="s">
        <v>390</v>
      </c>
      <c r="F1137" t="s">
        <v>391</v>
      </c>
      <c r="G1137">
        <v>6103363</v>
      </c>
      <c r="H1137">
        <v>202112</v>
      </c>
      <c r="I1137" s="400">
        <v>44552</v>
      </c>
      <c r="J1137">
        <v>119010</v>
      </c>
      <c r="K1137" t="s">
        <v>386</v>
      </c>
      <c r="L1137" t="s">
        <v>399</v>
      </c>
      <c r="M1137" t="s">
        <v>400</v>
      </c>
      <c r="O1137" t="s">
        <v>401</v>
      </c>
      <c r="P1137" t="s">
        <v>402</v>
      </c>
      <c r="Q1137" t="s">
        <v>396</v>
      </c>
      <c r="R1137">
        <v>2069147</v>
      </c>
      <c r="S1137" t="s">
        <v>403</v>
      </c>
      <c r="U1137" t="s">
        <v>1747</v>
      </c>
      <c r="V1137" t="s">
        <v>398</v>
      </c>
      <c r="W1137" s="393">
        <v>2500000</v>
      </c>
      <c r="X1137" s="393">
        <v>640</v>
      </c>
      <c r="Y1137" s="393">
        <v>5530</v>
      </c>
      <c r="Z1137" s="393">
        <v>2500000</v>
      </c>
      <c r="AA1137">
        <v>0</v>
      </c>
      <c r="AB1137" s="400">
        <v>44552.75555347222</v>
      </c>
      <c r="AC1137" t="s">
        <v>439</v>
      </c>
    </row>
    <row r="1138" spans="1:29">
      <c r="A1138" t="s">
        <v>382</v>
      </c>
      <c r="B1138" t="s">
        <v>382</v>
      </c>
      <c r="C1138" t="s">
        <v>388</v>
      </c>
      <c r="D1138" t="s">
        <v>389</v>
      </c>
      <c r="E1138" t="s">
        <v>390</v>
      </c>
      <c r="F1138" t="s">
        <v>391</v>
      </c>
      <c r="G1138">
        <v>6103363</v>
      </c>
      <c r="H1138">
        <v>202112</v>
      </c>
      <c r="I1138" s="400">
        <v>44552</v>
      </c>
      <c r="J1138">
        <v>119010</v>
      </c>
      <c r="K1138" t="s">
        <v>386</v>
      </c>
      <c r="L1138" t="s">
        <v>399</v>
      </c>
      <c r="M1138" t="s">
        <v>400</v>
      </c>
      <c r="O1138" t="s">
        <v>401</v>
      </c>
      <c r="P1138" t="s">
        <v>402</v>
      </c>
      <c r="Q1138" t="s">
        <v>396</v>
      </c>
      <c r="R1138">
        <v>2069147</v>
      </c>
      <c r="S1138" t="s">
        <v>403</v>
      </c>
      <c r="U1138" t="s">
        <v>1748</v>
      </c>
      <c r="V1138" t="s">
        <v>398</v>
      </c>
      <c r="W1138" s="393">
        <v>3000000</v>
      </c>
      <c r="X1138" s="393">
        <v>768</v>
      </c>
      <c r="Y1138" s="393">
        <v>6636</v>
      </c>
      <c r="Z1138" s="393">
        <v>3000000</v>
      </c>
      <c r="AA1138">
        <v>0</v>
      </c>
      <c r="AB1138" s="400">
        <v>44552.75555347222</v>
      </c>
      <c r="AC1138" t="s">
        <v>439</v>
      </c>
    </row>
    <row r="1139" spans="1:29">
      <c r="A1139" t="s">
        <v>382</v>
      </c>
      <c r="B1139" t="s">
        <v>382</v>
      </c>
      <c r="C1139" t="s">
        <v>388</v>
      </c>
      <c r="D1139" t="s">
        <v>389</v>
      </c>
      <c r="E1139" t="s">
        <v>390</v>
      </c>
      <c r="F1139" t="s">
        <v>391</v>
      </c>
      <c r="G1139">
        <v>6103363</v>
      </c>
      <c r="H1139">
        <v>202112</v>
      </c>
      <c r="I1139" s="400">
        <v>44552</v>
      </c>
      <c r="J1139">
        <v>119010</v>
      </c>
      <c r="K1139" t="s">
        <v>386</v>
      </c>
      <c r="L1139" t="s">
        <v>399</v>
      </c>
      <c r="M1139" t="s">
        <v>400</v>
      </c>
      <c r="O1139" t="s">
        <v>401</v>
      </c>
      <c r="P1139" t="s">
        <v>402</v>
      </c>
      <c r="Q1139" t="s">
        <v>396</v>
      </c>
      <c r="R1139">
        <v>2069147</v>
      </c>
      <c r="S1139" t="s">
        <v>403</v>
      </c>
      <c r="U1139" t="s">
        <v>1749</v>
      </c>
      <c r="V1139" t="s">
        <v>398</v>
      </c>
      <c r="W1139" s="393">
        <v>6000000</v>
      </c>
      <c r="X1139" s="393">
        <v>1536</v>
      </c>
      <c r="Y1139" s="393">
        <v>13272</v>
      </c>
      <c r="Z1139" s="393">
        <v>6000000</v>
      </c>
      <c r="AA1139">
        <v>0</v>
      </c>
      <c r="AB1139" s="400">
        <v>44552.75555347222</v>
      </c>
      <c r="AC1139" t="s">
        <v>439</v>
      </c>
    </row>
    <row r="1140" spans="1:29">
      <c r="A1140" t="s">
        <v>382</v>
      </c>
      <c r="B1140" t="s">
        <v>382</v>
      </c>
      <c r="C1140" t="s">
        <v>388</v>
      </c>
      <c r="D1140" t="s">
        <v>389</v>
      </c>
      <c r="E1140" t="s">
        <v>390</v>
      </c>
      <c r="F1140" t="s">
        <v>391</v>
      </c>
      <c r="G1140">
        <v>6103363</v>
      </c>
      <c r="H1140">
        <v>202112</v>
      </c>
      <c r="I1140" s="400">
        <v>44552</v>
      </c>
      <c r="J1140">
        <v>119010</v>
      </c>
      <c r="K1140" t="s">
        <v>386</v>
      </c>
      <c r="L1140" t="s">
        <v>399</v>
      </c>
      <c r="M1140" t="s">
        <v>400</v>
      </c>
      <c r="O1140" t="s">
        <v>401</v>
      </c>
      <c r="P1140" t="s">
        <v>402</v>
      </c>
      <c r="Q1140" t="s">
        <v>396</v>
      </c>
      <c r="R1140">
        <v>2069147</v>
      </c>
      <c r="S1140" t="s">
        <v>403</v>
      </c>
      <c r="U1140" t="s">
        <v>1750</v>
      </c>
      <c r="V1140" t="s">
        <v>398</v>
      </c>
      <c r="W1140" s="393">
        <v>9000000</v>
      </c>
      <c r="X1140" s="393">
        <v>2304</v>
      </c>
      <c r="Y1140" s="393">
        <v>19908</v>
      </c>
      <c r="Z1140" s="393">
        <v>9000000</v>
      </c>
      <c r="AA1140">
        <v>0</v>
      </c>
      <c r="AB1140" s="400">
        <v>44552.75555347222</v>
      </c>
      <c r="AC1140" t="s">
        <v>439</v>
      </c>
    </row>
    <row r="1141" spans="1:29">
      <c r="A1141" t="s">
        <v>382</v>
      </c>
      <c r="B1141" t="s">
        <v>382</v>
      </c>
      <c r="C1141" t="s">
        <v>388</v>
      </c>
      <c r="D1141" t="s">
        <v>389</v>
      </c>
      <c r="E1141" t="s">
        <v>390</v>
      </c>
      <c r="F1141" t="s">
        <v>391</v>
      </c>
      <c r="G1141">
        <v>6103364</v>
      </c>
      <c r="H1141">
        <v>202112</v>
      </c>
      <c r="I1141" s="400">
        <v>44552</v>
      </c>
      <c r="J1141">
        <v>119010</v>
      </c>
      <c r="K1141" t="s">
        <v>386</v>
      </c>
      <c r="L1141" t="s">
        <v>399</v>
      </c>
      <c r="M1141" t="s">
        <v>400</v>
      </c>
      <c r="O1141" t="s">
        <v>401</v>
      </c>
      <c r="P1141" t="s">
        <v>402</v>
      </c>
      <c r="Q1141" t="s">
        <v>396</v>
      </c>
      <c r="R1141">
        <v>2069147</v>
      </c>
      <c r="S1141" t="s">
        <v>403</v>
      </c>
      <c r="U1141" t="s">
        <v>1751</v>
      </c>
      <c r="V1141" t="s">
        <v>398</v>
      </c>
      <c r="W1141" s="393">
        <v>-20500000</v>
      </c>
      <c r="X1141" s="393">
        <v>-5358.91</v>
      </c>
      <c r="Y1141" s="393">
        <v>-46594.66</v>
      </c>
      <c r="Z1141" s="393">
        <v>-20500000</v>
      </c>
      <c r="AA1141">
        <v>0</v>
      </c>
      <c r="AB1141" s="400">
        <v>44552.756537303241</v>
      </c>
      <c r="AC1141" t="s">
        <v>439</v>
      </c>
    </row>
    <row r="1142" spans="1:29">
      <c r="A1142" t="s">
        <v>382</v>
      </c>
      <c r="B1142" t="s">
        <v>382</v>
      </c>
      <c r="C1142" t="s">
        <v>388</v>
      </c>
      <c r="D1142" t="s">
        <v>389</v>
      </c>
      <c r="E1142" t="s">
        <v>390</v>
      </c>
      <c r="F1142" t="s">
        <v>391</v>
      </c>
      <c r="G1142">
        <v>6103364</v>
      </c>
      <c r="H1142">
        <v>202112</v>
      </c>
      <c r="I1142" s="400">
        <v>44552</v>
      </c>
      <c r="J1142">
        <v>119010</v>
      </c>
      <c r="K1142" t="s">
        <v>386</v>
      </c>
      <c r="L1142" t="s">
        <v>399</v>
      </c>
      <c r="M1142" t="s">
        <v>400</v>
      </c>
      <c r="O1142" t="s">
        <v>401</v>
      </c>
      <c r="P1142" t="s">
        <v>402</v>
      </c>
      <c r="Q1142" t="s">
        <v>396</v>
      </c>
      <c r="R1142">
        <v>2069147</v>
      </c>
      <c r="S1142" t="s">
        <v>403</v>
      </c>
      <c r="U1142" t="s">
        <v>1752</v>
      </c>
      <c r="V1142" t="s">
        <v>398</v>
      </c>
      <c r="W1142" s="393">
        <v>5500000</v>
      </c>
      <c r="X1142" s="393">
        <v>1437.76</v>
      </c>
      <c r="Y1142" s="393">
        <v>12501.01</v>
      </c>
      <c r="Z1142" s="393">
        <v>5500000</v>
      </c>
      <c r="AA1142">
        <v>0</v>
      </c>
      <c r="AB1142" s="400">
        <v>44552.756537303241</v>
      </c>
      <c r="AC1142" t="s">
        <v>439</v>
      </c>
    </row>
    <row r="1143" spans="1:29">
      <c r="A1143" t="s">
        <v>382</v>
      </c>
      <c r="B1143" t="s">
        <v>382</v>
      </c>
      <c r="C1143" t="s">
        <v>388</v>
      </c>
      <c r="D1143" t="s">
        <v>389</v>
      </c>
      <c r="E1143" t="s">
        <v>390</v>
      </c>
      <c r="F1143" t="s">
        <v>391</v>
      </c>
      <c r="G1143">
        <v>6103364</v>
      </c>
      <c r="H1143">
        <v>202112</v>
      </c>
      <c r="I1143" s="400">
        <v>44552</v>
      </c>
      <c r="J1143">
        <v>119010</v>
      </c>
      <c r="K1143" t="s">
        <v>386</v>
      </c>
      <c r="L1143" t="s">
        <v>399</v>
      </c>
      <c r="M1143" t="s">
        <v>400</v>
      </c>
      <c r="O1143" t="s">
        <v>401</v>
      </c>
      <c r="P1143" t="s">
        <v>402</v>
      </c>
      <c r="Q1143" t="s">
        <v>396</v>
      </c>
      <c r="R1143">
        <v>2069147</v>
      </c>
      <c r="S1143" t="s">
        <v>403</v>
      </c>
      <c r="U1143" t="s">
        <v>1753</v>
      </c>
      <c r="V1143" t="s">
        <v>398</v>
      </c>
      <c r="W1143" s="393">
        <v>1500000</v>
      </c>
      <c r="X1143" s="393">
        <v>392.12</v>
      </c>
      <c r="Y1143" s="393">
        <v>3409.37</v>
      </c>
      <c r="Z1143" s="393">
        <v>1500000</v>
      </c>
      <c r="AA1143">
        <v>0</v>
      </c>
      <c r="AB1143" s="400">
        <v>44552.756537303241</v>
      </c>
      <c r="AC1143" t="s">
        <v>439</v>
      </c>
    </row>
    <row r="1144" spans="1:29">
      <c r="A1144" t="s">
        <v>382</v>
      </c>
      <c r="B1144" t="s">
        <v>382</v>
      </c>
      <c r="C1144" t="s">
        <v>388</v>
      </c>
      <c r="D1144" t="s">
        <v>389</v>
      </c>
      <c r="E1144" t="s">
        <v>390</v>
      </c>
      <c r="F1144" t="s">
        <v>391</v>
      </c>
      <c r="G1144">
        <v>6103364</v>
      </c>
      <c r="H1144">
        <v>202112</v>
      </c>
      <c r="I1144" s="400">
        <v>44552</v>
      </c>
      <c r="J1144">
        <v>119010</v>
      </c>
      <c r="K1144" t="s">
        <v>386</v>
      </c>
      <c r="L1144" t="s">
        <v>399</v>
      </c>
      <c r="M1144" t="s">
        <v>400</v>
      </c>
      <c r="O1144" t="s">
        <v>401</v>
      </c>
      <c r="P1144" t="s">
        <v>402</v>
      </c>
      <c r="Q1144" t="s">
        <v>396</v>
      </c>
      <c r="R1144">
        <v>2069147</v>
      </c>
      <c r="S1144" t="s">
        <v>403</v>
      </c>
      <c r="U1144" t="s">
        <v>1754</v>
      </c>
      <c r="V1144" t="s">
        <v>398</v>
      </c>
      <c r="W1144" s="393">
        <v>2000000</v>
      </c>
      <c r="X1144" s="393">
        <v>522.82000000000005</v>
      </c>
      <c r="Y1144" s="393">
        <v>4545.82</v>
      </c>
      <c r="Z1144" s="393">
        <v>2000000</v>
      </c>
      <c r="AA1144">
        <v>0</v>
      </c>
      <c r="AB1144" s="400">
        <v>44552.756537303241</v>
      </c>
      <c r="AC1144" t="s">
        <v>439</v>
      </c>
    </row>
    <row r="1145" spans="1:29">
      <c r="A1145" t="s">
        <v>382</v>
      </c>
      <c r="B1145" t="s">
        <v>382</v>
      </c>
      <c r="C1145" t="s">
        <v>388</v>
      </c>
      <c r="D1145" t="s">
        <v>389</v>
      </c>
      <c r="E1145" t="s">
        <v>390</v>
      </c>
      <c r="F1145" t="s">
        <v>391</v>
      </c>
      <c r="G1145">
        <v>6103364</v>
      </c>
      <c r="H1145">
        <v>202112</v>
      </c>
      <c r="I1145" s="400">
        <v>44552</v>
      </c>
      <c r="J1145">
        <v>119010</v>
      </c>
      <c r="K1145" t="s">
        <v>386</v>
      </c>
      <c r="L1145" t="s">
        <v>399</v>
      </c>
      <c r="M1145" t="s">
        <v>400</v>
      </c>
      <c r="O1145" t="s">
        <v>401</v>
      </c>
      <c r="P1145" t="s">
        <v>402</v>
      </c>
      <c r="Q1145" t="s">
        <v>396</v>
      </c>
      <c r="R1145">
        <v>2069147</v>
      </c>
      <c r="S1145" t="s">
        <v>403</v>
      </c>
      <c r="U1145" t="s">
        <v>1755</v>
      </c>
      <c r="V1145" t="s">
        <v>398</v>
      </c>
      <c r="W1145" s="393">
        <v>2500000</v>
      </c>
      <c r="X1145" s="393">
        <v>653.53</v>
      </c>
      <c r="Y1145" s="393">
        <v>5682.28</v>
      </c>
      <c r="Z1145" s="393">
        <v>2500000</v>
      </c>
      <c r="AA1145">
        <v>0</v>
      </c>
      <c r="AB1145" s="400">
        <v>44552.756537303241</v>
      </c>
      <c r="AC1145" t="s">
        <v>439</v>
      </c>
    </row>
    <row r="1146" spans="1:29">
      <c r="A1146" t="s">
        <v>382</v>
      </c>
      <c r="B1146" t="s">
        <v>382</v>
      </c>
      <c r="C1146" t="s">
        <v>388</v>
      </c>
      <c r="D1146" t="s">
        <v>389</v>
      </c>
      <c r="E1146" t="s">
        <v>390</v>
      </c>
      <c r="F1146" t="s">
        <v>391</v>
      </c>
      <c r="G1146">
        <v>6103364</v>
      </c>
      <c r="H1146">
        <v>202112</v>
      </c>
      <c r="I1146" s="400">
        <v>44552</v>
      </c>
      <c r="J1146">
        <v>119010</v>
      </c>
      <c r="K1146" t="s">
        <v>386</v>
      </c>
      <c r="L1146" t="s">
        <v>399</v>
      </c>
      <c r="M1146" t="s">
        <v>400</v>
      </c>
      <c r="O1146" t="s">
        <v>401</v>
      </c>
      <c r="P1146" t="s">
        <v>402</v>
      </c>
      <c r="Q1146" t="s">
        <v>396</v>
      </c>
      <c r="R1146">
        <v>2069147</v>
      </c>
      <c r="S1146" t="s">
        <v>403</v>
      </c>
      <c r="U1146" t="s">
        <v>1756</v>
      </c>
      <c r="V1146" t="s">
        <v>398</v>
      </c>
      <c r="W1146" s="393">
        <v>3000000</v>
      </c>
      <c r="X1146" s="393">
        <v>784.23</v>
      </c>
      <c r="Y1146" s="393">
        <v>6818.73</v>
      </c>
      <c r="Z1146" s="393">
        <v>3000000</v>
      </c>
      <c r="AA1146">
        <v>0</v>
      </c>
      <c r="AB1146" s="400">
        <v>44552.756537303241</v>
      </c>
      <c r="AC1146" t="s">
        <v>439</v>
      </c>
    </row>
    <row r="1147" spans="1:29">
      <c r="A1147" t="s">
        <v>382</v>
      </c>
      <c r="B1147" t="s">
        <v>382</v>
      </c>
      <c r="C1147" t="s">
        <v>388</v>
      </c>
      <c r="D1147" t="s">
        <v>389</v>
      </c>
      <c r="E1147" t="s">
        <v>390</v>
      </c>
      <c r="F1147" t="s">
        <v>391</v>
      </c>
      <c r="G1147">
        <v>6103364</v>
      </c>
      <c r="H1147">
        <v>202112</v>
      </c>
      <c r="I1147" s="400">
        <v>44552</v>
      </c>
      <c r="J1147">
        <v>119010</v>
      </c>
      <c r="K1147" t="s">
        <v>386</v>
      </c>
      <c r="L1147" t="s">
        <v>399</v>
      </c>
      <c r="M1147" t="s">
        <v>400</v>
      </c>
      <c r="O1147" t="s">
        <v>401</v>
      </c>
      <c r="P1147" t="s">
        <v>402</v>
      </c>
      <c r="Q1147" t="s">
        <v>396</v>
      </c>
      <c r="R1147">
        <v>2069147</v>
      </c>
      <c r="S1147" t="s">
        <v>403</v>
      </c>
      <c r="U1147" t="s">
        <v>1757</v>
      </c>
      <c r="V1147" t="s">
        <v>398</v>
      </c>
      <c r="W1147" s="393">
        <v>3000000</v>
      </c>
      <c r="X1147" s="393">
        <v>784.23</v>
      </c>
      <c r="Y1147" s="393">
        <v>6818.73</v>
      </c>
      <c r="Z1147" s="393">
        <v>3000000</v>
      </c>
      <c r="AA1147">
        <v>0</v>
      </c>
      <c r="AB1147" s="400">
        <v>44552.756537303241</v>
      </c>
      <c r="AC1147" t="s">
        <v>439</v>
      </c>
    </row>
    <row r="1148" spans="1:29">
      <c r="A1148" t="s">
        <v>382</v>
      </c>
      <c r="B1148" t="s">
        <v>382</v>
      </c>
      <c r="C1148" t="s">
        <v>388</v>
      </c>
      <c r="D1148" t="s">
        <v>389</v>
      </c>
      <c r="E1148" t="s">
        <v>390</v>
      </c>
      <c r="F1148" t="s">
        <v>391</v>
      </c>
      <c r="G1148">
        <v>6103364</v>
      </c>
      <c r="H1148">
        <v>202112</v>
      </c>
      <c r="I1148" s="400">
        <v>44552</v>
      </c>
      <c r="J1148">
        <v>119010</v>
      </c>
      <c r="K1148" t="s">
        <v>386</v>
      </c>
      <c r="L1148" t="s">
        <v>399</v>
      </c>
      <c r="M1148" t="s">
        <v>400</v>
      </c>
      <c r="O1148" t="s">
        <v>401</v>
      </c>
      <c r="P1148" t="s">
        <v>402</v>
      </c>
      <c r="Q1148" t="s">
        <v>396</v>
      </c>
      <c r="R1148">
        <v>2069147</v>
      </c>
      <c r="S1148" t="s">
        <v>403</v>
      </c>
      <c r="U1148" t="s">
        <v>1758</v>
      </c>
      <c r="V1148" t="s">
        <v>398</v>
      </c>
      <c r="W1148" s="393">
        <v>3000000</v>
      </c>
      <c r="X1148" s="393">
        <v>784.23</v>
      </c>
      <c r="Y1148" s="393">
        <v>6818.73</v>
      </c>
      <c r="Z1148" s="393">
        <v>3000000</v>
      </c>
      <c r="AA1148">
        <v>0</v>
      </c>
      <c r="AB1148" s="400">
        <v>44552.756537303241</v>
      </c>
      <c r="AC1148" t="s">
        <v>439</v>
      </c>
    </row>
    <row r="1149" spans="1:29">
      <c r="A1149" t="s">
        <v>382</v>
      </c>
      <c r="B1149" t="s">
        <v>440</v>
      </c>
      <c r="C1149" t="s">
        <v>388</v>
      </c>
      <c r="D1149" t="s">
        <v>389</v>
      </c>
      <c r="E1149" t="s">
        <v>390</v>
      </c>
      <c r="F1149" t="s">
        <v>391</v>
      </c>
      <c r="G1149">
        <v>6103528</v>
      </c>
      <c r="H1149">
        <v>202112</v>
      </c>
      <c r="I1149" s="400">
        <v>44561</v>
      </c>
      <c r="J1149">
        <v>119010</v>
      </c>
      <c r="K1149" t="s">
        <v>386</v>
      </c>
      <c r="L1149" t="s">
        <v>399</v>
      </c>
      <c r="M1149" t="s">
        <v>400</v>
      </c>
      <c r="O1149" t="s">
        <v>401</v>
      </c>
      <c r="P1149" t="s">
        <v>402</v>
      </c>
      <c r="Q1149" t="s">
        <v>396</v>
      </c>
      <c r="R1149">
        <v>2069147</v>
      </c>
      <c r="S1149" t="s">
        <v>399</v>
      </c>
      <c r="U1149" t="s">
        <v>1759</v>
      </c>
      <c r="V1149" t="s">
        <v>398</v>
      </c>
      <c r="W1149" s="393">
        <v>-2500000</v>
      </c>
      <c r="X1149" s="393">
        <v>-627.95000000000005</v>
      </c>
      <c r="Y1149" s="393">
        <v>-5540.73</v>
      </c>
      <c r="Z1149" s="393">
        <v>-2500000</v>
      </c>
      <c r="AA1149">
        <v>0</v>
      </c>
      <c r="AB1149" s="400">
        <v>44575.963348645833</v>
      </c>
      <c r="AC1149" t="s">
        <v>439</v>
      </c>
    </row>
    <row r="1150" spans="1:29">
      <c r="A1150" t="s">
        <v>382</v>
      </c>
      <c r="B1150" t="s">
        <v>440</v>
      </c>
      <c r="C1150" t="s">
        <v>388</v>
      </c>
      <c r="D1150" t="s">
        <v>389</v>
      </c>
      <c r="E1150" t="s">
        <v>390</v>
      </c>
      <c r="F1150" t="s">
        <v>391</v>
      </c>
      <c r="G1150">
        <v>6103328</v>
      </c>
      <c r="H1150">
        <v>202112</v>
      </c>
      <c r="I1150" s="400">
        <v>44551</v>
      </c>
      <c r="J1150">
        <v>119010</v>
      </c>
      <c r="K1150" t="s">
        <v>386</v>
      </c>
      <c r="L1150" t="s">
        <v>399</v>
      </c>
      <c r="M1150" t="s">
        <v>400</v>
      </c>
      <c r="O1150" t="s">
        <v>401</v>
      </c>
      <c r="P1150" t="s">
        <v>402</v>
      </c>
      <c r="Q1150" t="s">
        <v>396</v>
      </c>
      <c r="R1150">
        <v>2069147</v>
      </c>
      <c r="S1150" t="s">
        <v>399</v>
      </c>
      <c r="U1150" t="s">
        <v>1760</v>
      </c>
      <c r="V1150" t="s">
        <v>398</v>
      </c>
      <c r="W1150" s="393">
        <v>5500000</v>
      </c>
      <c r="X1150" s="393">
        <v>1378.36</v>
      </c>
      <c r="Y1150" s="393">
        <v>12430.72</v>
      </c>
      <c r="Z1150" s="393">
        <v>5500000</v>
      </c>
      <c r="AA1150">
        <v>0</v>
      </c>
      <c r="AB1150" s="400">
        <v>44551.904961608794</v>
      </c>
      <c r="AC1150" t="s">
        <v>439</v>
      </c>
    </row>
    <row r="1151" spans="1:29">
      <c r="A1151" t="s">
        <v>382</v>
      </c>
      <c r="B1151" t="s">
        <v>440</v>
      </c>
      <c r="C1151" t="s">
        <v>388</v>
      </c>
      <c r="D1151" t="s">
        <v>389</v>
      </c>
      <c r="E1151" t="s">
        <v>390</v>
      </c>
      <c r="F1151" t="s">
        <v>391</v>
      </c>
      <c r="G1151">
        <v>6103328</v>
      </c>
      <c r="H1151">
        <v>202112</v>
      </c>
      <c r="I1151" s="400">
        <v>44551</v>
      </c>
      <c r="J1151">
        <v>119010</v>
      </c>
      <c r="K1151" t="s">
        <v>386</v>
      </c>
      <c r="L1151" t="s">
        <v>399</v>
      </c>
      <c r="M1151" t="s">
        <v>400</v>
      </c>
      <c r="O1151" t="s">
        <v>401</v>
      </c>
      <c r="P1151" t="s">
        <v>402</v>
      </c>
      <c r="Q1151" t="s">
        <v>396</v>
      </c>
      <c r="R1151">
        <v>2069147</v>
      </c>
      <c r="S1151" t="s">
        <v>399</v>
      </c>
      <c r="U1151" t="s">
        <v>1761</v>
      </c>
      <c r="V1151" t="s">
        <v>398</v>
      </c>
      <c r="W1151" s="393">
        <v>3000000</v>
      </c>
      <c r="X1151" s="393">
        <v>751.83</v>
      </c>
      <c r="Y1151" s="393">
        <v>6780.39</v>
      </c>
      <c r="Z1151" s="393">
        <v>3000000</v>
      </c>
      <c r="AA1151">
        <v>0</v>
      </c>
      <c r="AB1151" s="400">
        <v>44551.904961608794</v>
      </c>
      <c r="AC1151" t="s">
        <v>439</v>
      </c>
    </row>
    <row r="1152" spans="1:29">
      <c r="A1152" t="s">
        <v>382</v>
      </c>
      <c r="B1152" t="s">
        <v>440</v>
      </c>
      <c r="C1152" t="s">
        <v>388</v>
      </c>
      <c r="D1152" t="s">
        <v>389</v>
      </c>
      <c r="E1152" t="s">
        <v>390</v>
      </c>
      <c r="F1152" t="s">
        <v>391</v>
      </c>
      <c r="G1152">
        <v>6103328</v>
      </c>
      <c r="H1152">
        <v>202112</v>
      </c>
      <c r="I1152" s="400">
        <v>44551</v>
      </c>
      <c r="J1152">
        <v>119010</v>
      </c>
      <c r="K1152" t="s">
        <v>386</v>
      </c>
      <c r="L1152" t="s">
        <v>399</v>
      </c>
      <c r="M1152" t="s">
        <v>400</v>
      </c>
      <c r="O1152" t="s">
        <v>401</v>
      </c>
      <c r="P1152" t="s">
        <v>402</v>
      </c>
      <c r="Q1152" t="s">
        <v>396</v>
      </c>
      <c r="R1152">
        <v>2069147</v>
      </c>
      <c r="S1152" t="s">
        <v>399</v>
      </c>
      <c r="U1152" t="s">
        <v>1762</v>
      </c>
      <c r="V1152" t="s">
        <v>398</v>
      </c>
      <c r="W1152" s="393">
        <v>3000000</v>
      </c>
      <c r="X1152" s="393">
        <v>751.83</v>
      </c>
      <c r="Y1152" s="393">
        <v>6780.39</v>
      </c>
      <c r="Z1152" s="393">
        <v>3000000</v>
      </c>
      <c r="AA1152">
        <v>0</v>
      </c>
      <c r="AB1152" s="400">
        <v>44551.904961608794</v>
      </c>
      <c r="AC1152" t="s">
        <v>439</v>
      </c>
    </row>
    <row r="1153" spans="1:29">
      <c r="A1153" t="s">
        <v>382</v>
      </c>
      <c r="B1153" t="s">
        <v>440</v>
      </c>
      <c r="C1153" t="s">
        <v>388</v>
      </c>
      <c r="D1153" t="s">
        <v>389</v>
      </c>
      <c r="E1153" t="s">
        <v>390</v>
      </c>
      <c r="F1153" t="s">
        <v>391</v>
      </c>
      <c r="G1153">
        <v>6103328</v>
      </c>
      <c r="H1153">
        <v>202112</v>
      </c>
      <c r="I1153" s="400">
        <v>44551</v>
      </c>
      <c r="J1153">
        <v>119010</v>
      </c>
      <c r="K1153" t="s">
        <v>386</v>
      </c>
      <c r="L1153" t="s">
        <v>399</v>
      </c>
      <c r="M1153" t="s">
        <v>400</v>
      </c>
      <c r="O1153" t="s">
        <v>401</v>
      </c>
      <c r="P1153" t="s">
        <v>402</v>
      </c>
      <c r="Q1153" t="s">
        <v>396</v>
      </c>
      <c r="R1153">
        <v>2069147</v>
      </c>
      <c r="S1153" t="s">
        <v>399</v>
      </c>
      <c r="U1153" t="s">
        <v>1763</v>
      </c>
      <c r="V1153" t="s">
        <v>398</v>
      </c>
      <c r="W1153" s="393">
        <v>1500000</v>
      </c>
      <c r="X1153" s="393">
        <v>375.92</v>
      </c>
      <c r="Y1153" s="393">
        <v>3390.2</v>
      </c>
      <c r="Z1153" s="393">
        <v>1500000</v>
      </c>
      <c r="AA1153">
        <v>0</v>
      </c>
      <c r="AB1153" s="400">
        <v>44551.904961608794</v>
      </c>
      <c r="AC1153" t="s">
        <v>439</v>
      </c>
    </row>
    <row r="1154" spans="1:29">
      <c r="A1154" t="s">
        <v>382</v>
      </c>
      <c r="B1154" t="s">
        <v>440</v>
      </c>
      <c r="C1154" t="s">
        <v>388</v>
      </c>
      <c r="D1154" t="s">
        <v>389</v>
      </c>
      <c r="E1154" t="s">
        <v>390</v>
      </c>
      <c r="F1154" t="s">
        <v>391</v>
      </c>
      <c r="G1154">
        <v>6103328</v>
      </c>
      <c r="H1154">
        <v>202112</v>
      </c>
      <c r="I1154" s="400">
        <v>44551</v>
      </c>
      <c r="J1154">
        <v>119010</v>
      </c>
      <c r="K1154" t="s">
        <v>386</v>
      </c>
      <c r="L1154" t="s">
        <v>399</v>
      </c>
      <c r="M1154" t="s">
        <v>400</v>
      </c>
      <c r="O1154" t="s">
        <v>401</v>
      </c>
      <c r="P1154" t="s">
        <v>402</v>
      </c>
      <c r="Q1154" t="s">
        <v>396</v>
      </c>
      <c r="R1154">
        <v>2069147</v>
      </c>
      <c r="S1154" t="s">
        <v>399</v>
      </c>
      <c r="U1154" t="s">
        <v>1764</v>
      </c>
      <c r="V1154" t="s">
        <v>398</v>
      </c>
      <c r="W1154" s="393">
        <v>2000000</v>
      </c>
      <c r="X1154" s="393">
        <v>501.22</v>
      </c>
      <c r="Y1154" s="393">
        <v>4520.26</v>
      </c>
      <c r="Z1154" s="393">
        <v>2000000</v>
      </c>
      <c r="AA1154">
        <v>0</v>
      </c>
      <c r="AB1154" s="400">
        <v>44551.904961608794</v>
      </c>
      <c r="AC1154" t="s">
        <v>439</v>
      </c>
    </row>
    <row r="1155" spans="1:29">
      <c r="A1155" t="s">
        <v>382</v>
      </c>
      <c r="B1155" t="s">
        <v>440</v>
      </c>
      <c r="C1155" t="s">
        <v>388</v>
      </c>
      <c r="D1155" t="s">
        <v>389</v>
      </c>
      <c r="E1155" t="s">
        <v>390</v>
      </c>
      <c r="F1155" t="s">
        <v>391</v>
      </c>
      <c r="G1155">
        <v>6103328</v>
      </c>
      <c r="H1155">
        <v>202112</v>
      </c>
      <c r="I1155" s="400">
        <v>44551</v>
      </c>
      <c r="J1155">
        <v>119010</v>
      </c>
      <c r="K1155" t="s">
        <v>386</v>
      </c>
      <c r="L1155" t="s">
        <v>399</v>
      </c>
      <c r="M1155" t="s">
        <v>400</v>
      </c>
      <c r="O1155" t="s">
        <v>401</v>
      </c>
      <c r="P1155" t="s">
        <v>402</v>
      </c>
      <c r="Q1155" t="s">
        <v>396</v>
      </c>
      <c r="R1155">
        <v>2069147</v>
      </c>
      <c r="S1155" t="s">
        <v>399</v>
      </c>
      <c r="U1155" t="s">
        <v>1765</v>
      </c>
      <c r="V1155" t="s">
        <v>398</v>
      </c>
      <c r="W1155" s="393">
        <v>2500000</v>
      </c>
      <c r="X1155" s="393">
        <v>626.53</v>
      </c>
      <c r="Y1155" s="393">
        <v>5650.33</v>
      </c>
      <c r="Z1155" s="393">
        <v>2500000</v>
      </c>
      <c r="AA1155">
        <v>0</v>
      </c>
      <c r="AB1155" s="400">
        <v>44551.904961608794</v>
      </c>
      <c r="AC1155" t="s">
        <v>439</v>
      </c>
    </row>
    <row r="1156" spans="1:29">
      <c r="A1156" t="s">
        <v>382</v>
      </c>
      <c r="B1156" t="s">
        <v>440</v>
      </c>
      <c r="C1156" t="s">
        <v>388</v>
      </c>
      <c r="D1156" t="s">
        <v>389</v>
      </c>
      <c r="E1156" t="s">
        <v>390</v>
      </c>
      <c r="F1156" t="s">
        <v>391</v>
      </c>
      <c r="G1156">
        <v>6103328</v>
      </c>
      <c r="H1156">
        <v>202112</v>
      </c>
      <c r="I1156" s="400">
        <v>44551</v>
      </c>
      <c r="J1156">
        <v>119010</v>
      </c>
      <c r="K1156" t="s">
        <v>386</v>
      </c>
      <c r="L1156" t="s">
        <v>399</v>
      </c>
      <c r="M1156" t="s">
        <v>400</v>
      </c>
      <c r="O1156" t="s">
        <v>401</v>
      </c>
      <c r="P1156" t="s">
        <v>402</v>
      </c>
      <c r="Q1156" t="s">
        <v>396</v>
      </c>
      <c r="R1156">
        <v>2069147</v>
      </c>
      <c r="S1156" t="s">
        <v>399</v>
      </c>
      <c r="U1156" t="s">
        <v>1766</v>
      </c>
      <c r="V1156" t="s">
        <v>398</v>
      </c>
      <c r="W1156" s="393">
        <v>3000000</v>
      </c>
      <c r="X1156" s="393">
        <v>751.83</v>
      </c>
      <c r="Y1156" s="393">
        <v>6780.39</v>
      </c>
      <c r="Z1156" s="393">
        <v>3000000</v>
      </c>
      <c r="AA1156">
        <v>0</v>
      </c>
      <c r="AB1156" s="400">
        <v>44551.904961608794</v>
      </c>
      <c r="AC1156" t="s">
        <v>439</v>
      </c>
    </row>
    <row r="1157" spans="1:29">
      <c r="A1157" t="s">
        <v>382</v>
      </c>
      <c r="B1157" t="s">
        <v>382</v>
      </c>
      <c r="C1157" t="s">
        <v>388</v>
      </c>
      <c r="D1157" t="s">
        <v>389</v>
      </c>
      <c r="E1157" t="s">
        <v>390</v>
      </c>
      <c r="F1157" t="s">
        <v>391</v>
      </c>
      <c r="G1157">
        <v>6103362</v>
      </c>
      <c r="H1157">
        <v>202112</v>
      </c>
      <c r="I1157" s="400">
        <v>44552</v>
      </c>
      <c r="J1157">
        <v>119010</v>
      </c>
      <c r="K1157" t="s">
        <v>386</v>
      </c>
      <c r="L1157" t="s">
        <v>399</v>
      </c>
      <c r="M1157" t="s">
        <v>400</v>
      </c>
      <c r="O1157" t="s">
        <v>401</v>
      </c>
      <c r="P1157" t="s">
        <v>402</v>
      </c>
      <c r="Q1157" t="s">
        <v>396</v>
      </c>
      <c r="R1157">
        <v>2069147</v>
      </c>
      <c r="S1157" t="s">
        <v>403</v>
      </c>
      <c r="U1157" t="s">
        <v>1767</v>
      </c>
      <c r="V1157" t="s">
        <v>398</v>
      </c>
      <c r="W1157" s="393">
        <v>-29000000</v>
      </c>
      <c r="X1157" s="393">
        <v>-8091</v>
      </c>
      <c r="Y1157" s="393">
        <v>-68527</v>
      </c>
      <c r="Z1157" s="393">
        <v>-29000000</v>
      </c>
      <c r="AA1157">
        <v>0</v>
      </c>
      <c r="AB1157" s="400">
        <v>44552.753291435183</v>
      </c>
      <c r="AC1157" t="s">
        <v>439</v>
      </c>
    </row>
    <row r="1158" spans="1:29">
      <c r="A1158" t="s">
        <v>382</v>
      </c>
      <c r="B1158" t="s">
        <v>382</v>
      </c>
      <c r="C1158" t="s">
        <v>388</v>
      </c>
      <c r="D1158" t="s">
        <v>389</v>
      </c>
      <c r="E1158" t="s">
        <v>390</v>
      </c>
      <c r="F1158" t="s">
        <v>391</v>
      </c>
      <c r="G1158">
        <v>6103362</v>
      </c>
      <c r="H1158">
        <v>202112</v>
      </c>
      <c r="I1158" s="400">
        <v>44552</v>
      </c>
      <c r="J1158">
        <v>119010</v>
      </c>
      <c r="K1158" t="s">
        <v>386</v>
      </c>
      <c r="L1158" t="s">
        <v>399</v>
      </c>
      <c r="M1158" t="s">
        <v>400</v>
      </c>
      <c r="O1158" t="s">
        <v>401</v>
      </c>
      <c r="P1158" t="s">
        <v>402</v>
      </c>
      <c r="Q1158" t="s">
        <v>396</v>
      </c>
      <c r="R1158">
        <v>2069147</v>
      </c>
      <c r="S1158" t="s">
        <v>403</v>
      </c>
      <c r="U1158" t="s">
        <v>1768</v>
      </c>
      <c r="V1158" t="s">
        <v>398</v>
      </c>
      <c r="W1158" s="393">
        <v>11000000</v>
      </c>
      <c r="X1158" s="393">
        <v>3069</v>
      </c>
      <c r="Y1158" s="393">
        <v>25993</v>
      </c>
      <c r="Z1158" s="393">
        <v>11000000</v>
      </c>
      <c r="AA1158">
        <v>0</v>
      </c>
      <c r="AB1158" s="400">
        <v>44552.753291435183</v>
      </c>
      <c r="AC1158" t="s">
        <v>439</v>
      </c>
    </row>
    <row r="1159" spans="1:29">
      <c r="A1159" t="s">
        <v>382</v>
      </c>
      <c r="B1159" t="s">
        <v>382</v>
      </c>
      <c r="C1159" t="s">
        <v>388</v>
      </c>
      <c r="D1159" t="s">
        <v>389</v>
      </c>
      <c r="E1159" t="s">
        <v>390</v>
      </c>
      <c r="F1159" t="s">
        <v>391</v>
      </c>
      <c r="G1159">
        <v>6103362</v>
      </c>
      <c r="H1159">
        <v>202112</v>
      </c>
      <c r="I1159" s="400">
        <v>44552</v>
      </c>
      <c r="J1159">
        <v>119010</v>
      </c>
      <c r="K1159" t="s">
        <v>386</v>
      </c>
      <c r="L1159" t="s">
        <v>399</v>
      </c>
      <c r="M1159" t="s">
        <v>400</v>
      </c>
      <c r="O1159" t="s">
        <v>401</v>
      </c>
      <c r="P1159" t="s">
        <v>402</v>
      </c>
      <c r="Q1159" t="s">
        <v>396</v>
      </c>
      <c r="R1159">
        <v>2069147</v>
      </c>
      <c r="S1159" t="s">
        <v>403</v>
      </c>
      <c r="U1159" t="s">
        <v>1769</v>
      </c>
      <c r="V1159" t="s">
        <v>398</v>
      </c>
      <c r="W1159" s="393">
        <v>3000000</v>
      </c>
      <c r="X1159" s="393">
        <v>837</v>
      </c>
      <c r="Y1159" s="393">
        <v>7089</v>
      </c>
      <c r="Z1159" s="393">
        <v>3000000</v>
      </c>
      <c r="AA1159">
        <v>0</v>
      </c>
      <c r="AB1159" s="400">
        <v>44552.753291435183</v>
      </c>
      <c r="AC1159" t="s">
        <v>439</v>
      </c>
    </row>
    <row r="1160" spans="1:29">
      <c r="A1160" t="s">
        <v>382</v>
      </c>
      <c r="B1160" t="s">
        <v>382</v>
      </c>
      <c r="C1160" t="s">
        <v>388</v>
      </c>
      <c r="D1160" t="s">
        <v>389</v>
      </c>
      <c r="E1160" t="s">
        <v>390</v>
      </c>
      <c r="F1160" t="s">
        <v>391</v>
      </c>
      <c r="G1160">
        <v>6103362</v>
      </c>
      <c r="H1160">
        <v>202112</v>
      </c>
      <c r="I1160" s="400">
        <v>44552</v>
      </c>
      <c r="J1160">
        <v>119010</v>
      </c>
      <c r="K1160" t="s">
        <v>386</v>
      </c>
      <c r="L1160" t="s">
        <v>399</v>
      </c>
      <c r="M1160" t="s">
        <v>400</v>
      </c>
      <c r="O1160" t="s">
        <v>401</v>
      </c>
      <c r="P1160" t="s">
        <v>402</v>
      </c>
      <c r="Q1160" t="s">
        <v>396</v>
      </c>
      <c r="R1160">
        <v>2069147</v>
      </c>
      <c r="S1160" t="s">
        <v>403</v>
      </c>
      <c r="U1160" t="s">
        <v>1770</v>
      </c>
      <c r="V1160" t="s">
        <v>398</v>
      </c>
      <c r="W1160" s="393">
        <v>4000000</v>
      </c>
      <c r="X1160" s="393">
        <v>1116</v>
      </c>
      <c r="Y1160" s="393">
        <v>9452</v>
      </c>
      <c r="Z1160" s="393">
        <v>4000000</v>
      </c>
      <c r="AA1160">
        <v>0</v>
      </c>
      <c r="AB1160" s="400">
        <v>44552.753291435183</v>
      </c>
      <c r="AC1160" t="s">
        <v>439</v>
      </c>
    </row>
    <row r="1161" spans="1:29">
      <c r="A1161" t="s">
        <v>382</v>
      </c>
      <c r="B1161" t="s">
        <v>440</v>
      </c>
      <c r="C1161" t="s">
        <v>409</v>
      </c>
      <c r="D1161" t="s">
        <v>410</v>
      </c>
      <c r="E1161" t="s">
        <v>390</v>
      </c>
      <c r="F1161" t="s">
        <v>391</v>
      </c>
      <c r="G1161">
        <v>6103125</v>
      </c>
      <c r="H1161">
        <v>202111</v>
      </c>
      <c r="I1161" s="400">
        <v>44530</v>
      </c>
      <c r="J1161">
        <v>119010</v>
      </c>
      <c r="K1161" t="s">
        <v>386</v>
      </c>
      <c r="L1161" t="s">
        <v>392</v>
      </c>
      <c r="M1161" t="s">
        <v>393</v>
      </c>
      <c r="O1161" t="s">
        <v>394</v>
      </c>
      <c r="P1161" t="s">
        <v>395</v>
      </c>
      <c r="Q1161" t="s">
        <v>396</v>
      </c>
      <c r="R1161">
        <v>2069144</v>
      </c>
      <c r="S1161" t="s">
        <v>392</v>
      </c>
      <c r="U1161" t="s">
        <v>1771</v>
      </c>
      <c r="V1161" t="s">
        <v>398</v>
      </c>
      <c r="W1161" s="393">
        <v>25441427.370000001</v>
      </c>
      <c r="X1161" s="393">
        <v>6409.2</v>
      </c>
      <c r="Y1161" s="393">
        <v>55419.82</v>
      </c>
      <c r="Z1161" s="393">
        <v>25441427.370000001</v>
      </c>
      <c r="AA1161">
        <v>0</v>
      </c>
      <c r="AB1161" s="400">
        <v>44533.671625613424</v>
      </c>
      <c r="AC1161" t="s">
        <v>437</v>
      </c>
    </row>
    <row r="1162" spans="1:29">
      <c r="A1162" t="s">
        <v>382</v>
      </c>
      <c r="B1162" t="s">
        <v>382</v>
      </c>
      <c r="C1162" t="s">
        <v>409</v>
      </c>
      <c r="D1162" t="s">
        <v>410</v>
      </c>
      <c r="E1162" t="s">
        <v>390</v>
      </c>
      <c r="F1162" t="s">
        <v>391</v>
      </c>
      <c r="G1162">
        <v>6103132</v>
      </c>
      <c r="H1162">
        <v>202111</v>
      </c>
      <c r="I1162" s="400">
        <v>44530</v>
      </c>
      <c r="J1162">
        <v>119010</v>
      </c>
      <c r="K1162" t="s">
        <v>386</v>
      </c>
      <c r="L1162" t="s">
        <v>392</v>
      </c>
      <c r="M1162" t="s">
        <v>393</v>
      </c>
      <c r="O1162" t="s">
        <v>394</v>
      </c>
      <c r="P1162" t="s">
        <v>395</v>
      </c>
      <c r="Q1162" t="s">
        <v>396</v>
      </c>
      <c r="R1162">
        <v>2069144</v>
      </c>
      <c r="S1162" t="s">
        <v>387</v>
      </c>
      <c r="U1162" t="s">
        <v>1772</v>
      </c>
      <c r="V1162" t="s">
        <v>398</v>
      </c>
      <c r="W1162" s="393">
        <v>0.49</v>
      </c>
      <c r="X1162" s="393">
        <v>0</v>
      </c>
      <c r="Y1162" s="393">
        <v>0</v>
      </c>
      <c r="Z1162" s="393">
        <v>0.49</v>
      </c>
      <c r="AA1162">
        <v>0</v>
      </c>
      <c r="AB1162" s="400">
        <v>44536.765626122688</v>
      </c>
      <c r="AC1162" t="s">
        <v>437</v>
      </c>
    </row>
    <row r="1163" spans="1:29">
      <c r="A1163" t="s">
        <v>382</v>
      </c>
      <c r="B1163" t="s">
        <v>382</v>
      </c>
      <c r="C1163" t="s">
        <v>409</v>
      </c>
      <c r="D1163" t="s">
        <v>410</v>
      </c>
      <c r="E1163" t="s">
        <v>390</v>
      </c>
      <c r="F1163" t="s">
        <v>391</v>
      </c>
      <c r="G1163">
        <v>6102961</v>
      </c>
      <c r="H1163">
        <v>202111</v>
      </c>
      <c r="I1163" s="400">
        <v>44519</v>
      </c>
      <c r="J1163">
        <v>119010</v>
      </c>
      <c r="K1163" t="s">
        <v>386</v>
      </c>
      <c r="L1163" t="s">
        <v>399</v>
      </c>
      <c r="M1163" t="s">
        <v>400</v>
      </c>
      <c r="O1163" t="s">
        <v>401</v>
      </c>
      <c r="P1163" t="s">
        <v>402</v>
      </c>
      <c r="Q1163" t="s">
        <v>396</v>
      </c>
      <c r="R1163">
        <v>2069143</v>
      </c>
      <c r="S1163" t="s">
        <v>399</v>
      </c>
      <c r="U1163" t="s">
        <v>1773</v>
      </c>
      <c r="V1163" t="s">
        <v>398</v>
      </c>
      <c r="W1163" s="393">
        <v>2593835.36</v>
      </c>
      <c r="X1163" s="393">
        <v>663.74</v>
      </c>
      <c r="Y1163" s="393">
        <v>5691.73</v>
      </c>
      <c r="Z1163" s="393">
        <v>2593835.36</v>
      </c>
      <c r="AA1163">
        <v>0</v>
      </c>
      <c r="AB1163" s="400">
        <v>44529.764076307867</v>
      </c>
      <c r="AC1163" t="s">
        <v>439</v>
      </c>
    </row>
    <row r="1164" spans="1:29">
      <c r="A1164" t="s">
        <v>382</v>
      </c>
      <c r="B1164" t="s">
        <v>382</v>
      </c>
      <c r="C1164" t="s">
        <v>409</v>
      </c>
      <c r="D1164" t="s">
        <v>410</v>
      </c>
      <c r="E1164" t="s">
        <v>390</v>
      </c>
      <c r="F1164" t="s">
        <v>391</v>
      </c>
      <c r="G1164">
        <v>6103533</v>
      </c>
      <c r="H1164">
        <v>202112</v>
      </c>
      <c r="I1164" s="400">
        <v>44561</v>
      </c>
      <c r="J1164">
        <v>119010</v>
      </c>
      <c r="K1164" t="s">
        <v>386</v>
      </c>
      <c r="L1164" t="s">
        <v>392</v>
      </c>
      <c r="M1164" t="s">
        <v>393</v>
      </c>
      <c r="O1164" t="s">
        <v>394</v>
      </c>
      <c r="P1164" t="s">
        <v>395</v>
      </c>
      <c r="Q1164" t="s">
        <v>396</v>
      </c>
      <c r="R1164">
        <v>2069144</v>
      </c>
      <c r="S1164" t="s">
        <v>430</v>
      </c>
      <c r="U1164" t="s">
        <v>1774</v>
      </c>
      <c r="V1164" t="s">
        <v>398</v>
      </c>
      <c r="W1164" s="393">
        <v>-371558</v>
      </c>
      <c r="X1164" s="393">
        <v>-96</v>
      </c>
      <c r="Y1164" s="393">
        <v>-837</v>
      </c>
      <c r="Z1164" s="393">
        <v>-371558</v>
      </c>
      <c r="AA1164">
        <v>0</v>
      </c>
      <c r="AB1164" s="400">
        <v>44576.042806793979</v>
      </c>
      <c r="AC1164" t="s">
        <v>437</v>
      </c>
    </row>
    <row r="1165" spans="1:29">
      <c r="A1165" t="s">
        <v>382</v>
      </c>
      <c r="B1165" t="s">
        <v>440</v>
      </c>
      <c r="C1165" t="s">
        <v>409</v>
      </c>
      <c r="D1165" t="s">
        <v>410</v>
      </c>
      <c r="E1165" t="s">
        <v>390</v>
      </c>
      <c r="F1165" t="s">
        <v>391</v>
      </c>
      <c r="G1165">
        <v>6103532</v>
      </c>
      <c r="H1165">
        <v>202112</v>
      </c>
      <c r="I1165" s="400">
        <v>44561</v>
      </c>
      <c r="J1165">
        <v>119010</v>
      </c>
      <c r="K1165" t="s">
        <v>386</v>
      </c>
      <c r="L1165" t="s">
        <v>392</v>
      </c>
      <c r="M1165" t="s">
        <v>393</v>
      </c>
      <c r="O1165" t="s">
        <v>394</v>
      </c>
      <c r="P1165" t="s">
        <v>395</v>
      </c>
      <c r="Q1165" t="s">
        <v>396</v>
      </c>
      <c r="R1165">
        <v>2069144</v>
      </c>
      <c r="S1165" t="s">
        <v>430</v>
      </c>
      <c r="U1165" t="s">
        <v>1775</v>
      </c>
      <c r="V1165" t="s">
        <v>398</v>
      </c>
      <c r="W1165" s="393">
        <v>-5220</v>
      </c>
      <c r="X1165" s="393">
        <v>-1.44</v>
      </c>
      <c r="Y1165" s="393">
        <v>-11.89</v>
      </c>
      <c r="Z1165" s="393">
        <v>-5220</v>
      </c>
      <c r="AA1165">
        <v>0</v>
      </c>
      <c r="AB1165" s="400">
        <v>44576.041299803241</v>
      </c>
      <c r="AC1165" t="s">
        <v>437</v>
      </c>
    </row>
    <row r="1166" spans="1:29">
      <c r="A1166" t="s">
        <v>382</v>
      </c>
      <c r="B1166" t="s">
        <v>440</v>
      </c>
      <c r="C1166" t="s">
        <v>409</v>
      </c>
      <c r="D1166" t="s">
        <v>410</v>
      </c>
      <c r="E1166" t="s">
        <v>390</v>
      </c>
      <c r="F1166" t="s">
        <v>391</v>
      </c>
      <c r="G1166">
        <v>6103532</v>
      </c>
      <c r="H1166">
        <v>202112</v>
      </c>
      <c r="I1166" s="400">
        <v>44561</v>
      </c>
      <c r="J1166">
        <v>119010</v>
      </c>
      <c r="K1166" t="s">
        <v>386</v>
      </c>
      <c r="L1166" t="s">
        <v>392</v>
      </c>
      <c r="M1166" t="s">
        <v>393</v>
      </c>
      <c r="O1166" t="s">
        <v>394</v>
      </c>
      <c r="P1166" t="s">
        <v>395</v>
      </c>
      <c r="Q1166" t="s">
        <v>396</v>
      </c>
      <c r="R1166">
        <v>2069144</v>
      </c>
      <c r="S1166" t="s">
        <v>430</v>
      </c>
      <c r="U1166" t="s">
        <v>1776</v>
      </c>
      <c r="V1166" t="s">
        <v>398</v>
      </c>
      <c r="W1166" s="393">
        <v>5220</v>
      </c>
      <c r="X1166" s="393">
        <v>1.46</v>
      </c>
      <c r="Y1166" s="393">
        <v>12.29</v>
      </c>
      <c r="Z1166" s="393">
        <v>5220</v>
      </c>
      <c r="AA1166">
        <v>0</v>
      </c>
      <c r="AB1166" s="400">
        <v>44576.041299803241</v>
      </c>
      <c r="AC1166" t="s">
        <v>437</v>
      </c>
    </row>
    <row r="1167" spans="1:29">
      <c r="A1167" t="s">
        <v>382</v>
      </c>
      <c r="B1167" t="s">
        <v>440</v>
      </c>
      <c r="C1167" t="s">
        <v>409</v>
      </c>
      <c r="D1167" t="s">
        <v>410</v>
      </c>
      <c r="E1167" t="s">
        <v>390</v>
      </c>
      <c r="F1167" t="s">
        <v>391</v>
      </c>
      <c r="G1167">
        <v>6103538</v>
      </c>
      <c r="H1167">
        <v>202112</v>
      </c>
      <c r="I1167" s="400">
        <v>44561</v>
      </c>
      <c r="J1167">
        <v>119010</v>
      </c>
      <c r="K1167" t="s">
        <v>386</v>
      </c>
      <c r="L1167" t="s">
        <v>392</v>
      </c>
      <c r="M1167" t="s">
        <v>393</v>
      </c>
      <c r="O1167" t="s">
        <v>394</v>
      </c>
      <c r="P1167" t="s">
        <v>395</v>
      </c>
      <c r="Q1167" t="s">
        <v>396</v>
      </c>
      <c r="R1167">
        <v>2069144</v>
      </c>
      <c r="S1167" t="s">
        <v>430</v>
      </c>
      <c r="U1167" t="s">
        <v>1777</v>
      </c>
      <c r="V1167" t="s">
        <v>398</v>
      </c>
      <c r="W1167" s="393">
        <v>2222797</v>
      </c>
      <c r="X1167" s="393">
        <v>620.16</v>
      </c>
      <c r="Y1167" s="393">
        <v>5234.6899999999996</v>
      </c>
      <c r="Z1167" s="393">
        <v>2222797</v>
      </c>
      <c r="AA1167">
        <v>0</v>
      </c>
      <c r="AB1167" s="400">
        <v>44580.042569675927</v>
      </c>
      <c r="AC1167" t="s">
        <v>437</v>
      </c>
    </row>
    <row r="1168" spans="1:29">
      <c r="A1168" t="s">
        <v>382</v>
      </c>
      <c r="B1168" t="s">
        <v>440</v>
      </c>
      <c r="C1168" t="s">
        <v>409</v>
      </c>
      <c r="D1168" t="s">
        <v>410</v>
      </c>
      <c r="E1168" t="s">
        <v>390</v>
      </c>
      <c r="F1168" t="s">
        <v>391</v>
      </c>
      <c r="G1168">
        <v>6103538</v>
      </c>
      <c r="H1168">
        <v>202112</v>
      </c>
      <c r="I1168" s="400">
        <v>44561</v>
      </c>
      <c r="J1168">
        <v>119010</v>
      </c>
      <c r="K1168" t="s">
        <v>386</v>
      </c>
      <c r="L1168" t="s">
        <v>392</v>
      </c>
      <c r="M1168" t="s">
        <v>393</v>
      </c>
      <c r="O1168" t="s">
        <v>394</v>
      </c>
      <c r="P1168" t="s">
        <v>395</v>
      </c>
      <c r="Q1168" t="s">
        <v>396</v>
      </c>
      <c r="R1168">
        <v>2069144</v>
      </c>
      <c r="S1168" t="s">
        <v>430</v>
      </c>
      <c r="U1168" t="s">
        <v>1778</v>
      </c>
      <c r="V1168" t="s">
        <v>398</v>
      </c>
      <c r="W1168" s="393">
        <v>2500000</v>
      </c>
      <c r="X1168" s="393">
        <v>697.5</v>
      </c>
      <c r="Y1168" s="393">
        <v>5887.5</v>
      </c>
      <c r="Z1168" s="393">
        <v>2500000</v>
      </c>
      <c r="AA1168">
        <v>0</v>
      </c>
      <c r="AB1168" s="400">
        <v>44580.042569675927</v>
      </c>
      <c r="AC1168" t="s">
        <v>437</v>
      </c>
    </row>
    <row r="1169" spans="1:29">
      <c r="A1169" t="s">
        <v>382</v>
      </c>
      <c r="B1169" t="s">
        <v>440</v>
      </c>
      <c r="C1169" t="s">
        <v>409</v>
      </c>
      <c r="D1169" t="s">
        <v>410</v>
      </c>
      <c r="E1169" t="s">
        <v>390</v>
      </c>
      <c r="F1169" t="s">
        <v>391</v>
      </c>
      <c r="G1169">
        <v>6103538</v>
      </c>
      <c r="H1169">
        <v>202112</v>
      </c>
      <c r="I1169" s="400">
        <v>44561</v>
      </c>
      <c r="J1169">
        <v>119010</v>
      </c>
      <c r="K1169" t="s">
        <v>386</v>
      </c>
      <c r="L1169" t="s">
        <v>392</v>
      </c>
      <c r="M1169" t="s">
        <v>393</v>
      </c>
      <c r="O1169" t="s">
        <v>394</v>
      </c>
      <c r="P1169" t="s">
        <v>395</v>
      </c>
      <c r="Q1169" t="s">
        <v>396</v>
      </c>
      <c r="R1169">
        <v>2069144</v>
      </c>
      <c r="S1169" t="s">
        <v>430</v>
      </c>
      <c r="U1169" t="s">
        <v>1779</v>
      </c>
      <c r="V1169" t="s">
        <v>398</v>
      </c>
      <c r="W1169" s="393">
        <v>110710</v>
      </c>
      <c r="X1169" s="393">
        <v>30.89</v>
      </c>
      <c r="Y1169" s="393">
        <v>260.72000000000003</v>
      </c>
      <c r="Z1169" s="393">
        <v>110710</v>
      </c>
      <c r="AA1169">
        <v>0</v>
      </c>
      <c r="AB1169" s="400">
        <v>44580.042569675927</v>
      </c>
      <c r="AC1169" t="s">
        <v>437</v>
      </c>
    </row>
    <row r="1170" spans="1:29">
      <c r="A1170" t="s">
        <v>382</v>
      </c>
      <c r="B1170" t="s">
        <v>440</v>
      </c>
      <c r="C1170" t="s">
        <v>409</v>
      </c>
      <c r="D1170" t="s">
        <v>410</v>
      </c>
      <c r="E1170" t="s">
        <v>390</v>
      </c>
      <c r="F1170" t="s">
        <v>391</v>
      </c>
      <c r="G1170">
        <v>6103538</v>
      </c>
      <c r="H1170">
        <v>202112</v>
      </c>
      <c r="I1170" s="400">
        <v>44561</v>
      </c>
      <c r="J1170">
        <v>119010</v>
      </c>
      <c r="K1170" t="s">
        <v>386</v>
      </c>
      <c r="L1170" t="s">
        <v>392</v>
      </c>
      <c r="M1170" t="s">
        <v>393</v>
      </c>
      <c r="O1170" t="s">
        <v>394</v>
      </c>
      <c r="P1170" t="s">
        <v>395</v>
      </c>
      <c r="Q1170" t="s">
        <v>396</v>
      </c>
      <c r="R1170">
        <v>2069144</v>
      </c>
      <c r="S1170" t="s">
        <v>430</v>
      </c>
      <c r="U1170" t="s">
        <v>1780</v>
      </c>
      <c r="V1170" t="s">
        <v>398</v>
      </c>
      <c r="W1170" s="393">
        <v>16635938</v>
      </c>
      <c r="X1170" s="393">
        <v>4641.43</v>
      </c>
      <c r="Y1170" s="393">
        <v>39177.629999999997</v>
      </c>
      <c r="Z1170" s="393">
        <v>16635938</v>
      </c>
      <c r="AA1170">
        <v>0</v>
      </c>
      <c r="AB1170" s="400">
        <v>44580.042569675927</v>
      </c>
      <c r="AC1170" t="s">
        <v>437</v>
      </c>
    </row>
    <row r="1171" spans="1:29">
      <c r="A1171" t="s">
        <v>382</v>
      </c>
      <c r="B1171" t="s">
        <v>440</v>
      </c>
      <c r="C1171" t="s">
        <v>409</v>
      </c>
      <c r="D1171" t="s">
        <v>410</v>
      </c>
      <c r="E1171" t="s">
        <v>390</v>
      </c>
      <c r="F1171" t="s">
        <v>391</v>
      </c>
      <c r="G1171">
        <v>6103538</v>
      </c>
      <c r="H1171">
        <v>202112</v>
      </c>
      <c r="I1171" s="400">
        <v>44561</v>
      </c>
      <c r="J1171">
        <v>119010</v>
      </c>
      <c r="K1171" t="s">
        <v>386</v>
      </c>
      <c r="L1171" t="s">
        <v>392</v>
      </c>
      <c r="M1171" t="s">
        <v>393</v>
      </c>
      <c r="O1171" t="s">
        <v>394</v>
      </c>
      <c r="P1171" t="s">
        <v>395</v>
      </c>
      <c r="Q1171" t="s">
        <v>396</v>
      </c>
      <c r="R1171">
        <v>2069144</v>
      </c>
      <c r="S1171" t="s">
        <v>430</v>
      </c>
      <c r="U1171" t="s">
        <v>1781</v>
      </c>
      <c r="V1171" t="s">
        <v>398</v>
      </c>
      <c r="W1171" s="393">
        <v>1170000</v>
      </c>
      <c r="X1171" s="393">
        <v>326.43</v>
      </c>
      <c r="Y1171" s="393">
        <v>2755.35</v>
      </c>
      <c r="Z1171" s="393">
        <v>1170000</v>
      </c>
      <c r="AA1171">
        <v>0</v>
      </c>
      <c r="AB1171" s="400">
        <v>44580.042569675927</v>
      </c>
      <c r="AC1171" t="s">
        <v>437</v>
      </c>
    </row>
    <row r="1172" spans="1:29">
      <c r="A1172" t="s">
        <v>382</v>
      </c>
      <c r="B1172" t="s">
        <v>440</v>
      </c>
      <c r="C1172" t="s">
        <v>409</v>
      </c>
      <c r="D1172" t="s">
        <v>410</v>
      </c>
      <c r="E1172" t="s">
        <v>390</v>
      </c>
      <c r="F1172" t="s">
        <v>391</v>
      </c>
      <c r="G1172">
        <v>6103538</v>
      </c>
      <c r="H1172">
        <v>202112</v>
      </c>
      <c r="I1172" s="400">
        <v>44561</v>
      </c>
      <c r="J1172">
        <v>119010</v>
      </c>
      <c r="K1172" t="s">
        <v>386</v>
      </c>
      <c r="L1172" t="s">
        <v>392</v>
      </c>
      <c r="M1172" t="s">
        <v>393</v>
      </c>
      <c r="O1172" t="s">
        <v>394</v>
      </c>
      <c r="P1172" t="s">
        <v>395</v>
      </c>
      <c r="Q1172" t="s">
        <v>396</v>
      </c>
      <c r="R1172">
        <v>2069144</v>
      </c>
      <c r="S1172" t="s">
        <v>430</v>
      </c>
      <c r="U1172" t="s">
        <v>1782</v>
      </c>
      <c r="V1172" t="s">
        <v>398</v>
      </c>
      <c r="W1172" s="393">
        <v>1304062</v>
      </c>
      <c r="X1172" s="393">
        <v>363.83</v>
      </c>
      <c r="Y1172" s="393">
        <v>3071.07</v>
      </c>
      <c r="Z1172" s="393">
        <v>1304062</v>
      </c>
      <c r="AA1172">
        <v>0</v>
      </c>
      <c r="AB1172" s="400">
        <v>44580.042569675927</v>
      </c>
      <c r="AC1172" t="s">
        <v>437</v>
      </c>
    </row>
    <row r="1173" spans="1:29">
      <c r="A1173" t="s">
        <v>382</v>
      </c>
      <c r="B1173" t="s">
        <v>440</v>
      </c>
      <c r="C1173" t="s">
        <v>409</v>
      </c>
      <c r="D1173" t="s">
        <v>410</v>
      </c>
      <c r="E1173" t="s">
        <v>390</v>
      </c>
      <c r="F1173" t="s">
        <v>391</v>
      </c>
      <c r="G1173">
        <v>6103538</v>
      </c>
      <c r="H1173">
        <v>202112</v>
      </c>
      <c r="I1173" s="400">
        <v>44561</v>
      </c>
      <c r="J1173">
        <v>119010</v>
      </c>
      <c r="K1173" t="s">
        <v>386</v>
      </c>
      <c r="L1173" t="s">
        <v>392</v>
      </c>
      <c r="M1173" t="s">
        <v>393</v>
      </c>
      <c r="O1173" t="s">
        <v>394</v>
      </c>
      <c r="P1173" t="s">
        <v>395</v>
      </c>
      <c r="Q1173" t="s">
        <v>396</v>
      </c>
      <c r="R1173">
        <v>2069144</v>
      </c>
      <c r="S1173" t="s">
        <v>430</v>
      </c>
      <c r="U1173" t="s">
        <v>1783</v>
      </c>
      <c r="V1173" t="s">
        <v>398</v>
      </c>
      <c r="W1173" s="393">
        <v>1228906</v>
      </c>
      <c r="X1173" s="393">
        <v>342.87</v>
      </c>
      <c r="Y1173" s="393">
        <v>2894.07</v>
      </c>
      <c r="Z1173" s="393">
        <v>1228906</v>
      </c>
      <c r="AA1173">
        <v>0</v>
      </c>
      <c r="AB1173" s="400">
        <v>44580.042569675927</v>
      </c>
      <c r="AC1173" t="s">
        <v>437</v>
      </c>
    </row>
    <row r="1174" spans="1:29">
      <c r="A1174" t="s">
        <v>382</v>
      </c>
      <c r="B1174" t="s">
        <v>440</v>
      </c>
      <c r="C1174" t="s">
        <v>409</v>
      </c>
      <c r="D1174" t="s">
        <v>410</v>
      </c>
      <c r="E1174" t="s">
        <v>390</v>
      </c>
      <c r="F1174" t="s">
        <v>391</v>
      </c>
      <c r="G1174">
        <v>6103538</v>
      </c>
      <c r="H1174">
        <v>202112</v>
      </c>
      <c r="I1174" s="400">
        <v>44561</v>
      </c>
      <c r="J1174">
        <v>119010</v>
      </c>
      <c r="K1174" t="s">
        <v>386</v>
      </c>
      <c r="L1174" t="s">
        <v>392</v>
      </c>
      <c r="M1174" t="s">
        <v>393</v>
      </c>
      <c r="O1174" t="s">
        <v>394</v>
      </c>
      <c r="P1174" t="s">
        <v>395</v>
      </c>
      <c r="Q1174" t="s">
        <v>396</v>
      </c>
      <c r="R1174">
        <v>2069144</v>
      </c>
      <c r="S1174" t="s">
        <v>430</v>
      </c>
      <c r="U1174" t="s">
        <v>1784</v>
      </c>
      <c r="V1174" t="s">
        <v>398</v>
      </c>
      <c r="W1174" s="393">
        <v>-25441427.370000001</v>
      </c>
      <c r="X1174" s="393">
        <v>-6409.2</v>
      </c>
      <c r="Y1174" s="393">
        <v>-55419.82</v>
      </c>
      <c r="Z1174" s="393">
        <v>-25441427.370000001</v>
      </c>
      <c r="AA1174">
        <v>0</v>
      </c>
      <c r="AB1174" s="400">
        <v>44580.042569675927</v>
      </c>
      <c r="AC1174" t="s">
        <v>437</v>
      </c>
    </row>
    <row r="1175" spans="1:29">
      <c r="A1175" t="s">
        <v>382</v>
      </c>
      <c r="B1175" t="s">
        <v>440</v>
      </c>
      <c r="C1175" t="s">
        <v>409</v>
      </c>
      <c r="D1175" t="s">
        <v>410</v>
      </c>
      <c r="E1175" t="s">
        <v>390</v>
      </c>
      <c r="F1175" t="s">
        <v>391</v>
      </c>
      <c r="G1175">
        <v>6103538</v>
      </c>
      <c r="H1175">
        <v>202112</v>
      </c>
      <c r="I1175" s="400">
        <v>44561</v>
      </c>
      <c r="J1175">
        <v>119010</v>
      </c>
      <c r="K1175" t="s">
        <v>386</v>
      </c>
      <c r="L1175" t="s">
        <v>392</v>
      </c>
      <c r="M1175" t="s">
        <v>393</v>
      </c>
      <c r="O1175" t="s">
        <v>394</v>
      </c>
      <c r="P1175" t="s">
        <v>395</v>
      </c>
      <c r="Q1175" t="s">
        <v>396</v>
      </c>
      <c r="R1175">
        <v>2069144</v>
      </c>
      <c r="S1175" t="s">
        <v>430</v>
      </c>
      <c r="U1175" t="s">
        <v>1785</v>
      </c>
      <c r="V1175" t="s">
        <v>398</v>
      </c>
      <c r="W1175" s="393">
        <v>269014.37</v>
      </c>
      <c r="X1175" s="393">
        <v>75.06</v>
      </c>
      <c r="Y1175" s="393">
        <v>633.53</v>
      </c>
      <c r="Z1175" s="393">
        <v>269014.37</v>
      </c>
      <c r="AA1175">
        <v>0</v>
      </c>
      <c r="AB1175" s="400">
        <v>44580.042569675927</v>
      </c>
      <c r="AC1175" t="s">
        <v>437</v>
      </c>
    </row>
    <row r="1176" spans="1:29">
      <c r="A1176" t="s">
        <v>382</v>
      </c>
      <c r="B1176" t="s">
        <v>440</v>
      </c>
      <c r="C1176" t="s">
        <v>409</v>
      </c>
      <c r="D1176" t="s">
        <v>410</v>
      </c>
      <c r="E1176" t="s">
        <v>390</v>
      </c>
      <c r="F1176" t="s">
        <v>391</v>
      </c>
      <c r="G1176">
        <v>6103539</v>
      </c>
      <c r="H1176">
        <v>202112</v>
      </c>
      <c r="I1176" s="400">
        <v>44561</v>
      </c>
      <c r="J1176">
        <v>119010</v>
      </c>
      <c r="K1176" t="s">
        <v>386</v>
      </c>
      <c r="L1176" t="s">
        <v>392</v>
      </c>
      <c r="M1176" t="s">
        <v>393</v>
      </c>
      <c r="O1176" t="s">
        <v>394</v>
      </c>
      <c r="P1176" t="s">
        <v>395</v>
      </c>
      <c r="Q1176" t="s">
        <v>396</v>
      </c>
      <c r="R1176">
        <v>2069144</v>
      </c>
      <c r="S1176" t="s">
        <v>430</v>
      </c>
      <c r="U1176" t="s">
        <v>1786</v>
      </c>
      <c r="V1176" t="s">
        <v>398</v>
      </c>
      <c r="W1176" s="393">
        <v>4559375</v>
      </c>
      <c r="X1176" s="393">
        <v>1272.07</v>
      </c>
      <c r="Y1176" s="393">
        <v>10737.33</v>
      </c>
      <c r="Z1176" s="393">
        <v>4559375</v>
      </c>
      <c r="AA1176">
        <v>0</v>
      </c>
      <c r="AB1176" s="400">
        <v>44580.187755983796</v>
      </c>
      <c r="AC1176" t="s">
        <v>437</v>
      </c>
    </row>
    <row r="1177" spans="1:29">
      <c r="A1177" t="s">
        <v>382</v>
      </c>
      <c r="B1177" t="s">
        <v>440</v>
      </c>
      <c r="C1177" t="s">
        <v>409</v>
      </c>
      <c r="D1177" t="s">
        <v>410</v>
      </c>
      <c r="E1177" t="s">
        <v>390</v>
      </c>
      <c r="F1177" t="s">
        <v>391</v>
      </c>
      <c r="G1177">
        <v>6103539</v>
      </c>
      <c r="H1177">
        <v>202112</v>
      </c>
      <c r="I1177" s="400">
        <v>44561</v>
      </c>
      <c r="J1177">
        <v>119010</v>
      </c>
      <c r="K1177" t="s">
        <v>386</v>
      </c>
      <c r="L1177" t="s">
        <v>392</v>
      </c>
      <c r="M1177" t="s">
        <v>393</v>
      </c>
      <c r="O1177" t="s">
        <v>394</v>
      </c>
      <c r="P1177" t="s">
        <v>395</v>
      </c>
      <c r="Q1177" t="s">
        <v>396</v>
      </c>
      <c r="R1177">
        <v>2069144</v>
      </c>
      <c r="S1177" t="s">
        <v>430</v>
      </c>
      <c r="U1177" t="s">
        <v>1787</v>
      </c>
      <c r="V1177" t="s">
        <v>398</v>
      </c>
      <c r="W1177" s="393">
        <v>740000</v>
      </c>
      <c r="X1177" s="393">
        <v>206.46</v>
      </c>
      <c r="Y1177" s="393">
        <v>1742.7</v>
      </c>
      <c r="Z1177" s="393">
        <v>740000</v>
      </c>
      <c r="AA1177">
        <v>0</v>
      </c>
      <c r="AB1177" s="400">
        <v>44580.187755983796</v>
      </c>
      <c r="AC1177" t="s">
        <v>437</v>
      </c>
    </row>
    <row r="1178" spans="1:29">
      <c r="A1178" t="s">
        <v>382</v>
      </c>
      <c r="B1178" t="s">
        <v>440</v>
      </c>
      <c r="C1178" t="s">
        <v>409</v>
      </c>
      <c r="D1178" t="s">
        <v>410</v>
      </c>
      <c r="E1178" t="s">
        <v>390</v>
      </c>
      <c r="F1178" t="s">
        <v>391</v>
      </c>
      <c r="G1178">
        <v>6103539</v>
      </c>
      <c r="H1178">
        <v>202112</v>
      </c>
      <c r="I1178" s="400">
        <v>44561</v>
      </c>
      <c r="J1178">
        <v>119010</v>
      </c>
      <c r="K1178" t="s">
        <v>386</v>
      </c>
      <c r="L1178" t="s">
        <v>392</v>
      </c>
      <c r="M1178" t="s">
        <v>393</v>
      </c>
      <c r="O1178" t="s">
        <v>394</v>
      </c>
      <c r="P1178" t="s">
        <v>395</v>
      </c>
      <c r="Q1178" t="s">
        <v>396</v>
      </c>
      <c r="R1178">
        <v>2069144</v>
      </c>
      <c r="S1178" t="s">
        <v>430</v>
      </c>
      <c r="U1178" t="s">
        <v>1788</v>
      </c>
      <c r="V1178" t="s">
        <v>398</v>
      </c>
      <c r="W1178" s="393">
        <v>480625</v>
      </c>
      <c r="X1178" s="393">
        <v>134.09</v>
      </c>
      <c r="Y1178" s="393">
        <v>1131.8699999999999</v>
      </c>
      <c r="Z1178" s="393">
        <v>480625</v>
      </c>
      <c r="AA1178">
        <v>0</v>
      </c>
      <c r="AB1178" s="400">
        <v>44580.187755983796</v>
      </c>
      <c r="AC1178" t="s">
        <v>437</v>
      </c>
    </row>
    <row r="1179" spans="1:29">
      <c r="A1179" t="s">
        <v>382</v>
      </c>
      <c r="B1179" t="s">
        <v>440</v>
      </c>
      <c r="C1179" t="s">
        <v>409</v>
      </c>
      <c r="D1179" t="s">
        <v>410</v>
      </c>
      <c r="E1179" t="s">
        <v>390</v>
      </c>
      <c r="F1179" t="s">
        <v>391</v>
      </c>
      <c r="G1179">
        <v>6103539</v>
      </c>
      <c r="H1179">
        <v>202112</v>
      </c>
      <c r="I1179" s="400">
        <v>44561</v>
      </c>
      <c r="J1179">
        <v>119010</v>
      </c>
      <c r="K1179" t="s">
        <v>386</v>
      </c>
      <c r="L1179" t="s">
        <v>392</v>
      </c>
      <c r="M1179" t="s">
        <v>393</v>
      </c>
      <c r="O1179" t="s">
        <v>394</v>
      </c>
      <c r="P1179" t="s">
        <v>395</v>
      </c>
      <c r="Q1179" t="s">
        <v>396</v>
      </c>
      <c r="R1179">
        <v>2069144</v>
      </c>
      <c r="S1179" t="s">
        <v>430</v>
      </c>
      <c r="U1179" t="s">
        <v>1789</v>
      </c>
      <c r="V1179" t="s">
        <v>398</v>
      </c>
      <c r="W1179" s="393">
        <v>189063</v>
      </c>
      <c r="X1179" s="393">
        <v>52.75</v>
      </c>
      <c r="Y1179" s="393">
        <v>445.24</v>
      </c>
      <c r="Z1179" s="393">
        <v>189063</v>
      </c>
      <c r="AA1179">
        <v>0</v>
      </c>
      <c r="AB1179" s="400">
        <v>44580.187755983796</v>
      </c>
      <c r="AC1179" t="s">
        <v>437</v>
      </c>
    </row>
    <row r="1180" spans="1:29">
      <c r="A1180" t="s">
        <v>382</v>
      </c>
      <c r="B1180" t="s">
        <v>440</v>
      </c>
      <c r="C1180" t="s">
        <v>409</v>
      </c>
      <c r="D1180" t="s">
        <v>410</v>
      </c>
      <c r="E1180" t="s">
        <v>390</v>
      </c>
      <c r="F1180" t="s">
        <v>391</v>
      </c>
      <c r="G1180">
        <v>6103539</v>
      </c>
      <c r="H1180">
        <v>202112</v>
      </c>
      <c r="I1180" s="400">
        <v>44561</v>
      </c>
      <c r="J1180">
        <v>119010</v>
      </c>
      <c r="K1180" t="s">
        <v>386</v>
      </c>
      <c r="L1180" t="s">
        <v>392</v>
      </c>
      <c r="M1180" t="s">
        <v>393</v>
      </c>
      <c r="O1180" t="s">
        <v>394</v>
      </c>
      <c r="P1180" t="s">
        <v>395</v>
      </c>
      <c r="Q1180" t="s">
        <v>396</v>
      </c>
      <c r="R1180">
        <v>2069144</v>
      </c>
      <c r="S1180" t="s">
        <v>430</v>
      </c>
      <c r="U1180" t="s">
        <v>1790</v>
      </c>
      <c r="V1180" t="s">
        <v>398</v>
      </c>
      <c r="W1180" s="393">
        <v>490369</v>
      </c>
      <c r="X1180" s="393">
        <v>136.81</v>
      </c>
      <c r="Y1180" s="393">
        <v>1154.82</v>
      </c>
      <c r="Z1180" s="393">
        <v>490369</v>
      </c>
      <c r="AA1180">
        <v>0</v>
      </c>
      <c r="AB1180" s="400">
        <v>44580.187755983796</v>
      </c>
      <c r="AC1180" t="s">
        <v>437</v>
      </c>
    </row>
    <row r="1181" spans="1:29">
      <c r="A1181" t="s">
        <v>382</v>
      </c>
      <c r="B1181" t="s">
        <v>440</v>
      </c>
      <c r="C1181" t="s">
        <v>409</v>
      </c>
      <c r="D1181" t="s">
        <v>410</v>
      </c>
      <c r="E1181" t="s">
        <v>390</v>
      </c>
      <c r="F1181" t="s">
        <v>391</v>
      </c>
      <c r="G1181">
        <v>6103539</v>
      </c>
      <c r="H1181">
        <v>202112</v>
      </c>
      <c r="I1181" s="400">
        <v>44561</v>
      </c>
      <c r="J1181">
        <v>119010</v>
      </c>
      <c r="K1181" t="s">
        <v>386</v>
      </c>
      <c r="L1181" t="s">
        <v>392</v>
      </c>
      <c r="M1181" t="s">
        <v>393</v>
      </c>
      <c r="O1181" t="s">
        <v>394</v>
      </c>
      <c r="P1181" t="s">
        <v>395</v>
      </c>
      <c r="Q1181" t="s">
        <v>396</v>
      </c>
      <c r="R1181">
        <v>2069144</v>
      </c>
      <c r="S1181" t="s">
        <v>430</v>
      </c>
      <c r="U1181" t="s">
        <v>1791</v>
      </c>
      <c r="V1181" t="s">
        <v>398</v>
      </c>
      <c r="W1181" s="393">
        <v>1900000</v>
      </c>
      <c r="X1181" s="393">
        <v>530.1</v>
      </c>
      <c r="Y1181" s="393">
        <v>4474.5</v>
      </c>
      <c r="Z1181" s="393">
        <v>1900000</v>
      </c>
      <c r="AA1181">
        <v>0</v>
      </c>
      <c r="AB1181" s="400">
        <v>44580.187755983796</v>
      </c>
      <c r="AC1181" t="s">
        <v>437</v>
      </c>
    </row>
    <row r="1182" spans="1:29">
      <c r="A1182" t="s">
        <v>382</v>
      </c>
      <c r="B1182" t="s">
        <v>440</v>
      </c>
      <c r="C1182" t="s">
        <v>409</v>
      </c>
      <c r="D1182" t="s">
        <v>410</v>
      </c>
      <c r="E1182" t="s">
        <v>390</v>
      </c>
      <c r="F1182" t="s">
        <v>391</v>
      </c>
      <c r="G1182">
        <v>6103539</v>
      </c>
      <c r="H1182">
        <v>202112</v>
      </c>
      <c r="I1182" s="400">
        <v>44561</v>
      </c>
      <c r="J1182">
        <v>119010</v>
      </c>
      <c r="K1182" t="s">
        <v>386</v>
      </c>
      <c r="L1182" t="s">
        <v>392</v>
      </c>
      <c r="M1182" t="s">
        <v>393</v>
      </c>
      <c r="O1182" t="s">
        <v>394</v>
      </c>
      <c r="P1182" t="s">
        <v>395</v>
      </c>
      <c r="Q1182" t="s">
        <v>396</v>
      </c>
      <c r="R1182">
        <v>2069144</v>
      </c>
      <c r="S1182" t="s">
        <v>430</v>
      </c>
      <c r="U1182" t="s">
        <v>1792</v>
      </c>
      <c r="V1182" t="s">
        <v>398</v>
      </c>
      <c r="W1182" s="393">
        <v>547868.93000000005</v>
      </c>
      <c r="X1182" s="393">
        <v>152.86000000000001</v>
      </c>
      <c r="Y1182" s="393">
        <v>1290.23</v>
      </c>
      <c r="Z1182" s="393">
        <v>547868.93000000005</v>
      </c>
      <c r="AA1182">
        <v>0</v>
      </c>
      <c r="AB1182" s="400">
        <v>44580.187755983796</v>
      </c>
      <c r="AC1182" t="s">
        <v>437</v>
      </c>
    </row>
    <row r="1183" spans="1:29">
      <c r="A1183" t="s">
        <v>382</v>
      </c>
      <c r="B1183" t="s">
        <v>382</v>
      </c>
      <c r="C1183" t="s">
        <v>409</v>
      </c>
      <c r="D1183" t="s">
        <v>410</v>
      </c>
      <c r="E1183" t="s">
        <v>390</v>
      </c>
      <c r="F1183" t="s">
        <v>391</v>
      </c>
      <c r="G1183">
        <v>6103533</v>
      </c>
      <c r="H1183">
        <v>202112</v>
      </c>
      <c r="I1183" s="400">
        <v>44561</v>
      </c>
      <c r="J1183">
        <v>119010</v>
      </c>
      <c r="K1183" t="s">
        <v>386</v>
      </c>
      <c r="L1183" t="s">
        <v>392</v>
      </c>
      <c r="M1183" t="s">
        <v>393</v>
      </c>
      <c r="O1183" t="s">
        <v>394</v>
      </c>
      <c r="P1183" t="s">
        <v>395</v>
      </c>
      <c r="Q1183" t="s">
        <v>396</v>
      </c>
      <c r="R1183">
        <v>2069144</v>
      </c>
      <c r="S1183" t="s">
        <v>430</v>
      </c>
      <c r="U1183" t="s">
        <v>1793</v>
      </c>
      <c r="V1183" t="s">
        <v>398</v>
      </c>
      <c r="W1183" s="393">
        <v>290000</v>
      </c>
      <c r="X1183" s="393">
        <v>80.91</v>
      </c>
      <c r="Y1183" s="393">
        <v>682.95</v>
      </c>
      <c r="Z1183" s="393">
        <v>290000</v>
      </c>
      <c r="AA1183">
        <v>0</v>
      </c>
      <c r="AB1183" s="400">
        <v>44576.042806793979</v>
      </c>
      <c r="AC1183" t="s">
        <v>437</v>
      </c>
    </row>
    <row r="1184" spans="1:29">
      <c r="A1184" t="s">
        <v>382</v>
      </c>
      <c r="B1184" t="s">
        <v>382</v>
      </c>
      <c r="C1184" t="s">
        <v>409</v>
      </c>
      <c r="D1184" t="s">
        <v>410</v>
      </c>
      <c r="E1184" t="s">
        <v>390</v>
      </c>
      <c r="F1184" t="s">
        <v>391</v>
      </c>
      <c r="G1184">
        <v>6103533</v>
      </c>
      <c r="H1184">
        <v>202112</v>
      </c>
      <c r="I1184" s="400">
        <v>44561</v>
      </c>
      <c r="J1184">
        <v>119010</v>
      </c>
      <c r="K1184" t="s">
        <v>386</v>
      </c>
      <c r="L1184" t="s">
        <v>392</v>
      </c>
      <c r="M1184" t="s">
        <v>393</v>
      </c>
      <c r="O1184" t="s">
        <v>394</v>
      </c>
      <c r="P1184" t="s">
        <v>395</v>
      </c>
      <c r="Q1184" t="s">
        <v>396</v>
      </c>
      <c r="R1184">
        <v>2069144</v>
      </c>
      <c r="S1184" t="s">
        <v>430</v>
      </c>
      <c r="U1184" t="s">
        <v>1794</v>
      </c>
      <c r="V1184" t="s">
        <v>398</v>
      </c>
      <c r="W1184" s="393">
        <v>19000</v>
      </c>
      <c r="X1184" s="393">
        <v>5.3</v>
      </c>
      <c r="Y1184" s="393">
        <v>44.75</v>
      </c>
      <c r="Z1184" s="393">
        <v>19000</v>
      </c>
      <c r="AA1184">
        <v>0</v>
      </c>
      <c r="AB1184" s="400">
        <v>44576.042806793979</v>
      </c>
      <c r="AC1184" t="s">
        <v>437</v>
      </c>
    </row>
    <row r="1185" spans="1:29">
      <c r="A1185" t="s">
        <v>382</v>
      </c>
      <c r="B1185" t="s">
        <v>382</v>
      </c>
      <c r="C1185" t="s">
        <v>409</v>
      </c>
      <c r="D1185" t="s">
        <v>410</v>
      </c>
      <c r="E1185" t="s">
        <v>390</v>
      </c>
      <c r="F1185" t="s">
        <v>391</v>
      </c>
      <c r="G1185">
        <v>6103533</v>
      </c>
      <c r="H1185">
        <v>202112</v>
      </c>
      <c r="I1185" s="400">
        <v>44561</v>
      </c>
      <c r="J1185">
        <v>119010</v>
      </c>
      <c r="K1185" t="s">
        <v>386</v>
      </c>
      <c r="L1185" t="s">
        <v>392</v>
      </c>
      <c r="M1185" t="s">
        <v>393</v>
      </c>
      <c r="O1185" t="s">
        <v>394</v>
      </c>
      <c r="P1185" t="s">
        <v>395</v>
      </c>
      <c r="Q1185" t="s">
        <v>396</v>
      </c>
      <c r="R1185">
        <v>2069144</v>
      </c>
      <c r="S1185" t="s">
        <v>430</v>
      </c>
      <c r="U1185" t="s">
        <v>1795</v>
      </c>
      <c r="V1185" t="s">
        <v>398</v>
      </c>
      <c r="W1185" s="393">
        <v>62557.599999999999</v>
      </c>
      <c r="X1185" s="393">
        <v>17.45</v>
      </c>
      <c r="Y1185" s="393">
        <v>147.32</v>
      </c>
      <c r="Z1185" s="393">
        <v>62557.599999999999</v>
      </c>
      <c r="AA1185">
        <v>0</v>
      </c>
      <c r="AB1185" s="400">
        <v>44576.042806793979</v>
      </c>
      <c r="AC1185" t="s">
        <v>437</v>
      </c>
    </row>
    <row r="1186" spans="1:29">
      <c r="A1186" t="s">
        <v>382</v>
      </c>
      <c r="B1186" t="s">
        <v>440</v>
      </c>
      <c r="C1186" t="s">
        <v>409</v>
      </c>
      <c r="D1186" t="s">
        <v>410</v>
      </c>
      <c r="E1186" t="s">
        <v>390</v>
      </c>
      <c r="F1186" t="s">
        <v>391</v>
      </c>
      <c r="G1186">
        <v>6103525</v>
      </c>
      <c r="H1186">
        <v>202112</v>
      </c>
      <c r="I1186" s="400">
        <v>44561</v>
      </c>
      <c r="J1186">
        <v>119010</v>
      </c>
      <c r="K1186" t="s">
        <v>386</v>
      </c>
      <c r="L1186" t="s">
        <v>399</v>
      </c>
      <c r="M1186" t="s">
        <v>400</v>
      </c>
      <c r="O1186" t="s">
        <v>401</v>
      </c>
      <c r="P1186" t="s">
        <v>402</v>
      </c>
      <c r="Q1186" t="s">
        <v>396</v>
      </c>
      <c r="R1186">
        <v>2069143</v>
      </c>
      <c r="S1186" t="s">
        <v>399</v>
      </c>
      <c r="U1186" t="s">
        <v>1796</v>
      </c>
      <c r="V1186" t="s">
        <v>398</v>
      </c>
      <c r="W1186" s="393">
        <v>499606.63</v>
      </c>
      <c r="X1186" s="393">
        <v>125.49</v>
      </c>
      <c r="Y1186" s="393">
        <v>1107.27</v>
      </c>
      <c r="Z1186" s="393">
        <v>499606.63</v>
      </c>
      <c r="AA1186">
        <v>0</v>
      </c>
      <c r="AB1186" s="400">
        <v>44574.979683831021</v>
      </c>
      <c r="AC1186" t="s">
        <v>439</v>
      </c>
    </row>
    <row r="1187" spans="1:29">
      <c r="A1187" t="s">
        <v>382</v>
      </c>
      <c r="B1187" t="s">
        <v>382</v>
      </c>
      <c r="C1187" t="s">
        <v>409</v>
      </c>
      <c r="D1187" t="s">
        <v>410</v>
      </c>
      <c r="E1187" t="s">
        <v>390</v>
      </c>
      <c r="F1187" t="s">
        <v>391</v>
      </c>
      <c r="G1187">
        <v>6103364</v>
      </c>
      <c r="H1187">
        <v>202112</v>
      </c>
      <c r="I1187" s="400">
        <v>44552</v>
      </c>
      <c r="J1187">
        <v>119010</v>
      </c>
      <c r="K1187" t="s">
        <v>386</v>
      </c>
      <c r="L1187" t="s">
        <v>399</v>
      </c>
      <c r="M1187" t="s">
        <v>400</v>
      </c>
      <c r="O1187" t="s">
        <v>401</v>
      </c>
      <c r="P1187" t="s">
        <v>402</v>
      </c>
      <c r="Q1187" t="s">
        <v>396</v>
      </c>
      <c r="R1187">
        <v>2069143</v>
      </c>
      <c r="S1187" t="s">
        <v>403</v>
      </c>
      <c r="U1187" t="s">
        <v>1797</v>
      </c>
      <c r="V1187" t="s">
        <v>398</v>
      </c>
      <c r="W1187" s="393">
        <v>-407683.26</v>
      </c>
      <c r="X1187" s="393">
        <v>-106.57</v>
      </c>
      <c r="Y1187" s="393">
        <v>-926.63</v>
      </c>
      <c r="Z1187" s="393">
        <v>-407683.26</v>
      </c>
      <c r="AA1187">
        <v>0</v>
      </c>
      <c r="AB1187" s="400">
        <v>44552.756537303241</v>
      </c>
      <c r="AC1187" t="s">
        <v>439</v>
      </c>
    </row>
    <row r="1188" spans="1:29">
      <c r="A1188" t="s">
        <v>382</v>
      </c>
      <c r="B1188" t="s">
        <v>382</v>
      </c>
      <c r="C1188" t="s">
        <v>409</v>
      </c>
      <c r="D1188" t="s">
        <v>410</v>
      </c>
      <c r="E1188" t="s">
        <v>390</v>
      </c>
      <c r="F1188" t="s">
        <v>391</v>
      </c>
      <c r="G1188">
        <v>6103364</v>
      </c>
      <c r="H1188">
        <v>202112</v>
      </c>
      <c r="I1188" s="400">
        <v>44552</v>
      </c>
      <c r="J1188">
        <v>119010</v>
      </c>
      <c r="K1188" t="s">
        <v>386</v>
      </c>
      <c r="L1188" t="s">
        <v>399</v>
      </c>
      <c r="M1188" t="s">
        <v>400</v>
      </c>
      <c r="O1188" t="s">
        <v>401</v>
      </c>
      <c r="P1188" t="s">
        <v>402</v>
      </c>
      <c r="Q1188" t="s">
        <v>396</v>
      </c>
      <c r="R1188">
        <v>2069143</v>
      </c>
      <c r="S1188" t="s">
        <v>403</v>
      </c>
      <c r="U1188" t="s">
        <v>1798</v>
      </c>
      <c r="V1188" t="s">
        <v>398</v>
      </c>
      <c r="W1188" s="393">
        <v>139500</v>
      </c>
      <c r="X1188" s="393">
        <v>36.47</v>
      </c>
      <c r="Y1188" s="393">
        <v>317.07</v>
      </c>
      <c r="Z1188" s="393">
        <v>139500</v>
      </c>
      <c r="AA1188">
        <v>0</v>
      </c>
      <c r="AB1188" s="400">
        <v>44552.756537303241</v>
      </c>
      <c r="AC1188" t="s">
        <v>439</v>
      </c>
    </row>
    <row r="1189" spans="1:29">
      <c r="A1189" t="s">
        <v>382</v>
      </c>
      <c r="B1189" t="s">
        <v>382</v>
      </c>
      <c r="C1189" t="s">
        <v>409</v>
      </c>
      <c r="D1189" t="s">
        <v>410</v>
      </c>
      <c r="E1189" t="s">
        <v>390</v>
      </c>
      <c r="F1189" t="s">
        <v>391</v>
      </c>
      <c r="G1189">
        <v>6103364</v>
      </c>
      <c r="H1189">
        <v>202112</v>
      </c>
      <c r="I1189" s="400">
        <v>44552</v>
      </c>
      <c r="J1189">
        <v>119010</v>
      </c>
      <c r="K1189" t="s">
        <v>386</v>
      </c>
      <c r="L1189" t="s">
        <v>399</v>
      </c>
      <c r="M1189" t="s">
        <v>400</v>
      </c>
      <c r="O1189" t="s">
        <v>401</v>
      </c>
      <c r="P1189" t="s">
        <v>402</v>
      </c>
      <c r="Q1189" t="s">
        <v>396</v>
      </c>
      <c r="R1189">
        <v>2069143</v>
      </c>
      <c r="S1189" t="s">
        <v>403</v>
      </c>
      <c r="U1189" t="s">
        <v>1799</v>
      </c>
      <c r="V1189" t="s">
        <v>398</v>
      </c>
      <c r="W1189" s="393">
        <v>60400</v>
      </c>
      <c r="X1189" s="393">
        <v>15.79</v>
      </c>
      <c r="Y1189" s="393">
        <v>137.28</v>
      </c>
      <c r="Z1189" s="393">
        <v>60400</v>
      </c>
      <c r="AA1189">
        <v>0</v>
      </c>
      <c r="AB1189" s="400">
        <v>44552.756537303241</v>
      </c>
      <c r="AC1189" t="s">
        <v>439</v>
      </c>
    </row>
    <row r="1190" spans="1:29">
      <c r="A1190" t="s">
        <v>382</v>
      </c>
      <c r="B1190" t="s">
        <v>382</v>
      </c>
      <c r="C1190" t="s">
        <v>409</v>
      </c>
      <c r="D1190" t="s">
        <v>410</v>
      </c>
      <c r="E1190" t="s">
        <v>390</v>
      </c>
      <c r="F1190" t="s">
        <v>391</v>
      </c>
      <c r="G1190">
        <v>6103364</v>
      </c>
      <c r="H1190">
        <v>202112</v>
      </c>
      <c r="I1190" s="400">
        <v>44552</v>
      </c>
      <c r="J1190">
        <v>119010</v>
      </c>
      <c r="K1190" t="s">
        <v>386</v>
      </c>
      <c r="L1190" t="s">
        <v>399</v>
      </c>
      <c r="M1190" t="s">
        <v>400</v>
      </c>
      <c r="O1190" t="s">
        <v>401</v>
      </c>
      <c r="P1190" t="s">
        <v>402</v>
      </c>
      <c r="Q1190" t="s">
        <v>396</v>
      </c>
      <c r="R1190">
        <v>2069143</v>
      </c>
      <c r="S1190" t="s">
        <v>403</v>
      </c>
      <c r="U1190" t="s">
        <v>1800</v>
      </c>
      <c r="V1190" t="s">
        <v>398</v>
      </c>
      <c r="W1190" s="393">
        <v>207783.26</v>
      </c>
      <c r="X1190" s="393">
        <v>54.32</v>
      </c>
      <c r="Y1190" s="393">
        <v>472.27</v>
      </c>
      <c r="Z1190" s="393">
        <v>207783.26</v>
      </c>
      <c r="AA1190">
        <v>0</v>
      </c>
      <c r="AB1190" s="400">
        <v>44552.756537303241</v>
      </c>
      <c r="AC1190" t="s">
        <v>439</v>
      </c>
    </row>
    <row r="1191" spans="1:29">
      <c r="A1191" t="s">
        <v>382</v>
      </c>
      <c r="B1191" t="s">
        <v>382</v>
      </c>
      <c r="C1191" t="s">
        <v>409</v>
      </c>
      <c r="D1191" t="s">
        <v>410</v>
      </c>
      <c r="E1191" t="s">
        <v>390</v>
      </c>
      <c r="F1191" t="s">
        <v>391</v>
      </c>
      <c r="G1191">
        <v>6103363</v>
      </c>
      <c r="H1191">
        <v>202112</v>
      </c>
      <c r="I1191" s="400">
        <v>44552</v>
      </c>
      <c r="J1191">
        <v>119010</v>
      </c>
      <c r="K1191" t="s">
        <v>386</v>
      </c>
      <c r="L1191" t="s">
        <v>399</v>
      </c>
      <c r="M1191" t="s">
        <v>400</v>
      </c>
      <c r="O1191" t="s">
        <v>401</v>
      </c>
      <c r="P1191" t="s">
        <v>402</v>
      </c>
      <c r="Q1191" t="s">
        <v>396</v>
      </c>
      <c r="R1191">
        <v>2069143</v>
      </c>
      <c r="S1191" t="s">
        <v>403</v>
      </c>
      <c r="U1191" t="s">
        <v>1801</v>
      </c>
      <c r="V1191" t="s">
        <v>398</v>
      </c>
      <c r="W1191" s="393">
        <v>-150870.43</v>
      </c>
      <c r="X1191" s="393">
        <v>-38.619999999999997</v>
      </c>
      <c r="Y1191" s="393">
        <v>-333.73</v>
      </c>
      <c r="Z1191" s="393">
        <v>-150870.43</v>
      </c>
      <c r="AA1191">
        <v>0</v>
      </c>
      <c r="AB1191" s="400">
        <v>44552.75555347222</v>
      </c>
      <c r="AC1191" t="s">
        <v>439</v>
      </c>
    </row>
    <row r="1192" spans="1:29">
      <c r="A1192" t="s">
        <v>382</v>
      </c>
      <c r="B1192" t="s">
        <v>382</v>
      </c>
      <c r="C1192" t="s">
        <v>409</v>
      </c>
      <c r="D1192" t="s">
        <v>410</v>
      </c>
      <c r="E1192" t="s">
        <v>390</v>
      </c>
      <c r="F1192" t="s">
        <v>391</v>
      </c>
      <c r="G1192">
        <v>6103363</v>
      </c>
      <c r="H1192">
        <v>202112</v>
      </c>
      <c r="I1192" s="400">
        <v>44552</v>
      </c>
      <c r="J1192">
        <v>119010</v>
      </c>
      <c r="K1192" t="s">
        <v>386</v>
      </c>
      <c r="L1192" t="s">
        <v>399</v>
      </c>
      <c r="M1192" t="s">
        <v>400</v>
      </c>
      <c r="O1192" t="s">
        <v>401</v>
      </c>
      <c r="P1192" t="s">
        <v>402</v>
      </c>
      <c r="Q1192" t="s">
        <v>396</v>
      </c>
      <c r="R1192">
        <v>2069143</v>
      </c>
      <c r="S1192" t="s">
        <v>403</v>
      </c>
      <c r="U1192" t="s">
        <v>1802</v>
      </c>
      <c r="V1192" t="s">
        <v>398</v>
      </c>
      <c r="W1192" s="393">
        <v>150870.43</v>
      </c>
      <c r="X1192" s="393">
        <v>38.619999999999997</v>
      </c>
      <c r="Y1192" s="393">
        <v>333.73</v>
      </c>
      <c r="Z1192" s="393">
        <v>150870.43</v>
      </c>
      <c r="AA1192">
        <v>0</v>
      </c>
      <c r="AB1192" s="400">
        <v>44552.75555347222</v>
      </c>
      <c r="AC1192" t="s">
        <v>439</v>
      </c>
    </row>
    <row r="1193" spans="1:29">
      <c r="A1193" t="s">
        <v>382</v>
      </c>
      <c r="B1193" t="s">
        <v>440</v>
      </c>
      <c r="C1193" t="s">
        <v>409</v>
      </c>
      <c r="D1193" t="s">
        <v>410</v>
      </c>
      <c r="E1193" t="s">
        <v>390</v>
      </c>
      <c r="F1193" t="s">
        <v>391</v>
      </c>
      <c r="G1193">
        <v>6103529</v>
      </c>
      <c r="H1193">
        <v>202112</v>
      </c>
      <c r="I1193" s="400">
        <v>44561</v>
      </c>
      <c r="J1193">
        <v>119010</v>
      </c>
      <c r="K1193" t="s">
        <v>386</v>
      </c>
      <c r="L1193" t="s">
        <v>399</v>
      </c>
      <c r="M1193" t="s">
        <v>400</v>
      </c>
      <c r="O1193" t="s">
        <v>401</v>
      </c>
      <c r="P1193" t="s">
        <v>402</v>
      </c>
      <c r="Q1193" t="s">
        <v>396</v>
      </c>
      <c r="R1193">
        <v>2069143</v>
      </c>
      <c r="S1193" t="s">
        <v>399</v>
      </c>
      <c r="U1193" t="s">
        <v>1796</v>
      </c>
      <c r="V1193" t="s">
        <v>398</v>
      </c>
      <c r="W1193" s="393">
        <v>795959.39</v>
      </c>
      <c r="X1193" s="393">
        <v>271.41000000000003</v>
      </c>
      <c r="Y1193" s="393">
        <v>2182.79</v>
      </c>
      <c r="Z1193" s="393">
        <v>795959.39</v>
      </c>
      <c r="AA1193">
        <v>0</v>
      </c>
      <c r="AB1193" s="400">
        <v>44575.966131331021</v>
      </c>
      <c r="AC1193" t="s">
        <v>439</v>
      </c>
    </row>
    <row r="1194" spans="1:29">
      <c r="A1194" t="s">
        <v>382</v>
      </c>
      <c r="B1194" t="s">
        <v>440</v>
      </c>
      <c r="C1194" t="s">
        <v>409</v>
      </c>
      <c r="D1194" t="s">
        <v>410</v>
      </c>
      <c r="E1194" t="s">
        <v>390</v>
      </c>
      <c r="F1194" t="s">
        <v>391</v>
      </c>
      <c r="G1194">
        <v>6103529</v>
      </c>
      <c r="H1194">
        <v>202112</v>
      </c>
      <c r="I1194" s="400">
        <v>44561</v>
      </c>
      <c r="J1194">
        <v>119010</v>
      </c>
      <c r="K1194" t="s">
        <v>386</v>
      </c>
      <c r="L1194" t="s">
        <v>399</v>
      </c>
      <c r="M1194" t="s">
        <v>400</v>
      </c>
      <c r="O1194" t="s">
        <v>401</v>
      </c>
      <c r="P1194" t="s">
        <v>402</v>
      </c>
      <c r="Q1194" t="s">
        <v>396</v>
      </c>
      <c r="R1194">
        <v>2069143</v>
      </c>
      <c r="S1194" t="s">
        <v>399</v>
      </c>
      <c r="U1194" t="s">
        <v>1803</v>
      </c>
      <c r="V1194" t="s">
        <v>398</v>
      </c>
      <c r="W1194" s="393">
        <v>45000</v>
      </c>
      <c r="X1194" s="393">
        <v>15.34</v>
      </c>
      <c r="Y1194" s="393">
        <v>123.41</v>
      </c>
      <c r="Z1194" s="393">
        <v>45000</v>
      </c>
      <c r="AA1194">
        <v>0</v>
      </c>
      <c r="AB1194" s="400">
        <v>44575.966131331021</v>
      </c>
      <c r="AC1194" t="s">
        <v>439</v>
      </c>
    </row>
    <row r="1195" spans="1:29">
      <c r="A1195" t="s">
        <v>382</v>
      </c>
      <c r="B1195" t="s">
        <v>440</v>
      </c>
      <c r="C1195" t="s">
        <v>409</v>
      </c>
      <c r="D1195" t="s">
        <v>410</v>
      </c>
      <c r="E1195" t="s">
        <v>390</v>
      </c>
      <c r="F1195" t="s">
        <v>391</v>
      </c>
      <c r="G1195">
        <v>6103529</v>
      </c>
      <c r="H1195">
        <v>202112</v>
      </c>
      <c r="I1195" s="400">
        <v>44561</v>
      </c>
      <c r="J1195">
        <v>119010</v>
      </c>
      <c r="K1195" t="s">
        <v>386</v>
      </c>
      <c r="L1195" t="s">
        <v>399</v>
      </c>
      <c r="M1195" t="s">
        <v>400</v>
      </c>
      <c r="O1195" t="s">
        <v>401</v>
      </c>
      <c r="P1195" t="s">
        <v>402</v>
      </c>
      <c r="Q1195" t="s">
        <v>396</v>
      </c>
      <c r="R1195">
        <v>2069143</v>
      </c>
      <c r="S1195" t="s">
        <v>399</v>
      </c>
      <c r="U1195" t="s">
        <v>1804</v>
      </c>
      <c r="V1195" t="s">
        <v>398</v>
      </c>
      <c r="W1195" s="393">
        <v>268000</v>
      </c>
      <c r="X1195" s="393">
        <v>91.38</v>
      </c>
      <c r="Y1195" s="393">
        <v>734.95</v>
      </c>
      <c r="Z1195" s="393">
        <v>268000</v>
      </c>
      <c r="AA1195">
        <v>0</v>
      </c>
      <c r="AB1195" s="400">
        <v>44575.966131331021</v>
      </c>
      <c r="AC1195" t="s">
        <v>439</v>
      </c>
    </row>
    <row r="1196" spans="1:29">
      <c r="A1196" t="s">
        <v>382</v>
      </c>
      <c r="B1196" t="s">
        <v>440</v>
      </c>
      <c r="C1196" t="s">
        <v>409</v>
      </c>
      <c r="D1196" t="s">
        <v>410</v>
      </c>
      <c r="E1196" t="s">
        <v>390</v>
      </c>
      <c r="F1196" t="s">
        <v>391</v>
      </c>
      <c r="G1196">
        <v>6103529</v>
      </c>
      <c r="H1196">
        <v>202112</v>
      </c>
      <c r="I1196" s="400">
        <v>44561</v>
      </c>
      <c r="J1196">
        <v>119010</v>
      </c>
      <c r="K1196" t="s">
        <v>386</v>
      </c>
      <c r="L1196" t="s">
        <v>399</v>
      </c>
      <c r="M1196" t="s">
        <v>400</v>
      </c>
      <c r="O1196" t="s">
        <v>401</v>
      </c>
      <c r="P1196" t="s">
        <v>402</v>
      </c>
      <c r="Q1196" t="s">
        <v>396</v>
      </c>
      <c r="R1196">
        <v>2069143</v>
      </c>
      <c r="S1196" t="s">
        <v>399</v>
      </c>
      <c r="U1196" t="s">
        <v>1805</v>
      </c>
      <c r="V1196" t="s">
        <v>398</v>
      </c>
      <c r="W1196" s="393">
        <v>718200.91</v>
      </c>
      <c r="X1196" s="393">
        <v>244.89</v>
      </c>
      <c r="Y1196" s="393">
        <v>1969.55</v>
      </c>
      <c r="Z1196" s="393">
        <v>718200.91</v>
      </c>
      <c r="AA1196">
        <v>0</v>
      </c>
      <c r="AB1196" s="400">
        <v>44575.966131331021</v>
      </c>
      <c r="AC1196" t="s">
        <v>439</v>
      </c>
    </row>
    <row r="1197" spans="1:29">
      <c r="A1197" t="s">
        <v>382</v>
      </c>
      <c r="B1197" t="s">
        <v>440</v>
      </c>
      <c r="C1197" t="s">
        <v>409</v>
      </c>
      <c r="D1197" t="s">
        <v>410</v>
      </c>
      <c r="E1197" t="s">
        <v>390</v>
      </c>
      <c r="F1197" t="s">
        <v>391</v>
      </c>
      <c r="G1197">
        <v>6103528</v>
      </c>
      <c r="H1197">
        <v>202112</v>
      </c>
      <c r="I1197" s="400">
        <v>44561</v>
      </c>
      <c r="J1197">
        <v>119010</v>
      </c>
      <c r="K1197" t="s">
        <v>386</v>
      </c>
      <c r="L1197" t="s">
        <v>399</v>
      </c>
      <c r="M1197" t="s">
        <v>400</v>
      </c>
      <c r="O1197" t="s">
        <v>401</v>
      </c>
      <c r="P1197" t="s">
        <v>402</v>
      </c>
      <c r="Q1197" t="s">
        <v>396</v>
      </c>
      <c r="R1197">
        <v>2069143</v>
      </c>
      <c r="S1197" t="s">
        <v>399</v>
      </c>
      <c r="U1197" t="s">
        <v>1806</v>
      </c>
      <c r="V1197" t="s">
        <v>398</v>
      </c>
      <c r="W1197" s="393">
        <v>-795959.39</v>
      </c>
      <c r="X1197" s="393">
        <v>-199.93</v>
      </c>
      <c r="Y1197" s="393">
        <v>-1764.08</v>
      </c>
      <c r="Z1197" s="393">
        <v>-795959.39</v>
      </c>
      <c r="AA1197">
        <v>0</v>
      </c>
      <c r="AB1197" s="400">
        <v>44575.963348645833</v>
      </c>
      <c r="AC1197" t="s">
        <v>439</v>
      </c>
    </row>
    <row r="1198" spans="1:29">
      <c r="A1198" t="s">
        <v>382</v>
      </c>
      <c r="B1198" t="s">
        <v>440</v>
      </c>
      <c r="C1198" t="s">
        <v>409</v>
      </c>
      <c r="D1198" t="s">
        <v>410</v>
      </c>
      <c r="E1198" t="s">
        <v>390</v>
      </c>
      <c r="F1198" t="s">
        <v>391</v>
      </c>
      <c r="G1198">
        <v>6103528</v>
      </c>
      <c r="H1198">
        <v>202112</v>
      </c>
      <c r="I1198" s="400">
        <v>44561</v>
      </c>
      <c r="J1198">
        <v>119010</v>
      </c>
      <c r="K1198" t="s">
        <v>386</v>
      </c>
      <c r="L1198" t="s">
        <v>399</v>
      </c>
      <c r="M1198" t="s">
        <v>400</v>
      </c>
      <c r="O1198" t="s">
        <v>401</v>
      </c>
      <c r="P1198" t="s">
        <v>402</v>
      </c>
      <c r="Q1198" t="s">
        <v>396</v>
      </c>
      <c r="R1198">
        <v>2069143</v>
      </c>
      <c r="S1198" t="s">
        <v>399</v>
      </c>
      <c r="U1198" t="s">
        <v>1807</v>
      </c>
      <c r="V1198" t="s">
        <v>398</v>
      </c>
      <c r="W1198" s="393">
        <v>-45000</v>
      </c>
      <c r="X1198" s="393">
        <v>-11.3</v>
      </c>
      <c r="Y1198" s="393">
        <v>-99.73</v>
      </c>
      <c r="Z1198" s="393">
        <v>-45000</v>
      </c>
      <c r="AA1198">
        <v>0</v>
      </c>
      <c r="AB1198" s="400">
        <v>44575.963348645833</v>
      </c>
      <c r="AC1198" t="s">
        <v>439</v>
      </c>
    </row>
    <row r="1199" spans="1:29">
      <c r="A1199" t="s">
        <v>382</v>
      </c>
      <c r="B1199" t="s">
        <v>440</v>
      </c>
      <c r="C1199" t="s">
        <v>409</v>
      </c>
      <c r="D1199" t="s">
        <v>410</v>
      </c>
      <c r="E1199" t="s">
        <v>390</v>
      </c>
      <c r="F1199" t="s">
        <v>391</v>
      </c>
      <c r="G1199">
        <v>6103528</v>
      </c>
      <c r="H1199">
        <v>202112</v>
      </c>
      <c r="I1199" s="400">
        <v>44561</v>
      </c>
      <c r="J1199">
        <v>119010</v>
      </c>
      <c r="K1199" t="s">
        <v>386</v>
      </c>
      <c r="L1199" t="s">
        <v>399</v>
      </c>
      <c r="M1199" t="s">
        <v>400</v>
      </c>
      <c r="O1199" t="s">
        <v>401</v>
      </c>
      <c r="P1199" t="s">
        <v>402</v>
      </c>
      <c r="Q1199" t="s">
        <v>396</v>
      </c>
      <c r="R1199">
        <v>2069143</v>
      </c>
      <c r="S1199" t="s">
        <v>399</v>
      </c>
      <c r="U1199" t="s">
        <v>1808</v>
      </c>
      <c r="V1199" t="s">
        <v>398</v>
      </c>
      <c r="W1199" s="393">
        <v>-268000</v>
      </c>
      <c r="X1199" s="393">
        <v>-67.319999999999993</v>
      </c>
      <c r="Y1199" s="393">
        <v>-593.97</v>
      </c>
      <c r="Z1199" s="393">
        <v>-268000</v>
      </c>
      <c r="AA1199">
        <v>0</v>
      </c>
      <c r="AB1199" s="400">
        <v>44575.963348645833</v>
      </c>
      <c r="AC1199" t="s">
        <v>439</v>
      </c>
    </row>
    <row r="1200" spans="1:29">
      <c r="A1200" t="s">
        <v>382</v>
      </c>
      <c r="B1200" t="s">
        <v>440</v>
      </c>
      <c r="C1200" t="s">
        <v>409</v>
      </c>
      <c r="D1200" t="s">
        <v>410</v>
      </c>
      <c r="E1200" t="s">
        <v>390</v>
      </c>
      <c r="F1200" t="s">
        <v>391</v>
      </c>
      <c r="G1200">
        <v>6103528</v>
      </c>
      <c r="H1200">
        <v>202112</v>
      </c>
      <c r="I1200" s="400">
        <v>44561</v>
      </c>
      <c r="J1200">
        <v>119010</v>
      </c>
      <c r="K1200" t="s">
        <v>386</v>
      </c>
      <c r="L1200" t="s">
        <v>399</v>
      </c>
      <c r="M1200" t="s">
        <v>400</v>
      </c>
      <c r="O1200" t="s">
        <v>401</v>
      </c>
      <c r="P1200" t="s">
        <v>402</v>
      </c>
      <c r="Q1200" t="s">
        <v>396</v>
      </c>
      <c r="R1200">
        <v>2069143</v>
      </c>
      <c r="S1200" t="s">
        <v>399</v>
      </c>
      <c r="U1200" t="s">
        <v>1809</v>
      </c>
      <c r="V1200" t="s">
        <v>398</v>
      </c>
      <c r="W1200" s="393">
        <v>-718200.91</v>
      </c>
      <c r="X1200" s="393">
        <v>-180.4</v>
      </c>
      <c r="Y1200" s="393">
        <v>-1591.74</v>
      </c>
      <c r="Z1200" s="393">
        <v>-718200.91</v>
      </c>
      <c r="AA1200">
        <v>0</v>
      </c>
      <c r="AB1200" s="400">
        <v>44575.963348645833</v>
      </c>
      <c r="AC1200" t="s">
        <v>439</v>
      </c>
    </row>
    <row r="1201" spans="1:29">
      <c r="A1201" t="s">
        <v>382</v>
      </c>
      <c r="B1201" t="s">
        <v>440</v>
      </c>
      <c r="C1201" t="s">
        <v>409</v>
      </c>
      <c r="D1201" t="s">
        <v>410</v>
      </c>
      <c r="E1201" t="s">
        <v>390</v>
      </c>
      <c r="F1201" t="s">
        <v>391</v>
      </c>
      <c r="G1201">
        <v>6103527</v>
      </c>
      <c r="H1201">
        <v>202112</v>
      </c>
      <c r="I1201" s="400">
        <v>44561</v>
      </c>
      <c r="J1201">
        <v>119010</v>
      </c>
      <c r="K1201" t="s">
        <v>386</v>
      </c>
      <c r="L1201" t="s">
        <v>399</v>
      </c>
      <c r="M1201" t="s">
        <v>400</v>
      </c>
      <c r="O1201" t="s">
        <v>401</v>
      </c>
      <c r="P1201" t="s">
        <v>402</v>
      </c>
      <c r="Q1201" t="s">
        <v>396</v>
      </c>
      <c r="R1201">
        <v>2069143</v>
      </c>
      <c r="S1201" t="s">
        <v>399</v>
      </c>
      <c r="U1201" t="s">
        <v>1796</v>
      </c>
      <c r="V1201" t="s">
        <v>398</v>
      </c>
      <c r="W1201" s="393">
        <v>795959.39</v>
      </c>
      <c r="X1201" s="393">
        <v>199.93</v>
      </c>
      <c r="Y1201" s="393">
        <v>1764.08</v>
      </c>
      <c r="Z1201" s="393">
        <v>795959.39</v>
      </c>
      <c r="AA1201">
        <v>0</v>
      </c>
      <c r="AB1201" s="400">
        <v>44575.749431446762</v>
      </c>
      <c r="AC1201" t="s">
        <v>439</v>
      </c>
    </row>
    <row r="1202" spans="1:29">
      <c r="A1202" t="s">
        <v>382</v>
      </c>
      <c r="B1202" t="s">
        <v>440</v>
      </c>
      <c r="C1202" t="s">
        <v>409</v>
      </c>
      <c r="D1202" t="s">
        <v>410</v>
      </c>
      <c r="E1202" t="s">
        <v>390</v>
      </c>
      <c r="F1202" t="s">
        <v>391</v>
      </c>
      <c r="G1202">
        <v>6103527</v>
      </c>
      <c r="H1202">
        <v>202112</v>
      </c>
      <c r="I1202" s="400">
        <v>44561</v>
      </c>
      <c r="J1202">
        <v>119010</v>
      </c>
      <c r="K1202" t="s">
        <v>386</v>
      </c>
      <c r="L1202" t="s">
        <v>399</v>
      </c>
      <c r="M1202" t="s">
        <v>400</v>
      </c>
      <c r="O1202" t="s">
        <v>401</v>
      </c>
      <c r="P1202" t="s">
        <v>402</v>
      </c>
      <c r="Q1202" t="s">
        <v>396</v>
      </c>
      <c r="R1202">
        <v>2069143</v>
      </c>
      <c r="S1202" t="s">
        <v>399</v>
      </c>
      <c r="U1202" t="s">
        <v>1803</v>
      </c>
      <c r="V1202" t="s">
        <v>398</v>
      </c>
      <c r="W1202" s="393">
        <v>45000</v>
      </c>
      <c r="X1202" s="393">
        <v>11.3</v>
      </c>
      <c r="Y1202" s="393">
        <v>99.73</v>
      </c>
      <c r="Z1202" s="393">
        <v>45000</v>
      </c>
      <c r="AA1202">
        <v>0</v>
      </c>
      <c r="AB1202" s="400">
        <v>44575.749431446762</v>
      </c>
      <c r="AC1202" t="s">
        <v>439</v>
      </c>
    </row>
    <row r="1203" spans="1:29">
      <c r="A1203" t="s">
        <v>382</v>
      </c>
      <c r="B1203" t="s">
        <v>440</v>
      </c>
      <c r="C1203" t="s">
        <v>409</v>
      </c>
      <c r="D1203" t="s">
        <v>410</v>
      </c>
      <c r="E1203" t="s">
        <v>390</v>
      </c>
      <c r="F1203" t="s">
        <v>391</v>
      </c>
      <c r="G1203">
        <v>6103527</v>
      </c>
      <c r="H1203">
        <v>202112</v>
      </c>
      <c r="I1203" s="400">
        <v>44561</v>
      </c>
      <c r="J1203">
        <v>119010</v>
      </c>
      <c r="K1203" t="s">
        <v>386</v>
      </c>
      <c r="L1203" t="s">
        <v>399</v>
      </c>
      <c r="M1203" t="s">
        <v>400</v>
      </c>
      <c r="O1203" t="s">
        <v>401</v>
      </c>
      <c r="P1203" t="s">
        <v>402</v>
      </c>
      <c r="Q1203" t="s">
        <v>396</v>
      </c>
      <c r="R1203">
        <v>2069143</v>
      </c>
      <c r="S1203" t="s">
        <v>399</v>
      </c>
      <c r="U1203" t="s">
        <v>1804</v>
      </c>
      <c r="V1203" t="s">
        <v>398</v>
      </c>
      <c r="W1203" s="393">
        <v>268000</v>
      </c>
      <c r="X1203" s="393">
        <v>67.319999999999993</v>
      </c>
      <c r="Y1203" s="393">
        <v>593.97</v>
      </c>
      <c r="Z1203" s="393">
        <v>268000</v>
      </c>
      <c r="AA1203">
        <v>0</v>
      </c>
      <c r="AB1203" s="400">
        <v>44575.749431446762</v>
      </c>
      <c r="AC1203" t="s">
        <v>439</v>
      </c>
    </row>
    <row r="1204" spans="1:29">
      <c r="A1204" t="s">
        <v>382</v>
      </c>
      <c r="B1204" t="s">
        <v>440</v>
      </c>
      <c r="C1204" t="s">
        <v>409</v>
      </c>
      <c r="D1204" t="s">
        <v>410</v>
      </c>
      <c r="E1204" t="s">
        <v>390</v>
      </c>
      <c r="F1204" t="s">
        <v>391</v>
      </c>
      <c r="G1204">
        <v>6103527</v>
      </c>
      <c r="H1204">
        <v>202112</v>
      </c>
      <c r="I1204" s="400">
        <v>44561</v>
      </c>
      <c r="J1204">
        <v>119010</v>
      </c>
      <c r="K1204" t="s">
        <v>386</v>
      </c>
      <c r="L1204" t="s">
        <v>399</v>
      </c>
      <c r="M1204" t="s">
        <v>400</v>
      </c>
      <c r="O1204" t="s">
        <v>401</v>
      </c>
      <c r="P1204" t="s">
        <v>402</v>
      </c>
      <c r="Q1204" t="s">
        <v>396</v>
      </c>
      <c r="R1204">
        <v>2069143</v>
      </c>
      <c r="S1204" t="s">
        <v>399</v>
      </c>
      <c r="U1204" t="s">
        <v>1805</v>
      </c>
      <c r="V1204" t="s">
        <v>398</v>
      </c>
      <c r="W1204" s="393">
        <v>718200.91</v>
      </c>
      <c r="X1204" s="393">
        <v>180.4</v>
      </c>
      <c r="Y1204" s="393">
        <v>1591.74</v>
      </c>
      <c r="Z1204" s="393">
        <v>718200.91</v>
      </c>
      <c r="AA1204">
        <v>0</v>
      </c>
      <c r="AB1204" s="400">
        <v>44575.749431446762</v>
      </c>
      <c r="AC1204" t="s">
        <v>439</v>
      </c>
    </row>
    <row r="1205" spans="1:29">
      <c r="A1205" t="s">
        <v>382</v>
      </c>
      <c r="B1205" t="s">
        <v>440</v>
      </c>
      <c r="C1205" t="s">
        <v>409</v>
      </c>
      <c r="D1205" t="s">
        <v>410</v>
      </c>
      <c r="E1205" t="s">
        <v>390</v>
      </c>
      <c r="F1205" t="s">
        <v>391</v>
      </c>
      <c r="G1205">
        <v>6103525</v>
      </c>
      <c r="H1205">
        <v>202112</v>
      </c>
      <c r="I1205" s="400">
        <v>44561</v>
      </c>
      <c r="J1205">
        <v>119010</v>
      </c>
      <c r="K1205" t="s">
        <v>386</v>
      </c>
      <c r="L1205" t="s">
        <v>399</v>
      </c>
      <c r="M1205" t="s">
        <v>400</v>
      </c>
      <c r="O1205" t="s">
        <v>401</v>
      </c>
      <c r="P1205" t="s">
        <v>402</v>
      </c>
      <c r="Q1205" t="s">
        <v>396</v>
      </c>
      <c r="R1205">
        <v>2069143</v>
      </c>
      <c r="S1205" t="s">
        <v>399</v>
      </c>
      <c r="U1205" t="s">
        <v>1810</v>
      </c>
      <c r="V1205" t="s">
        <v>398</v>
      </c>
      <c r="W1205" s="393">
        <v>449299</v>
      </c>
      <c r="X1205" s="393">
        <v>112.85</v>
      </c>
      <c r="Y1205" s="393">
        <v>995.78</v>
      </c>
      <c r="Z1205" s="393">
        <v>449299</v>
      </c>
      <c r="AA1205">
        <v>0</v>
      </c>
      <c r="AB1205" s="400">
        <v>44574.979683831021</v>
      </c>
      <c r="AC1205" t="s">
        <v>439</v>
      </c>
    </row>
    <row r="1206" spans="1:29">
      <c r="A1206" t="s">
        <v>382</v>
      </c>
      <c r="B1206" t="s">
        <v>440</v>
      </c>
      <c r="C1206" t="s">
        <v>409</v>
      </c>
      <c r="D1206" t="s">
        <v>410</v>
      </c>
      <c r="E1206" t="s">
        <v>390</v>
      </c>
      <c r="F1206" t="s">
        <v>391</v>
      </c>
      <c r="G1206">
        <v>6103328</v>
      </c>
      <c r="H1206">
        <v>202112</v>
      </c>
      <c r="I1206" s="400">
        <v>44551</v>
      </c>
      <c r="J1206">
        <v>119010</v>
      </c>
      <c r="K1206" t="s">
        <v>386</v>
      </c>
      <c r="L1206" t="s">
        <v>399</v>
      </c>
      <c r="M1206" t="s">
        <v>400</v>
      </c>
      <c r="O1206" t="s">
        <v>401</v>
      </c>
      <c r="P1206" t="s">
        <v>402</v>
      </c>
      <c r="Q1206" t="s">
        <v>396</v>
      </c>
      <c r="R1206">
        <v>2069143</v>
      </c>
      <c r="S1206" t="s">
        <v>399</v>
      </c>
      <c r="U1206" t="s">
        <v>1811</v>
      </c>
      <c r="V1206" t="s">
        <v>398</v>
      </c>
      <c r="W1206" s="393">
        <v>5950000</v>
      </c>
      <c r="X1206" s="393">
        <v>1491.13</v>
      </c>
      <c r="Y1206" s="393">
        <v>13447.77</v>
      </c>
      <c r="Z1206" s="393">
        <v>5950000</v>
      </c>
      <c r="AA1206">
        <v>0</v>
      </c>
      <c r="AB1206" s="400">
        <v>44551.904961608794</v>
      </c>
      <c r="AC1206" t="s">
        <v>439</v>
      </c>
    </row>
    <row r="1207" spans="1:29">
      <c r="A1207" t="s">
        <v>382</v>
      </c>
      <c r="B1207" t="s">
        <v>440</v>
      </c>
      <c r="C1207" t="s">
        <v>409</v>
      </c>
      <c r="D1207" t="s">
        <v>410</v>
      </c>
      <c r="E1207" t="s">
        <v>390</v>
      </c>
      <c r="F1207" t="s">
        <v>391</v>
      </c>
      <c r="G1207">
        <v>6103328</v>
      </c>
      <c r="H1207">
        <v>202112</v>
      </c>
      <c r="I1207" s="400">
        <v>44551</v>
      </c>
      <c r="J1207">
        <v>119010</v>
      </c>
      <c r="K1207" t="s">
        <v>386</v>
      </c>
      <c r="L1207" t="s">
        <v>399</v>
      </c>
      <c r="M1207" t="s">
        <v>400</v>
      </c>
      <c r="O1207" t="s">
        <v>401</v>
      </c>
      <c r="P1207" t="s">
        <v>402</v>
      </c>
      <c r="Q1207" t="s">
        <v>396</v>
      </c>
      <c r="R1207">
        <v>2069143</v>
      </c>
      <c r="S1207" t="s">
        <v>399</v>
      </c>
      <c r="U1207" t="s">
        <v>1812</v>
      </c>
      <c r="V1207" t="s">
        <v>398</v>
      </c>
      <c r="W1207" s="393">
        <v>141772.04</v>
      </c>
      <c r="X1207" s="393">
        <v>35.53</v>
      </c>
      <c r="Y1207" s="393">
        <v>320.42</v>
      </c>
      <c r="Z1207" s="393">
        <v>141772.04</v>
      </c>
      <c r="AA1207">
        <v>0</v>
      </c>
      <c r="AB1207" s="400">
        <v>44551.904961608794</v>
      </c>
      <c r="AC1207" t="s">
        <v>439</v>
      </c>
    </row>
    <row r="1208" spans="1:29">
      <c r="A1208" t="s">
        <v>382</v>
      </c>
      <c r="B1208" t="s">
        <v>382</v>
      </c>
      <c r="C1208" t="s">
        <v>409</v>
      </c>
      <c r="D1208" t="s">
        <v>410</v>
      </c>
      <c r="E1208" t="s">
        <v>390</v>
      </c>
      <c r="F1208" t="s">
        <v>391</v>
      </c>
      <c r="G1208">
        <v>6103368</v>
      </c>
      <c r="H1208">
        <v>202112</v>
      </c>
      <c r="I1208" s="400">
        <v>44552</v>
      </c>
      <c r="J1208">
        <v>119010</v>
      </c>
      <c r="K1208" t="s">
        <v>386</v>
      </c>
      <c r="L1208" t="s">
        <v>399</v>
      </c>
      <c r="M1208" t="s">
        <v>400</v>
      </c>
      <c r="O1208" t="s">
        <v>401</v>
      </c>
      <c r="P1208" t="s">
        <v>402</v>
      </c>
      <c r="Q1208" t="s">
        <v>396</v>
      </c>
      <c r="R1208">
        <v>2069143</v>
      </c>
      <c r="S1208" t="s">
        <v>403</v>
      </c>
      <c r="U1208" t="s">
        <v>1813</v>
      </c>
      <c r="V1208" t="s">
        <v>398</v>
      </c>
      <c r="W1208" s="393">
        <v>-2593835.36</v>
      </c>
      <c r="X1208" s="393">
        <v>-663.74</v>
      </c>
      <c r="Y1208" s="393">
        <v>-5691.73</v>
      </c>
      <c r="Z1208" s="393">
        <v>-2593835.36</v>
      </c>
      <c r="AA1208">
        <v>0</v>
      </c>
      <c r="AB1208" s="400">
        <v>44552.789570717592</v>
      </c>
      <c r="AC1208" t="s">
        <v>439</v>
      </c>
    </row>
    <row r="1209" spans="1:29">
      <c r="A1209" t="s">
        <v>382</v>
      </c>
      <c r="B1209" t="s">
        <v>382</v>
      </c>
      <c r="C1209" t="s">
        <v>409</v>
      </c>
      <c r="D1209" t="s">
        <v>410</v>
      </c>
      <c r="E1209" t="s">
        <v>390</v>
      </c>
      <c r="F1209" t="s">
        <v>391</v>
      </c>
      <c r="G1209">
        <v>6103368</v>
      </c>
      <c r="H1209">
        <v>202112</v>
      </c>
      <c r="I1209" s="400">
        <v>44552</v>
      </c>
      <c r="J1209">
        <v>119010</v>
      </c>
      <c r="K1209" t="s">
        <v>386</v>
      </c>
      <c r="L1209" t="s">
        <v>399</v>
      </c>
      <c r="M1209" t="s">
        <v>400</v>
      </c>
      <c r="O1209" t="s">
        <v>401</v>
      </c>
      <c r="P1209" t="s">
        <v>402</v>
      </c>
      <c r="Q1209" t="s">
        <v>396</v>
      </c>
      <c r="R1209">
        <v>2069143</v>
      </c>
      <c r="S1209" t="s">
        <v>403</v>
      </c>
      <c r="U1209" t="s">
        <v>1814</v>
      </c>
      <c r="V1209" t="s">
        <v>398</v>
      </c>
      <c r="W1209" s="393">
        <v>632429</v>
      </c>
      <c r="X1209" s="393">
        <v>161.83000000000001</v>
      </c>
      <c r="Y1209" s="393">
        <v>1387.76</v>
      </c>
      <c r="Z1209" s="393">
        <v>632429</v>
      </c>
      <c r="AA1209">
        <v>0</v>
      </c>
      <c r="AB1209" s="400">
        <v>44552.789570717592</v>
      </c>
      <c r="AC1209" t="s">
        <v>439</v>
      </c>
    </row>
    <row r="1210" spans="1:29">
      <c r="A1210" t="s">
        <v>382</v>
      </c>
      <c r="B1210" t="s">
        <v>382</v>
      </c>
      <c r="C1210" t="s">
        <v>409</v>
      </c>
      <c r="D1210" t="s">
        <v>410</v>
      </c>
      <c r="E1210" t="s">
        <v>390</v>
      </c>
      <c r="F1210" t="s">
        <v>391</v>
      </c>
      <c r="G1210">
        <v>6103368</v>
      </c>
      <c r="H1210">
        <v>202112</v>
      </c>
      <c r="I1210" s="400">
        <v>44552</v>
      </c>
      <c r="J1210">
        <v>119010</v>
      </c>
      <c r="K1210" t="s">
        <v>386</v>
      </c>
      <c r="L1210" t="s">
        <v>399</v>
      </c>
      <c r="M1210" t="s">
        <v>400</v>
      </c>
      <c r="O1210" t="s">
        <v>401</v>
      </c>
      <c r="P1210" t="s">
        <v>402</v>
      </c>
      <c r="Q1210" t="s">
        <v>396</v>
      </c>
      <c r="R1210">
        <v>2069143</v>
      </c>
      <c r="S1210" t="s">
        <v>403</v>
      </c>
      <c r="U1210" t="s">
        <v>1815</v>
      </c>
      <c r="V1210" t="s">
        <v>398</v>
      </c>
      <c r="W1210" s="393">
        <v>84200</v>
      </c>
      <c r="X1210" s="393">
        <v>21.55</v>
      </c>
      <c r="Y1210" s="393">
        <v>184.76</v>
      </c>
      <c r="Z1210" s="393">
        <v>84200</v>
      </c>
      <c r="AA1210">
        <v>0</v>
      </c>
      <c r="AB1210" s="400">
        <v>44552.789570717592</v>
      </c>
      <c r="AC1210" t="s">
        <v>439</v>
      </c>
    </row>
    <row r="1211" spans="1:29">
      <c r="A1211" t="s">
        <v>382</v>
      </c>
      <c r="B1211" t="s">
        <v>382</v>
      </c>
      <c r="C1211" t="s">
        <v>409</v>
      </c>
      <c r="D1211" t="s">
        <v>410</v>
      </c>
      <c r="E1211" t="s">
        <v>390</v>
      </c>
      <c r="F1211" t="s">
        <v>391</v>
      </c>
      <c r="G1211">
        <v>6103368</v>
      </c>
      <c r="H1211">
        <v>202112</v>
      </c>
      <c r="I1211" s="400">
        <v>44552</v>
      </c>
      <c r="J1211">
        <v>119010</v>
      </c>
      <c r="K1211" t="s">
        <v>386</v>
      </c>
      <c r="L1211" t="s">
        <v>399</v>
      </c>
      <c r="M1211" t="s">
        <v>400</v>
      </c>
      <c r="O1211" t="s">
        <v>401</v>
      </c>
      <c r="P1211" t="s">
        <v>402</v>
      </c>
      <c r="Q1211" t="s">
        <v>396</v>
      </c>
      <c r="R1211">
        <v>2069143</v>
      </c>
      <c r="S1211" t="s">
        <v>403</v>
      </c>
      <c r="U1211" t="s">
        <v>1816</v>
      </c>
      <c r="V1211" t="s">
        <v>398</v>
      </c>
      <c r="W1211" s="393">
        <v>68500</v>
      </c>
      <c r="X1211" s="393">
        <v>17.53</v>
      </c>
      <c r="Y1211" s="393">
        <v>150.31</v>
      </c>
      <c r="Z1211" s="393">
        <v>68500</v>
      </c>
      <c r="AA1211">
        <v>0</v>
      </c>
      <c r="AB1211" s="400">
        <v>44552.789570717592</v>
      </c>
      <c r="AC1211" t="s">
        <v>439</v>
      </c>
    </row>
    <row r="1212" spans="1:29">
      <c r="A1212" t="s">
        <v>382</v>
      </c>
      <c r="B1212" t="s">
        <v>382</v>
      </c>
      <c r="C1212" t="s">
        <v>409</v>
      </c>
      <c r="D1212" t="s">
        <v>410</v>
      </c>
      <c r="E1212" t="s">
        <v>390</v>
      </c>
      <c r="F1212" t="s">
        <v>391</v>
      </c>
      <c r="G1212">
        <v>6103368</v>
      </c>
      <c r="H1212">
        <v>202112</v>
      </c>
      <c r="I1212" s="400">
        <v>44552</v>
      </c>
      <c r="J1212">
        <v>119010</v>
      </c>
      <c r="K1212" t="s">
        <v>386</v>
      </c>
      <c r="L1212" t="s">
        <v>399</v>
      </c>
      <c r="M1212" t="s">
        <v>400</v>
      </c>
      <c r="O1212" t="s">
        <v>401</v>
      </c>
      <c r="P1212" t="s">
        <v>402</v>
      </c>
      <c r="Q1212" t="s">
        <v>396</v>
      </c>
      <c r="R1212">
        <v>2069143</v>
      </c>
      <c r="S1212" t="s">
        <v>403</v>
      </c>
      <c r="U1212" t="s">
        <v>1817</v>
      </c>
      <c r="V1212" t="s">
        <v>398</v>
      </c>
      <c r="W1212" s="393">
        <v>1397900</v>
      </c>
      <c r="X1212" s="393">
        <v>357.71</v>
      </c>
      <c r="Y1212" s="393">
        <v>3067.45</v>
      </c>
      <c r="Z1212" s="393">
        <v>1397900</v>
      </c>
      <c r="AA1212">
        <v>0</v>
      </c>
      <c r="AB1212" s="400">
        <v>44552.789570717592</v>
      </c>
      <c r="AC1212" t="s">
        <v>439</v>
      </c>
    </row>
    <row r="1213" spans="1:29">
      <c r="A1213" t="s">
        <v>382</v>
      </c>
      <c r="B1213" t="s">
        <v>382</v>
      </c>
      <c r="C1213" t="s">
        <v>409</v>
      </c>
      <c r="D1213" t="s">
        <v>410</v>
      </c>
      <c r="E1213" t="s">
        <v>390</v>
      </c>
      <c r="F1213" t="s">
        <v>391</v>
      </c>
      <c r="G1213">
        <v>6103368</v>
      </c>
      <c r="H1213">
        <v>202112</v>
      </c>
      <c r="I1213" s="400">
        <v>44552</v>
      </c>
      <c r="J1213">
        <v>119010</v>
      </c>
      <c r="K1213" t="s">
        <v>386</v>
      </c>
      <c r="L1213" t="s">
        <v>399</v>
      </c>
      <c r="M1213" t="s">
        <v>400</v>
      </c>
      <c r="O1213" t="s">
        <v>401</v>
      </c>
      <c r="P1213" t="s">
        <v>402</v>
      </c>
      <c r="Q1213" t="s">
        <v>396</v>
      </c>
      <c r="R1213">
        <v>2069143</v>
      </c>
      <c r="S1213" t="s">
        <v>403</v>
      </c>
      <c r="U1213" t="s">
        <v>1818</v>
      </c>
      <c r="V1213" t="s">
        <v>398</v>
      </c>
      <c r="W1213" s="393">
        <v>410806.36</v>
      </c>
      <c r="X1213" s="393">
        <v>105.12</v>
      </c>
      <c r="Y1213" s="393">
        <v>901.45</v>
      </c>
      <c r="Z1213" s="393">
        <v>410806.36</v>
      </c>
      <c r="AA1213">
        <v>0</v>
      </c>
      <c r="AB1213" s="400">
        <v>44552.789570717592</v>
      </c>
      <c r="AC1213" t="s">
        <v>439</v>
      </c>
    </row>
    <row r="1214" spans="1:29">
      <c r="A1214" t="s">
        <v>382</v>
      </c>
      <c r="B1214" t="s">
        <v>382</v>
      </c>
      <c r="C1214" t="s">
        <v>409</v>
      </c>
      <c r="D1214" t="s">
        <v>410</v>
      </c>
      <c r="E1214" t="s">
        <v>390</v>
      </c>
      <c r="F1214" t="s">
        <v>391</v>
      </c>
      <c r="G1214">
        <v>6103365</v>
      </c>
      <c r="H1214">
        <v>202112</v>
      </c>
      <c r="I1214" s="400">
        <v>44552</v>
      </c>
      <c r="J1214">
        <v>119010</v>
      </c>
      <c r="K1214" t="s">
        <v>386</v>
      </c>
      <c r="L1214" t="s">
        <v>399</v>
      </c>
      <c r="M1214" t="s">
        <v>400</v>
      </c>
      <c r="O1214" t="s">
        <v>401</v>
      </c>
      <c r="P1214" t="s">
        <v>402</v>
      </c>
      <c r="Q1214" t="s">
        <v>396</v>
      </c>
      <c r="R1214">
        <v>2069143</v>
      </c>
      <c r="S1214" t="s">
        <v>403</v>
      </c>
      <c r="U1214" t="s">
        <v>1819</v>
      </c>
      <c r="V1214" t="s">
        <v>398</v>
      </c>
      <c r="W1214" s="393">
        <v>-300840.92</v>
      </c>
      <c r="X1214" s="393">
        <v>-78.45</v>
      </c>
      <c r="Y1214" s="393">
        <v>-926.63</v>
      </c>
      <c r="Z1214" s="393">
        <v>-300840.92</v>
      </c>
      <c r="AA1214">
        <v>0</v>
      </c>
      <c r="AB1214" s="400">
        <v>44552.757233483797</v>
      </c>
      <c r="AC1214" t="s">
        <v>439</v>
      </c>
    </row>
    <row r="1215" spans="1:29">
      <c r="A1215" t="s">
        <v>382</v>
      </c>
      <c r="B1215" t="s">
        <v>382</v>
      </c>
      <c r="C1215" t="s">
        <v>409</v>
      </c>
      <c r="D1215" t="s">
        <v>410</v>
      </c>
      <c r="E1215" t="s">
        <v>390</v>
      </c>
      <c r="F1215" t="s">
        <v>391</v>
      </c>
      <c r="G1215">
        <v>6103365</v>
      </c>
      <c r="H1215">
        <v>202112</v>
      </c>
      <c r="I1215" s="400">
        <v>44552</v>
      </c>
      <c r="J1215">
        <v>119010</v>
      </c>
      <c r="K1215" t="s">
        <v>386</v>
      </c>
      <c r="L1215" t="s">
        <v>399</v>
      </c>
      <c r="M1215" t="s">
        <v>400</v>
      </c>
      <c r="O1215" t="s">
        <v>401</v>
      </c>
      <c r="P1215" t="s">
        <v>402</v>
      </c>
      <c r="Q1215" t="s">
        <v>396</v>
      </c>
      <c r="R1215">
        <v>2069143</v>
      </c>
      <c r="S1215" t="s">
        <v>403</v>
      </c>
      <c r="U1215" t="s">
        <v>1820</v>
      </c>
      <c r="V1215" t="s">
        <v>398</v>
      </c>
      <c r="W1215" s="393">
        <v>300840.92</v>
      </c>
      <c r="X1215" s="393">
        <v>78.45</v>
      </c>
      <c r="Y1215" s="393">
        <v>926.63</v>
      </c>
      <c r="Z1215" s="393">
        <v>300840.92</v>
      </c>
      <c r="AA1215">
        <v>0</v>
      </c>
      <c r="AB1215" s="400">
        <v>44552.757233483797</v>
      </c>
      <c r="AC1215" t="s">
        <v>439</v>
      </c>
    </row>
    <row r="1216" spans="1:29">
      <c r="A1216" t="s">
        <v>382</v>
      </c>
      <c r="B1216" t="s">
        <v>440</v>
      </c>
      <c r="C1216" t="s">
        <v>418</v>
      </c>
      <c r="D1216" t="s">
        <v>419</v>
      </c>
      <c r="E1216" t="s">
        <v>390</v>
      </c>
      <c r="F1216" t="s">
        <v>391</v>
      </c>
      <c r="G1216">
        <v>6103125</v>
      </c>
      <c r="H1216">
        <v>202111</v>
      </c>
      <c r="I1216" s="400">
        <v>44530</v>
      </c>
      <c r="J1216">
        <v>119010</v>
      </c>
      <c r="K1216" t="s">
        <v>386</v>
      </c>
      <c r="L1216" t="s">
        <v>392</v>
      </c>
      <c r="M1216" t="s">
        <v>393</v>
      </c>
      <c r="O1216" t="s">
        <v>394</v>
      </c>
      <c r="P1216" t="s">
        <v>395</v>
      </c>
      <c r="Q1216" t="s">
        <v>396</v>
      </c>
      <c r="R1216">
        <v>2069140</v>
      </c>
      <c r="S1216" t="s">
        <v>392</v>
      </c>
      <c r="U1216" t="s">
        <v>1821</v>
      </c>
      <c r="V1216" t="s">
        <v>398</v>
      </c>
      <c r="W1216" s="393">
        <v>22787113</v>
      </c>
      <c r="X1216" s="393">
        <v>5740.53</v>
      </c>
      <c r="Y1216" s="393">
        <v>49637.85</v>
      </c>
      <c r="Z1216" s="393">
        <v>22787113</v>
      </c>
      <c r="AA1216">
        <v>0</v>
      </c>
      <c r="AB1216" s="400">
        <v>44533.671625613424</v>
      </c>
      <c r="AC1216" t="s">
        <v>437</v>
      </c>
    </row>
    <row r="1217" spans="1:29">
      <c r="A1217" t="s">
        <v>382</v>
      </c>
      <c r="B1217" t="s">
        <v>382</v>
      </c>
      <c r="C1217" t="s">
        <v>418</v>
      </c>
      <c r="D1217" t="s">
        <v>419</v>
      </c>
      <c r="E1217" t="s">
        <v>390</v>
      </c>
      <c r="F1217" t="s">
        <v>391</v>
      </c>
      <c r="G1217">
        <v>6103533</v>
      </c>
      <c r="H1217">
        <v>202112</v>
      </c>
      <c r="I1217" s="400">
        <v>44561</v>
      </c>
      <c r="J1217">
        <v>119010</v>
      </c>
      <c r="K1217" t="s">
        <v>386</v>
      </c>
      <c r="L1217" t="s">
        <v>392</v>
      </c>
      <c r="M1217" t="s">
        <v>393</v>
      </c>
      <c r="O1217" t="s">
        <v>394</v>
      </c>
      <c r="P1217" t="s">
        <v>395</v>
      </c>
      <c r="Q1217" t="s">
        <v>396</v>
      </c>
      <c r="R1217">
        <v>2069140</v>
      </c>
      <c r="S1217" t="s">
        <v>430</v>
      </c>
      <c r="U1217" t="s">
        <v>1822</v>
      </c>
      <c r="V1217" t="s">
        <v>398</v>
      </c>
      <c r="W1217" s="393">
        <v>1786030</v>
      </c>
      <c r="X1217" s="393">
        <v>498.3</v>
      </c>
      <c r="Y1217" s="393">
        <v>4206.1000000000004</v>
      </c>
      <c r="Z1217" s="393">
        <v>1786030</v>
      </c>
      <c r="AA1217">
        <v>0</v>
      </c>
      <c r="AB1217" s="400">
        <v>44576.042806793979</v>
      </c>
      <c r="AC1217" t="s">
        <v>437</v>
      </c>
    </row>
    <row r="1218" spans="1:29">
      <c r="A1218" t="s">
        <v>382</v>
      </c>
      <c r="B1218" t="s">
        <v>382</v>
      </c>
      <c r="C1218" t="s">
        <v>418</v>
      </c>
      <c r="D1218" t="s">
        <v>419</v>
      </c>
      <c r="E1218" t="s">
        <v>390</v>
      </c>
      <c r="F1218" t="s">
        <v>391</v>
      </c>
      <c r="G1218">
        <v>6103533</v>
      </c>
      <c r="H1218">
        <v>202112</v>
      </c>
      <c r="I1218" s="400">
        <v>44561</v>
      </c>
      <c r="J1218">
        <v>119010</v>
      </c>
      <c r="K1218" t="s">
        <v>386</v>
      </c>
      <c r="L1218" t="s">
        <v>392</v>
      </c>
      <c r="M1218" t="s">
        <v>393</v>
      </c>
      <c r="O1218" t="s">
        <v>394</v>
      </c>
      <c r="P1218" t="s">
        <v>395</v>
      </c>
      <c r="Q1218" t="s">
        <v>396</v>
      </c>
      <c r="R1218">
        <v>2069140</v>
      </c>
      <c r="S1218" t="s">
        <v>430</v>
      </c>
      <c r="U1218" t="s">
        <v>1823</v>
      </c>
      <c r="V1218" t="s">
        <v>398</v>
      </c>
      <c r="W1218" s="393">
        <v>1795200</v>
      </c>
      <c r="X1218" s="393">
        <v>500.86</v>
      </c>
      <c r="Y1218" s="393">
        <v>4227.7</v>
      </c>
      <c r="Z1218" s="393">
        <v>1795200</v>
      </c>
      <c r="AA1218">
        <v>0</v>
      </c>
      <c r="AB1218" s="400">
        <v>44576.042806793979</v>
      </c>
      <c r="AC1218" t="s">
        <v>437</v>
      </c>
    </row>
    <row r="1219" spans="1:29">
      <c r="A1219" t="s">
        <v>382</v>
      </c>
      <c r="B1219" t="s">
        <v>440</v>
      </c>
      <c r="C1219" t="s">
        <v>418</v>
      </c>
      <c r="D1219" t="s">
        <v>419</v>
      </c>
      <c r="E1219" t="s">
        <v>390</v>
      </c>
      <c r="F1219" t="s">
        <v>391</v>
      </c>
      <c r="G1219">
        <v>6103538</v>
      </c>
      <c r="H1219">
        <v>202112</v>
      </c>
      <c r="I1219" s="400">
        <v>44561</v>
      </c>
      <c r="J1219">
        <v>119010</v>
      </c>
      <c r="K1219" t="s">
        <v>386</v>
      </c>
      <c r="L1219" t="s">
        <v>392</v>
      </c>
      <c r="M1219" t="s">
        <v>393</v>
      </c>
      <c r="O1219" t="s">
        <v>394</v>
      </c>
      <c r="P1219" t="s">
        <v>395</v>
      </c>
      <c r="Q1219" t="s">
        <v>396</v>
      </c>
      <c r="R1219">
        <v>2069140</v>
      </c>
      <c r="S1219" t="s">
        <v>430</v>
      </c>
      <c r="U1219" t="s">
        <v>1824</v>
      </c>
      <c r="V1219" t="s">
        <v>398</v>
      </c>
      <c r="W1219" s="393">
        <v>5865000</v>
      </c>
      <c r="X1219" s="393">
        <v>1636.34</v>
      </c>
      <c r="Y1219" s="393">
        <v>13812.08</v>
      </c>
      <c r="Z1219" s="393">
        <v>5865000</v>
      </c>
      <c r="AA1219">
        <v>0</v>
      </c>
      <c r="AB1219" s="400">
        <v>44580.042569675927</v>
      </c>
      <c r="AC1219" t="s">
        <v>437</v>
      </c>
    </row>
    <row r="1220" spans="1:29">
      <c r="A1220" t="s">
        <v>382</v>
      </c>
      <c r="B1220" t="s">
        <v>440</v>
      </c>
      <c r="C1220" t="s">
        <v>418</v>
      </c>
      <c r="D1220" t="s">
        <v>419</v>
      </c>
      <c r="E1220" t="s">
        <v>390</v>
      </c>
      <c r="F1220" t="s">
        <v>391</v>
      </c>
      <c r="G1220">
        <v>6103538</v>
      </c>
      <c r="H1220">
        <v>202112</v>
      </c>
      <c r="I1220" s="400">
        <v>44561</v>
      </c>
      <c r="J1220">
        <v>119010</v>
      </c>
      <c r="K1220" t="s">
        <v>386</v>
      </c>
      <c r="L1220" t="s">
        <v>392</v>
      </c>
      <c r="M1220" t="s">
        <v>393</v>
      </c>
      <c r="O1220" t="s">
        <v>394</v>
      </c>
      <c r="P1220" t="s">
        <v>395</v>
      </c>
      <c r="Q1220" t="s">
        <v>396</v>
      </c>
      <c r="R1220">
        <v>2069140</v>
      </c>
      <c r="S1220" t="s">
        <v>430</v>
      </c>
      <c r="U1220" t="s">
        <v>1825</v>
      </c>
      <c r="V1220" t="s">
        <v>398</v>
      </c>
      <c r="W1220" s="393">
        <v>2822443</v>
      </c>
      <c r="X1220" s="393">
        <v>787.46</v>
      </c>
      <c r="Y1220" s="393">
        <v>6646.85</v>
      </c>
      <c r="Z1220" s="393">
        <v>2822443</v>
      </c>
      <c r="AA1220">
        <v>0</v>
      </c>
      <c r="AB1220" s="400">
        <v>44580.042569675927</v>
      </c>
      <c r="AC1220" t="s">
        <v>437</v>
      </c>
    </row>
    <row r="1221" spans="1:29">
      <c r="A1221" t="s">
        <v>382</v>
      </c>
      <c r="B1221" t="s">
        <v>440</v>
      </c>
      <c r="C1221" t="s">
        <v>418</v>
      </c>
      <c r="D1221" t="s">
        <v>419</v>
      </c>
      <c r="E1221" t="s">
        <v>390</v>
      </c>
      <c r="F1221" t="s">
        <v>391</v>
      </c>
      <c r="G1221">
        <v>6103538</v>
      </c>
      <c r="H1221">
        <v>202112</v>
      </c>
      <c r="I1221" s="400">
        <v>44561</v>
      </c>
      <c r="J1221">
        <v>119010</v>
      </c>
      <c r="K1221" t="s">
        <v>386</v>
      </c>
      <c r="L1221" t="s">
        <v>392</v>
      </c>
      <c r="M1221" t="s">
        <v>393</v>
      </c>
      <c r="O1221" t="s">
        <v>394</v>
      </c>
      <c r="P1221" t="s">
        <v>395</v>
      </c>
      <c r="Q1221" t="s">
        <v>396</v>
      </c>
      <c r="R1221">
        <v>2069140</v>
      </c>
      <c r="S1221" t="s">
        <v>430</v>
      </c>
      <c r="U1221" t="s">
        <v>1826</v>
      </c>
      <c r="V1221" t="s">
        <v>398</v>
      </c>
      <c r="W1221" s="393">
        <v>8648125</v>
      </c>
      <c r="X1221" s="393">
        <v>2412.83</v>
      </c>
      <c r="Y1221" s="393">
        <v>20366.330000000002</v>
      </c>
      <c r="Z1221" s="393">
        <v>8648125</v>
      </c>
      <c r="AA1221">
        <v>0</v>
      </c>
      <c r="AB1221" s="400">
        <v>44580.042569675927</v>
      </c>
      <c r="AC1221" t="s">
        <v>437</v>
      </c>
    </row>
    <row r="1222" spans="1:29">
      <c r="A1222" t="s">
        <v>382</v>
      </c>
      <c r="B1222" t="s">
        <v>440</v>
      </c>
      <c r="C1222" t="s">
        <v>418</v>
      </c>
      <c r="D1222" t="s">
        <v>419</v>
      </c>
      <c r="E1222" t="s">
        <v>390</v>
      </c>
      <c r="F1222" t="s">
        <v>391</v>
      </c>
      <c r="G1222">
        <v>6103538</v>
      </c>
      <c r="H1222">
        <v>202112</v>
      </c>
      <c r="I1222" s="400">
        <v>44561</v>
      </c>
      <c r="J1222">
        <v>119010</v>
      </c>
      <c r="K1222" t="s">
        <v>386</v>
      </c>
      <c r="L1222" t="s">
        <v>392</v>
      </c>
      <c r="M1222" t="s">
        <v>393</v>
      </c>
      <c r="O1222" t="s">
        <v>394</v>
      </c>
      <c r="P1222" t="s">
        <v>395</v>
      </c>
      <c r="Q1222" t="s">
        <v>396</v>
      </c>
      <c r="R1222">
        <v>2069140</v>
      </c>
      <c r="S1222" t="s">
        <v>430</v>
      </c>
      <c r="U1222" t="s">
        <v>1827</v>
      </c>
      <c r="V1222" t="s">
        <v>398</v>
      </c>
      <c r="W1222" s="393">
        <v>5451545</v>
      </c>
      <c r="X1222" s="393">
        <v>1520.98</v>
      </c>
      <c r="Y1222" s="393">
        <v>12838.39</v>
      </c>
      <c r="Z1222" s="393">
        <v>5451545</v>
      </c>
      <c r="AA1222">
        <v>0</v>
      </c>
      <c r="AB1222" s="400">
        <v>44580.042569675927</v>
      </c>
      <c r="AC1222" t="s">
        <v>437</v>
      </c>
    </row>
    <row r="1223" spans="1:29">
      <c r="A1223" t="s">
        <v>382</v>
      </c>
      <c r="B1223" t="s">
        <v>382</v>
      </c>
      <c r="C1223" t="s">
        <v>418</v>
      </c>
      <c r="D1223" t="s">
        <v>419</v>
      </c>
      <c r="E1223" t="s">
        <v>390</v>
      </c>
      <c r="F1223" t="s">
        <v>391</v>
      </c>
      <c r="G1223">
        <v>6103533</v>
      </c>
      <c r="H1223">
        <v>202112</v>
      </c>
      <c r="I1223" s="400">
        <v>44561</v>
      </c>
      <c r="J1223">
        <v>119010</v>
      </c>
      <c r="K1223" t="s">
        <v>386</v>
      </c>
      <c r="L1223" t="s">
        <v>392</v>
      </c>
      <c r="M1223" t="s">
        <v>393</v>
      </c>
      <c r="O1223" t="s">
        <v>394</v>
      </c>
      <c r="P1223" t="s">
        <v>395</v>
      </c>
      <c r="Q1223" t="s">
        <v>396</v>
      </c>
      <c r="R1223">
        <v>2069140</v>
      </c>
      <c r="S1223" t="s">
        <v>430</v>
      </c>
      <c r="U1223" t="s">
        <v>1828</v>
      </c>
      <c r="V1223" t="s">
        <v>398</v>
      </c>
      <c r="W1223" s="393">
        <v>-6337980</v>
      </c>
      <c r="X1223" s="393">
        <v>-1640</v>
      </c>
      <c r="Y1223" s="393">
        <v>-14280</v>
      </c>
      <c r="Z1223" s="393">
        <v>-6337980</v>
      </c>
      <c r="AA1223">
        <v>0</v>
      </c>
      <c r="AB1223" s="400">
        <v>44576.042806793979</v>
      </c>
      <c r="AC1223" t="s">
        <v>437</v>
      </c>
    </row>
    <row r="1224" spans="1:29">
      <c r="A1224" t="s">
        <v>382</v>
      </c>
      <c r="B1224" t="s">
        <v>440</v>
      </c>
      <c r="C1224" t="s">
        <v>418</v>
      </c>
      <c r="D1224" t="s">
        <v>419</v>
      </c>
      <c r="E1224" t="s">
        <v>390</v>
      </c>
      <c r="F1224" t="s">
        <v>391</v>
      </c>
      <c r="G1224">
        <v>6103538</v>
      </c>
      <c r="H1224">
        <v>202112</v>
      </c>
      <c r="I1224" s="400">
        <v>44561</v>
      </c>
      <c r="J1224">
        <v>119010</v>
      </c>
      <c r="K1224" t="s">
        <v>386</v>
      </c>
      <c r="L1224" t="s">
        <v>392</v>
      </c>
      <c r="M1224" t="s">
        <v>393</v>
      </c>
      <c r="O1224" t="s">
        <v>394</v>
      </c>
      <c r="P1224" t="s">
        <v>395</v>
      </c>
      <c r="Q1224" t="s">
        <v>396</v>
      </c>
      <c r="R1224">
        <v>2069140</v>
      </c>
      <c r="S1224" t="s">
        <v>430</v>
      </c>
      <c r="U1224" t="s">
        <v>1829</v>
      </c>
      <c r="V1224" t="s">
        <v>398</v>
      </c>
      <c r="W1224" s="393">
        <v>-22787113</v>
      </c>
      <c r="X1224" s="393">
        <v>-5740.53</v>
      </c>
      <c r="Y1224" s="393">
        <v>-49637.85</v>
      </c>
      <c r="Z1224" s="393">
        <v>-22787113</v>
      </c>
      <c r="AA1224">
        <v>0</v>
      </c>
      <c r="AB1224" s="400">
        <v>44580.042569675927</v>
      </c>
      <c r="AC1224" t="s">
        <v>437</v>
      </c>
    </row>
    <row r="1225" spans="1:29">
      <c r="A1225" t="s">
        <v>382</v>
      </c>
      <c r="B1225" t="s">
        <v>382</v>
      </c>
      <c r="C1225" t="s">
        <v>418</v>
      </c>
      <c r="D1225" t="s">
        <v>419</v>
      </c>
      <c r="E1225" t="s">
        <v>390</v>
      </c>
      <c r="F1225" t="s">
        <v>391</v>
      </c>
      <c r="G1225">
        <v>6103533</v>
      </c>
      <c r="H1225">
        <v>202112</v>
      </c>
      <c r="I1225" s="400">
        <v>44561</v>
      </c>
      <c r="J1225">
        <v>119010</v>
      </c>
      <c r="K1225" t="s">
        <v>386</v>
      </c>
      <c r="L1225" t="s">
        <v>392</v>
      </c>
      <c r="M1225" t="s">
        <v>393</v>
      </c>
      <c r="O1225" t="s">
        <v>394</v>
      </c>
      <c r="P1225" t="s">
        <v>395</v>
      </c>
      <c r="Q1225" t="s">
        <v>396</v>
      </c>
      <c r="R1225">
        <v>2069140</v>
      </c>
      <c r="S1225" t="s">
        <v>430</v>
      </c>
      <c r="U1225" t="s">
        <v>1830</v>
      </c>
      <c r="V1225" t="s">
        <v>398</v>
      </c>
      <c r="W1225" s="393">
        <v>1863800</v>
      </c>
      <c r="X1225" s="393">
        <v>520</v>
      </c>
      <c r="Y1225" s="393">
        <v>4389.25</v>
      </c>
      <c r="Z1225" s="393">
        <v>1863800</v>
      </c>
      <c r="AA1225">
        <v>0</v>
      </c>
      <c r="AB1225" s="400">
        <v>44576.042806793979</v>
      </c>
      <c r="AC1225" t="s">
        <v>437</v>
      </c>
    </row>
    <row r="1226" spans="1:29">
      <c r="A1226" t="s">
        <v>382</v>
      </c>
      <c r="B1226" t="s">
        <v>382</v>
      </c>
      <c r="C1226" t="s">
        <v>418</v>
      </c>
      <c r="D1226" t="s">
        <v>419</v>
      </c>
      <c r="E1226" t="s">
        <v>390</v>
      </c>
      <c r="F1226" t="s">
        <v>391</v>
      </c>
      <c r="G1226">
        <v>6103533</v>
      </c>
      <c r="H1226">
        <v>202112</v>
      </c>
      <c r="I1226" s="400">
        <v>44561</v>
      </c>
      <c r="J1226">
        <v>119010</v>
      </c>
      <c r="K1226" t="s">
        <v>386</v>
      </c>
      <c r="L1226" t="s">
        <v>392</v>
      </c>
      <c r="M1226" t="s">
        <v>393</v>
      </c>
      <c r="O1226" t="s">
        <v>394</v>
      </c>
      <c r="P1226" t="s">
        <v>395</v>
      </c>
      <c r="Q1226" t="s">
        <v>396</v>
      </c>
      <c r="R1226">
        <v>2069140</v>
      </c>
      <c r="S1226" t="s">
        <v>430</v>
      </c>
      <c r="U1226" t="s">
        <v>1831</v>
      </c>
      <c r="V1226" t="s">
        <v>398</v>
      </c>
      <c r="W1226" s="393">
        <v>892950</v>
      </c>
      <c r="X1226" s="393">
        <v>249.13</v>
      </c>
      <c r="Y1226" s="393">
        <v>2102.9</v>
      </c>
      <c r="Z1226" s="393">
        <v>892950</v>
      </c>
      <c r="AA1226">
        <v>0</v>
      </c>
      <c r="AB1226" s="400">
        <v>44576.042806793979</v>
      </c>
      <c r="AC1226" t="s">
        <v>437</v>
      </c>
    </row>
    <row r="1227" spans="1:29">
      <c r="A1227" t="s">
        <v>382</v>
      </c>
      <c r="B1227" t="s">
        <v>440</v>
      </c>
      <c r="C1227" t="s">
        <v>418</v>
      </c>
      <c r="D1227" t="s">
        <v>419</v>
      </c>
      <c r="E1227" t="s">
        <v>390</v>
      </c>
      <c r="F1227" t="s">
        <v>391</v>
      </c>
      <c r="G1227">
        <v>6103328</v>
      </c>
      <c r="H1227">
        <v>202112</v>
      </c>
      <c r="I1227" s="400">
        <v>44551</v>
      </c>
      <c r="J1227">
        <v>119010</v>
      </c>
      <c r="K1227" t="s">
        <v>386</v>
      </c>
      <c r="L1227" t="s">
        <v>399</v>
      </c>
      <c r="M1227" t="s">
        <v>400</v>
      </c>
      <c r="O1227" t="s">
        <v>401</v>
      </c>
      <c r="P1227" t="s">
        <v>402</v>
      </c>
      <c r="Q1227" t="s">
        <v>396</v>
      </c>
      <c r="R1227">
        <v>2514826</v>
      </c>
      <c r="S1227" t="s">
        <v>399</v>
      </c>
      <c r="U1227" t="s">
        <v>1832</v>
      </c>
      <c r="V1227" t="s">
        <v>398</v>
      </c>
      <c r="W1227" s="393">
        <v>2910000</v>
      </c>
      <c r="X1227" s="393">
        <v>729.28</v>
      </c>
      <c r="Y1227" s="393">
        <v>6576.98</v>
      </c>
      <c r="Z1227" s="393">
        <v>2910000</v>
      </c>
      <c r="AA1227">
        <v>0</v>
      </c>
      <c r="AB1227" s="400">
        <v>44551.904961608794</v>
      </c>
      <c r="AC1227" t="s">
        <v>439</v>
      </c>
    </row>
    <row r="1228" spans="1:29">
      <c r="A1228" t="s">
        <v>382</v>
      </c>
      <c r="B1228" t="s">
        <v>440</v>
      </c>
      <c r="C1228" t="s">
        <v>421</v>
      </c>
      <c r="D1228" t="s">
        <v>422</v>
      </c>
      <c r="E1228" t="s">
        <v>390</v>
      </c>
      <c r="F1228" t="s">
        <v>391</v>
      </c>
      <c r="G1228">
        <v>6103125</v>
      </c>
      <c r="H1228">
        <v>202111</v>
      </c>
      <c r="I1228" s="400">
        <v>44530</v>
      </c>
      <c r="J1228">
        <v>119010</v>
      </c>
      <c r="K1228" t="s">
        <v>386</v>
      </c>
      <c r="L1228" t="s">
        <v>392</v>
      </c>
      <c r="M1228" t="s">
        <v>393</v>
      </c>
      <c r="O1228" t="s">
        <v>394</v>
      </c>
      <c r="P1228" t="s">
        <v>395</v>
      </c>
      <c r="Q1228" t="s">
        <v>396</v>
      </c>
      <c r="R1228">
        <v>2069138</v>
      </c>
      <c r="S1228" t="s">
        <v>392</v>
      </c>
      <c r="U1228" t="s">
        <v>1833</v>
      </c>
      <c r="V1228" t="s">
        <v>398</v>
      </c>
      <c r="W1228" s="393">
        <v>27405795</v>
      </c>
      <c r="X1228" s="393">
        <v>6904.07</v>
      </c>
      <c r="Y1228" s="393">
        <v>59698.87</v>
      </c>
      <c r="Z1228" s="393">
        <v>27405795</v>
      </c>
      <c r="AA1228">
        <v>0</v>
      </c>
      <c r="AB1228" s="400">
        <v>44533.671625613424</v>
      </c>
      <c r="AC1228" t="s">
        <v>437</v>
      </c>
    </row>
    <row r="1229" spans="1:29">
      <c r="A1229" t="s">
        <v>382</v>
      </c>
      <c r="B1229" t="s">
        <v>382</v>
      </c>
      <c r="C1229" t="s">
        <v>421</v>
      </c>
      <c r="D1229" t="s">
        <v>422</v>
      </c>
      <c r="E1229" t="s">
        <v>390</v>
      </c>
      <c r="F1229" t="s">
        <v>391</v>
      </c>
      <c r="G1229">
        <v>6102961</v>
      </c>
      <c r="H1229">
        <v>202111</v>
      </c>
      <c r="I1229" s="400">
        <v>44519</v>
      </c>
      <c r="J1229">
        <v>119010</v>
      </c>
      <c r="K1229" t="s">
        <v>386</v>
      </c>
      <c r="L1229" t="s">
        <v>399</v>
      </c>
      <c r="M1229" t="s">
        <v>400</v>
      </c>
      <c r="O1229" t="s">
        <v>401</v>
      </c>
      <c r="P1229" t="s">
        <v>402</v>
      </c>
      <c r="Q1229" t="s">
        <v>396</v>
      </c>
      <c r="R1229">
        <v>2069136</v>
      </c>
      <c r="S1229" t="s">
        <v>399</v>
      </c>
      <c r="U1229" t="s">
        <v>1834</v>
      </c>
      <c r="V1229" t="s">
        <v>398</v>
      </c>
      <c r="W1229" s="393">
        <v>19780000</v>
      </c>
      <c r="X1229" s="393">
        <v>5061.5</v>
      </c>
      <c r="Y1229" s="393">
        <v>43403.85</v>
      </c>
      <c r="Z1229" s="393">
        <v>19780000</v>
      </c>
      <c r="AA1229">
        <v>0</v>
      </c>
      <c r="AB1229" s="400">
        <v>44529.764076307867</v>
      </c>
      <c r="AC1229" t="s">
        <v>439</v>
      </c>
    </row>
    <row r="1230" spans="1:29">
      <c r="A1230" t="s">
        <v>382</v>
      </c>
      <c r="B1230" t="s">
        <v>440</v>
      </c>
      <c r="C1230" t="s">
        <v>421</v>
      </c>
      <c r="D1230" t="s">
        <v>422</v>
      </c>
      <c r="E1230" t="s">
        <v>390</v>
      </c>
      <c r="F1230" t="s">
        <v>391</v>
      </c>
      <c r="G1230">
        <v>6103539</v>
      </c>
      <c r="H1230">
        <v>202112</v>
      </c>
      <c r="I1230" s="400">
        <v>44561</v>
      </c>
      <c r="J1230">
        <v>119010</v>
      </c>
      <c r="K1230" t="s">
        <v>386</v>
      </c>
      <c r="L1230" t="s">
        <v>392</v>
      </c>
      <c r="M1230" t="s">
        <v>393</v>
      </c>
      <c r="O1230" t="s">
        <v>394</v>
      </c>
      <c r="P1230" t="s">
        <v>395</v>
      </c>
      <c r="Q1230" t="s">
        <v>396</v>
      </c>
      <c r="R1230">
        <v>2069138</v>
      </c>
      <c r="S1230" t="s">
        <v>430</v>
      </c>
      <c r="U1230" t="s">
        <v>1835</v>
      </c>
      <c r="V1230" t="s">
        <v>398</v>
      </c>
      <c r="W1230" s="393">
        <v>673650</v>
      </c>
      <c r="X1230" s="393">
        <v>187.95</v>
      </c>
      <c r="Y1230" s="393">
        <v>1586.45</v>
      </c>
      <c r="Z1230" s="393">
        <v>673650</v>
      </c>
      <c r="AA1230">
        <v>0</v>
      </c>
      <c r="AB1230" s="400">
        <v>44580.187755983796</v>
      </c>
      <c r="AC1230" t="s">
        <v>437</v>
      </c>
    </row>
    <row r="1231" spans="1:29">
      <c r="A1231" t="s">
        <v>382</v>
      </c>
      <c r="B1231" t="s">
        <v>440</v>
      </c>
      <c r="C1231" t="s">
        <v>421</v>
      </c>
      <c r="D1231" t="s">
        <v>422</v>
      </c>
      <c r="E1231" t="s">
        <v>390</v>
      </c>
      <c r="F1231" t="s">
        <v>391</v>
      </c>
      <c r="G1231">
        <v>6103539</v>
      </c>
      <c r="H1231">
        <v>202112</v>
      </c>
      <c r="I1231" s="400">
        <v>44561</v>
      </c>
      <c r="J1231">
        <v>119010</v>
      </c>
      <c r="K1231" t="s">
        <v>386</v>
      </c>
      <c r="L1231" t="s">
        <v>392</v>
      </c>
      <c r="M1231" t="s">
        <v>393</v>
      </c>
      <c r="O1231" t="s">
        <v>394</v>
      </c>
      <c r="P1231" t="s">
        <v>395</v>
      </c>
      <c r="Q1231" t="s">
        <v>396</v>
      </c>
      <c r="R1231">
        <v>2069138</v>
      </c>
      <c r="S1231" t="s">
        <v>430</v>
      </c>
      <c r="U1231" t="s">
        <v>1836</v>
      </c>
      <c r="V1231" t="s">
        <v>398</v>
      </c>
      <c r="W1231" s="393">
        <v>11100000</v>
      </c>
      <c r="X1231" s="393">
        <v>3096.9</v>
      </c>
      <c r="Y1231" s="393">
        <v>26140.5</v>
      </c>
      <c r="Z1231" s="393">
        <v>11100000</v>
      </c>
      <c r="AA1231">
        <v>0</v>
      </c>
      <c r="AB1231" s="400">
        <v>44580.187755983796</v>
      </c>
      <c r="AC1231" t="s">
        <v>437</v>
      </c>
    </row>
    <row r="1232" spans="1:29">
      <c r="A1232" t="s">
        <v>382</v>
      </c>
      <c r="B1232" t="s">
        <v>440</v>
      </c>
      <c r="C1232" t="s">
        <v>421</v>
      </c>
      <c r="D1232" t="s">
        <v>422</v>
      </c>
      <c r="E1232" t="s">
        <v>390</v>
      </c>
      <c r="F1232" t="s">
        <v>391</v>
      </c>
      <c r="G1232">
        <v>6103539</v>
      </c>
      <c r="H1232">
        <v>202112</v>
      </c>
      <c r="I1232" s="400">
        <v>44561</v>
      </c>
      <c r="J1232">
        <v>119010</v>
      </c>
      <c r="K1232" t="s">
        <v>386</v>
      </c>
      <c r="L1232" t="s">
        <v>392</v>
      </c>
      <c r="M1232" t="s">
        <v>393</v>
      </c>
      <c r="O1232" t="s">
        <v>394</v>
      </c>
      <c r="P1232" t="s">
        <v>395</v>
      </c>
      <c r="Q1232" t="s">
        <v>396</v>
      </c>
      <c r="R1232">
        <v>2069138</v>
      </c>
      <c r="S1232" t="s">
        <v>430</v>
      </c>
      <c r="U1232" t="s">
        <v>1837</v>
      </c>
      <c r="V1232" t="s">
        <v>398</v>
      </c>
      <c r="W1232" s="393">
        <v>5900000</v>
      </c>
      <c r="X1232" s="393">
        <v>1646.1</v>
      </c>
      <c r="Y1232" s="393">
        <v>13894.5</v>
      </c>
      <c r="Z1232" s="393">
        <v>5900000</v>
      </c>
      <c r="AA1232">
        <v>0</v>
      </c>
      <c r="AB1232" s="400">
        <v>44580.187755983796</v>
      </c>
      <c r="AC1232" t="s">
        <v>437</v>
      </c>
    </row>
    <row r="1233" spans="1:29">
      <c r="A1233" t="s">
        <v>382</v>
      </c>
      <c r="B1233" t="s">
        <v>440</v>
      </c>
      <c r="C1233" t="s">
        <v>421</v>
      </c>
      <c r="D1233" t="s">
        <v>422</v>
      </c>
      <c r="E1233" t="s">
        <v>390</v>
      </c>
      <c r="F1233" t="s">
        <v>391</v>
      </c>
      <c r="G1233">
        <v>6103539</v>
      </c>
      <c r="H1233">
        <v>202112</v>
      </c>
      <c r="I1233" s="400">
        <v>44561</v>
      </c>
      <c r="J1233">
        <v>119010</v>
      </c>
      <c r="K1233" t="s">
        <v>386</v>
      </c>
      <c r="L1233" t="s">
        <v>392</v>
      </c>
      <c r="M1233" t="s">
        <v>393</v>
      </c>
      <c r="O1233" t="s">
        <v>394</v>
      </c>
      <c r="P1233" t="s">
        <v>395</v>
      </c>
      <c r="Q1233" t="s">
        <v>396</v>
      </c>
      <c r="R1233">
        <v>2069138</v>
      </c>
      <c r="S1233" t="s">
        <v>430</v>
      </c>
      <c r="U1233" t="s">
        <v>1838</v>
      </c>
      <c r="V1233" t="s">
        <v>398</v>
      </c>
      <c r="W1233" s="393">
        <v>5400000</v>
      </c>
      <c r="X1233" s="393">
        <v>1506.6</v>
      </c>
      <c r="Y1233" s="393">
        <v>12717</v>
      </c>
      <c r="Z1233" s="393">
        <v>5400000</v>
      </c>
      <c r="AA1233">
        <v>0</v>
      </c>
      <c r="AB1233" s="400">
        <v>44580.187755983796</v>
      </c>
      <c r="AC1233" t="s">
        <v>437</v>
      </c>
    </row>
    <row r="1234" spans="1:29">
      <c r="A1234" t="s">
        <v>382</v>
      </c>
      <c r="B1234" t="s">
        <v>440</v>
      </c>
      <c r="C1234" t="s">
        <v>421</v>
      </c>
      <c r="D1234" t="s">
        <v>422</v>
      </c>
      <c r="E1234" t="s">
        <v>390</v>
      </c>
      <c r="F1234" t="s">
        <v>391</v>
      </c>
      <c r="G1234">
        <v>6103539</v>
      </c>
      <c r="H1234">
        <v>202112</v>
      </c>
      <c r="I1234" s="400">
        <v>44561</v>
      </c>
      <c r="J1234">
        <v>119010</v>
      </c>
      <c r="K1234" t="s">
        <v>386</v>
      </c>
      <c r="L1234" t="s">
        <v>392</v>
      </c>
      <c r="M1234" t="s">
        <v>393</v>
      </c>
      <c r="O1234" t="s">
        <v>394</v>
      </c>
      <c r="P1234" t="s">
        <v>395</v>
      </c>
      <c r="Q1234" t="s">
        <v>396</v>
      </c>
      <c r="R1234">
        <v>2069138</v>
      </c>
      <c r="S1234" t="s">
        <v>430</v>
      </c>
      <c r="U1234" t="s">
        <v>1839</v>
      </c>
      <c r="V1234" t="s">
        <v>398</v>
      </c>
      <c r="W1234" s="393">
        <v>2700000</v>
      </c>
      <c r="X1234" s="393">
        <v>753.3</v>
      </c>
      <c r="Y1234" s="393">
        <v>6358.5</v>
      </c>
      <c r="Z1234" s="393">
        <v>2700000</v>
      </c>
      <c r="AA1234">
        <v>0</v>
      </c>
      <c r="AB1234" s="400">
        <v>44580.187755983796</v>
      </c>
      <c r="AC1234" t="s">
        <v>437</v>
      </c>
    </row>
    <row r="1235" spans="1:29">
      <c r="A1235" t="s">
        <v>382</v>
      </c>
      <c r="B1235" t="s">
        <v>440</v>
      </c>
      <c r="C1235" t="s">
        <v>421</v>
      </c>
      <c r="D1235" t="s">
        <v>422</v>
      </c>
      <c r="E1235" t="s">
        <v>390</v>
      </c>
      <c r="F1235" t="s">
        <v>391</v>
      </c>
      <c r="G1235">
        <v>6103539</v>
      </c>
      <c r="H1235">
        <v>202112</v>
      </c>
      <c r="I1235" s="400">
        <v>44561</v>
      </c>
      <c r="J1235">
        <v>119010</v>
      </c>
      <c r="K1235" t="s">
        <v>386</v>
      </c>
      <c r="L1235" t="s">
        <v>392</v>
      </c>
      <c r="M1235" t="s">
        <v>393</v>
      </c>
      <c r="O1235" t="s">
        <v>394</v>
      </c>
      <c r="P1235" t="s">
        <v>395</v>
      </c>
      <c r="Q1235" t="s">
        <v>396</v>
      </c>
      <c r="R1235">
        <v>2069138</v>
      </c>
      <c r="S1235" t="s">
        <v>430</v>
      </c>
      <c r="U1235" t="s">
        <v>1839</v>
      </c>
      <c r="V1235" t="s">
        <v>398</v>
      </c>
      <c r="W1235" s="393">
        <v>700000</v>
      </c>
      <c r="X1235" s="393">
        <v>195.3</v>
      </c>
      <c r="Y1235" s="393">
        <v>1648.5</v>
      </c>
      <c r="Z1235" s="393">
        <v>700000</v>
      </c>
      <c r="AA1235">
        <v>0</v>
      </c>
      <c r="AB1235" s="400">
        <v>44580.187755983796</v>
      </c>
      <c r="AC1235" t="s">
        <v>437</v>
      </c>
    </row>
    <row r="1236" spans="1:29">
      <c r="A1236" t="s">
        <v>382</v>
      </c>
      <c r="B1236" t="s">
        <v>440</v>
      </c>
      <c r="C1236" t="s">
        <v>421</v>
      </c>
      <c r="D1236" t="s">
        <v>422</v>
      </c>
      <c r="E1236" t="s">
        <v>390</v>
      </c>
      <c r="F1236" t="s">
        <v>391</v>
      </c>
      <c r="G1236">
        <v>6103539</v>
      </c>
      <c r="H1236">
        <v>202112</v>
      </c>
      <c r="I1236" s="400">
        <v>44561</v>
      </c>
      <c r="J1236">
        <v>119010</v>
      </c>
      <c r="K1236" t="s">
        <v>386</v>
      </c>
      <c r="L1236" t="s">
        <v>392</v>
      </c>
      <c r="M1236" t="s">
        <v>393</v>
      </c>
      <c r="O1236" t="s">
        <v>394</v>
      </c>
      <c r="P1236" t="s">
        <v>395</v>
      </c>
      <c r="Q1236" t="s">
        <v>396</v>
      </c>
      <c r="R1236">
        <v>2069138</v>
      </c>
      <c r="S1236" t="s">
        <v>430</v>
      </c>
      <c r="U1236" t="s">
        <v>1840</v>
      </c>
      <c r="V1236" t="s">
        <v>398</v>
      </c>
      <c r="W1236" s="393">
        <v>2935012</v>
      </c>
      <c r="X1236" s="393">
        <v>818.87</v>
      </c>
      <c r="Y1236" s="393">
        <v>6911.95</v>
      </c>
      <c r="Z1236" s="393">
        <v>2935012</v>
      </c>
      <c r="AA1236">
        <v>0</v>
      </c>
      <c r="AB1236" s="400">
        <v>44580.187755983796</v>
      </c>
      <c r="AC1236" t="s">
        <v>437</v>
      </c>
    </row>
    <row r="1237" spans="1:29">
      <c r="A1237" t="s">
        <v>382</v>
      </c>
      <c r="B1237" t="s">
        <v>440</v>
      </c>
      <c r="C1237" t="s">
        <v>421</v>
      </c>
      <c r="D1237" t="s">
        <v>422</v>
      </c>
      <c r="E1237" t="s">
        <v>390</v>
      </c>
      <c r="F1237" t="s">
        <v>391</v>
      </c>
      <c r="G1237">
        <v>6103539</v>
      </c>
      <c r="H1237">
        <v>202112</v>
      </c>
      <c r="I1237" s="400">
        <v>44561</v>
      </c>
      <c r="J1237">
        <v>119010</v>
      </c>
      <c r="K1237" t="s">
        <v>386</v>
      </c>
      <c r="L1237" t="s">
        <v>392</v>
      </c>
      <c r="M1237" t="s">
        <v>393</v>
      </c>
      <c r="O1237" t="s">
        <v>394</v>
      </c>
      <c r="P1237" t="s">
        <v>395</v>
      </c>
      <c r="Q1237" t="s">
        <v>396</v>
      </c>
      <c r="R1237">
        <v>2069138</v>
      </c>
      <c r="S1237" t="s">
        <v>430</v>
      </c>
      <c r="U1237" t="s">
        <v>1841</v>
      </c>
      <c r="V1237" t="s">
        <v>398</v>
      </c>
      <c r="W1237" s="393">
        <v>5765856</v>
      </c>
      <c r="X1237" s="393">
        <v>1608.67</v>
      </c>
      <c r="Y1237" s="393">
        <v>13578.59</v>
      </c>
      <c r="Z1237" s="393">
        <v>5765856</v>
      </c>
      <c r="AA1237">
        <v>0</v>
      </c>
      <c r="AB1237" s="400">
        <v>44580.187755983796</v>
      </c>
      <c r="AC1237" t="s">
        <v>437</v>
      </c>
    </row>
    <row r="1238" spans="1:29">
      <c r="A1238" t="s">
        <v>382</v>
      </c>
      <c r="B1238" t="s">
        <v>440</v>
      </c>
      <c r="C1238" t="s">
        <v>421</v>
      </c>
      <c r="D1238" t="s">
        <v>422</v>
      </c>
      <c r="E1238" t="s">
        <v>390</v>
      </c>
      <c r="F1238" t="s">
        <v>391</v>
      </c>
      <c r="G1238">
        <v>6103539</v>
      </c>
      <c r="H1238">
        <v>202112</v>
      </c>
      <c r="I1238" s="400">
        <v>44561</v>
      </c>
      <c r="J1238">
        <v>119010</v>
      </c>
      <c r="K1238" t="s">
        <v>386</v>
      </c>
      <c r="L1238" t="s">
        <v>392</v>
      </c>
      <c r="M1238" t="s">
        <v>393</v>
      </c>
      <c r="O1238" t="s">
        <v>394</v>
      </c>
      <c r="P1238" t="s">
        <v>395</v>
      </c>
      <c r="Q1238" t="s">
        <v>396</v>
      </c>
      <c r="R1238">
        <v>2069138</v>
      </c>
      <c r="S1238" t="s">
        <v>430</v>
      </c>
      <c r="U1238" t="s">
        <v>1842</v>
      </c>
      <c r="V1238" t="s">
        <v>398</v>
      </c>
      <c r="W1238" s="393">
        <v>2400000</v>
      </c>
      <c r="X1238" s="393">
        <v>669.6</v>
      </c>
      <c r="Y1238" s="393">
        <v>5652</v>
      </c>
      <c r="Z1238" s="393">
        <v>2400000</v>
      </c>
      <c r="AA1238">
        <v>0</v>
      </c>
      <c r="AB1238" s="400">
        <v>44580.187755983796</v>
      </c>
      <c r="AC1238" t="s">
        <v>437</v>
      </c>
    </row>
    <row r="1239" spans="1:29">
      <c r="A1239" t="s">
        <v>382</v>
      </c>
      <c r="B1239" t="s">
        <v>440</v>
      </c>
      <c r="C1239" t="s">
        <v>421</v>
      </c>
      <c r="D1239" t="s">
        <v>422</v>
      </c>
      <c r="E1239" t="s">
        <v>390</v>
      </c>
      <c r="F1239" t="s">
        <v>391</v>
      </c>
      <c r="G1239">
        <v>6103539</v>
      </c>
      <c r="H1239">
        <v>202112</v>
      </c>
      <c r="I1239" s="400">
        <v>44561</v>
      </c>
      <c r="J1239">
        <v>119010</v>
      </c>
      <c r="K1239" t="s">
        <v>386</v>
      </c>
      <c r="L1239" t="s">
        <v>392</v>
      </c>
      <c r="M1239" t="s">
        <v>393</v>
      </c>
      <c r="O1239" t="s">
        <v>394</v>
      </c>
      <c r="P1239" t="s">
        <v>395</v>
      </c>
      <c r="Q1239" t="s">
        <v>396</v>
      </c>
      <c r="R1239">
        <v>2069138</v>
      </c>
      <c r="S1239" t="s">
        <v>430</v>
      </c>
      <c r="U1239" t="s">
        <v>1843</v>
      </c>
      <c r="V1239" t="s">
        <v>398</v>
      </c>
      <c r="W1239" s="393">
        <v>900000</v>
      </c>
      <c r="X1239" s="393">
        <v>251.1</v>
      </c>
      <c r="Y1239" s="393">
        <v>2119.5</v>
      </c>
      <c r="Z1239" s="393">
        <v>900000</v>
      </c>
      <c r="AA1239">
        <v>0</v>
      </c>
      <c r="AB1239" s="400">
        <v>44580.187755983796</v>
      </c>
      <c r="AC1239" t="s">
        <v>437</v>
      </c>
    </row>
    <row r="1240" spans="1:29">
      <c r="A1240" t="s">
        <v>382</v>
      </c>
      <c r="B1240" t="s">
        <v>440</v>
      </c>
      <c r="C1240" t="s">
        <v>421</v>
      </c>
      <c r="D1240" t="s">
        <v>422</v>
      </c>
      <c r="E1240" t="s">
        <v>390</v>
      </c>
      <c r="F1240" t="s">
        <v>391</v>
      </c>
      <c r="G1240">
        <v>6103539</v>
      </c>
      <c r="H1240">
        <v>202112</v>
      </c>
      <c r="I1240" s="400">
        <v>44561</v>
      </c>
      <c r="J1240">
        <v>119010</v>
      </c>
      <c r="K1240" t="s">
        <v>386</v>
      </c>
      <c r="L1240" t="s">
        <v>392</v>
      </c>
      <c r="M1240" t="s">
        <v>393</v>
      </c>
      <c r="O1240" t="s">
        <v>394</v>
      </c>
      <c r="P1240" t="s">
        <v>395</v>
      </c>
      <c r="Q1240" t="s">
        <v>396</v>
      </c>
      <c r="R1240">
        <v>2069138</v>
      </c>
      <c r="S1240" t="s">
        <v>430</v>
      </c>
      <c r="U1240" t="s">
        <v>1844</v>
      </c>
      <c r="V1240" t="s">
        <v>398</v>
      </c>
      <c r="W1240" s="393">
        <v>23040000</v>
      </c>
      <c r="X1240" s="393">
        <v>6428.16</v>
      </c>
      <c r="Y1240" s="393">
        <v>54259.199999999997</v>
      </c>
      <c r="Z1240" s="393">
        <v>23040000</v>
      </c>
      <c r="AA1240">
        <v>0</v>
      </c>
      <c r="AB1240" s="400">
        <v>44580.187755983796</v>
      </c>
      <c r="AC1240" t="s">
        <v>437</v>
      </c>
    </row>
    <row r="1241" spans="1:29">
      <c r="A1241" t="s">
        <v>382</v>
      </c>
      <c r="B1241" t="s">
        <v>440</v>
      </c>
      <c r="C1241" t="s">
        <v>421</v>
      </c>
      <c r="D1241" t="s">
        <v>422</v>
      </c>
      <c r="E1241" t="s">
        <v>390</v>
      </c>
      <c r="F1241" t="s">
        <v>391</v>
      </c>
      <c r="G1241">
        <v>6103539</v>
      </c>
      <c r="H1241">
        <v>202112</v>
      </c>
      <c r="I1241" s="400">
        <v>44561</v>
      </c>
      <c r="J1241">
        <v>119010</v>
      </c>
      <c r="K1241" t="s">
        <v>386</v>
      </c>
      <c r="L1241" t="s">
        <v>392</v>
      </c>
      <c r="M1241" t="s">
        <v>393</v>
      </c>
      <c r="O1241" t="s">
        <v>394</v>
      </c>
      <c r="P1241" t="s">
        <v>395</v>
      </c>
      <c r="Q1241" t="s">
        <v>396</v>
      </c>
      <c r="R1241">
        <v>2069138</v>
      </c>
      <c r="S1241" t="s">
        <v>430</v>
      </c>
      <c r="U1241" t="s">
        <v>1845</v>
      </c>
      <c r="V1241" t="s">
        <v>398</v>
      </c>
      <c r="W1241" s="393">
        <v>11581000</v>
      </c>
      <c r="X1241" s="393">
        <v>3231.1</v>
      </c>
      <c r="Y1241" s="393">
        <v>27273.26</v>
      </c>
      <c r="Z1241" s="393">
        <v>11581000</v>
      </c>
      <c r="AA1241">
        <v>0</v>
      </c>
      <c r="AB1241" s="400">
        <v>44580.187755983796</v>
      </c>
      <c r="AC1241" t="s">
        <v>437</v>
      </c>
    </row>
    <row r="1242" spans="1:29">
      <c r="A1242" t="s">
        <v>382</v>
      </c>
      <c r="B1242" t="s">
        <v>440</v>
      </c>
      <c r="C1242" t="s">
        <v>421</v>
      </c>
      <c r="D1242" t="s">
        <v>422</v>
      </c>
      <c r="E1242" t="s">
        <v>390</v>
      </c>
      <c r="F1242" t="s">
        <v>391</v>
      </c>
      <c r="G1242">
        <v>6103539</v>
      </c>
      <c r="H1242">
        <v>202112</v>
      </c>
      <c r="I1242" s="400">
        <v>44561</v>
      </c>
      <c r="J1242">
        <v>119010</v>
      </c>
      <c r="K1242" t="s">
        <v>386</v>
      </c>
      <c r="L1242" t="s">
        <v>392</v>
      </c>
      <c r="M1242" t="s">
        <v>393</v>
      </c>
      <c r="O1242" t="s">
        <v>394</v>
      </c>
      <c r="P1242" t="s">
        <v>395</v>
      </c>
      <c r="Q1242" t="s">
        <v>396</v>
      </c>
      <c r="R1242">
        <v>2069138</v>
      </c>
      <c r="S1242" t="s">
        <v>430</v>
      </c>
      <c r="U1242" t="s">
        <v>1846</v>
      </c>
      <c r="V1242" t="s">
        <v>398</v>
      </c>
      <c r="W1242" s="393">
        <v>12483790</v>
      </c>
      <c r="X1242" s="393">
        <v>3482.98</v>
      </c>
      <c r="Y1242" s="393">
        <v>29399.33</v>
      </c>
      <c r="Z1242" s="393">
        <v>12483790</v>
      </c>
      <c r="AA1242">
        <v>0</v>
      </c>
      <c r="AB1242" s="400">
        <v>44580.187755983796</v>
      </c>
      <c r="AC1242" t="s">
        <v>437</v>
      </c>
    </row>
    <row r="1243" spans="1:29">
      <c r="A1243" t="s">
        <v>382</v>
      </c>
      <c r="B1243" t="s">
        <v>440</v>
      </c>
      <c r="C1243" t="s">
        <v>421</v>
      </c>
      <c r="D1243" t="s">
        <v>422</v>
      </c>
      <c r="E1243" t="s">
        <v>390</v>
      </c>
      <c r="F1243" t="s">
        <v>391</v>
      </c>
      <c r="G1243">
        <v>6103539</v>
      </c>
      <c r="H1243">
        <v>202112</v>
      </c>
      <c r="I1243" s="400">
        <v>44561</v>
      </c>
      <c r="J1243">
        <v>119010</v>
      </c>
      <c r="K1243" t="s">
        <v>386</v>
      </c>
      <c r="L1243" t="s">
        <v>392</v>
      </c>
      <c r="M1243" t="s">
        <v>393</v>
      </c>
      <c r="O1243" t="s">
        <v>394</v>
      </c>
      <c r="P1243" t="s">
        <v>395</v>
      </c>
      <c r="Q1243" t="s">
        <v>396</v>
      </c>
      <c r="R1243">
        <v>2069138</v>
      </c>
      <c r="S1243" t="s">
        <v>430</v>
      </c>
      <c r="U1243" t="s">
        <v>1847</v>
      </c>
      <c r="V1243" t="s">
        <v>398</v>
      </c>
      <c r="W1243" s="393">
        <v>4276172</v>
      </c>
      <c r="X1243" s="393">
        <v>1193.05</v>
      </c>
      <c r="Y1243" s="393">
        <v>10070.39</v>
      </c>
      <c r="Z1243" s="393">
        <v>4276172</v>
      </c>
      <c r="AA1243">
        <v>0</v>
      </c>
      <c r="AB1243" s="400">
        <v>44580.187755983796</v>
      </c>
      <c r="AC1243" t="s">
        <v>437</v>
      </c>
    </row>
    <row r="1244" spans="1:29">
      <c r="A1244" t="s">
        <v>382</v>
      </c>
      <c r="B1244" t="s">
        <v>440</v>
      </c>
      <c r="C1244" t="s">
        <v>421</v>
      </c>
      <c r="D1244" t="s">
        <v>422</v>
      </c>
      <c r="E1244" t="s">
        <v>390</v>
      </c>
      <c r="F1244" t="s">
        <v>391</v>
      </c>
      <c r="G1244">
        <v>6103539</v>
      </c>
      <c r="H1244">
        <v>202112</v>
      </c>
      <c r="I1244" s="400">
        <v>44561</v>
      </c>
      <c r="J1244">
        <v>119010</v>
      </c>
      <c r="K1244" t="s">
        <v>386</v>
      </c>
      <c r="L1244" t="s">
        <v>392</v>
      </c>
      <c r="M1244" t="s">
        <v>393</v>
      </c>
      <c r="O1244" t="s">
        <v>394</v>
      </c>
      <c r="P1244" t="s">
        <v>395</v>
      </c>
      <c r="Q1244" t="s">
        <v>396</v>
      </c>
      <c r="R1244">
        <v>2069138</v>
      </c>
      <c r="S1244" t="s">
        <v>430</v>
      </c>
      <c r="U1244" t="s">
        <v>1848</v>
      </c>
      <c r="V1244" t="s">
        <v>398</v>
      </c>
      <c r="W1244" s="393">
        <v>1329131</v>
      </c>
      <c r="X1244" s="393">
        <v>370.83</v>
      </c>
      <c r="Y1244" s="393">
        <v>3130.1</v>
      </c>
      <c r="Z1244" s="393">
        <v>1329131</v>
      </c>
      <c r="AA1244">
        <v>0</v>
      </c>
      <c r="AB1244" s="400">
        <v>44580.187755983796</v>
      </c>
      <c r="AC1244" t="s">
        <v>437</v>
      </c>
    </row>
    <row r="1245" spans="1:29">
      <c r="A1245" t="s">
        <v>382</v>
      </c>
      <c r="B1245" t="s">
        <v>440</v>
      </c>
      <c r="C1245" t="s">
        <v>421</v>
      </c>
      <c r="D1245" t="s">
        <v>422</v>
      </c>
      <c r="E1245" t="s">
        <v>390</v>
      </c>
      <c r="F1245" t="s">
        <v>391</v>
      </c>
      <c r="G1245">
        <v>6103539</v>
      </c>
      <c r="H1245">
        <v>202112</v>
      </c>
      <c r="I1245" s="400">
        <v>44561</v>
      </c>
      <c r="J1245">
        <v>119010</v>
      </c>
      <c r="K1245" t="s">
        <v>386</v>
      </c>
      <c r="L1245" t="s">
        <v>392</v>
      </c>
      <c r="M1245" t="s">
        <v>393</v>
      </c>
      <c r="O1245" t="s">
        <v>394</v>
      </c>
      <c r="P1245" t="s">
        <v>395</v>
      </c>
      <c r="Q1245" t="s">
        <v>396</v>
      </c>
      <c r="R1245">
        <v>2069138</v>
      </c>
      <c r="S1245" t="s">
        <v>430</v>
      </c>
      <c r="U1245" t="s">
        <v>1849</v>
      </c>
      <c r="V1245" t="s">
        <v>398</v>
      </c>
      <c r="W1245" s="393">
        <v>4000000</v>
      </c>
      <c r="X1245" s="393">
        <v>1116</v>
      </c>
      <c r="Y1245" s="393">
        <v>9420</v>
      </c>
      <c r="Z1245" s="393">
        <v>4000000</v>
      </c>
      <c r="AA1245">
        <v>0</v>
      </c>
      <c r="AB1245" s="400">
        <v>44580.187755983796</v>
      </c>
      <c r="AC1245" t="s">
        <v>437</v>
      </c>
    </row>
    <row r="1246" spans="1:29">
      <c r="A1246" t="s">
        <v>382</v>
      </c>
      <c r="B1246" t="s">
        <v>440</v>
      </c>
      <c r="C1246" t="s">
        <v>421</v>
      </c>
      <c r="D1246" t="s">
        <v>422</v>
      </c>
      <c r="E1246" t="s">
        <v>390</v>
      </c>
      <c r="F1246" t="s">
        <v>391</v>
      </c>
      <c r="G1246">
        <v>6103539</v>
      </c>
      <c r="H1246">
        <v>202112</v>
      </c>
      <c r="I1246" s="400">
        <v>44561</v>
      </c>
      <c r="J1246">
        <v>119010</v>
      </c>
      <c r="K1246" t="s">
        <v>386</v>
      </c>
      <c r="L1246" t="s">
        <v>392</v>
      </c>
      <c r="M1246" t="s">
        <v>393</v>
      </c>
      <c r="O1246" t="s">
        <v>394</v>
      </c>
      <c r="P1246" t="s">
        <v>395</v>
      </c>
      <c r="Q1246" t="s">
        <v>396</v>
      </c>
      <c r="R1246">
        <v>2069138</v>
      </c>
      <c r="S1246" t="s">
        <v>430</v>
      </c>
      <c r="U1246" t="s">
        <v>1850</v>
      </c>
      <c r="V1246" t="s">
        <v>398</v>
      </c>
      <c r="W1246" s="393">
        <v>12800000</v>
      </c>
      <c r="X1246" s="393">
        <v>3571.2</v>
      </c>
      <c r="Y1246" s="393">
        <v>30144</v>
      </c>
      <c r="Z1246" s="393">
        <v>12800000</v>
      </c>
      <c r="AA1246">
        <v>0</v>
      </c>
      <c r="AB1246" s="400">
        <v>44580.187755983796</v>
      </c>
      <c r="AC1246" t="s">
        <v>437</v>
      </c>
    </row>
    <row r="1247" spans="1:29">
      <c r="A1247" t="s">
        <v>382</v>
      </c>
      <c r="B1247" t="s">
        <v>440</v>
      </c>
      <c r="C1247" t="s">
        <v>421</v>
      </c>
      <c r="D1247" t="s">
        <v>422</v>
      </c>
      <c r="E1247" t="s">
        <v>390</v>
      </c>
      <c r="F1247" t="s">
        <v>391</v>
      </c>
      <c r="G1247">
        <v>6103539</v>
      </c>
      <c r="H1247">
        <v>202112</v>
      </c>
      <c r="I1247" s="400">
        <v>44561</v>
      </c>
      <c r="J1247">
        <v>119010</v>
      </c>
      <c r="K1247" t="s">
        <v>386</v>
      </c>
      <c r="L1247" t="s">
        <v>392</v>
      </c>
      <c r="M1247" t="s">
        <v>393</v>
      </c>
      <c r="O1247" t="s">
        <v>394</v>
      </c>
      <c r="P1247" t="s">
        <v>395</v>
      </c>
      <c r="Q1247" t="s">
        <v>396</v>
      </c>
      <c r="R1247">
        <v>2069138</v>
      </c>
      <c r="S1247" t="s">
        <v>430</v>
      </c>
      <c r="U1247" t="s">
        <v>1851</v>
      </c>
      <c r="V1247" t="s">
        <v>398</v>
      </c>
      <c r="W1247" s="393">
        <v>7760869</v>
      </c>
      <c r="X1247" s="393">
        <v>2165.2800000000002</v>
      </c>
      <c r="Y1247" s="393">
        <v>18276.849999999999</v>
      </c>
      <c r="Z1247" s="393">
        <v>7760869</v>
      </c>
      <c r="AA1247">
        <v>0</v>
      </c>
      <c r="AB1247" s="400">
        <v>44580.187755983796</v>
      </c>
      <c r="AC1247" t="s">
        <v>437</v>
      </c>
    </row>
    <row r="1248" spans="1:29">
      <c r="A1248" t="s">
        <v>382</v>
      </c>
      <c r="B1248" t="s">
        <v>440</v>
      </c>
      <c r="C1248" t="s">
        <v>421</v>
      </c>
      <c r="D1248" t="s">
        <v>422</v>
      </c>
      <c r="E1248" t="s">
        <v>390</v>
      </c>
      <c r="F1248" t="s">
        <v>391</v>
      </c>
      <c r="G1248">
        <v>6103539</v>
      </c>
      <c r="H1248">
        <v>202112</v>
      </c>
      <c r="I1248" s="400">
        <v>44561</v>
      </c>
      <c r="J1248">
        <v>119010</v>
      </c>
      <c r="K1248" t="s">
        <v>386</v>
      </c>
      <c r="L1248" t="s">
        <v>392</v>
      </c>
      <c r="M1248" t="s">
        <v>393</v>
      </c>
      <c r="O1248" t="s">
        <v>394</v>
      </c>
      <c r="P1248" t="s">
        <v>395</v>
      </c>
      <c r="Q1248" t="s">
        <v>396</v>
      </c>
      <c r="R1248">
        <v>2069138</v>
      </c>
      <c r="S1248" t="s">
        <v>430</v>
      </c>
      <c r="U1248" t="s">
        <v>1852</v>
      </c>
      <c r="V1248" t="s">
        <v>398</v>
      </c>
      <c r="W1248" s="393">
        <v>2298796</v>
      </c>
      <c r="X1248" s="393">
        <v>641.36</v>
      </c>
      <c r="Y1248" s="393">
        <v>5413.67</v>
      </c>
      <c r="Z1248" s="393">
        <v>2298796</v>
      </c>
      <c r="AA1248">
        <v>0</v>
      </c>
      <c r="AB1248" s="400">
        <v>44580.187755983796</v>
      </c>
      <c r="AC1248" t="s">
        <v>437</v>
      </c>
    </row>
    <row r="1249" spans="1:29">
      <c r="A1249" t="s">
        <v>382</v>
      </c>
      <c r="B1249" t="s">
        <v>440</v>
      </c>
      <c r="C1249" t="s">
        <v>421</v>
      </c>
      <c r="D1249" t="s">
        <v>422</v>
      </c>
      <c r="E1249" t="s">
        <v>390</v>
      </c>
      <c r="F1249" t="s">
        <v>391</v>
      </c>
      <c r="G1249">
        <v>6103539</v>
      </c>
      <c r="H1249">
        <v>202112</v>
      </c>
      <c r="I1249" s="400">
        <v>44561</v>
      </c>
      <c r="J1249">
        <v>119010</v>
      </c>
      <c r="K1249" t="s">
        <v>386</v>
      </c>
      <c r="L1249" t="s">
        <v>392</v>
      </c>
      <c r="M1249" t="s">
        <v>393</v>
      </c>
      <c r="O1249" t="s">
        <v>394</v>
      </c>
      <c r="P1249" t="s">
        <v>395</v>
      </c>
      <c r="Q1249" t="s">
        <v>396</v>
      </c>
      <c r="R1249">
        <v>2069138</v>
      </c>
      <c r="S1249" t="s">
        <v>430</v>
      </c>
      <c r="U1249" t="s">
        <v>1853</v>
      </c>
      <c r="V1249" t="s">
        <v>398</v>
      </c>
      <c r="W1249" s="393">
        <v>2530000</v>
      </c>
      <c r="X1249" s="393">
        <v>705.87</v>
      </c>
      <c r="Y1249" s="393">
        <v>5958.15</v>
      </c>
      <c r="Z1249" s="393">
        <v>2530000</v>
      </c>
      <c r="AA1249">
        <v>0</v>
      </c>
      <c r="AB1249" s="400">
        <v>44580.187755983796</v>
      </c>
      <c r="AC1249" t="s">
        <v>437</v>
      </c>
    </row>
    <row r="1250" spans="1:29">
      <c r="A1250" t="s">
        <v>382</v>
      </c>
      <c r="B1250" t="s">
        <v>440</v>
      </c>
      <c r="C1250" t="s">
        <v>421</v>
      </c>
      <c r="D1250" t="s">
        <v>422</v>
      </c>
      <c r="E1250" t="s">
        <v>390</v>
      </c>
      <c r="F1250" t="s">
        <v>391</v>
      </c>
      <c r="G1250">
        <v>6103539</v>
      </c>
      <c r="H1250">
        <v>202112</v>
      </c>
      <c r="I1250" s="400">
        <v>44561</v>
      </c>
      <c r="J1250">
        <v>119010</v>
      </c>
      <c r="K1250" t="s">
        <v>386</v>
      </c>
      <c r="L1250" t="s">
        <v>392</v>
      </c>
      <c r="M1250" t="s">
        <v>393</v>
      </c>
      <c r="O1250" t="s">
        <v>394</v>
      </c>
      <c r="P1250" t="s">
        <v>395</v>
      </c>
      <c r="Q1250" t="s">
        <v>396</v>
      </c>
      <c r="R1250">
        <v>2069138</v>
      </c>
      <c r="S1250" t="s">
        <v>430</v>
      </c>
      <c r="U1250" t="s">
        <v>1854</v>
      </c>
      <c r="V1250" t="s">
        <v>398</v>
      </c>
      <c r="W1250" s="393">
        <v>2941176</v>
      </c>
      <c r="X1250" s="393">
        <v>820.59</v>
      </c>
      <c r="Y1250" s="393">
        <v>6926.47</v>
      </c>
      <c r="Z1250" s="393">
        <v>2941176</v>
      </c>
      <c r="AA1250">
        <v>0</v>
      </c>
      <c r="AB1250" s="400">
        <v>44580.187755983796</v>
      </c>
      <c r="AC1250" t="s">
        <v>437</v>
      </c>
    </row>
    <row r="1251" spans="1:29">
      <c r="A1251" t="s">
        <v>382</v>
      </c>
      <c r="B1251" t="s">
        <v>440</v>
      </c>
      <c r="C1251" t="s">
        <v>421</v>
      </c>
      <c r="D1251" t="s">
        <v>422</v>
      </c>
      <c r="E1251" t="s">
        <v>390</v>
      </c>
      <c r="F1251" t="s">
        <v>391</v>
      </c>
      <c r="G1251">
        <v>6103539</v>
      </c>
      <c r="H1251">
        <v>202112</v>
      </c>
      <c r="I1251" s="400">
        <v>44561</v>
      </c>
      <c r="J1251">
        <v>119010</v>
      </c>
      <c r="K1251" t="s">
        <v>386</v>
      </c>
      <c r="L1251" t="s">
        <v>392</v>
      </c>
      <c r="M1251" t="s">
        <v>393</v>
      </c>
      <c r="O1251" t="s">
        <v>394</v>
      </c>
      <c r="P1251" t="s">
        <v>395</v>
      </c>
      <c r="Q1251" t="s">
        <v>396</v>
      </c>
      <c r="R1251">
        <v>2069138</v>
      </c>
      <c r="S1251" t="s">
        <v>430</v>
      </c>
      <c r="U1251" t="s">
        <v>1855</v>
      </c>
      <c r="V1251" t="s">
        <v>398</v>
      </c>
      <c r="W1251" s="393">
        <v>3700000</v>
      </c>
      <c r="X1251" s="393">
        <v>1032.3</v>
      </c>
      <c r="Y1251" s="393">
        <v>8713.5</v>
      </c>
      <c r="Z1251" s="393">
        <v>3700000</v>
      </c>
      <c r="AA1251">
        <v>0</v>
      </c>
      <c r="AB1251" s="400">
        <v>44580.187755983796</v>
      </c>
      <c r="AC1251" t="s">
        <v>437</v>
      </c>
    </row>
    <row r="1252" spans="1:29">
      <c r="A1252" t="s">
        <v>382</v>
      </c>
      <c r="B1252" t="s">
        <v>440</v>
      </c>
      <c r="C1252" t="s">
        <v>421</v>
      </c>
      <c r="D1252" t="s">
        <v>422</v>
      </c>
      <c r="E1252" t="s">
        <v>390</v>
      </c>
      <c r="F1252" t="s">
        <v>391</v>
      </c>
      <c r="G1252">
        <v>6103538</v>
      </c>
      <c r="H1252">
        <v>202112</v>
      </c>
      <c r="I1252" s="400">
        <v>44561</v>
      </c>
      <c r="J1252">
        <v>119010</v>
      </c>
      <c r="K1252" t="s">
        <v>386</v>
      </c>
      <c r="L1252" t="s">
        <v>392</v>
      </c>
      <c r="M1252" t="s">
        <v>393</v>
      </c>
      <c r="O1252" t="s">
        <v>394</v>
      </c>
      <c r="P1252" t="s">
        <v>395</v>
      </c>
      <c r="Q1252" t="s">
        <v>396</v>
      </c>
      <c r="R1252">
        <v>2069138</v>
      </c>
      <c r="S1252" t="s">
        <v>430</v>
      </c>
      <c r="U1252" t="s">
        <v>1856</v>
      </c>
      <c r="V1252" t="s">
        <v>398</v>
      </c>
      <c r="W1252" s="393">
        <v>-27405795</v>
      </c>
      <c r="X1252" s="393">
        <v>-6904.07</v>
      </c>
      <c r="Y1252" s="393">
        <v>-59698.87</v>
      </c>
      <c r="Z1252" s="393">
        <v>-27405795</v>
      </c>
      <c r="AA1252">
        <v>0</v>
      </c>
      <c r="AB1252" s="400">
        <v>44580.042569675927</v>
      </c>
      <c r="AC1252" t="s">
        <v>437</v>
      </c>
    </row>
    <row r="1253" spans="1:29">
      <c r="A1253" t="s">
        <v>382</v>
      </c>
      <c r="B1253" t="s">
        <v>440</v>
      </c>
      <c r="C1253" t="s">
        <v>421</v>
      </c>
      <c r="D1253" t="s">
        <v>422</v>
      </c>
      <c r="E1253" t="s">
        <v>390</v>
      </c>
      <c r="F1253" t="s">
        <v>391</v>
      </c>
      <c r="G1253">
        <v>6103538</v>
      </c>
      <c r="H1253">
        <v>202112</v>
      </c>
      <c r="I1253" s="400">
        <v>44561</v>
      </c>
      <c r="J1253">
        <v>119010</v>
      </c>
      <c r="K1253" t="s">
        <v>386</v>
      </c>
      <c r="L1253" t="s">
        <v>392</v>
      </c>
      <c r="M1253" t="s">
        <v>393</v>
      </c>
      <c r="O1253" t="s">
        <v>394</v>
      </c>
      <c r="P1253" t="s">
        <v>395</v>
      </c>
      <c r="Q1253" t="s">
        <v>396</v>
      </c>
      <c r="R1253">
        <v>2069138</v>
      </c>
      <c r="S1253" t="s">
        <v>430</v>
      </c>
      <c r="U1253" t="s">
        <v>1857</v>
      </c>
      <c r="V1253" t="s">
        <v>398</v>
      </c>
      <c r="W1253" s="393">
        <v>11577600</v>
      </c>
      <c r="X1253" s="393">
        <v>3230.15</v>
      </c>
      <c r="Y1253" s="393">
        <v>27265.25</v>
      </c>
      <c r="Z1253" s="393">
        <v>11577600</v>
      </c>
      <c r="AA1253">
        <v>0</v>
      </c>
      <c r="AB1253" s="400">
        <v>44580.042569675927</v>
      </c>
      <c r="AC1253" t="s">
        <v>437</v>
      </c>
    </row>
    <row r="1254" spans="1:29">
      <c r="A1254" t="s">
        <v>382</v>
      </c>
      <c r="B1254" t="s">
        <v>440</v>
      </c>
      <c r="C1254" t="s">
        <v>421</v>
      </c>
      <c r="D1254" t="s">
        <v>422</v>
      </c>
      <c r="E1254" t="s">
        <v>390</v>
      </c>
      <c r="F1254" t="s">
        <v>391</v>
      </c>
      <c r="G1254">
        <v>6103538</v>
      </c>
      <c r="H1254">
        <v>202112</v>
      </c>
      <c r="I1254" s="400">
        <v>44561</v>
      </c>
      <c r="J1254">
        <v>119010</v>
      </c>
      <c r="K1254" t="s">
        <v>386</v>
      </c>
      <c r="L1254" t="s">
        <v>392</v>
      </c>
      <c r="M1254" t="s">
        <v>393</v>
      </c>
      <c r="O1254" t="s">
        <v>394</v>
      </c>
      <c r="P1254" t="s">
        <v>395</v>
      </c>
      <c r="Q1254" t="s">
        <v>396</v>
      </c>
      <c r="R1254">
        <v>2069138</v>
      </c>
      <c r="S1254" t="s">
        <v>430</v>
      </c>
      <c r="U1254" t="s">
        <v>1858</v>
      </c>
      <c r="V1254" t="s">
        <v>398</v>
      </c>
      <c r="W1254" s="393">
        <v>5400000</v>
      </c>
      <c r="X1254" s="393">
        <v>1506.6</v>
      </c>
      <c r="Y1254" s="393">
        <v>12717</v>
      </c>
      <c r="Z1254" s="393">
        <v>5400000</v>
      </c>
      <c r="AA1254">
        <v>0</v>
      </c>
      <c r="AB1254" s="400">
        <v>44580.042569675927</v>
      </c>
      <c r="AC1254" t="s">
        <v>437</v>
      </c>
    </row>
    <row r="1255" spans="1:29">
      <c r="A1255" t="s">
        <v>382</v>
      </c>
      <c r="B1255" t="s">
        <v>440</v>
      </c>
      <c r="C1255" t="s">
        <v>421</v>
      </c>
      <c r="D1255" t="s">
        <v>422</v>
      </c>
      <c r="E1255" t="s">
        <v>390</v>
      </c>
      <c r="F1255" t="s">
        <v>391</v>
      </c>
      <c r="G1255">
        <v>6103538</v>
      </c>
      <c r="H1255">
        <v>202112</v>
      </c>
      <c r="I1255" s="400">
        <v>44561</v>
      </c>
      <c r="J1255">
        <v>119010</v>
      </c>
      <c r="K1255" t="s">
        <v>386</v>
      </c>
      <c r="L1255" t="s">
        <v>392</v>
      </c>
      <c r="M1255" t="s">
        <v>393</v>
      </c>
      <c r="O1255" t="s">
        <v>394</v>
      </c>
      <c r="P1255" t="s">
        <v>395</v>
      </c>
      <c r="Q1255" t="s">
        <v>396</v>
      </c>
      <c r="R1255">
        <v>2069138</v>
      </c>
      <c r="S1255" t="s">
        <v>430</v>
      </c>
      <c r="U1255" t="s">
        <v>1859</v>
      </c>
      <c r="V1255" t="s">
        <v>398</v>
      </c>
      <c r="W1255" s="393">
        <v>6400000</v>
      </c>
      <c r="X1255" s="393">
        <v>1785.6</v>
      </c>
      <c r="Y1255" s="393">
        <v>15072</v>
      </c>
      <c r="Z1255" s="393">
        <v>6400000</v>
      </c>
      <c r="AA1255">
        <v>0</v>
      </c>
      <c r="AB1255" s="400">
        <v>44580.042569675927</v>
      </c>
      <c r="AC1255" t="s">
        <v>437</v>
      </c>
    </row>
    <row r="1256" spans="1:29">
      <c r="A1256" t="s">
        <v>382</v>
      </c>
      <c r="B1256" t="s">
        <v>440</v>
      </c>
      <c r="C1256" t="s">
        <v>421</v>
      </c>
      <c r="D1256" t="s">
        <v>422</v>
      </c>
      <c r="E1256" t="s">
        <v>390</v>
      </c>
      <c r="F1256" t="s">
        <v>391</v>
      </c>
      <c r="G1256">
        <v>6103538</v>
      </c>
      <c r="H1256">
        <v>202112</v>
      </c>
      <c r="I1256" s="400">
        <v>44561</v>
      </c>
      <c r="J1256">
        <v>119010</v>
      </c>
      <c r="K1256" t="s">
        <v>386</v>
      </c>
      <c r="L1256" t="s">
        <v>392</v>
      </c>
      <c r="M1256" t="s">
        <v>393</v>
      </c>
      <c r="O1256" t="s">
        <v>394</v>
      </c>
      <c r="P1256" t="s">
        <v>395</v>
      </c>
      <c r="Q1256" t="s">
        <v>396</v>
      </c>
      <c r="R1256">
        <v>2069138</v>
      </c>
      <c r="S1256" t="s">
        <v>430</v>
      </c>
      <c r="U1256" t="s">
        <v>1860</v>
      </c>
      <c r="V1256" t="s">
        <v>398</v>
      </c>
      <c r="W1256" s="393">
        <v>1028195</v>
      </c>
      <c r="X1256" s="393">
        <v>286.87</v>
      </c>
      <c r="Y1256" s="393">
        <v>2421.4</v>
      </c>
      <c r="Z1256" s="393">
        <v>1028195</v>
      </c>
      <c r="AA1256">
        <v>0</v>
      </c>
      <c r="AB1256" s="400">
        <v>44580.042569675927</v>
      </c>
      <c r="AC1256" t="s">
        <v>437</v>
      </c>
    </row>
    <row r="1257" spans="1:29">
      <c r="A1257" t="s">
        <v>382</v>
      </c>
      <c r="B1257" t="s">
        <v>440</v>
      </c>
      <c r="C1257" t="s">
        <v>421</v>
      </c>
      <c r="D1257" t="s">
        <v>422</v>
      </c>
      <c r="E1257" t="s">
        <v>390</v>
      </c>
      <c r="F1257" t="s">
        <v>391</v>
      </c>
      <c r="G1257">
        <v>6103538</v>
      </c>
      <c r="H1257">
        <v>202112</v>
      </c>
      <c r="I1257" s="400">
        <v>44561</v>
      </c>
      <c r="J1257">
        <v>119010</v>
      </c>
      <c r="K1257" t="s">
        <v>386</v>
      </c>
      <c r="L1257" t="s">
        <v>392</v>
      </c>
      <c r="M1257" t="s">
        <v>393</v>
      </c>
      <c r="O1257" t="s">
        <v>394</v>
      </c>
      <c r="P1257" t="s">
        <v>395</v>
      </c>
      <c r="Q1257" t="s">
        <v>396</v>
      </c>
      <c r="R1257">
        <v>2069138</v>
      </c>
      <c r="S1257" t="s">
        <v>430</v>
      </c>
      <c r="U1257" t="s">
        <v>1861</v>
      </c>
      <c r="V1257" t="s">
        <v>398</v>
      </c>
      <c r="W1257" s="393">
        <v>400000</v>
      </c>
      <c r="X1257" s="393">
        <v>111.6</v>
      </c>
      <c r="Y1257" s="393">
        <v>942</v>
      </c>
      <c r="Z1257" s="393">
        <v>400000</v>
      </c>
      <c r="AA1257">
        <v>0</v>
      </c>
      <c r="AB1257" s="400">
        <v>44580.042569675927</v>
      </c>
      <c r="AC1257" t="s">
        <v>437</v>
      </c>
    </row>
    <row r="1258" spans="1:29">
      <c r="A1258" t="s">
        <v>382</v>
      </c>
      <c r="B1258" t="s">
        <v>440</v>
      </c>
      <c r="C1258" t="s">
        <v>421</v>
      </c>
      <c r="D1258" t="s">
        <v>422</v>
      </c>
      <c r="E1258" t="s">
        <v>390</v>
      </c>
      <c r="F1258" t="s">
        <v>391</v>
      </c>
      <c r="G1258">
        <v>6103538</v>
      </c>
      <c r="H1258">
        <v>202112</v>
      </c>
      <c r="I1258" s="400">
        <v>44561</v>
      </c>
      <c r="J1258">
        <v>119010</v>
      </c>
      <c r="K1258" t="s">
        <v>386</v>
      </c>
      <c r="L1258" t="s">
        <v>392</v>
      </c>
      <c r="M1258" t="s">
        <v>393</v>
      </c>
      <c r="O1258" t="s">
        <v>394</v>
      </c>
      <c r="P1258" t="s">
        <v>395</v>
      </c>
      <c r="Q1258" t="s">
        <v>396</v>
      </c>
      <c r="R1258">
        <v>2069138</v>
      </c>
      <c r="S1258" t="s">
        <v>430</v>
      </c>
      <c r="U1258" t="s">
        <v>1861</v>
      </c>
      <c r="V1258" t="s">
        <v>398</v>
      </c>
      <c r="W1258" s="393">
        <v>1400000</v>
      </c>
      <c r="X1258" s="393">
        <v>390.6</v>
      </c>
      <c r="Y1258" s="393">
        <v>3297</v>
      </c>
      <c r="Z1258" s="393">
        <v>1400000</v>
      </c>
      <c r="AA1258">
        <v>0</v>
      </c>
      <c r="AB1258" s="400">
        <v>44580.042569675927</v>
      </c>
      <c r="AC1258" t="s">
        <v>437</v>
      </c>
    </row>
    <row r="1259" spans="1:29">
      <c r="A1259" t="s">
        <v>382</v>
      </c>
      <c r="B1259" t="s">
        <v>440</v>
      </c>
      <c r="C1259" t="s">
        <v>421</v>
      </c>
      <c r="D1259" t="s">
        <v>422</v>
      </c>
      <c r="E1259" t="s">
        <v>390</v>
      </c>
      <c r="F1259" t="s">
        <v>391</v>
      </c>
      <c r="G1259">
        <v>6103538</v>
      </c>
      <c r="H1259">
        <v>202112</v>
      </c>
      <c r="I1259" s="400">
        <v>44561</v>
      </c>
      <c r="J1259">
        <v>119010</v>
      </c>
      <c r="K1259" t="s">
        <v>386</v>
      </c>
      <c r="L1259" t="s">
        <v>392</v>
      </c>
      <c r="M1259" t="s">
        <v>393</v>
      </c>
      <c r="O1259" t="s">
        <v>394</v>
      </c>
      <c r="P1259" t="s">
        <v>395</v>
      </c>
      <c r="Q1259" t="s">
        <v>396</v>
      </c>
      <c r="R1259">
        <v>2069138</v>
      </c>
      <c r="S1259" t="s">
        <v>430</v>
      </c>
      <c r="U1259" t="s">
        <v>1862</v>
      </c>
      <c r="V1259" t="s">
        <v>398</v>
      </c>
      <c r="W1259" s="393">
        <v>1200000</v>
      </c>
      <c r="X1259" s="393">
        <v>334.8</v>
      </c>
      <c r="Y1259" s="393">
        <v>2826</v>
      </c>
      <c r="Z1259" s="393">
        <v>1200000</v>
      </c>
      <c r="AA1259">
        <v>0</v>
      </c>
      <c r="AB1259" s="400">
        <v>44580.042569675927</v>
      </c>
      <c r="AC1259" t="s">
        <v>437</v>
      </c>
    </row>
    <row r="1260" spans="1:29">
      <c r="A1260" t="s">
        <v>382</v>
      </c>
      <c r="B1260" t="s">
        <v>440</v>
      </c>
      <c r="C1260" t="s">
        <v>421</v>
      </c>
      <c r="D1260" t="s">
        <v>422</v>
      </c>
      <c r="E1260" t="s">
        <v>390</v>
      </c>
      <c r="F1260" t="s">
        <v>391</v>
      </c>
      <c r="G1260">
        <v>6103328</v>
      </c>
      <c r="H1260">
        <v>202112</v>
      </c>
      <c r="I1260" s="400">
        <v>44551</v>
      </c>
      <c r="J1260">
        <v>119010</v>
      </c>
      <c r="K1260" t="s">
        <v>386</v>
      </c>
      <c r="L1260" t="s">
        <v>399</v>
      </c>
      <c r="M1260" t="s">
        <v>400</v>
      </c>
      <c r="O1260" t="s">
        <v>401</v>
      </c>
      <c r="P1260" t="s">
        <v>402</v>
      </c>
      <c r="Q1260" t="s">
        <v>396</v>
      </c>
      <c r="R1260">
        <v>2069136</v>
      </c>
      <c r="S1260" t="s">
        <v>399</v>
      </c>
      <c r="U1260" t="s">
        <v>1863</v>
      </c>
      <c r="V1260" t="s">
        <v>398</v>
      </c>
      <c r="W1260" s="393">
        <v>3878000</v>
      </c>
      <c r="X1260" s="393">
        <v>971.87</v>
      </c>
      <c r="Y1260" s="393">
        <v>8764.7800000000007</v>
      </c>
      <c r="Z1260" s="393">
        <v>3878000</v>
      </c>
      <c r="AA1260">
        <v>0</v>
      </c>
      <c r="AB1260" s="400">
        <v>44551.904961608794</v>
      </c>
      <c r="AC1260" t="s">
        <v>439</v>
      </c>
    </row>
    <row r="1261" spans="1:29">
      <c r="A1261" t="s">
        <v>382</v>
      </c>
      <c r="B1261" t="s">
        <v>440</v>
      </c>
      <c r="C1261" t="s">
        <v>421</v>
      </c>
      <c r="D1261" t="s">
        <v>422</v>
      </c>
      <c r="E1261" t="s">
        <v>390</v>
      </c>
      <c r="F1261" t="s">
        <v>391</v>
      </c>
      <c r="G1261">
        <v>6103328</v>
      </c>
      <c r="H1261">
        <v>202112</v>
      </c>
      <c r="I1261" s="400">
        <v>44551</v>
      </c>
      <c r="J1261">
        <v>119010</v>
      </c>
      <c r="K1261" t="s">
        <v>386</v>
      </c>
      <c r="L1261" t="s">
        <v>399</v>
      </c>
      <c r="M1261" t="s">
        <v>400</v>
      </c>
      <c r="O1261" t="s">
        <v>401</v>
      </c>
      <c r="P1261" t="s">
        <v>402</v>
      </c>
      <c r="Q1261" t="s">
        <v>396</v>
      </c>
      <c r="R1261">
        <v>2069136</v>
      </c>
      <c r="S1261" t="s">
        <v>399</v>
      </c>
      <c r="U1261" t="s">
        <v>1864</v>
      </c>
      <c r="V1261" t="s">
        <v>398</v>
      </c>
      <c r="W1261" s="393">
        <v>100000</v>
      </c>
      <c r="X1261" s="393">
        <v>25.06</v>
      </c>
      <c r="Y1261" s="393">
        <v>226.01</v>
      </c>
      <c r="Z1261" s="393">
        <v>100000</v>
      </c>
      <c r="AA1261">
        <v>0</v>
      </c>
      <c r="AB1261" s="400">
        <v>44551.904961608794</v>
      </c>
      <c r="AC1261" t="s">
        <v>439</v>
      </c>
    </row>
    <row r="1262" spans="1:29">
      <c r="A1262" t="s">
        <v>382</v>
      </c>
      <c r="B1262" t="s">
        <v>440</v>
      </c>
      <c r="C1262" t="s">
        <v>421</v>
      </c>
      <c r="D1262" t="s">
        <v>422</v>
      </c>
      <c r="E1262" t="s">
        <v>390</v>
      </c>
      <c r="F1262" t="s">
        <v>391</v>
      </c>
      <c r="G1262">
        <v>6103328</v>
      </c>
      <c r="H1262">
        <v>202112</v>
      </c>
      <c r="I1262" s="400">
        <v>44551</v>
      </c>
      <c r="J1262">
        <v>119010</v>
      </c>
      <c r="K1262" t="s">
        <v>386</v>
      </c>
      <c r="L1262" t="s">
        <v>399</v>
      </c>
      <c r="M1262" t="s">
        <v>400</v>
      </c>
      <c r="O1262" t="s">
        <v>401</v>
      </c>
      <c r="P1262" t="s">
        <v>402</v>
      </c>
      <c r="Q1262" t="s">
        <v>396</v>
      </c>
      <c r="R1262">
        <v>2069136</v>
      </c>
      <c r="S1262" t="s">
        <v>399</v>
      </c>
      <c r="U1262" t="s">
        <v>1865</v>
      </c>
      <c r="V1262" t="s">
        <v>398</v>
      </c>
      <c r="W1262" s="393">
        <v>1600000</v>
      </c>
      <c r="X1262" s="393">
        <v>400.98</v>
      </c>
      <c r="Y1262" s="393">
        <v>3616.21</v>
      </c>
      <c r="Z1262" s="393">
        <v>1600000</v>
      </c>
      <c r="AA1262">
        <v>0</v>
      </c>
      <c r="AB1262" s="400">
        <v>44551.904961608794</v>
      </c>
      <c r="AC1262" t="s">
        <v>439</v>
      </c>
    </row>
    <row r="1263" spans="1:29">
      <c r="A1263" t="s">
        <v>382</v>
      </c>
      <c r="B1263" t="s">
        <v>440</v>
      </c>
      <c r="C1263" t="s">
        <v>421</v>
      </c>
      <c r="D1263" t="s">
        <v>422</v>
      </c>
      <c r="E1263" t="s">
        <v>390</v>
      </c>
      <c r="F1263" t="s">
        <v>391</v>
      </c>
      <c r="G1263">
        <v>6103328</v>
      </c>
      <c r="H1263">
        <v>202112</v>
      </c>
      <c r="I1263" s="400">
        <v>44551</v>
      </c>
      <c r="J1263">
        <v>119010</v>
      </c>
      <c r="K1263" t="s">
        <v>386</v>
      </c>
      <c r="L1263" t="s">
        <v>399</v>
      </c>
      <c r="M1263" t="s">
        <v>400</v>
      </c>
      <c r="O1263" t="s">
        <v>401</v>
      </c>
      <c r="P1263" t="s">
        <v>402</v>
      </c>
      <c r="Q1263" t="s">
        <v>396</v>
      </c>
      <c r="R1263">
        <v>2069136</v>
      </c>
      <c r="S1263" t="s">
        <v>399</v>
      </c>
      <c r="U1263" t="s">
        <v>1866</v>
      </c>
      <c r="V1263" t="s">
        <v>398</v>
      </c>
      <c r="W1263" s="393">
        <v>16000000</v>
      </c>
      <c r="X1263" s="393">
        <v>4009.76</v>
      </c>
      <c r="Y1263" s="393">
        <v>36162.080000000002</v>
      </c>
      <c r="Z1263" s="393">
        <v>16000000</v>
      </c>
      <c r="AA1263">
        <v>0</v>
      </c>
      <c r="AB1263" s="400">
        <v>44551.904961608794</v>
      </c>
      <c r="AC1263" t="s">
        <v>439</v>
      </c>
    </row>
    <row r="1264" spans="1:29">
      <c r="A1264" t="s">
        <v>382</v>
      </c>
      <c r="B1264" t="s">
        <v>440</v>
      </c>
      <c r="C1264" t="s">
        <v>421</v>
      </c>
      <c r="D1264" t="s">
        <v>422</v>
      </c>
      <c r="E1264" t="s">
        <v>390</v>
      </c>
      <c r="F1264" t="s">
        <v>391</v>
      </c>
      <c r="G1264">
        <v>6103328</v>
      </c>
      <c r="H1264">
        <v>202112</v>
      </c>
      <c r="I1264" s="400">
        <v>44551</v>
      </c>
      <c r="J1264">
        <v>119010</v>
      </c>
      <c r="K1264" t="s">
        <v>386</v>
      </c>
      <c r="L1264" t="s">
        <v>399</v>
      </c>
      <c r="M1264" t="s">
        <v>400</v>
      </c>
      <c r="O1264" t="s">
        <v>401</v>
      </c>
      <c r="P1264" t="s">
        <v>402</v>
      </c>
      <c r="Q1264" t="s">
        <v>396</v>
      </c>
      <c r="R1264">
        <v>2069136</v>
      </c>
      <c r="S1264" t="s">
        <v>399</v>
      </c>
      <c r="U1264" t="s">
        <v>1867</v>
      </c>
      <c r="V1264" t="s">
        <v>398</v>
      </c>
      <c r="W1264" s="393">
        <v>1800000</v>
      </c>
      <c r="X1264" s="393">
        <v>451.1</v>
      </c>
      <c r="Y1264" s="393">
        <v>4068.23</v>
      </c>
      <c r="Z1264" s="393">
        <v>1800000</v>
      </c>
      <c r="AA1264">
        <v>0</v>
      </c>
      <c r="AB1264" s="400">
        <v>44551.904961608794</v>
      </c>
      <c r="AC1264" t="s">
        <v>439</v>
      </c>
    </row>
    <row r="1265" spans="1:29">
      <c r="A1265" t="s">
        <v>382</v>
      </c>
      <c r="B1265" t="s">
        <v>440</v>
      </c>
      <c r="C1265" t="s">
        <v>421</v>
      </c>
      <c r="D1265" t="s">
        <v>422</v>
      </c>
      <c r="E1265" t="s">
        <v>390</v>
      </c>
      <c r="F1265" t="s">
        <v>391</v>
      </c>
      <c r="G1265">
        <v>6103328</v>
      </c>
      <c r="H1265">
        <v>202112</v>
      </c>
      <c r="I1265" s="400">
        <v>44551</v>
      </c>
      <c r="J1265">
        <v>119010</v>
      </c>
      <c r="K1265" t="s">
        <v>386</v>
      </c>
      <c r="L1265" t="s">
        <v>399</v>
      </c>
      <c r="M1265" t="s">
        <v>400</v>
      </c>
      <c r="O1265" t="s">
        <v>401</v>
      </c>
      <c r="P1265" t="s">
        <v>402</v>
      </c>
      <c r="Q1265" t="s">
        <v>396</v>
      </c>
      <c r="R1265">
        <v>2069136</v>
      </c>
      <c r="S1265" t="s">
        <v>399</v>
      </c>
      <c r="U1265" t="s">
        <v>1868</v>
      </c>
      <c r="V1265" t="s">
        <v>398</v>
      </c>
      <c r="W1265" s="393">
        <v>1600000</v>
      </c>
      <c r="X1265" s="393">
        <v>400.98</v>
      </c>
      <c r="Y1265" s="393">
        <v>3616.21</v>
      </c>
      <c r="Z1265" s="393">
        <v>1600000</v>
      </c>
      <c r="AA1265">
        <v>0</v>
      </c>
      <c r="AB1265" s="400">
        <v>44551.904961608794</v>
      </c>
      <c r="AC1265" t="s">
        <v>439</v>
      </c>
    </row>
    <row r="1266" spans="1:29">
      <c r="A1266" t="s">
        <v>382</v>
      </c>
      <c r="B1266" t="s">
        <v>382</v>
      </c>
      <c r="C1266" t="s">
        <v>421</v>
      </c>
      <c r="D1266" t="s">
        <v>422</v>
      </c>
      <c r="E1266" t="s">
        <v>390</v>
      </c>
      <c r="F1266" t="s">
        <v>391</v>
      </c>
      <c r="G1266">
        <v>6103363</v>
      </c>
      <c r="H1266">
        <v>202112</v>
      </c>
      <c r="I1266" s="400">
        <v>44552</v>
      </c>
      <c r="J1266">
        <v>119010</v>
      </c>
      <c r="K1266" t="s">
        <v>386</v>
      </c>
      <c r="L1266" t="s">
        <v>399</v>
      </c>
      <c r="M1266" t="s">
        <v>400</v>
      </c>
      <c r="O1266" t="s">
        <v>401</v>
      </c>
      <c r="P1266" t="s">
        <v>402</v>
      </c>
      <c r="Q1266" t="s">
        <v>396</v>
      </c>
      <c r="R1266">
        <v>2069136</v>
      </c>
      <c r="S1266" t="s">
        <v>403</v>
      </c>
      <c r="U1266" t="s">
        <v>1869</v>
      </c>
      <c r="V1266" t="s">
        <v>398</v>
      </c>
      <c r="W1266" s="393">
        <v>-8029533</v>
      </c>
      <c r="X1266" s="393">
        <v>-2055.56</v>
      </c>
      <c r="Y1266" s="393">
        <v>-17761.330000000002</v>
      </c>
      <c r="Z1266" s="393">
        <v>-8029533</v>
      </c>
      <c r="AA1266">
        <v>0</v>
      </c>
      <c r="AB1266" s="400">
        <v>44552.75555347222</v>
      </c>
      <c r="AC1266" t="s">
        <v>439</v>
      </c>
    </row>
    <row r="1267" spans="1:29">
      <c r="A1267" t="s">
        <v>382</v>
      </c>
      <c r="B1267" t="s">
        <v>382</v>
      </c>
      <c r="C1267" t="s">
        <v>421</v>
      </c>
      <c r="D1267" t="s">
        <v>422</v>
      </c>
      <c r="E1267" t="s">
        <v>390</v>
      </c>
      <c r="F1267" t="s">
        <v>391</v>
      </c>
      <c r="G1267">
        <v>6103363</v>
      </c>
      <c r="H1267">
        <v>202112</v>
      </c>
      <c r="I1267" s="400">
        <v>44552</v>
      </c>
      <c r="J1267">
        <v>119010</v>
      </c>
      <c r="K1267" t="s">
        <v>386</v>
      </c>
      <c r="L1267" t="s">
        <v>399</v>
      </c>
      <c r="M1267" t="s">
        <v>400</v>
      </c>
      <c r="O1267" t="s">
        <v>401</v>
      </c>
      <c r="P1267" t="s">
        <v>402</v>
      </c>
      <c r="Q1267" t="s">
        <v>396</v>
      </c>
      <c r="R1267">
        <v>2069136</v>
      </c>
      <c r="S1267" t="s">
        <v>403</v>
      </c>
      <c r="U1267" t="s">
        <v>1870</v>
      </c>
      <c r="V1267" t="s">
        <v>398</v>
      </c>
      <c r="W1267" s="393">
        <v>2129533</v>
      </c>
      <c r="X1267" s="393">
        <v>545.16</v>
      </c>
      <c r="Y1267" s="393">
        <v>4710.53</v>
      </c>
      <c r="Z1267" s="393">
        <v>2129533</v>
      </c>
      <c r="AA1267">
        <v>0</v>
      </c>
      <c r="AB1267" s="400">
        <v>44552.75555347222</v>
      </c>
      <c r="AC1267" t="s">
        <v>439</v>
      </c>
    </row>
    <row r="1268" spans="1:29">
      <c r="A1268" t="s">
        <v>382</v>
      </c>
      <c r="B1268" t="s">
        <v>382</v>
      </c>
      <c r="C1268" t="s">
        <v>421</v>
      </c>
      <c r="D1268" t="s">
        <v>422</v>
      </c>
      <c r="E1268" t="s">
        <v>390</v>
      </c>
      <c r="F1268" t="s">
        <v>391</v>
      </c>
      <c r="G1268">
        <v>6103363</v>
      </c>
      <c r="H1268">
        <v>202112</v>
      </c>
      <c r="I1268" s="400">
        <v>44552</v>
      </c>
      <c r="J1268">
        <v>119010</v>
      </c>
      <c r="K1268" t="s">
        <v>386</v>
      </c>
      <c r="L1268" t="s">
        <v>399</v>
      </c>
      <c r="M1268" t="s">
        <v>400</v>
      </c>
      <c r="O1268" t="s">
        <v>401</v>
      </c>
      <c r="P1268" t="s">
        <v>402</v>
      </c>
      <c r="Q1268" t="s">
        <v>396</v>
      </c>
      <c r="R1268">
        <v>2069136</v>
      </c>
      <c r="S1268" t="s">
        <v>403</v>
      </c>
      <c r="U1268" t="s">
        <v>1871</v>
      </c>
      <c r="V1268" t="s">
        <v>398</v>
      </c>
      <c r="W1268" s="393">
        <v>5200000</v>
      </c>
      <c r="X1268" s="393">
        <v>1331.2</v>
      </c>
      <c r="Y1268" s="393">
        <v>11502.4</v>
      </c>
      <c r="Z1268" s="393">
        <v>5200000</v>
      </c>
      <c r="AA1268">
        <v>0</v>
      </c>
      <c r="AB1268" s="400">
        <v>44552.75555347222</v>
      </c>
      <c r="AC1268" t="s">
        <v>439</v>
      </c>
    </row>
    <row r="1269" spans="1:29">
      <c r="A1269" t="s">
        <v>382</v>
      </c>
      <c r="B1269" t="s">
        <v>382</v>
      </c>
      <c r="C1269" t="s">
        <v>421</v>
      </c>
      <c r="D1269" t="s">
        <v>422</v>
      </c>
      <c r="E1269" t="s">
        <v>390</v>
      </c>
      <c r="F1269" t="s">
        <v>391</v>
      </c>
      <c r="G1269">
        <v>6103363</v>
      </c>
      <c r="H1269">
        <v>202112</v>
      </c>
      <c r="I1269" s="400">
        <v>44552</v>
      </c>
      <c r="J1269">
        <v>119010</v>
      </c>
      <c r="K1269" t="s">
        <v>386</v>
      </c>
      <c r="L1269" t="s">
        <v>399</v>
      </c>
      <c r="M1269" t="s">
        <v>400</v>
      </c>
      <c r="O1269" t="s">
        <v>401</v>
      </c>
      <c r="P1269" t="s">
        <v>402</v>
      </c>
      <c r="Q1269" t="s">
        <v>396</v>
      </c>
      <c r="R1269">
        <v>2069136</v>
      </c>
      <c r="S1269" t="s">
        <v>403</v>
      </c>
      <c r="U1269" t="s">
        <v>1872</v>
      </c>
      <c r="V1269" t="s">
        <v>398</v>
      </c>
      <c r="W1269" s="393">
        <v>700000</v>
      </c>
      <c r="X1269" s="393">
        <v>179.2</v>
      </c>
      <c r="Y1269" s="393">
        <v>1548.4</v>
      </c>
      <c r="Z1269" s="393">
        <v>700000</v>
      </c>
      <c r="AA1269">
        <v>0</v>
      </c>
      <c r="AB1269" s="400">
        <v>44552.75555347222</v>
      </c>
      <c r="AC1269" t="s">
        <v>439</v>
      </c>
    </row>
    <row r="1270" spans="1:29">
      <c r="A1270" t="s">
        <v>382</v>
      </c>
      <c r="B1270" t="s">
        <v>440</v>
      </c>
      <c r="C1270" t="s">
        <v>421</v>
      </c>
      <c r="D1270" t="s">
        <v>422</v>
      </c>
      <c r="E1270" t="s">
        <v>390</v>
      </c>
      <c r="F1270" t="s">
        <v>391</v>
      </c>
      <c r="G1270">
        <v>6103525</v>
      </c>
      <c r="H1270">
        <v>202112</v>
      </c>
      <c r="I1270" s="400">
        <v>44561</v>
      </c>
      <c r="J1270">
        <v>119010</v>
      </c>
      <c r="K1270" t="s">
        <v>386</v>
      </c>
      <c r="L1270" t="s">
        <v>399</v>
      </c>
      <c r="M1270" t="s">
        <v>400</v>
      </c>
      <c r="O1270" t="s">
        <v>401</v>
      </c>
      <c r="P1270" t="s">
        <v>402</v>
      </c>
      <c r="Q1270" t="s">
        <v>396</v>
      </c>
      <c r="R1270">
        <v>2069136</v>
      </c>
      <c r="S1270" t="s">
        <v>399</v>
      </c>
      <c r="U1270" t="s">
        <v>1873</v>
      </c>
      <c r="V1270" t="s">
        <v>398</v>
      </c>
      <c r="W1270" s="393">
        <v>3050000</v>
      </c>
      <c r="X1270" s="393">
        <v>766.1</v>
      </c>
      <c r="Y1270" s="393">
        <v>6759.68</v>
      </c>
      <c r="Z1270" s="393">
        <v>3050000</v>
      </c>
      <c r="AA1270">
        <v>0</v>
      </c>
      <c r="AB1270" s="400">
        <v>44574.979683831021</v>
      </c>
      <c r="AC1270" t="s">
        <v>439</v>
      </c>
    </row>
    <row r="1271" spans="1:29">
      <c r="A1271" t="s">
        <v>382</v>
      </c>
      <c r="B1271" t="s">
        <v>440</v>
      </c>
      <c r="C1271" t="s">
        <v>421</v>
      </c>
      <c r="D1271" t="s">
        <v>422</v>
      </c>
      <c r="E1271" t="s">
        <v>390</v>
      </c>
      <c r="F1271" t="s">
        <v>391</v>
      </c>
      <c r="G1271">
        <v>6103525</v>
      </c>
      <c r="H1271">
        <v>202112</v>
      </c>
      <c r="I1271" s="400">
        <v>44561</v>
      </c>
      <c r="J1271">
        <v>119010</v>
      </c>
      <c r="K1271" t="s">
        <v>386</v>
      </c>
      <c r="L1271" t="s">
        <v>399</v>
      </c>
      <c r="M1271" t="s">
        <v>400</v>
      </c>
      <c r="O1271" t="s">
        <v>401</v>
      </c>
      <c r="P1271" t="s">
        <v>402</v>
      </c>
      <c r="Q1271" t="s">
        <v>396</v>
      </c>
      <c r="R1271">
        <v>2069136</v>
      </c>
      <c r="S1271" t="s">
        <v>399</v>
      </c>
      <c r="U1271" t="s">
        <v>1874</v>
      </c>
      <c r="V1271" t="s">
        <v>398</v>
      </c>
      <c r="W1271" s="393">
        <v>1200000</v>
      </c>
      <c r="X1271" s="393">
        <v>301.42</v>
      </c>
      <c r="Y1271" s="393">
        <v>2659.55</v>
      </c>
      <c r="Z1271" s="393">
        <v>1200000</v>
      </c>
      <c r="AA1271">
        <v>0</v>
      </c>
      <c r="AB1271" s="400">
        <v>44574.979683831021</v>
      </c>
      <c r="AC1271" t="s">
        <v>439</v>
      </c>
    </row>
    <row r="1272" spans="1:29">
      <c r="A1272" t="s">
        <v>382</v>
      </c>
      <c r="B1272" t="s">
        <v>440</v>
      </c>
      <c r="C1272" t="s">
        <v>421</v>
      </c>
      <c r="D1272" t="s">
        <v>422</v>
      </c>
      <c r="E1272" t="s">
        <v>390</v>
      </c>
      <c r="F1272" t="s">
        <v>391</v>
      </c>
      <c r="G1272">
        <v>6103525</v>
      </c>
      <c r="H1272">
        <v>202112</v>
      </c>
      <c r="I1272" s="400">
        <v>44561</v>
      </c>
      <c r="J1272">
        <v>119010</v>
      </c>
      <c r="K1272" t="s">
        <v>386</v>
      </c>
      <c r="L1272" t="s">
        <v>399</v>
      </c>
      <c r="M1272" t="s">
        <v>400</v>
      </c>
      <c r="O1272" t="s">
        <v>401</v>
      </c>
      <c r="P1272" t="s">
        <v>402</v>
      </c>
      <c r="Q1272" t="s">
        <v>396</v>
      </c>
      <c r="R1272">
        <v>2069136</v>
      </c>
      <c r="S1272" t="s">
        <v>399</v>
      </c>
      <c r="U1272" t="s">
        <v>1875</v>
      </c>
      <c r="V1272" t="s">
        <v>398</v>
      </c>
      <c r="W1272" s="393">
        <v>7980000</v>
      </c>
      <c r="X1272" s="393">
        <v>2004.42</v>
      </c>
      <c r="Y1272" s="393">
        <v>17685.990000000002</v>
      </c>
      <c r="Z1272" s="393">
        <v>7980000</v>
      </c>
      <c r="AA1272">
        <v>0</v>
      </c>
      <c r="AB1272" s="400">
        <v>44574.979683831021</v>
      </c>
      <c r="AC1272" t="s">
        <v>439</v>
      </c>
    </row>
    <row r="1273" spans="1:29">
      <c r="A1273" t="s">
        <v>382</v>
      </c>
      <c r="B1273" t="s">
        <v>440</v>
      </c>
      <c r="C1273" t="s">
        <v>421</v>
      </c>
      <c r="D1273" t="s">
        <v>422</v>
      </c>
      <c r="E1273" t="s">
        <v>390</v>
      </c>
      <c r="F1273" t="s">
        <v>391</v>
      </c>
      <c r="G1273">
        <v>6103525</v>
      </c>
      <c r="H1273">
        <v>202112</v>
      </c>
      <c r="I1273" s="400">
        <v>44561</v>
      </c>
      <c r="J1273">
        <v>119010</v>
      </c>
      <c r="K1273" t="s">
        <v>386</v>
      </c>
      <c r="L1273" t="s">
        <v>399</v>
      </c>
      <c r="M1273" t="s">
        <v>400</v>
      </c>
      <c r="O1273" t="s">
        <v>401</v>
      </c>
      <c r="P1273" t="s">
        <v>402</v>
      </c>
      <c r="Q1273" t="s">
        <v>396</v>
      </c>
      <c r="R1273">
        <v>2069136</v>
      </c>
      <c r="S1273" t="s">
        <v>399</v>
      </c>
      <c r="U1273" t="s">
        <v>1876</v>
      </c>
      <c r="V1273" t="s">
        <v>398</v>
      </c>
      <c r="W1273" s="393">
        <v>320000</v>
      </c>
      <c r="X1273" s="393">
        <v>80.38</v>
      </c>
      <c r="Y1273" s="393">
        <v>709.21</v>
      </c>
      <c r="Z1273" s="393">
        <v>320000</v>
      </c>
      <c r="AA1273">
        <v>0</v>
      </c>
      <c r="AB1273" s="400">
        <v>44574.979683831021</v>
      </c>
      <c r="AC1273" t="s">
        <v>439</v>
      </c>
    </row>
    <row r="1274" spans="1:29">
      <c r="A1274" t="s">
        <v>382</v>
      </c>
      <c r="B1274" t="s">
        <v>440</v>
      </c>
      <c r="C1274" t="s">
        <v>421</v>
      </c>
      <c r="D1274" t="s">
        <v>422</v>
      </c>
      <c r="E1274" t="s">
        <v>390</v>
      </c>
      <c r="F1274" t="s">
        <v>391</v>
      </c>
      <c r="G1274">
        <v>6103525</v>
      </c>
      <c r="H1274">
        <v>202112</v>
      </c>
      <c r="I1274" s="400">
        <v>44561</v>
      </c>
      <c r="J1274">
        <v>119010</v>
      </c>
      <c r="K1274" t="s">
        <v>386</v>
      </c>
      <c r="L1274" t="s">
        <v>399</v>
      </c>
      <c r="M1274" t="s">
        <v>400</v>
      </c>
      <c r="O1274" t="s">
        <v>401</v>
      </c>
      <c r="P1274" t="s">
        <v>402</v>
      </c>
      <c r="Q1274" t="s">
        <v>396</v>
      </c>
      <c r="R1274">
        <v>2069136</v>
      </c>
      <c r="S1274" t="s">
        <v>399</v>
      </c>
      <c r="U1274" t="s">
        <v>1877</v>
      </c>
      <c r="V1274" t="s">
        <v>398</v>
      </c>
      <c r="W1274" s="393">
        <v>4200000</v>
      </c>
      <c r="X1274" s="393">
        <v>1054.96</v>
      </c>
      <c r="Y1274" s="393">
        <v>9308.42</v>
      </c>
      <c r="Z1274" s="393">
        <v>4200000</v>
      </c>
      <c r="AA1274">
        <v>0</v>
      </c>
      <c r="AB1274" s="400">
        <v>44574.979683831021</v>
      </c>
      <c r="AC1274" t="s">
        <v>439</v>
      </c>
    </row>
    <row r="1275" spans="1:29">
      <c r="A1275" t="s">
        <v>382</v>
      </c>
      <c r="B1275" t="s">
        <v>440</v>
      </c>
      <c r="C1275" t="s">
        <v>421</v>
      </c>
      <c r="D1275" t="s">
        <v>422</v>
      </c>
      <c r="E1275" t="s">
        <v>390</v>
      </c>
      <c r="F1275" t="s">
        <v>391</v>
      </c>
      <c r="G1275">
        <v>6103525</v>
      </c>
      <c r="H1275">
        <v>202112</v>
      </c>
      <c r="I1275" s="400">
        <v>44561</v>
      </c>
      <c r="J1275">
        <v>119010</v>
      </c>
      <c r="K1275" t="s">
        <v>386</v>
      </c>
      <c r="L1275" t="s">
        <v>399</v>
      </c>
      <c r="M1275" t="s">
        <v>400</v>
      </c>
      <c r="O1275" t="s">
        <v>401</v>
      </c>
      <c r="P1275" t="s">
        <v>402</v>
      </c>
      <c r="Q1275" t="s">
        <v>396</v>
      </c>
      <c r="R1275">
        <v>2069136</v>
      </c>
      <c r="S1275" t="s">
        <v>399</v>
      </c>
      <c r="U1275" t="s">
        <v>1878</v>
      </c>
      <c r="V1275" t="s">
        <v>398</v>
      </c>
      <c r="W1275" s="393">
        <v>12000000</v>
      </c>
      <c r="X1275" s="393">
        <v>3014.16</v>
      </c>
      <c r="Y1275" s="393">
        <v>26595.48</v>
      </c>
      <c r="Z1275" s="393">
        <v>12000000</v>
      </c>
      <c r="AA1275">
        <v>0</v>
      </c>
      <c r="AB1275" s="400">
        <v>44574.979683831021</v>
      </c>
      <c r="AC1275" t="s">
        <v>439</v>
      </c>
    </row>
    <row r="1276" spans="1:29">
      <c r="A1276" t="s">
        <v>382</v>
      </c>
      <c r="B1276" t="s">
        <v>440</v>
      </c>
      <c r="C1276" t="s">
        <v>421</v>
      </c>
      <c r="D1276" t="s">
        <v>422</v>
      </c>
      <c r="E1276" t="s">
        <v>390</v>
      </c>
      <c r="F1276" t="s">
        <v>391</v>
      </c>
      <c r="G1276">
        <v>6103328</v>
      </c>
      <c r="H1276">
        <v>202112</v>
      </c>
      <c r="I1276" s="400">
        <v>44551</v>
      </c>
      <c r="J1276">
        <v>119010</v>
      </c>
      <c r="K1276" t="s">
        <v>386</v>
      </c>
      <c r="L1276" t="s">
        <v>399</v>
      </c>
      <c r="M1276" t="s">
        <v>400</v>
      </c>
      <c r="O1276" t="s">
        <v>401</v>
      </c>
      <c r="P1276" t="s">
        <v>402</v>
      </c>
      <c r="Q1276" t="s">
        <v>396</v>
      </c>
      <c r="R1276">
        <v>2069136</v>
      </c>
      <c r="S1276" t="s">
        <v>399</v>
      </c>
      <c r="U1276" t="s">
        <v>1879</v>
      </c>
      <c r="V1276" t="s">
        <v>398</v>
      </c>
      <c r="W1276" s="393">
        <v>8500000</v>
      </c>
      <c r="X1276" s="393">
        <v>2130.19</v>
      </c>
      <c r="Y1276" s="393">
        <v>19211.11</v>
      </c>
      <c r="Z1276" s="393">
        <v>8500000</v>
      </c>
      <c r="AA1276">
        <v>0</v>
      </c>
      <c r="AB1276" s="400">
        <v>44551.904961608794</v>
      </c>
      <c r="AC1276" t="s">
        <v>439</v>
      </c>
    </row>
    <row r="1277" spans="1:29">
      <c r="A1277" t="s">
        <v>382</v>
      </c>
      <c r="B1277" t="s">
        <v>440</v>
      </c>
      <c r="C1277" t="s">
        <v>421</v>
      </c>
      <c r="D1277" t="s">
        <v>422</v>
      </c>
      <c r="E1277" t="s">
        <v>390</v>
      </c>
      <c r="F1277" t="s">
        <v>391</v>
      </c>
      <c r="G1277">
        <v>6103328</v>
      </c>
      <c r="H1277">
        <v>202112</v>
      </c>
      <c r="I1277" s="400">
        <v>44551</v>
      </c>
      <c r="J1277">
        <v>119010</v>
      </c>
      <c r="K1277" t="s">
        <v>386</v>
      </c>
      <c r="L1277" t="s">
        <v>399</v>
      </c>
      <c r="M1277" t="s">
        <v>400</v>
      </c>
      <c r="O1277" t="s">
        <v>401</v>
      </c>
      <c r="P1277" t="s">
        <v>402</v>
      </c>
      <c r="Q1277" t="s">
        <v>396</v>
      </c>
      <c r="R1277">
        <v>2069136</v>
      </c>
      <c r="S1277" t="s">
        <v>399</v>
      </c>
      <c r="U1277" t="s">
        <v>1880</v>
      </c>
      <c r="V1277" t="s">
        <v>398</v>
      </c>
      <c r="W1277" s="393">
        <v>800000</v>
      </c>
      <c r="X1277" s="393">
        <v>200.49</v>
      </c>
      <c r="Y1277" s="393">
        <v>1808.1</v>
      </c>
      <c r="Z1277" s="393">
        <v>800000</v>
      </c>
      <c r="AA1277">
        <v>0</v>
      </c>
      <c r="AB1277" s="400">
        <v>44551.904961608794</v>
      </c>
      <c r="AC1277" t="s">
        <v>439</v>
      </c>
    </row>
    <row r="1278" spans="1:29">
      <c r="A1278" t="s">
        <v>382</v>
      </c>
      <c r="B1278" t="s">
        <v>382</v>
      </c>
      <c r="C1278" t="s">
        <v>421</v>
      </c>
      <c r="D1278" t="s">
        <v>422</v>
      </c>
      <c r="E1278" t="s">
        <v>390</v>
      </c>
      <c r="F1278" t="s">
        <v>391</v>
      </c>
      <c r="G1278">
        <v>6103368</v>
      </c>
      <c r="H1278">
        <v>202112</v>
      </c>
      <c r="I1278" s="400">
        <v>44552</v>
      </c>
      <c r="J1278">
        <v>119010</v>
      </c>
      <c r="K1278" t="s">
        <v>386</v>
      </c>
      <c r="L1278" t="s">
        <v>399</v>
      </c>
      <c r="M1278" t="s">
        <v>400</v>
      </c>
      <c r="O1278" t="s">
        <v>401</v>
      </c>
      <c r="P1278" t="s">
        <v>402</v>
      </c>
      <c r="Q1278" t="s">
        <v>396</v>
      </c>
      <c r="R1278">
        <v>2069136</v>
      </c>
      <c r="S1278" t="s">
        <v>403</v>
      </c>
      <c r="U1278" t="s">
        <v>1881</v>
      </c>
      <c r="V1278" t="s">
        <v>398</v>
      </c>
      <c r="W1278" s="393">
        <v>-19780000</v>
      </c>
      <c r="X1278" s="393">
        <v>-5061.5</v>
      </c>
      <c r="Y1278" s="393">
        <v>-43403.85</v>
      </c>
      <c r="Z1278" s="393">
        <v>-19780000</v>
      </c>
      <c r="AA1278">
        <v>0</v>
      </c>
      <c r="AB1278" s="400">
        <v>44552.789570717592</v>
      </c>
      <c r="AC1278" t="s">
        <v>439</v>
      </c>
    </row>
    <row r="1279" spans="1:29">
      <c r="A1279" t="s">
        <v>382</v>
      </c>
      <c r="B1279" t="s">
        <v>382</v>
      </c>
      <c r="C1279" t="s">
        <v>421</v>
      </c>
      <c r="D1279" t="s">
        <v>422</v>
      </c>
      <c r="E1279" t="s">
        <v>390</v>
      </c>
      <c r="F1279" t="s">
        <v>391</v>
      </c>
      <c r="G1279">
        <v>6103368</v>
      </c>
      <c r="H1279">
        <v>202112</v>
      </c>
      <c r="I1279" s="400">
        <v>44552</v>
      </c>
      <c r="J1279">
        <v>119010</v>
      </c>
      <c r="K1279" t="s">
        <v>386</v>
      </c>
      <c r="L1279" t="s">
        <v>399</v>
      </c>
      <c r="M1279" t="s">
        <v>400</v>
      </c>
      <c r="O1279" t="s">
        <v>401</v>
      </c>
      <c r="P1279" t="s">
        <v>402</v>
      </c>
      <c r="Q1279" t="s">
        <v>396</v>
      </c>
      <c r="R1279">
        <v>2069136</v>
      </c>
      <c r="S1279" t="s">
        <v>403</v>
      </c>
      <c r="U1279" t="s">
        <v>1882</v>
      </c>
      <c r="V1279" t="s">
        <v>398</v>
      </c>
      <c r="W1279" s="393">
        <v>500000</v>
      </c>
      <c r="X1279" s="393">
        <v>127.95</v>
      </c>
      <c r="Y1279" s="393">
        <v>1097.17</v>
      </c>
      <c r="Z1279" s="393">
        <v>500000</v>
      </c>
      <c r="AA1279">
        <v>0</v>
      </c>
      <c r="AB1279" s="400">
        <v>44552.789570717592</v>
      </c>
      <c r="AC1279" t="s">
        <v>439</v>
      </c>
    </row>
    <row r="1280" spans="1:29">
      <c r="A1280" t="s">
        <v>382</v>
      </c>
      <c r="B1280" t="s">
        <v>382</v>
      </c>
      <c r="C1280" t="s">
        <v>421</v>
      </c>
      <c r="D1280" t="s">
        <v>422</v>
      </c>
      <c r="E1280" t="s">
        <v>390</v>
      </c>
      <c r="F1280" t="s">
        <v>391</v>
      </c>
      <c r="G1280">
        <v>6103368</v>
      </c>
      <c r="H1280">
        <v>202112</v>
      </c>
      <c r="I1280" s="400">
        <v>44552</v>
      </c>
      <c r="J1280">
        <v>119010</v>
      </c>
      <c r="K1280" t="s">
        <v>386</v>
      </c>
      <c r="L1280" t="s">
        <v>399</v>
      </c>
      <c r="M1280" t="s">
        <v>400</v>
      </c>
      <c r="O1280" t="s">
        <v>401</v>
      </c>
      <c r="P1280" t="s">
        <v>402</v>
      </c>
      <c r="Q1280" t="s">
        <v>396</v>
      </c>
      <c r="R1280">
        <v>2069136</v>
      </c>
      <c r="S1280" t="s">
        <v>403</v>
      </c>
      <c r="U1280" t="s">
        <v>1883</v>
      </c>
      <c r="V1280" t="s">
        <v>398</v>
      </c>
      <c r="W1280" s="393">
        <v>6830000</v>
      </c>
      <c r="X1280" s="393">
        <v>1747.73</v>
      </c>
      <c r="Y1280" s="393">
        <v>14987.28</v>
      </c>
      <c r="Z1280" s="393">
        <v>6830000</v>
      </c>
      <c r="AA1280">
        <v>0</v>
      </c>
      <c r="AB1280" s="400">
        <v>44552.789570717592</v>
      </c>
      <c r="AC1280" t="s">
        <v>439</v>
      </c>
    </row>
    <row r="1281" spans="1:29">
      <c r="A1281" t="s">
        <v>382</v>
      </c>
      <c r="B1281" t="s">
        <v>382</v>
      </c>
      <c r="C1281" t="s">
        <v>421</v>
      </c>
      <c r="D1281" t="s">
        <v>422</v>
      </c>
      <c r="E1281" t="s">
        <v>390</v>
      </c>
      <c r="F1281" t="s">
        <v>391</v>
      </c>
      <c r="G1281">
        <v>6103368</v>
      </c>
      <c r="H1281">
        <v>202112</v>
      </c>
      <c r="I1281" s="400">
        <v>44552</v>
      </c>
      <c r="J1281">
        <v>119010</v>
      </c>
      <c r="K1281" t="s">
        <v>386</v>
      </c>
      <c r="L1281" t="s">
        <v>399</v>
      </c>
      <c r="M1281" t="s">
        <v>400</v>
      </c>
      <c r="O1281" t="s">
        <v>401</v>
      </c>
      <c r="P1281" t="s">
        <v>402</v>
      </c>
      <c r="Q1281" t="s">
        <v>396</v>
      </c>
      <c r="R1281">
        <v>2069136</v>
      </c>
      <c r="S1281" t="s">
        <v>403</v>
      </c>
      <c r="U1281" t="s">
        <v>1884</v>
      </c>
      <c r="V1281" t="s">
        <v>398</v>
      </c>
      <c r="W1281" s="393">
        <v>2000000</v>
      </c>
      <c r="X1281" s="393">
        <v>511.78</v>
      </c>
      <c r="Y1281" s="393">
        <v>4388.66</v>
      </c>
      <c r="Z1281" s="393">
        <v>2000000</v>
      </c>
      <c r="AA1281">
        <v>0</v>
      </c>
      <c r="AB1281" s="400">
        <v>44552.789570717592</v>
      </c>
      <c r="AC1281" t="s">
        <v>439</v>
      </c>
    </row>
    <row r="1282" spans="1:29">
      <c r="A1282" t="s">
        <v>382</v>
      </c>
      <c r="B1282" t="s">
        <v>382</v>
      </c>
      <c r="C1282" t="s">
        <v>421</v>
      </c>
      <c r="D1282" t="s">
        <v>422</v>
      </c>
      <c r="E1282" t="s">
        <v>390</v>
      </c>
      <c r="F1282" t="s">
        <v>391</v>
      </c>
      <c r="G1282">
        <v>6103368</v>
      </c>
      <c r="H1282">
        <v>202112</v>
      </c>
      <c r="I1282" s="400">
        <v>44552</v>
      </c>
      <c r="J1282">
        <v>119010</v>
      </c>
      <c r="K1282" t="s">
        <v>386</v>
      </c>
      <c r="L1282" t="s">
        <v>399</v>
      </c>
      <c r="M1282" t="s">
        <v>400</v>
      </c>
      <c r="O1282" t="s">
        <v>401</v>
      </c>
      <c r="P1282" t="s">
        <v>402</v>
      </c>
      <c r="Q1282" t="s">
        <v>396</v>
      </c>
      <c r="R1282">
        <v>2069136</v>
      </c>
      <c r="S1282" t="s">
        <v>403</v>
      </c>
      <c r="U1282" t="s">
        <v>1885</v>
      </c>
      <c r="V1282" t="s">
        <v>398</v>
      </c>
      <c r="W1282" s="393">
        <v>8000000</v>
      </c>
      <c r="X1282" s="393">
        <v>2047.12</v>
      </c>
      <c r="Y1282" s="393">
        <v>17554.64</v>
      </c>
      <c r="Z1282" s="393">
        <v>8000000</v>
      </c>
      <c r="AA1282">
        <v>0</v>
      </c>
      <c r="AB1282" s="400">
        <v>44552.789570717592</v>
      </c>
      <c r="AC1282" t="s">
        <v>439</v>
      </c>
    </row>
    <row r="1283" spans="1:29">
      <c r="A1283" t="s">
        <v>382</v>
      </c>
      <c r="B1283" t="s">
        <v>382</v>
      </c>
      <c r="C1283" t="s">
        <v>421</v>
      </c>
      <c r="D1283" t="s">
        <v>422</v>
      </c>
      <c r="E1283" t="s">
        <v>390</v>
      </c>
      <c r="F1283" t="s">
        <v>391</v>
      </c>
      <c r="G1283">
        <v>6103368</v>
      </c>
      <c r="H1283">
        <v>202112</v>
      </c>
      <c r="I1283" s="400">
        <v>44552</v>
      </c>
      <c r="J1283">
        <v>119010</v>
      </c>
      <c r="K1283" t="s">
        <v>386</v>
      </c>
      <c r="L1283" t="s">
        <v>399</v>
      </c>
      <c r="M1283" t="s">
        <v>400</v>
      </c>
      <c r="O1283" t="s">
        <v>401</v>
      </c>
      <c r="P1283" t="s">
        <v>402</v>
      </c>
      <c r="Q1283" t="s">
        <v>396</v>
      </c>
      <c r="R1283">
        <v>2069136</v>
      </c>
      <c r="S1283" t="s">
        <v>403</v>
      </c>
      <c r="U1283" t="s">
        <v>1886</v>
      </c>
      <c r="V1283" t="s">
        <v>398</v>
      </c>
      <c r="W1283" s="393">
        <v>1650000</v>
      </c>
      <c r="X1283" s="393">
        <v>422.22</v>
      </c>
      <c r="Y1283" s="393">
        <v>3620.65</v>
      </c>
      <c r="Z1283" s="393">
        <v>1650000</v>
      </c>
      <c r="AA1283">
        <v>0</v>
      </c>
      <c r="AB1283" s="400">
        <v>44552.789570717592</v>
      </c>
      <c r="AC1283" t="s">
        <v>439</v>
      </c>
    </row>
    <row r="1284" spans="1:29">
      <c r="A1284" t="s">
        <v>382</v>
      </c>
      <c r="B1284" t="s">
        <v>382</v>
      </c>
      <c r="C1284" t="s">
        <v>421</v>
      </c>
      <c r="D1284" t="s">
        <v>422</v>
      </c>
      <c r="E1284" t="s">
        <v>390</v>
      </c>
      <c r="F1284" t="s">
        <v>391</v>
      </c>
      <c r="G1284">
        <v>6103368</v>
      </c>
      <c r="H1284">
        <v>202112</v>
      </c>
      <c r="I1284" s="400">
        <v>44552</v>
      </c>
      <c r="J1284">
        <v>119010</v>
      </c>
      <c r="K1284" t="s">
        <v>386</v>
      </c>
      <c r="L1284" t="s">
        <v>399</v>
      </c>
      <c r="M1284" t="s">
        <v>400</v>
      </c>
      <c r="O1284" t="s">
        <v>401</v>
      </c>
      <c r="P1284" t="s">
        <v>402</v>
      </c>
      <c r="Q1284" t="s">
        <v>396</v>
      </c>
      <c r="R1284">
        <v>2069136</v>
      </c>
      <c r="S1284" t="s">
        <v>403</v>
      </c>
      <c r="U1284" t="s">
        <v>1887</v>
      </c>
      <c r="V1284" t="s">
        <v>398</v>
      </c>
      <c r="W1284" s="393">
        <v>800000</v>
      </c>
      <c r="X1284" s="393">
        <v>204.71</v>
      </c>
      <c r="Y1284" s="393">
        <v>1755.46</v>
      </c>
      <c r="Z1284" s="393">
        <v>800000</v>
      </c>
      <c r="AA1284">
        <v>0</v>
      </c>
      <c r="AB1284" s="400">
        <v>44552.789570717592</v>
      </c>
      <c r="AC1284" t="s">
        <v>439</v>
      </c>
    </row>
    <row r="1285" spans="1:29">
      <c r="A1285" t="s">
        <v>382</v>
      </c>
      <c r="B1285" t="s">
        <v>440</v>
      </c>
      <c r="C1285" t="s">
        <v>421</v>
      </c>
      <c r="D1285" t="s">
        <v>422</v>
      </c>
      <c r="E1285" t="s">
        <v>390</v>
      </c>
      <c r="F1285" t="s">
        <v>391</v>
      </c>
      <c r="G1285">
        <v>6103528</v>
      </c>
      <c r="H1285">
        <v>202112</v>
      </c>
      <c r="I1285" s="400">
        <v>44561</v>
      </c>
      <c r="J1285">
        <v>119010</v>
      </c>
      <c r="K1285" t="s">
        <v>386</v>
      </c>
      <c r="L1285" t="s">
        <v>399</v>
      </c>
      <c r="M1285" t="s">
        <v>400</v>
      </c>
      <c r="O1285" t="s">
        <v>401</v>
      </c>
      <c r="P1285" t="s">
        <v>402</v>
      </c>
      <c r="Q1285" t="s">
        <v>396</v>
      </c>
      <c r="R1285">
        <v>2069136</v>
      </c>
      <c r="S1285" t="s">
        <v>399</v>
      </c>
      <c r="U1285" t="s">
        <v>1888</v>
      </c>
      <c r="V1285" t="s">
        <v>398</v>
      </c>
      <c r="W1285" s="393">
        <v>-7090000</v>
      </c>
      <c r="X1285" s="393">
        <v>-1780.87</v>
      </c>
      <c r="Y1285" s="393">
        <v>-15713.5</v>
      </c>
      <c r="Z1285" s="393">
        <v>-7090000</v>
      </c>
      <c r="AA1285">
        <v>0</v>
      </c>
      <c r="AB1285" s="400">
        <v>44575.963348645833</v>
      </c>
      <c r="AC1285" t="s">
        <v>439</v>
      </c>
    </row>
    <row r="1286" spans="1:29">
      <c r="A1286" t="s">
        <v>382</v>
      </c>
      <c r="B1286" t="s">
        <v>440</v>
      </c>
      <c r="C1286" t="s">
        <v>421</v>
      </c>
      <c r="D1286" t="s">
        <v>422</v>
      </c>
      <c r="E1286" t="s">
        <v>390</v>
      </c>
      <c r="F1286" t="s">
        <v>391</v>
      </c>
      <c r="G1286">
        <v>6103528</v>
      </c>
      <c r="H1286">
        <v>202112</v>
      </c>
      <c r="I1286" s="400">
        <v>44561</v>
      </c>
      <c r="J1286">
        <v>119010</v>
      </c>
      <c r="K1286" t="s">
        <v>386</v>
      </c>
      <c r="L1286" t="s">
        <v>399</v>
      </c>
      <c r="M1286" t="s">
        <v>400</v>
      </c>
      <c r="O1286" t="s">
        <v>401</v>
      </c>
      <c r="P1286" t="s">
        <v>402</v>
      </c>
      <c r="Q1286" t="s">
        <v>396</v>
      </c>
      <c r="R1286">
        <v>2069136</v>
      </c>
      <c r="S1286" t="s">
        <v>399</v>
      </c>
      <c r="U1286" t="s">
        <v>1889</v>
      </c>
      <c r="V1286" t="s">
        <v>398</v>
      </c>
      <c r="W1286" s="393">
        <v>-1400000</v>
      </c>
      <c r="X1286" s="393">
        <v>-351.65</v>
      </c>
      <c r="Y1286" s="393">
        <v>-3102.81</v>
      </c>
      <c r="Z1286" s="393">
        <v>-1400000</v>
      </c>
      <c r="AA1286">
        <v>0</v>
      </c>
      <c r="AB1286" s="400">
        <v>44575.963348645833</v>
      </c>
      <c r="AC1286" t="s">
        <v>439</v>
      </c>
    </row>
    <row r="1287" spans="1:29">
      <c r="A1287" t="s">
        <v>382</v>
      </c>
      <c r="B1287" t="s">
        <v>440</v>
      </c>
      <c r="C1287" t="s">
        <v>421</v>
      </c>
      <c r="D1287" t="s">
        <v>422</v>
      </c>
      <c r="E1287" t="s">
        <v>390</v>
      </c>
      <c r="F1287" t="s">
        <v>391</v>
      </c>
      <c r="G1287">
        <v>6103528</v>
      </c>
      <c r="H1287">
        <v>202112</v>
      </c>
      <c r="I1287" s="400">
        <v>44561</v>
      </c>
      <c r="J1287">
        <v>119010</v>
      </c>
      <c r="K1287" t="s">
        <v>386</v>
      </c>
      <c r="L1287" t="s">
        <v>399</v>
      </c>
      <c r="M1287" t="s">
        <v>400</v>
      </c>
      <c r="O1287" t="s">
        <v>401</v>
      </c>
      <c r="P1287" t="s">
        <v>402</v>
      </c>
      <c r="Q1287" t="s">
        <v>396</v>
      </c>
      <c r="R1287">
        <v>2069136</v>
      </c>
      <c r="S1287" t="s">
        <v>399</v>
      </c>
      <c r="U1287" t="s">
        <v>1890</v>
      </c>
      <c r="V1287" t="s">
        <v>398</v>
      </c>
      <c r="W1287" s="393">
        <v>-5100000</v>
      </c>
      <c r="X1287" s="393">
        <v>-1281.02</v>
      </c>
      <c r="Y1287" s="393">
        <v>-11303.08</v>
      </c>
      <c r="Z1287" s="393">
        <v>-5100000</v>
      </c>
      <c r="AA1287">
        <v>0</v>
      </c>
      <c r="AB1287" s="400">
        <v>44575.963348645833</v>
      </c>
      <c r="AC1287" t="s">
        <v>439</v>
      </c>
    </row>
    <row r="1288" spans="1:29">
      <c r="A1288" t="s">
        <v>382</v>
      </c>
      <c r="B1288" t="s">
        <v>440</v>
      </c>
      <c r="C1288" t="s">
        <v>421</v>
      </c>
      <c r="D1288" t="s">
        <v>422</v>
      </c>
      <c r="E1288" t="s">
        <v>390</v>
      </c>
      <c r="F1288" t="s">
        <v>391</v>
      </c>
      <c r="G1288">
        <v>6103528</v>
      </c>
      <c r="H1288">
        <v>202112</v>
      </c>
      <c r="I1288" s="400">
        <v>44561</v>
      </c>
      <c r="J1288">
        <v>119010</v>
      </c>
      <c r="K1288" t="s">
        <v>386</v>
      </c>
      <c r="L1288" t="s">
        <v>399</v>
      </c>
      <c r="M1288" t="s">
        <v>400</v>
      </c>
      <c r="O1288" t="s">
        <v>401</v>
      </c>
      <c r="P1288" t="s">
        <v>402</v>
      </c>
      <c r="Q1288" t="s">
        <v>396</v>
      </c>
      <c r="R1288">
        <v>2069136</v>
      </c>
      <c r="S1288" t="s">
        <v>399</v>
      </c>
      <c r="U1288" t="s">
        <v>1891</v>
      </c>
      <c r="V1288" t="s">
        <v>398</v>
      </c>
      <c r="W1288" s="393">
        <v>-1500000</v>
      </c>
      <c r="X1288" s="393">
        <v>-376.77</v>
      </c>
      <c r="Y1288" s="393">
        <v>-3324.44</v>
      </c>
      <c r="Z1288" s="393">
        <v>-1500000</v>
      </c>
      <c r="AA1288">
        <v>0</v>
      </c>
      <c r="AB1288" s="400">
        <v>44575.963348645833</v>
      </c>
      <c r="AC1288" t="s">
        <v>439</v>
      </c>
    </row>
    <row r="1289" spans="1:29">
      <c r="A1289" t="s">
        <v>382</v>
      </c>
      <c r="B1289" t="s">
        <v>440</v>
      </c>
      <c r="C1289" t="s">
        <v>421</v>
      </c>
      <c r="D1289" t="s">
        <v>422</v>
      </c>
      <c r="E1289" t="s">
        <v>390</v>
      </c>
      <c r="F1289" t="s">
        <v>391</v>
      </c>
      <c r="G1289">
        <v>6103528</v>
      </c>
      <c r="H1289">
        <v>202112</v>
      </c>
      <c r="I1289" s="400">
        <v>44561</v>
      </c>
      <c r="J1289">
        <v>119010</v>
      </c>
      <c r="K1289" t="s">
        <v>386</v>
      </c>
      <c r="L1289" t="s">
        <v>399</v>
      </c>
      <c r="M1289" t="s">
        <v>400</v>
      </c>
      <c r="O1289" t="s">
        <v>401</v>
      </c>
      <c r="P1289" t="s">
        <v>402</v>
      </c>
      <c r="Q1289" t="s">
        <v>396</v>
      </c>
      <c r="R1289">
        <v>2069136</v>
      </c>
      <c r="S1289" t="s">
        <v>399</v>
      </c>
      <c r="U1289" t="s">
        <v>1892</v>
      </c>
      <c r="V1289" t="s">
        <v>398</v>
      </c>
      <c r="W1289" s="393">
        <v>-7890000</v>
      </c>
      <c r="X1289" s="393">
        <v>-1981.81</v>
      </c>
      <c r="Y1289" s="393">
        <v>-17486.53</v>
      </c>
      <c r="Z1289" s="393">
        <v>-7890000</v>
      </c>
      <c r="AA1289">
        <v>0</v>
      </c>
      <c r="AB1289" s="400">
        <v>44575.963348645833</v>
      </c>
      <c r="AC1289" t="s">
        <v>439</v>
      </c>
    </row>
    <row r="1290" spans="1:29">
      <c r="A1290" t="s">
        <v>382</v>
      </c>
      <c r="B1290" t="s">
        <v>440</v>
      </c>
      <c r="C1290" t="s">
        <v>421</v>
      </c>
      <c r="D1290" t="s">
        <v>422</v>
      </c>
      <c r="E1290" t="s">
        <v>390</v>
      </c>
      <c r="F1290" t="s">
        <v>391</v>
      </c>
      <c r="G1290">
        <v>6103528</v>
      </c>
      <c r="H1290">
        <v>202112</v>
      </c>
      <c r="I1290" s="400">
        <v>44561</v>
      </c>
      <c r="J1290">
        <v>119010</v>
      </c>
      <c r="K1290" t="s">
        <v>386</v>
      </c>
      <c r="L1290" t="s">
        <v>399</v>
      </c>
      <c r="M1290" t="s">
        <v>400</v>
      </c>
      <c r="O1290" t="s">
        <v>401</v>
      </c>
      <c r="P1290" t="s">
        <v>402</v>
      </c>
      <c r="Q1290" t="s">
        <v>396</v>
      </c>
      <c r="R1290">
        <v>2069136</v>
      </c>
      <c r="S1290" t="s">
        <v>399</v>
      </c>
      <c r="U1290" t="s">
        <v>1893</v>
      </c>
      <c r="V1290" t="s">
        <v>398</v>
      </c>
      <c r="W1290" s="393">
        <v>-800000</v>
      </c>
      <c r="X1290" s="393">
        <v>-200.94</v>
      </c>
      <c r="Y1290" s="393">
        <v>-1773.03</v>
      </c>
      <c r="Z1290" s="393">
        <v>-800000</v>
      </c>
      <c r="AA1290">
        <v>0</v>
      </c>
      <c r="AB1290" s="400">
        <v>44575.963348645833</v>
      </c>
      <c r="AC1290" t="s">
        <v>439</v>
      </c>
    </row>
    <row r="1291" spans="1:29">
      <c r="A1291" t="s">
        <v>382</v>
      </c>
      <c r="B1291" t="s">
        <v>440</v>
      </c>
      <c r="C1291" t="s">
        <v>421</v>
      </c>
      <c r="D1291" t="s">
        <v>422</v>
      </c>
      <c r="E1291" t="s">
        <v>390</v>
      </c>
      <c r="F1291" t="s">
        <v>391</v>
      </c>
      <c r="G1291">
        <v>6103528</v>
      </c>
      <c r="H1291">
        <v>202112</v>
      </c>
      <c r="I1291" s="400">
        <v>44561</v>
      </c>
      <c r="J1291">
        <v>119010</v>
      </c>
      <c r="K1291" t="s">
        <v>386</v>
      </c>
      <c r="L1291" t="s">
        <v>399</v>
      </c>
      <c r="M1291" t="s">
        <v>400</v>
      </c>
      <c r="O1291" t="s">
        <v>401</v>
      </c>
      <c r="P1291" t="s">
        <v>402</v>
      </c>
      <c r="Q1291" t="s">
        <v>396</v>
      </c>
      <c r="R1291">
        <v>2069136</v>
      </c>
      <c r="S1291" t="s">
        <v>399</v>
      </c>
      <c r="U1291" t="s">
        <v>1894</v>
      </c>
      <c r="V1291" t="s">
        <v>398</v>
      </c>
      <c r="W1291" s="393">
        <v>-3000000</v>
      </c>
      <c r="X1291" s="393">
        <v>-753.54</v>
      </c>
      <c r="Y1291" s="393">
        <v>-6648.87</v>
      </c>
      <c r="Z1291" s="393">
        <v>-3000000</v>
      </c>
      <c r="AA1291">
        <v>0</v>
      </c>
      <c r="AB1291" s="400">
        <v>44575.963348645833</v>
      </c>
      <c r="AC1291" t="s">
        <v>439</v>
      </c>
    </row>
    <row r="1292" spans="1:29">
      <c r="A1292" t="s">
        <v>382</v>
      </c>
      <c r="B1292" t="s">
        <v>440</v>
      </c>
      <c r="C1292" t="s">
        <v>421</v>
      </c>
      <c r="D1292" t="s">
        <v>422</v>
      </c>
      <c r="E1292" t="s">
        <v>390</v>
      </c>
      <c r="F1292" t="s">
        <v>391</v>
      </c>
      <c r="G1292">
        <v>6103528</v>
      </c>
      <c r="H1292">
        <v>202112</v>
      </c>
      <c r="I1292" s="400">
        <v>44561</v>
      </c>
      <c r="J1292">
        <v>119010</v>
      </c>
      <c r="K1292" t="s">
        <v>386</v>
      </c>
      <c r="L1292" t="s">
        <v>399</v>
      </c>
      <c r="M1292" t="s">
        <v>400</v>
      </c>
      <c r="O1292" t="s">
        <v>401</v>
      </c>
      <c r="P1292" t="s">
        <v>402</v>
      </c>
      <c r="Q1292" t="s">
        <v>396</v>
      </c>
      <c r="R1292">
        <v>2069136</v>
      </c>
      <c r="S1292" t="s">
        <v>399</v>
      </c>
      <c r="U1292" t="s">
        <v>1895</v>
      </c>
      <c r="V1292" t="s">
        <v>398</v>
      </c>
      <c r="W1292" s="393">
        <v>-3425000</v>
      </c>
      <c r="X1292" s="393">
        <v>-860.29</v>
      </c>
      <c r="Y1292" s="393">
        <v>-7590.79</v>
      </c>
      <c r="Z1292" s="393">
        <v>-3425000</v>
      </c>
      <c r="AA1292">
        <v>0</v>
      </c>
      <c r="AB1292" s="400">
        <v>44575.963348645833</v>
      </c>
      <c r="AC1292" t="s">
        <v>439</v>
      </c>
    </row>
    <row r="1293" spans="1:29">
      <c r="A1293" t="s">
        <v>382</v>
      </c>
      <c r="B1293" t="s">
        <v>440</v>
      </c>
      <c r="C1293" t="s">
        <v>421</v>
      </c>
      <c r="D1293" t="s">
        <v>422</v>
      </c>
      <c r="E1293" t="s">
        <v>390</v>
      </c>
      <c r="F1293" t="s">
        <v>391</v>
      </c>
      <c r="G1293">
        <v>6103528</v>
      </c>
      <c r="H1293">
        <v>202112</v>
      </c>
      <c r="I1293" s="400">
        <v>44561</v>
      </c>
      <c r="J1293">
        <v>119010</v>
      </c>
      <c r="K1293" t="s">
        <v>386</v>
      </c>
      <c r="L1293" t="s">
        <v>399</v>
      </c>
      <c r="M1293" t="s">
        <v>400</v>
      </c>
      <c r="O1293" t="s">
        <v>401</v>
      </c>
      <c r="P1293" t="s">
        <v>402</v>
      </c>
      <c r="Q1293" t="s">
        <v>396</v>
      </c>
      <c r="R1293">
        <v>2069136</v>
      </c>
      <c r="S1293" t="s">
        <v>399</v>
      </c>
      <c r="U1293" t="s">
        <v>1896</v>
      </c>
      <c r="V1293" t="s">
        <v>398</v>
      </c>
      <c r="W1293" s="393">
        <v>-14000000</v>
      </c>
      <c r="X1293" s="393">
        <v>-3516.52</v>
      </c>
      <c r="Y1293" s="393">
        <v>-31028.06</v>
      </c>
      <c r="Z1293" s="393">
        <v>-14000000</v>
      </c>
      <c r="AA1293">
        <v>0</v>
      </c>
      <c r="AB1293" s="400">
        <v>44575.963348645833</v>
      </c>
      <c r="AC1293" t="s">
        <v>439</v>
      </c>
    </row>
    <row r="1294" spans="1:29">
      <c r="A1294" t="s">
        <v>382</v>
      </c>
      <c r="B1294" t="s">
        <v>440</v>
      </c>
      <c r="C1294" t="s">
        <v>421</v>
      </c>
      <c r="D1294" t="s">
        <v>422</v>
      </c>
      <c r="E1294" t="s">
        <v>390</v>
      </c>
      <c r="F1294" t="s">
        <v>391</v>
      </c>
      <c r="G1294">
        <v>6103528</v>
      </c>
      <c r="H1294">
        <v>202112</v>
      </c>
      <c r="I1294" s="400">
        <v>44561</v>
      </c>
      <c r="J1294">
        <v>119010</v>
      </c>
      <c r="K1294" t="s">
        <v>386</v>
      </c>
      <c r="L1294" t="s">
        <v>399</v>
      </c>
      <c r="M1294" t="s">
        <v>400</v>
      </c>
      <c r="O1294" t="s">
        <v>401</v>
      </c>
      <c r="P1294" t="s">
        <v>402</v>
      </c>
      <c r="Q1294" t="s">
        <v>396</v>
      </c>
      <c r="R1294">
        <v>2069136</v>
      </c>
      <c r="S1294" t="s">
        <v>399</v>
      </c>
      <c r="U1294" t="s">
        <v>1897</v>
      </c>
      <c r="V1294" t="s">
        <v>398</v>
      </c>
      <c r="W1294" s="393">
        <v>-4400000</v>
      </c>
      <c r="X1294" s="393">
        <v>-1105.19</v>
      </c>
      <c r="Y1294" s="393">
        <v>-9751.68</v>
      </c>
      <c r="Z1294" s="393">
        <v>-4400000</v>
      </c>
      <c r="AA1294">
        <v>0</v>
      </c>
      <c r="AB1294" s="400">
        <v>44575.963348645833</v>
      </c>
      <c r="AC1294" t="s">
        <v>439</v>
      </c>
    </row>
    <row r="1295" spans="1:29">
      <c r="A1295" t="s">
        <v>382</v>
      </c>
      <c r="B1295" t="s">
        <v>440</v>
      </c>
      <c r="C1295" t="s">
        <v>421</v>
      </c>
      <c r="D1295" t="s">
        <v>422</v>
      </c>
      <c r="E1295" t="s">
        <v>390</v>
      </c>
      <c r="F1295" t="s">
        <v>391</v>
      </c>
      <c r="G1295">
        <v>6103528</v>
      </c>
      <c r="H1295">
        <v>202112</v>
      </c>
      <c r="I1295" s="400">
        <v>44561</v>
      </c>
      <c r="J1295">
        <v>119010</v>
      </c>
      <c r="K1295" t="s">
        <v>386</v>
      </c>
      <c r="L1295" t="s">
        <v>399</v>
      </c>
      <c r="M1295" t="s">
        <v>400</v>
      </c>
      <c r="O1295" t="s">
        <v>401</v>
      </c>
      <c r="P1295" t="s">
        <v>402</v>
      </c>
      <c r="Q1295" t="s">
        <v>396</v>
      </c>
      <c r="R1295">
        <v>2069136</v>
      </c>
      <c r="S1295" t="s">
        <v>399</v>
      </c>
      <c r="U1295" t="s">
        <v>1898</v>
      </c>
      <c r="V1295" t="s">
        <v>398</v>
      </c>
      <c r="W1295" s="393">
        <v>-8000000</v>
      </c>
      <c r="X1295" s="393">
        <v>-2009.44</v>
      </c>
      <c r="Y1295" s="393">
        <v>-17730.32</v>
      </c>
      <c r="Z1295" s="393">
        <v>-8000000</v>
      </c>
      <c r="AA1295">
        <v>0</v>
      </c>
      <c r="AB1295" s="400">
        <v>44575.963348645833</v>
      </c>
      <c r="AC1295" t="s">
        <v>439</v>
      </c>
    </row>
    <row r="1296" spans="1:29">
      <c r="A1296" t="s">
        <v>382</v>
      </c>
      <c r="B1296" t="s">
        <v>440</v>
      </c>
      <c r="C1296" t="s">
        <v>421</v>
      </c>
      <c r="D1296" t="s">
        <v>422</v>
      </c>
      <c r="E1296" t="s">
        <v>390</v>
      </c>
      <c r="F1296" t="s">
        <v>391</v>
      </c>
      <c r="G1296">
        <v>6103529</v>
      </c>
      <c r="H1296">
        <v>202112</v>
      </c>
      <c r="I1296" s="400">
        <v>44561</v>
      </c>
      <c r="J1296">
        <v>119010</v>
      </c>
      <c r="K1296" t="s">
        <v>386</v>
      </c>
      <c r="L1296" t="s">
        <v>399</v>
      </c>
      <c r="M1296" t="s">
        <v>400</v>
      </c>
      <c r="O1296" t="s">
        <v>401</v>
      </c>
      <c r="P1296" t="s">
        <v>402</v>
      </c>
      <c r="Q1296" t="s">
        <v>396</v>
      </c>
      <c r="R1296">
        <v>2069136</v>
      </c>
      <c r="S1296" t="s">
        <v>399</v>
      </c>
      <c r="U1296" t="s">
        <v>1899</v>
      </c>
      <c r="V1296" t="s">
        <v>398</v>
      </c>
      <c r="W1296" s="393">
        <v>800000</v>
      </c>
      <c r="X1296" s="393">
        <v>272.77999999999997</v>
      </c>
      <c r="Y1296" s="393">
        <v>2193.87</v>
      </c>
      <c r="Z1296" s="393">
        <v>800000</v>
      </c>
      <c r="AA1296">
        <v>0</v>
      </c>
      <c r="AB1296" s="400">
        <v>44575.966131331021</v>
      </c>
      <c r="AC1296" t="s">
        <v>439</v>
      </c>
    </row>
    <row r="1297" spans="1:29">
      <c r="A1297" t="s">
        <v>382</v>
      </c>
      <c r="B1297" t="s">
        <v>440</v>
      </c>
      <c r="C1297" t="s">
        <v>421</v>
      </c>
      <c r="D1297" t="s">
        <v>422</v>
      </c>
      <c r="E1297" t="s">
        <v>390</v>
      </c>
      <c r="F1297" t="s">
        <v>391</v>
      </c>
      <c r="G1297">
        <v>6103527</v>
      </c>
      <c r="H1297">
        <v>202112</v>
      </c>
      <c r="I1297" s="400">
        <v>44561</v>
      </c>
      <c r="J1297">
        <v>119010</v>
      </c>
      <c r="K1297" t="s">
        <v>386</v>
      </c>
      <c r="L1297" t="s">
        <v>399</v>
      </c>
      <c r="M1297" t="s">
        <v>400</v>
      </c>
      <c r="O1297" t="s">
        <v>401</v>
      </c>
      <c r="P1297" t="s">
        <v>402</v>
      </c>
      <c r="Q1297" t="s">
        <v>396</v>
      </c>
      <c r="R1297">
        <v>2069136</v>
      </c>
      <c r="S1297" t="s">
        <v>399</v>
      </c>
      <c r="U1297" t="s">
        <v>1900</v>
      </c>
      <c r="V1297" t="s">
        <v>398</v>
      </c>
      <c r="W1297" s="393">
        <v>3000000</v>
      </c>
      <c r="X1297" s="393">
        <v>753.54</v>
      </c>
      <c r="Y1297" s="393">
        <v>6648.87</v>
      </c>
      <c r="Z1297" s="393">
        <v>3000000</v>
      </c>
      <c r="AA1297">
        <v>0</v>
      </c>
      <c r="AB1297" s="400">
        <v>44575.749431446762</v>
      </c>
      <c r="AC1297" t="s">
        <v>439</v>
      </c>
    </row>
    <row r="1298" spans="1:29">
      <c r="A1298" t="s">
        <v>382</v>
      </c>
      <c r="B1298" t="s">
        <v>440</v>
      </c>
      <c r="C1298" t="s">
        <v>421</v>
      </c>
      <c r="D1298" t="s">
        <v>422</v>
      </c>
      <c r="E1298" t="s">
        <v>390</v>
      </c>
      <c r="F1298" t="s">
        <v>391</v>
      </c>
      <c r="G1298">
        <v>6103527</v>
      </c>
      <c r="H1298">
        <v>202112</v>
      </c>
      <c r="I1298" s="400">
        <v>44561</v>
      </c>
      <c r="J1298">
        <v>119010</v>
      </c>
      <c r="K1298" t="s">
        <v>386</v>
      </c>
      <c r="L1298" t="s">
        <v>399</v>
      </c>
      <c r="M1298" t="s">
        <v>400</v>
      </c>
      <c r="O1298" t="s">
        <v>401</v>
      </c>
      <c r="P1298" t="s">
        <v>402</v>
      </c>
      <c r="Q1298" t="s">
        <v>396</v>
      </c>
      <c r="R1298">
        <v>2069136</v>
      </c>
      <c r="S1298" t="s">
        <v>399</v>
      </c>
      <c r="U1298" t="s">
        <v>1901</v>
      </c>
      <c r="V1298" t="s">
        <v>398</v>
      </c>
      <c r="W1298" s="393">
        <v>3425000</v>
      </c>
      <c r="X1298" s="393">
        <v>860.29</v>
      </c>
      <c r="Y1298" s="393">
        <v>7590.79</v>
      </c>
      <c r="Z1298" s="393">
        <v>3425000</v>
      </c>
      <c r="AA1298">
        <v>0</v>
      </c>
      <c r="AB1298" s="400">
        <v>44575.749431446762</v>
      </c>
      <c r="AC1298" t="s">
        <v>439</v>
      </c>
    </row>
    <row r="1299" spans="1:29">
      <c r="A1299" t="s">
        <v>382</v>
      </c>
      <c r="B1299" t="s">
        <v>440</v>
      </c>
      <c r="C1299" t="s">
        <v>421</v>
      </c>
      <c r="D1299" t="s">
        <v>422</v>
      </c>
      <c r="E1299" t="s">
        <v>390</v>
      </c>
      <c r="F1299" t="s">
        <v>391</v>
      </c>
      <c r="G1299">
        <v>6103527</v>
      </c>
      <c r="H1299">
        <v>202112</v>
      </c>
      <c r="I1299" s="400">
        <v>44561</v>
      </c>
      <c r="J1299">
        <v>119010</v>
      </c>
      <c r="K1299" t="s">
        <v>386</v>
      </c>
      <c r="L1299" t="s">
        <v>399</v>
      </c>
      <c r="M1299" t="s">
        <v>400</v>
      </c>
      <c r="O1299" t="s">
        <v>401</v>
      </c>
      <c r="P1299" t="s">
        <v>402</v>
      </c>
      <c r="Q1299" t="s">
        <v>396</v>
      </c>
      <c r="R1299">
        <v>2069136</v>
      </c>
      <c r="S1299" t="s">
        <v>399</v>
      </c>
      <c r="U1299" t="s">
        <v>1902</v>
      </c>
      <c r="V1299" t="s">
        <v>398</v>
      </c>
      <c r="W1299" s="393">
        <v>14000000</v>
      </c>
      <c r="X1299" s="393">
        <v>3516.52</v>
      </c>
      <c r="Y1299" s="393">
        <v>31028.06</v>
      </c>
      <c r="Z1299" s="393">
        <v>14000000</v>
      </c>
      <c r="AA1299">
        <v>0</v>
      </c>
      <c r="AB1299" s="400">
        <v>44575.749431446762</v>
      </c>
      <c r="AC1299" t="s">
        <v>439</v>
      </c>
    </row>
    <row r="1300" spans="1:29">
      <c r="A1300" t="s">
        <v>382</v>
      </c>
      <c r="B1300" t="s">
        <v>440</v>
      </c>
      <c r="C1300" t="s">
        <v>421</v>
      </c>
      <c r="D1300" t="s">
        <v>422</v>
      </c>
      <c r="E1300" t="s">
        <v>390</v>
      </c>
      <c r="F1300" t="s">
        <v>391</v>
      </c>
      <c r="G1300">
        <v>6103527</v>
      </c>
      <c r="H1300">
        <v>202112</v>
      </c>
      <c r="I1300" s="400">
        <v>44561</v>
      </c>
      <c r="J1300">
        <v>119010</v>
      </c>
      <c r="K1300" t="s">
        <v>386</v>
      </c>
      <c r="L1300" t="s">
        <v>399</v>
      </c>
      <c r="M1300" t="s">
        <v>400</v>
      </c>
      <c r="O1300" t="s">
        <v>401</v>
      </c>
      <c r="P1300" t="s">
        <v>402</v>
      </c>
      <c r="Q1300" t="s">
        <v>396</v>
      </c>
      <c r="R1300">
        <v>2069136</v>
      </c>
      <c r="S1300" t="s">
        <v>399</v>
      </c>
      <c r="U1300" t="s">
        <v>1903</v>
      </c>
      <c r="V1300" t="s">
        <v>398</v>
      </c>
      <c r="W1300" s="393">
        <v>4400000</v>
      </c>
      <c r="X1300" s="393">
        <v>1105.19</v>
      </c>
      <c r="Y1300" s="393">
        <v>9751.68</v>
      </c>
      <c r="Z1300" s="393">
        <v>4400000</v>
      </c>
      <c r="AA1300">
        <v>0</v>
      </c>
      <c r="AB1300" s="400">
        <v>44575.749431446762</v>
      </c>
      <c r="AC1300" t="s">
        <v>439</v>
      </c>
    </row>
    <row r="1301" spans="1:29">
      <c r="A1301" t="s">
        <v>382</v>
      </c>
      <c r="B1301" t="s">
        <v>440</v>
      </c>
      <c r="C1301" t="s">
        <v>421</v>
      </c>
      <c r="D1301" t="s">
        <v>422</v>
      </c>
      <c r="E1301" t="s">
        <v>390</v>
      </c>
      <c r="F1301" t="s">
        <v>391</v>
      </c>
      <c r="G1301">
        <v>6103527</v>
      </c>
      <c r="H1301">
        <v>202112</v>
      </c>
      <c r="I1301" s="400">
        <v>44561</v>
      </c>
      <c r="J1301">
        <v>119010</v>
      </c>
      <c r="K1301" t="s">
        <v>386</v>
      </c>
      <c r="L1301" t="s">
        <v>399</v>
      </c>
      <c r="M1301" t="s">
        <v>400</v>
      </c>
      <c r="O1301" t="s">
        <v>401</v>
      </c>
      <c r="P1301" t="s">
        <v>402</v>
      </c>
      <c r="Q1301" t="s">
        <v>396</v>
      </c>
      <c r="R1301">
        <v>2069136</v>
      </c>
      <c r="S1301" t="s">
        <v>399</v>
      </c>
      <c r="U1301" t="s">
        <v>1904</v>
      </c>
      <c r="V1301" t="s">
        <v>398</v>
      </c>
      <c r="W1301" s="393">
        <v>8000000</v>
      </c>
      <c r="X1301" s="393">
        <v>2009.44</v>
      </c>
      <c r="Y1301" s="393">
        <v>17730.32</v>
      </c>
      <c r="Z1301" s="393">
        <v>8000000</v>
      </c>
      <c r="AA1301">
        <v>0</v>
      </c>
      <c r="AB1301" s="400">
        <v>44575.749431446762</v>
      </c>
      <c r="AC1301" t="s">
        <v>439</v>
      </c>
    </row>
    <row r="1302" spans="1:29">
      <c r="A1302" t="s">
        <v>382</v>
      </c>
      <c r="B1302" t="s">
        <v>440</v>
      </c>
      <c r="C1302" t="s">
        <v>421</v>
      </c>
      <c r="D1302" t="s">
        <v>422</v>
      </c>
      <c r="E1302" t="s">
        <v>390</v>
      </c>
      <c r="F1302" t="s">
        <v>391</v>
      </c>
      <c r="G1302">
        <v>6103527</v>
      </c>
      <c r="H1302">
        <v>202112</v>
      </c>
      <c r="I1302" s="400">
        <v>44561</v>
      </c>
      <c r="J1302">
        <v>119010</v>
      </c>
      <c r="K1302" t="s">
        <v>386</v>
      </c>
      <c r="L1302" t="s">
        <v>399</v>
      </c>
      <c r="M1302" t="s">
        <v>400</v>
      </c>
      <c r="O1302" t="s">
        <v>401</v>
      </c>
      <c r="P1302" t="s">
        <v>402</v>
      </c>
      <c r="Q1302" t="s">
        <v>396</v>
      </c>
      <c r="R1302">
        <v>2069136</v>
      </c>
      <c r="S1302" t="s">
        <v>399</v>
      </c>
      <c r="U1302" t="s">
        <v>1905</v>
      </c>
      <c r="V1302" t="s">
        <v>398</v>
      </c>
      <c r="W1302" s="393">
        <v>7090000</v>
      </c>
      <c r="X1302" s="393">
        <v>1780.87</v>
      </c>
      <c r="Y1302" s="393">
        <v>15713.5</v>
      </c>
      <c r="Z1302" s="393">
        <v>7090000</v>
      </c>
      <c r="AA1302">
        <v>0</v>
      </c>
      <c r="AB1302" s="400">
        <v>44575.749431446762</v>
      </c>
      <c r="AC1302" t="s">
        <v>439</v>
      </c>
    </row>
    <row r="1303" spans="1:29">
      <c r="A1303" t="s">
        <v>382</v>
      </c>
      <c r="B1303" t="s">
        <v>440</v>
      </c>
      <c r="C1303" t="s">
        <v>421</v>
      </c>
      <c r="D1303" t="s">
        <v>422</v>
      </c>
      <c r="E1303" t="s">
        <v>390</v>
      </c>
      <c r="F1303" t="s">
        <v>391</v>
      </c>
      <c r="G1303">
        <v>6103527</v>
      </c>
      <c r="H1303">
        <v>202112</v>
      </c>
      <c r="I1303" s="400">
        <v>44561</v>
      </c>
      <c r="J1303">
        <v>119010</v>
      </c>
      <c r="K1303" t="s">
        <v>386</v>
      </c>
      <c r="L1303" t="s">
        <v>399</v>
      </c>
      <c r="M1303" t="s">
        <v>400</v>
      </c>
      <c r="O1303" t="s">
        <v>401</v>
      </c>
      <c r="P1303" t="s">
        <v>402</v>
      </c>
      <c r="Q1303" t="s">
        <v>396</v>
      </c>
      <c r="R1303">
        <v>2069136</v>
      </c>
      <c r="S1303" t="s">
        <v>399</v>
      </c>
      <c r="U1303" t="s">
        <v>1906</v>
      </c>
      <c r="V1303" t="s">
        <v>398</v>
      </c>
      <c r="W1303" s="393">
        <v>1400000</v>
      </c>
      <c r="X1303" s="393">
        <v>351.65</v>
      </c>
      <c r="Y1303" s="393">
        <v>3102.81</v>
      </c>
      <c r="Z1303" s="393">
        <v>1400000</v>
      </c>
      <c r="AA1303">
        <v>0</v>
      </c>
      <c r="AB1303" s="400">
        <v>44575.749431446762</v>
      </c>
      <c r="AC1303" t="s">
        <v>439</v>
      </c>
    </row>
    <row r="1304" spans="1:29">
      <c r="A1304" t="s">
        <v>382</v>
      </c>
      <c r="B1304" t="s">
        <v>440</v>
      </c>
      <c r="C1304" t="s">
        <v>421</v>
      </c>
      <c r="D1304" t="s">
        <v>422</v>
      </c>
      <c r="E1304" t="s">
        <v>390</v>
      </c>
      <c r="F1304" t="s">
        <v>391</v>
      </c>
      <c r="G1304">
        <v>6103527</v>
      </c>
      <c r="H1304">
        <v>202112</v>
      </c>
      <c r="I1304" s="400">
        <v>44561</v>
      </c>
      <c r="J1304">
        <v>119010</v>
      </c>
      <c r="K1304" t="s">
        <v>386</v>
      </c>
      <c r="L1304" t="s">
        <v>399</v>
      </c>
      <c r="M1304" t="s">
        <v>400</v>
      </c>
      <c r="O1304" t="s">
        <v>401</v>
      </c>
      <c r="P1304" t="s">
        <v>402</v>
      </c>
      <c r="Q1304" t="s">
        <v>396</v>
      </c>
      <c r="R1304">
        <v>2069136</v>
      </c>
      <c r="S1304" t="s">
        <v>399</v>
      </c>
      <c r="U1304" t="s">
        <v>1907</v>
      </c>
      <c r="V1304" t="s">
        <v>398</v>
      </c>
      <c r="W1304" s="393">
        <v>5100000</v>
      </c>
      <c r="X1304" s="393">
        <v>1281.02</v>
      </c>
      <c r="Y1304" s="393">
        <v>11303.08</v>
      </c>
      <c r="Z1304" s="393">
        <v>5100000</v>
      </c>
      <c r="AA1304">
        <v>0</v>
      </c>
      <c r="AB1304" s="400">
        <v>44575.749431446762</v>
      </c>
      <c r="AC1304" t="s">
        <v>439</v>
      </c>
    </row>
    <row r="1305" spans="1:29">
      <c r="A1305" t="s">
        <v>382</v>
      </c>
      <c r="B1305" t="s">
        <v>440</v>
      </c>
      <c r="C1305" t="s">
        <v>421</v>
      </c>
      <c r="D1305" t="s">
        <v>422</v>
      </c>
      <c r="E1305" t="s">
        <v>390</v>
      </c>
      <c r="F1305" t="s">
        <v>391</v>
      </c>
      <c r="G1305">
        <v>6103527</v>
      </c>
      <c r="H1305">
        <v>202112</v>
      </c>
      <c r="I1305" s="400">
        <v>44561</v>
      </c>
      <c r="J1305">
        <v>119010</v>
      </c>
      <c r="K1305" t="s">
        <v>386</v>
      </c>
      <c r="L1305" t="s">
        <v>399</v>
      </c>
      <c r="M1305" t="s">
        <v>400</v>
      </c>
      <c r="O1305" t="s">
        <v>401</v>
      </c>
      <c r="P1305" t="s">
        <v>402</v>
      </c>
      <c r="Q1305" t="s">
        <v>396</v>
      </c>
      <c r="R1305">
        <v>2069136</v>
      </c>
      <c r="S1305" t="s">
        <v>399</v>
      </c>
      <c r="U1305" t="s">
        <v>1908</v>
      </c>
      <c r="V1305" t="s">
        <v>398</v>
      </c>
      <c r="W1305" s="393">
        <v>1500000</v>
      </c>
      <c r="X1305" s="393">
        <v>376.77</v>
      </c>
      <c r="Y1305" s="393">
        <v>3324.44</v>
      </c>
      <c r="Z1305" s="393">
        <v>1500000</v>
      </c>
      <c r="AA1305">
        <v>0</v>
      </c>
      <c r="AB1305" s="400">
        <v>44575.749431446762</v>
      </c>
      <c r="AC1305" t="s">
        <v>439</v>
      </c>
    </row>
    <row r="1306" spans="1:29">
      <c r="A1306" t="s">
        <v>382</v>
      </c>
      <c r="B1306" t="s">
        <v>440</v>
      </c>
      <c r="C1306" t="s">
        <v>421</v>
      </c>
      <c r="D1306" t="s">
        <v>422</v>
      </c>
      <c r="E1306" t="s">
        <v>390</v>
      </c>
      <c r="F1306" t="s">
        <v>391</v>
      </c>
      <c r="G1306">
        <v>6103527</v>
      </c>
      <c r="H1306">
        <v>202112</v>
      </c>
      <c r="I1306" s="400">
        <v>44561</v>
      </c>
      <c r="J1306">
        <v>119010</v>
      </c>
      <c r="K1306" t="s">
        <v>386</v>
      </c>
      <c r="L1306" t="s">
        <v>399</v>
      </c>
      <c r="M1306" t="s">
        <v>400</v>
      </c>
      <c r="O1306" t="s">
        <v>401</v>
      </c>
      <c r="P1306" t="s">
        <v>402</v>
      </c>
      <c r="Q1306" t="s">
        <v>396</v>
      </c>
      <c r="R1306">
        <v>2069136</v>
      </c>
      <c r="S1306" t="s">
        <v>399</v>
      </c>
      <c r="U1306" t="s">
        <v>1909</v>
      </c>
      <c r="V1306" t="s">
        <v>398</v>
      </c>
      <c r="W1306" s="393">
        <v>7890000</v>
      </c>
      <c r="X1306" s="393">
        <v>1981.81</v>
      </c>
      <c r="Y1306" s="393">
        <v>17486.53</v>
      </c>
      <c r="Z1306" s="393">
        <v>7890000</v>
      </c>
      <c r="AA1306">
        <v>0</v>
      </c>
      <c r="AB1306" s="400">
        <v>44575.749431446762</v>
      </c>
      <c r="AC1306" t="s">
        <v>439</v>
      </c>
    </row>
    <row r="1307" spans="1:29">
      <c r="A1307" t="s">
        <v>382</v>
      </c>
      <c r="B1307" t="s">
        <v>440</v>
      </c>
      <c r="C1307" t="s">
        <v>421</v>
      </c>
      <c r="D1307" t="s">
        <v>422</v>
      </c>
      <c r="E1307" t="s">
        <v>390</v>
      </c>
      <c r="F1307" t="s">
        <v>391</v>
      </c>
      <c r="G1307">
        <v>6103527</v>
      </c>
      <c r="H1307">
        <v>202112</v>
      </c>
      <c r="I1307" s="400">
        <v>44561</v>
      </c>
      <c r="J1307">
        <v>119010</v>
      </c>
      <c r="K1307" t="s">
        <v>386</v>
      </c>
      <c r="L1307" t="s">
        <v>399</v>
      </c>
      <c r="M1307" t="s">
        <v>400</v>
      </c>
      <c r="O1307" t="s">
        <v>401</v>
      </c>
      <c r="P1307" t="s">
        <v>402</v>
      </c>
      <c r="Q1307" t="s">
        <v>396</v>
      </c>
      <c r="R1307">
        <v>2069136</v>
      </c>
      <c r="S1307" t="s">
        <v>399</v>
      </c>
      <c r="U1307" t="s">
        <v>1899</v>
      </c>
      <c r="V1307" t="s">
        <v>398</v>
      </c>
      <c r="W1307" s="393">
        <v>800000</v>
      </c>
      <c r="X1307" s="393">
        <v>200.94</v>
      </c>
      <c r="Y1307" s="393">
        <v>1773.03</v>
      </c>
      <c r="Z1307" s="393">
        <v>800000</v>
      </c>
      <c r="AA1307">
        <v>0</v>
      </c>
      <c r="AB1307" s="400">
        <v>44575.749431446762</v>
      </c>
      <c r="AC1307" t="s">
        <v>439</v>
      </c>
    </row>
    <row r="1308" spans="1:29">
      <c r="A1308" t="s">
        <v>382</v>
      </c>
      <c r="B1308" t="s">
        <v>440</v>
      </c>
      <c r="C1308" t="s">
        <v>421</v>
      </c>
      <c r="D1308" t="s">
        <v>422</v>
      </c>
      <c r="E1308" t="s">
        <v>390</v>
      </c>
      <c r="F1308" t="s">
        <v>391</v>
      </c>
      <c r="G1308">
        <v>6103529</v>
      </c>
      <c r="H1308">
        <v>202112</v>
      </c>
      <c r="I1308" s="400">
        <v>44561</v>
      </c>
      <c r="J1308">
        <v>119010</v>
      </c>
      <c r="K1308" t="s">
        <v>386</v>
      </c>
      <c r="L1308" t="s">
        <v>399</v>
      </c>
      <c r="M1308" t="s">
        <v>400</v>
      </c>
      <c r="O1308" t="s">
        <v>401</v>
      </c>
      <c r="P1308" t="s">
        <v>402</v>
      </c>
      <c r="Q1308" t="s">
        <v>396</v>
      </c>
      <c r="R1308">
        <v>2069136</v>
      </c>
      <c r="S1308" t="s">
        <v>399</v>
      </c>
      <c r="U1308" t="s">
        <v>1909</v>
      </c>
      <c r="V1308" t="s">
        <v>398</v>
      </c>
      <c r="W1308" s="393">
        <v>7890000</v>
      </c>
      <c r="X1308" s="393">
        <v>2690.32</v>
      </c>
      <c r="Y1308" s="393">
        <v>21637.03</v>
      </c>
      <c r="Z1308" s="393">
        <v>7890000</v>
      </c>
      <c r="AA1308">
        <v>0</v>
      </c>
      <c r="AB1308" s="400">
        <v>44575.966131331021</v>
      </c>
      <c r="AC1308" t="s">
        <v>439</v>
      </c>
    </row>
    <row r="1309" spans="1:29">
      <c r="A1309" t="s">
        <v>382</v>
      </c>
      <c r="B1309" t="s">
        <v>440</v>
      </c>
      <c r="C1309" t="s">
        <v>421</v>
      </c>
      <c r="D1309" t="s">
        <v>422</v>
      </c>
      <c r="E1309" t="s">
        <v>390</v>
      </c>
      <c r="F1309" t="s">
        <v>391</v>
      </c>
      <c r="G1309">
        <v>6103529</v>
      </c>
      <c r="H1309">
        <v>202112</v>
      </c>
      <c r="I1309" s="400">
        <v>44561</v>
      </c>
      <c r="J1309">
        <v>119010</v>
      </c>
      <c r="K1309" t="s">
        <v>386</v>
      </c>
      <c r="L1309" t="s">
        <v>399</v>
      </c>
      <c r="M1309" t="s">
        <v>400</v>
      </c>
      <c r="O1309" t="s">
        <v>401</v>
      </c>
      <c r="P1309" t="s">
        <v>402</v>
      </c>
      <c r="Q1309" t="s">
        <v>396</v>
      </c>
      <c r="R1309">
        <v>2069136</v>
      </c>
      <c r="S1309" t="s">
        <v>399</v>
      </c>
      <c r="U1309" t="s">
        <v>1908</v>
      </c>
      <c r="V1309" t="s">
        <v>398</v>
      </c>
      <c r="W1309" s="393">
        <v>1500000</v>
      </c>
      <c r="X1309" s="393">
        <v>511.47</v>
      </c>
      <c r="Y1309" s="393">
        <v>4113.5</v>
      </c>
      <c r="Z1309" s="393">
        <v>1500000</v>
      </c>
      <c r="AA1309">
        <v>0</v>
      </c>
      <c r="AB1309" s="400">
        <v>44575.966131331021</v>
      </c>
      <c r="AC1309" t="s">
        <v>439</v>
      </c>
    </row>
    <row r="1310" spans="1:29">
      <c r="A1310" t="s">
        <v>382</v>
      </c>
      <c r="B1310" t="s">
        <v>440</v>
      </c>
      <c r="C1310" t="s">
        <v>421</v>
      </c>
      <c r="D1310" t="s">
        <v>422</v>
      </c>
      <c r="E1310" t="s">
        <v>390</v>
      </c>
      <c r="F1310" t="s">
        <v>391</v>
      </c>
      <c r="G1310">
        <v>6103529</v>
      </c>
      <c r="H1310">
        <v>202112</v>
      </c>
      <c r="I1310" s="400">
        <v>44561</v>
      </c>
      <c r="J1310">
        <v>119010</v>
      </c>
      <c r="K1310" t="s">
        <v>386</v>
      </c>
      <c r="L1310" t="s">
        <v>399</v>
      </c>
      <c r="M1310" t="s">
        <v>400</v>
      </c>
      <c r="O1310" t="s">
        <v>401</v>
      </c>
      <c r="P1310" t="s">
        <v>402</v>
      </c>
      <c r="Q1310" t="s">
        <v>396</v>
      </c>
      <c r="R1310">
        <v>2069136</v>
      </c>
      <c r="S1310" t="s">
        <v>399</v>
      </c>
      <c r="U1310" t="s">
        <v>1907</v>
      </c>
      <c r="V1310" t="s">
        <v>398</v>
      </c>
      <c r="W1310" s="393">
        <v>5100000</v>
      </c>
      <c r="X1310" s="393">
        <v>1738.99</v>
      </c>
      <c r="Y1310" s="393">
        <v>13985.91</v>
      </c>
      <c r="Z1310" s="393">
        <v>5100000</v>
      </c>
      <c r="AA1310">
        <v>0</v>
      </c>
      <c r="AB1310" s="400">
        <v>44575.966131331021</v>
      </c>
      <c r="AC1310" t="s">
        <v>439</v>
      </c>
    </row>
    <row r="1311" spans="1:29">
      <c r="A1311" t="s">
        <v>382</v>
      </c>
      <c r="B1311" t="s">
        <v>440</v>
      </c>
      <c r="C1311" t="s">
        <v>421</v>
      </c>
      <c r="D1311" t="s">
        <v>422</v>
      </c>
      <c r="E1311" t="s">
        <v>390</v>
      </c>
      <c r="F1311" t="s">
        <v>391</v>
      </c>
      <c r="G1311">
        <v>6103529</v>
      </c>
      <c r="H1311">
        <v>202112</v>
      </c>
      <c r="I1311" s="400">
        <v>44561</v>
      </c>
      <c r="J1311">
        <v>119010</v>
      </c>
      <c r="K1311" t="s">
        <v>386</v>
      </c>
      <c r="L1311" t="s">
        <v>399</v>
      </c>
      <c r="M1311" t="s">
        <v>400</v>
      </c>
      <c r="O1311" t="s">
        <v>401</v>
      </c>
      <c r="P1311" t="s">
        <v>402</v>
      </c>
      <c r="Q1311" t="s">
        <v>396</v>
      </c>
      <c r="R1311">
        <v>2069136</v>
      </c>
      <c r="S1311" t="s">
        <v>399</v>
      </c>
      <c r="U1311" t="s">
        <v>1906</v>
      </c>
      <c r="V1311" t="s">
        <v>398</v>
      </c>
      <c r="W1311" s="393">
        <v>1400000</v>
      </c>
      <c r="X1311" s="393">
        <v>477.37</v>
      </c>
      <c r="Y1311" s="393">
        <v>3839.27</v>
      </c>
      <c r="Z1311" s="393">
        <v>1400000</v>
      </c>
      <c r="AA1311">
        <v>0</v>
      </c>
      <c r="AB1311" s="400">
        <v>44575.966131331021</v>
      </c>
      <c r="AC1311" t="s">
        <v>439</v>
      </c>
    </row>
    <row r="1312" spans="1:29">
      <c r="A1312" t="s">
        <v>382</v>
      </c>
      <c r="B1312" t="s">
        <v>440</v>
      </c>
      <c r="C1312" t="s">
        <v>421</v>
      </c>
      <c r="D1312" t="s">
        <v>422</v>
      </c>
      <c r="E1312" t="s">
        <v>390</v>
      </c>
      <c r="F1312" t="s">
        <v>391</v>
      </c>
      <c r="G1312">
        <v>6103529</v>
      </c>
      <c r="H1312">
        <v>202112</v>
      </c>
      <c r="I1312" s="400">
        <v>44561</v>
      </c>
      <c r="J1312">
        <v>119010</v>
      </c>
      <c r="K1312" t="s">
        <v>386</v>
      </c>
      <c r="L1312" t="s">
        <v>399</v>
      </c>
      <c r="M1312" t="s">
        <v>400</v>
      </c>
      <c r="O1312" t="s">
        <v>401</v>
      </c>
      <c r="P1312" t="s">
        <v>402</v>
      </c>
      <c r="Q1312" t="s">
        <v>396</v>
      </c>
      <c r="R1312">
        <v>2069136</v>
      </c>
      <c r="S1312" t="s">
        <v>399</v>
      </c>
      <c r="U1312" t="s">
        <v>1905</v>
      </c>
      <c r="V1312" t="s">
        <v>398</v>
      </c>
      <c r="W1312" s="393">
        <v>7090000</v>
      </c>
      <c r="X1312" s="393">
        <v>2417.54</v>
      </c>
      <c r="Y1312" s="393">
        <v>19443.16</v>
      </c>
      <c r="Z1312" s="393">
        <v>7090000</v>
      </c>
      <c r="AA1312">
        <v>0</v>
      </c>
      <c r="AB1312" s="400">
        <v>44575.966131331021</v>
      </c>
      <c r="AC1312" t="s">
        <v>439</v>
      </c>
    </row>
    <row r="1313" spans="1:29">
      <c r="A1313" t="s">
        <v>382</v>
      </c>
      <c r="B1313" t="s">
        <v>440</v>
      </c>
      <c r="C1313" t="s">
        <v>421</v>
      </c>
      <c r="D1313" t="s">
        <v>422</v>
      </c>
      <c r="E1313" t="s">
        <v>390</v>
      </c>
      <c r="F1313" t="s">
        <v>391</v>
      </c>
      <c r="G1313">
        <v>6103529</v>
      </c>
      <c r="H1313">
        <v>202112</v>
      </c>
      <c r="I1313" s="400">
        <v>44561</v>
      </c>
      <c r="J1313">
        <v>119010</v>
      </c>
      <c r="K1313" t="s">
        <v>386</v>
      </c>
      <c r="L1313" t="s">
        <v>399</v>
      </c>
      <c r="M1313" t="s">
        <v>400</v>
      </c>
      <c r="O1313" t="s">
        <v>401</v>
      </c>
      <c r="P1313" t="s">
        <v>402</v>
      </c>
      <c r="Q1313" t="s">
        <v>396</v>
      </c>
      <c r="R1313">
        <v>2069136</v>
      </c>
      <c r="S1313" t="s">
        <v>399</v>
      </c>
      <c r="U1313" t="s">
        <v>1904</v>
      </c>
      <c r="V1313" t="s">
        <v>398</v>
      </c>
      <c r="W1313" s="393">
        <v>8000000</v>
      </c>
      <c r="X1313" s="393">
        <v>2727.83</v>
      </c>
      <c r="Y1313" s="393">
        <v>21938.69</v>
      </c>
      <c r="Z1313" s="393">
        <v>8000000</v>
      </c>
      <c r="AA1313">
        <v>0</v>
      </c>
      <c r="AB1313" s="400">
        <v>44575.966131331021</v>
      </c>
      <c r="AC1313" t="s">
        <v>439</v>
      </c>
    </row>
    <row r="1314" spans="1:29">
      <c r="A1314" t="s">
        <v>382</v>
      </c>
      <c r="B1314" t="s">
        <v>440</v>
      </c>
      <c r="C1314" t="s">
        <v>421</v>
      </c>
      <c r="D1314" t="s">
        <v>422</v>
      </c>
      <c r="E1314" t="s">
        <v>390</v>
      </c>
      <c r="F1314" t="s">
        <v>391</v>
      </c>
      <c r="G1314">
        <v>6103529</v>
      </c>
      <c r="H1314">
        <v>202112</v>
      </c>
      <c r="I1314" s="400">
        <v>44561</v>
      </c>
      <c r="J1314">
        <v>119010</v>
      </c>
      <c r="K1314" t="s">
        <v>386</v>
      </c>
      <c r="L1314" t="s">
        <v>399</v>
      </c>
      <c r="M1314" t="s">
        <v>400</v>
      </c>
      <c r="O1314" t="s">
        <v>401</v>
      </c>
      <c r="P1314" t="s">
        <v>402</v>
      </c>
      <c r="Q1314" t="s">
        <v>396</v>
      </c>
      <c r="R1314">
        <v>2069136</v>
      </c>
      <c r="S1314" t="s">
        <v>399</v>
      </c>
      <c r="U1314" t="s">
        <v>1903</v>
      </c>
      <c r="V1314" t="s">
        <v>398</v>
      </c>
      <c r="W1314" s="393">
        <v>4400000</v>
      </c>
      <c r="X1314" s="393">
        <v>1500.31</v>
      </c>
      <c r="Y1314" s="393">
        <v>12066.28</v>
      </c>
      <c r="Z1314" s="393">
        <v>4400000</v>
      </c>
      <c r="AA1314">
        <v>0</v>
      </c>
      <c r="AB1314" s="400">
        <v>44575.966131331021</v>
      </c>
      <c r="AC1314" t="s">
        <v>439</v>
      </c>
    </row>
    <row r="1315" spans="1:29">
      <c r="A1315" t="s">
        <v>382</v>
      </c>
      <c r="B1315" t="s">
        <v>440</v>
      </c>
      <c r="C1315" t="s">
        <v>421</v>
      </c>
      <c r="D1315" t="s">
        <v>422</v>
      </c>
      <c r="E1315" t="s">
        <v>390</v>
      </c>
      <c r="F1315" t="s">
        <v>391</v>
      </c>
      <c r="G1315">
        <v>6103529</v>
      </c>
      <c r="H1315">
        <v>202112</v>
      </c>
      <c r="I1315" s="400">
        <v>44561</v>
      </c>
      <c r="J1315">
        <v>119010</v>
      </c>
      <c r="K1315" t="s">
        <v>386</v>
      </c>
      <c r="L1315" t="s">
        <v>399</v>
      </c>
      <c r="M1315" t="s">
        <v>400</v>
      </c>
      <c r="O1315" t="s">
        <v>401</v>
      </c>
      <c r="P1315" t="s">
        <v>402</v>
      </c>
      <c r="Q1315" t="s">
        <v>396</v>
      </c>
      <c r="R1315">
        <v>2069136</v>
      </c>
      <c r="S1315" t="s">
        <v>399</v>
      </c>
      <c r="U1315" t="s">
        <v>1902</v>
      </c>
      <c r="V1315" t="s">
        <v>398</v>
      </c>
      <c r="W1315" s="393">
        <v>14000000</v>
      </c>
      <c r="X1315" s="393">
        <v>4773.7</v>
      </c>
      <c r="Y1315" s="393">
        <v>38392.71</v>
      </c>
      <c r="Z1315" s="393">
        <v>14000000</v>
      </c>
      <c r="AA1315">
        <v>0</v>
      </c>
      <c r="AB1315" s="400">
        <v>44575.966131331021</v>
      </c>
      <c r="AC1315" t="s">
        <v>439</v>
      </c>
    </row>
    <row r="1316" spans="1:29">
      <c r="A1316" t="s">
        <v>382</v>
      </c>
      <c r="B1316" t="s">
        <v>440</v>
      </c>
      <c r="C1316" t="s">
        <v>421</v>
      </c>
      <c r="D1316" t="s">
        <v>422</v>
      </c>
      <c r="E1316" t="s">
        <v>390</v>
      </c>
      <c r="F1316" t="s">
        <v>391</v>
      </c>
      <c r="G1316">
        <v>6103529</v>
      </c>
      <c r="H1316">
        <v>202112</v>
      </c>
      <c r="I1316" s="400">
        <v>44561</v>
      </c>
      <c r="J1316">
        <v>119010</v>
      </c>
      <c r="K1316" t="s">
        <v>386</v>
      </c>
      <c r="L1316" t="s">
        <v>399</v>
      </c>
      <c r="M1316" t="s">
        <v>400</v>
      </c>
      <c r="O1316" t="s">
        <v>401</v>
      </c>
      <c r="P1316" t="s">
        <v>402</v>
      </c>
      <c r="Q1316" t="s">
        <v>396</v>
      </c>
      <c r="R1316">
        <v>2069136</v>
      </c>
      <c r="S1316" t="s">
        <v>399</v>
      </c>
      <c r="U1316" t="s">
        <v>1901</v>
      </c>
      <c r="V1316" t="s">
        <v>398</v>
      </c>
      <c r="W1316" s="393">
        <v>3425000</v>
      </c>
      <c r="X1316" s="393">
        <v>1167.8499999999999</v>
      </c>
      <c r="Y1316" s="393">
        <v>9392.5</v>
      </c>
      <c r="Z1316" s="393">
        <v>3425000</v>
      </c>
      <c r="AA1316">
        <v>0</v>
      </c>
      <c r="AB1316" s="400">
        <v>44575.966131331021</v>
      </c>
      <c r="AC1316" t="s">
        <v>439</v>
      </c>
    </row>
    <row r="1317" spans="1:29">
      <c r="A1317" t="s">
        <v>382</v>
      </c>
      <c r="B1317" t="s">
        <v>440</v>
      </c>
      <c r="C1317" t="s">
        <v>421</v>
      </c>
      <c r="D1317" t="s">
        <v>422</v>
      </c>
      <c r="E1317" t="s">
        <v>390</v>
      </c>
      <c r="F1317" t="s">
        <v>391</v>
      </c>
      <c r="G1317">
        <v>6103529</v>
      </c>
      <c r="H1317">
        <v>202112</v>
      </c>
      <c r="I1317" s="400">
        <v>44561</v>
      </c>
      <c r="J1317">
        <v>119010</v>
      </c>
      <c r="K1317" t="s">
        <v>386</v>
      </c>
      <c r="L1317" t="s">
        <v>399</v>
      </c>
      <c r="M1317" t="s">
        <v>400</v>
      </c>
      <c r="O1317" t="s">
        <v>401</v>
      </c>
      <c r="P1317" t="s">
        <v>402</v>
      </c>
      <c r="Q1317" t="s">
        <v>396</v>
      </c>
      <c r="R1317">
        <v>2069136</v>
      </c>
      <c r="S1317" t="s">
        <v>399</v>
      </c>
      <c r="U1317" t="s">
        <v>1900</v>
      </c>
      <c r="V1317" t="s">
        <v>398</v>
      </c>
      <c r="W1317" s="393">
        <v>3000000</v>
      </c>
      <c r="X1317" s="393">
        <v>1022.94</v>
      </c>
      <c r="Y1317" s="393">
        <v>8227.01</v>
      </c>
      <c r="Z1317" s="393">
        <v>3000000</v>
      </c>
      <c r="AA1317">
        <v>0</v>
      </c>
      <c r="AB1317" s="400">
        <v>44575.966131331021</v>
      </c>
      <c r="AC1317" t="s">
        <v>439</v>
      </c>
    </row>
    <row r="1318" spans="1:29">
      <c r="A1318" t="s">
        <v>382</v>
      </c>
      <c r="B1318" t="s">
        <v>382</v>
      </c>
      <c r="C1318" t="s">
        <v>421</v>
      </c>
      <c r="D1318" t="s">
        <v>422</v>
      </c>
      <c r="E1318" t="s">
        <v>390</v>
      </c>
      <c r="F1318" t="s">
        <v>391</v>
      </c>
      <c r="G1318">
        <v>6103365</v>
      </c>
      <c r="H1318">
        <v>202112</v>
      </c>
      <c r="I1318" s="400">
        <v>44552</v>
      </c>
      <c r="J1318">
        <v>119010</v>
      </c>
      <c r="K1318" t="s">
        <v>386</v>
      </c>
      <c r="L1318" t="s">
        <v>399</v>
      </c>
      <c r="M1318" t="s">
        <v>400</v>
      </c>
      <c r="O1318" t="s">
        <v>401</v>
      </c>
      <c r="P1318" t="s">
        <v>402</v>
      </c>
      <c r="Q1318" t="s">
        <v>396</v>
      </c>
      <c r="R1318">
        <v>2069136</v>
      </c>
      <c r="S1318" t="s">
        <v>403</v>
      </c>
      <c r="U1318" t="s">
        <v>1910</v>
      </c>
      <c r="V1318" t="s">
        <v>398</v>
      </c>
      <c r="W1318" s="393">
        <v>-24000000</v>
      </c>
      <c r="X1318" s="393">
        <v>-6258.72</v>
      </c>
      <c r="Y1318" s="393">
        <v>-54421.440000000002</v>
      </c>
      <c r="Z1318" s="393">
        <v>-24000000</v>
      </c>
      <c r="AA1318">
        <v>0</v>
      </c>
      <c r="AB1318" s="400">
        <v>44552.757233483797</v>
      </c>
      <c r="AC1318" t="s">
        <v>439</v>
      </c>
    </row>
    <row r="1319" spans="1:29">
      <c r="A1319" t="s">
        <v>382</v>
      </c>
      <c r="B1319" t="s">
        <v>382</v>
      </c>
      <c r="C1319" t="s">
        <v>421</v>
      </c>
      <c r="D1319" t="s">
        <v>422</v>
      </c>
      <c r="E1319" t="s">
        <v>390</v>
      </c>
      <c r="F1319" t="s">
        <v>391</v>
      </c>
      <c r="G1319">
        <v>6103365</v>
      </c>
      <c r="H1319">
        <v>202112</v>
      </c>
      <c r="I1319" s="400">
        <v>44552</v>
      </c>
      <c r="J1319">
        <v>119010</v>
      </c>
      <c r="K1319" t="s">
        <v>386</v>
      </c>
      <c r="L1319" t="s">
        <v>399</v>
      </c>
      <c r="M1319" t="s">
        <v>400</v>
      </c>
      <c r="O1319" t="s">
        <v>401</v>
      </c>
      <c r="P1319" t="s">
        <v>402</v>
      </c>
      <c r="Q1319" t="s">
        <v>396</v>
      </c>
      <c r="R1319">
        <v>2069136</v>
      </c>
      <c r="S1319" t="s">
        <v>403</v>
      </c>
      <c r="U1319" t="s">
        <v>1911</v>
      </c>
      <c r="V1319" t="s">
        <v>398</v>
      </c>
      <c r="W1319" s="393">
        <v>24000000</v>
      </c>
      <c r="X1319" s="393">
        <v>6258.72</v>
      </c>
      <c r="Y1319" s="393">
        <v>54421.440000000002</v>
      </c>
      <c r="Z1319" s="393">
        <v>24000000</v>
      </c>
      <c r="AA1319">
        <v>0</v>
      </c>
      <c r="AB1319" s="400">
        <v>44552.757233483797</v>
      </c>
      <c r="AC1319" t="s">
        <v>439</v>
      </c>
    </row>
    <row r="1320" spans="1:29">
      <c r="A1320" t="s">
        <v>382</v>
      </c>
      <c r="B1320" t="s">
        <v>440</v>
      </c>
      <c r="C1320" t="s">
        <v>425</v>
      </c>
      <c r="D1320" t="s">
        <v>426</v>
      </c>
      <c r="E1320" t="s">
        <v>390</v>
      </c>
      <c r="F1320" t="s">
        <v>391</v>
      </c>
      <c r="G1320">
        <v>6103125</v>
      </c>
      <c r="H1320">
        <v>202111</v>
      </c>
      <c r="I1320" s="400">
        <v>44530</v>
      </c>
      <c r="J1320">
        <v>119010</v>
      </c>
      <c r="K1320" t="s">
        <v>386</v>
      </c>
      <c r="L1320" t="s">
        <v>392</v>
      </c>
      <c r="M1320" t="s">
        <v>393</v>
      </c>
      <c r="O1320" t="s">
        <v>394</v>
      </c>
      <c r="P1320" t="s">
        <v>395</v>
      </c>
      <c r="Q1320" t="s">
        <v>396</v>
      </c>
      <c r="R1320">
        <v>2244667</v>
      </c>
      <c r="S1320" t="s">
        <v>392</v>
      </c>
      <c r="U1320" t="s">
        <v>1912</v>
      </c>
      <c r="V1320" t="s">
        <v>398</v>
      </c>
      <c r="W1320" s="393">
        <v>-100389024.37</v>
      </c>
      <c r="X1320" s="393">
        <v>-25290</v>
      </c>
      <c r="Y1320" s="393">
        <v>-218680.42</v>
      </c>
      <c r="Z1320" s="393">
        <v>-100389024.37</v>
      </c>
      <c r="AA1320">
        <v>0</v>
      </c>
      <c r="AB1320" s="400">
        <v>44533.671625810188</v>
      </c>
      <c r="AC1320" t="s">
        <v>437</v>
      </c>
    </row>
    <row r="1321" spans="1:29">
      <c r="A1321" t="s">
        <v>382</v>
      </c>
      <c r="B1321" t="s">
        <v>382</v>
      </c>
      <c r="C1321" t="s">
        <v>425</v>
      </c>
      <c r="D1321" t="s">
        <v>426</v>
      </c>
      <c r="E1321" t="s">
        <v>390</v>
      </c>
      <c r="F1321" t="s">
        <v>391</v>
      </c>
      <c r="G1321">
        <v>6103132</v>
      </c>
      <c r="H1321">
        <v>202111</v>
      </c>
      <c r="I1321" s="400">
        <v>44530</v>
      </c>
      <c r="J1321">
        <v>119010</v>
      </c>
      <c r="K1321" t="s">
        <v>386</v>
      </c>
      <c r="L1321" t="s">
        <v>392</v>
      </c>
      <c r="M1321" t="s">
        <v>393</v>
      </c>
      <c r="O1321" t="s">
        <v>394</v>
      </c>
      <c r="P1321" t="s">
        <v>395</v>
      </c>
      <c r="Q1321" t="s">
        <v>396</v>
      </c>
      <c r="R1321">
        <v>2244667</v>
      </c>
      <c r="S1321" t="s">
        <v>392</v>
      </c>
      <c r="U1321" t="s">
        <v>1772</v>
      </c>
      <c r="V1321" t="s">
        <v>398</v>
      </c>
      <c r="W1321" s="393">
        <v>-0.49</v>
      </c>
      <c r="X1321" s="393">
        <v>0</v>
      </c>
      <c r="Y1321" s="393">
        <v>0</v>
      </c>
      <c r="Z1321" s="393">
        <v>-0.49</v>
      </c>
      <c r="AA1321">
        <v>0</v>
      </c>
      <c r="AB1321" s="400">
        <v>44536.765626122688</v>
      </c>
      <c r="AC1321" t="s">
        <v>437</v>
      </c>
    </row>
    <row r="1322" spans="1:29">
      <c r="A1322" t="s">
        <v>382</v>
      </c>
      <c r="B1322" t="s">
        <v>382</v>
      </c>
      <c r="C1322" t="s">
        <v>425</v>
      </c>
      <c r="D1322" t="s">
        <v>426</v>
      </c>
      <c r="E1322" t="s">
        <v>390</v>
      </c>
      <c r="F1322" t="s">
        <v>391</v>
      </c>
      <c r="G1322">
        <v>6102961</v>
      </c>
      <c r="H1322">
        <v>202111</v>
      </c>
      <c r="I1322" s="400">
        <v>44519</v>
      </c>
      <c r="J1322">
        <v>119010</v>
      </c>
      <c r="K1322" t="s">
        <v>386</v>
      </c>
      <c r="L1322" t="s">
        <v>399</v>
      </c>
      <c r="M1322" t="s">
        <v>400</v>
      </c>
      <c r="O1322" t="s">
        <v>401</v>
      </c>
      <c r="P1322" t="s">
        <v>402</v>
      </c>
      <c r="Q1322" t="s">
        <v>396</v>
      </c>
      <c r="R1322">
        <v>2244668</v>
      </c>
      <c r="S1322" t="s">
        <v>399</v>
      </c>
      <c r="U1322" t="s">
        <v>1913</v>
      </c>
      <c r="V1322" t="s">
        <v>398</v>
      </c>
      <c r="W1322" s="393">
        <v>-42873835.359999999</v>
      </c>
      <c r="X1322" s="393">
        <v>-10970.99</v>
      </c>
      <c r="Y1322" s="393">
        <v>-94079.34</v>
      </c>
      <c r="Z1322" s="393">
        <v>-42873835.359999999</v>
      </c>
      <c r="AA1322">
        <v>0</v>
      </c>
      <c r="AB1322" s="400">
        <v>44529.764076157408</v>
      </c>
      <c r="AC1322" t="s">
        <v>439</v>
      </c>
    </row>
    <row r="1323" spans="1:29">
      <c r="A1323" t="s">
        <v>382</v>
      </c>
      <c r="B1323" t="s">
        <v>440</v>
      </c>
      <c r="C1323" t="s">
        <v>425</v>
      </c>
      <c r="D1323" t="s">
        <v>426</v>
      </c>
      <c r="E1323" t="s">
        <v>390</v>
      </c>
      <c r="F1323" t="s">
        <v>391</v>
      </c>
      <c r="G1323">
        <v>6103532</v>
      </c>
      <c r="H1323">
        <v>202112</v>
      </c>
      <c r="I1323" s="400">
        <v>44561</v>
      </c>
      <c r="J1323">
        <v>119010</v>
      </c>
      <c r="K1323" t="s">
        <v>386</v>
      </c>
      <c r="L1323" t="s">
        <v>392</v>
      </c>
      <c r="M1323" t="s">
        <v>393</v>
      </c>
      <c r="O1323" t="s">
        <v>394</v>
      </c>
      <c r="P1323" t="s">
        <v>395</v>
      </c>
      <c r="Q1323" t="s">
        <v>396</v>
      </c>
      <c r="R1323">
        <v>2244667</v>
      </c>
      <c r="S1323" t="s">
        <v>430</v>
      </c>
      <c r="U1323" t="s">
        <v>1914</v>
      </c>
      <c r="V1323" t="s">
        <v>398</v>
      </c>
      <c r="W1323" s="393">
        <v>1076783</v>
      </c>
      <c r="X1323" s="393">
        <v>296.12</v>
      </c>
      <c r="Y1323" s="393">
        <v>2452.91</v>
      </c>
      <c r="Z1323" s="393">
        <v>1076783</v>
      </c>
      <c r="AA1323">
        <v>0</v>
      </c>
      <c r="AB1323" s="400">
        <v>44576.041299803241</v>
      </c>
      <c r="AC1323" t="s">
        <v>437</v>
      </c>
    </row>
    <row r="1324" spans="1:29">
      <c r="A1324" t="s">
        <v>382</v>
      </c>
      <c r="B1324" t="s">
        <v>440</v>
      </c>
      <c r="C1324" t="s">
        <v>425</v>
      </c>
      <c r="D1324" t="s">
        <v>426</v>
      </c>
      <c r="E1324" t="s">
        <v>390</v>
      </c>
      <c r="F1324" t="s">
        <v>391</v>
      </c>
      <c r="G1324">
        <v>6103532</v>
      </c>
      <c r="H1324">
        <v>202112</v>
      </c>
      <c r="I1324" s="400">
        <v>44561</v>
      </c>
      <c r="J1324">
        <v>119010</v>
      </c>
      <c r="K1324" t="s">
        <v>386</v>
      </c>
      <c r="L1324" t="s">
        <v>392</v>
      </c>
      <c r="M1324" t="s">
        <v>393</v>
      </c>
      <c r="O1324" t="s">
        <v>394</v>
      </c>
      <c r="P1324" t="s">
        <v>395</v>
      </c>
      <c r="Q1324" t="s">
        <v>396</v>
      </c>
      <c r="R1324">
        <v>2244667</v>
      </c>
      <c r="S1324" t="s">
        <v>430</v>
      </c>
      <c r="U1324" t="s">
        <v>1914</v>
      </c>
      <c r="V1324" t="s">
        <v>398</v>
      </c>
      <c r="W1324" s="393">
        <v>-1076783</v>
      </c>
      <c r="X1324" s="393">
        <v>-300.42</v>
      </c>
      <c r="Y1324" s="393">
        <v>-2535.8200000000002</v>
      </c>
      <c r="Z1324" s="393">
        <v>-1076783</v>
      </c>
      <c r="AA1324">
        <v>0</v>
      </c>
      <c r="AB1324" s="400">
        <v>44576.041299803241</v>
      </c>
      <c r="AC1324" t="s">
        <v>437</v>
      </c>
    </row>
    <row r="1325" spans="1:29">
      <c r="A1325" t="s">
        <v>382</v>
      </c>
      <c r="B1325" t="s">
        <v>382</v>
      </c>
      <c r="C1325" t="s">
        <v>425</v>
      </c>
      <c r="D1325" t="s">
        <v>426</v>
      </c>
      <c r="E1325" t="s">
        <v>390</v>
      </c>
      <c r="F1325" t="s">
        <v>391</v>
      </c>
      <c r="G1325">
        <v>6103533</v>
      </c>
      <c r="H1325">
        <v>202112</v>
      </c>
      <c r="I1325" s="400">
        <v>44561</v>
      </c>
      <c r="J1325">
        <v>119010</v>
      </c>
      <c r="K1325" t="s">
        <v>386</v>
      </c>
      <c r="L1325" t="s">
        <v>392</v>
      </c>
      <c r="M1325" t="s">
        <v>393</v>
      </c>
      <c r="O1325" t="s">
        <v>394</v>
      </c>
      <c r="P1325" t="s">
        <v>395</v>
      </c>
      <c r="Q1325" t="s">
        <v>396</v>
      </c>
      <c r="R1325">
        <v>2244667</v>
      </c>
      <c r="S1325" t="s">
        <v>430</v>
      </c>
      <c r="U1325" t="s">
        <v>1915</v>
      </c>
      <c r="V1325" t="s">
        <v>398</v>
      </c>
      <c r="W1325" s="393">
        <v>22574227</v>
      </c>
      <c r="X1325" s="393">
        <v>5841</v>
      </c>
      <c r="Y1325" s="393">
        <v>50862</v>
      </c>
      <c r="Z1325" s="393">
        <v>22574227</v>
      </c>
      <c r="AA1325">
        <v>0</v>
      </c>
      <c r="AB1325" s="400">
        <v>44576.042807141203</v>
      </c>
      <c r="AC1325" t="s">
        <v>437</v>
      </c>
    </row>
    <row r="1326" spans="1:29">
      <c r="A1326" t="s">
        <v>382</v>
      </c>
      <c r="B1326" t="s">
        <v>382</v>
      </c>
      <c r="C1326" t="s">
        <v>425</v>
      </c>
      <c r="D1326" t="s">
        <v>426</v>
      </c>
      <c r="E1326" t="s">
        <v>390</v>
      </c>
      <c r="F1326" t="s">
        <v>391</v>
      </c>
      <c r="G1326">
        <v>6103533</v>
      </c>
      <c r="H1326">
        <v>202112</v>
      </c>
      <c r="I1326" s="400">
        <v>44561</v>
      </c>
      <c r="J1326">
        <v>119010</v>
      </c>
      <c r="K1326" t="s">
        <v>386</v>
      </c>
      <c r="L1326" t="s">
        <v>392</v>
      </c>
      <c r="M1326" t="s">
        <v>393</v>
      </c>
      <c r="O1326" t="s">
        <v>394</v>
      </c>
      <c r="P1326" t="s">
        <v>395</v>
      </c>
      <c r="Q1326" t="s">
        <v>396</v>
      </c>
      <c r="R1326">
        <v>2244667</v>
      </c>
      <c r="S1326" t="s">
        <v>430</v>
      </c>
      <c r="U1326" t="s">
        <v>1915</v>
      </c>
      <c r="V1326" t="s">
        <v>398</v>
      </c>
      <c r="W1326" s="393">
        <v>-22574226.600000001</v>
      </c>
      <c r="X1326" s="393">
        <v>-6298.21</v>
      </c>
      <c r="Y1326" s="393">
        <v>-53162.3</v>
      </c>
      <c r="Z1326" s="393">
        <v>-22574226.600000001</v>
      </c>
      <c r="AA1326">
        <v>0</v>
      </c>
      <c r="AB1326" s="400">
        <v>44576.042807141203</v>
      </c>
      <c r="AC1326" t="s">
        <v>437</v>
      </c>
    </row>
    <row r="1327" spans="1:29">
      <c r="A1327" t="s">
        <v>382</v>
      </c>
      <c r="B1327" t="s">
        <v>440</v>
      </c>
      <c r="C1327" t="s">
        <v>425</v>
      </c>
      <c r="D1327" t="s">
        <v>426</v>
      </c>
      <c r="E1327" t="s">
        <v>390</v>
      </c>
      <c r="F1327" t="s">
        <v>391</v>
      </c>
      <c r="G1327">
        <v>6103538</v>
      </c>
      <c r="H1327">
        <v>202112</v>
      </c>
      <c r="I1327" s="400">
        <v>44561</v>
      </c>
      <c r="J1327">
        <v>119010</v>
      </c>
      <c r="K1327" t="s">
        <v>386</v>
      </c>
      <c r="L1327" t="s">
        <v>392</v>
      </c>
      <c r="M1327" t="s">
        <v>393</v>
      </c>
      <c r="O1327" t="s">
        <v>394</v>
      </c>
      <c r="P1327" t="s">
        <v>395</v>
      </c>
      <c r="Q1327" t="s">
        <v>396</v>
      </c>
      <c r="R1327">
        <v>2244667</v>
      </c>
      <c r="S1327" t="s">
        <v>430</v>
      </c>
      <c r="U1327" t="s">
        <v>1916</v>
      </c>
      <c r="V1327" t="s">
        <v>398</v>
      </c>
      <c r="W1327" s="393">
        <v>100389024.37</v>
      </c>
      <c r="X1327" s="393">
        <v>25290</v>
      </c>
      <c r="Y1327" s="393">
        <v>218680.42</v>
      </c>
      <c r="Z1327" s="393">
        <v>100389024.37</v>
      </c>
      <c r="AA1327">
        <v>0</v>
      </c>
      <c r="AB1327" s="400">
        <v>44580.042569872683</v>
      </c>
      <c r="AC1327" t="s">
        <v>437</v>
      </c>
    </row>
    <row r="1328" spans="1:29">
      <c r="A1328" t="s">
        <v>382</v>
      </c>
      <c r="B1328" t="s">
        <v>440</v>
      </c>
      <c r="C1328" t="s">
        <v>425</v>
      </c>
      <c r="D1328" t="s">
        <v>426</v>
      </c>
      <c r="E1328" t="s">
        <v>390</v>
      </c>
      <c r="F1328" t="s">
        <v>391</v>
      </c>
      <c r="G1328">
        <v>6103538</v>
      </c>
      <c r="H1328">
        <v>202112</v>
      </c>
      <c r="I1328" s="400">
        <v>44561</v>
      </c>
      <c r="J1328">
        <v>119010</v>
      </c>
      <c r="K1328" t="s">
        <v>386</v>
      </c>
      <c r="L1328" t="s">
        <v>392</v>
      </c>
      <c r="M1328" t="s">
        <v>393</v>
      </c>
      <c r="O1328" t="s">
        <v>394</v>
      </c>
      <c r="P1328" t="s">
        <v>395</v>
      </c>
      <c r="Q1328" t="s">
        <v>396</v>
      </c>
      <c r="R1328">
        <v>2244667</v>
      </c>
      <c r="S1328" t="s">
        <v>430</v>
      </c>
      <c r="U1328" t="s">
        <v>1916</v>
      </c>
      <c r="V1328" t="s">
        <v>398</v>
      </c>
      <c r="W1328" s="393">
        <v>-100389024.37</v>
      </c>
      <c r="X1328" s="393">
        <v>-28008.54</v>
      </c>
      <c r="Y1328" s="393">
        <v>-236416.15</v>
      </c>
      <c r="Z1328" s="393">
        <v>-100389024.37</v>
      </c>
      <c r="AA1328">
        <v>0</v>
      </c>
      <c r="AB1328" s="400">
        <v>44580.042569872683</v>
      </c>
      <c r="AC1328" t="s">
        <v>437</v>
      </c>
    </row>
    <row r="1329" spans="1:29">
      <c r="A1329" t="s">
        <v>382</v>
      </c>
      <c r="B1329" t="s">
        <v>440</v>
      </c>
      <c r="C1329" t="s">
        <v>425</v>
      </c>
      <c r="D1329" t="s">
        <v>426</v>
      </c>
      <c r="E1329" t="s">
        <v>390</v>
      </c>
      <c r="F1329" t="s">
        <v>391</v>
      </c>
      <c r="G1329">
        <v>6103539</v>
      </c>
      <c r="H1329">
        <v>202112</v>
      </c>
      <c r="I1329" s="400">
        <v>44561</v>
      </c>
      <c r="J1329">
        <v>119010</v>
      </c>
      <c r="K1329" t="s">
        <v>386</v>
      </c>
      <c r="L1329" t="s">
        <v>392</v>
      </c>
      <c r="M1329" t="s">
        <v>393</v>
      </c>
      <c r="O1329" t="s">
        <v>394</v>
      </c>
      <c r="P1329" t="s">
        <v>395</v>
      </c>
      <c r="Q1329" t="s">
        <v>396</v>
      </c>
      <c r="R1329">
        <v>2244667</v>
      </c>
      <c r="S1329" t="s">
        <v>430</v>
      </c>
      <c r="U1329" t="s">
        <v>1917</v>
      </c>
      <c r="V1329" t="s">
        <v>398</v>
      </c>
      <c r="W1329" s="393">
        <v>-165641416.93000001</v>
      </c>
      <c r="X1329" s="393">
        <v>-46213.96</v>
      </c>
      <c r="Y1329" s="393">
        <v>-390085.54</v>
      </c>
      <c r="Z1329" s="393">
        <v>-165641416.93000001</v>
      </c>
      <c r="AA1329">
        <v>0</v>
      </c>
      <c r="AB1329" s="400">
        <v>44580.187755983796</v>
      </c>
      <c r="AC1329" t="s">
        <v>437</v>
      </c>
    </row>
    <row r="1330" spans="1:29">
      <c r="A1330" t="s">
        <v>382</v>
      </c>
      <c r="B1330" t="s">
        <v>440</v>
      </c>
      <c r="C1330" t="s">
        <v>425</v>
      </c>
      <c r="D1330" t="s">
        <v>426</v>
      </c>
      <c r="E1330" t="s">
        <v>390</v>
      </c>
      <c r="F1330" t="s">
        <v>391</v>
      </c>
      <c r="G1330">
        <v>6103540</v>
      </c>
      <c r="H1330">
        <v>202112</v>
      </c>
      <c r="I1330" s="400">
        <v>44561</v>
      </c>
      <c r="J1330">
        <v>119010</v>
      </c>
      <c r="K1330" t="s">
        <v>386</v>
      </c>
      <c r="L1330" t="s">
        <v>392</v>
      </c>
      <c r="M1330" t="s">
        <v>393</v>
      </c>
      <c r="O1330" t="s">
        <v>394</v>
      </c>
      <c r="P1330" t="s">
        <v>395</v>
      </c>
      <c r="Q1330" t="s">
        <v>396</v>
      </c>
      <c r="R1330">
        <v>2244667</v>
      </c>
      <c r="S1330" t="s">
        <v>399</v>
      </c>
      <c r="U1330" t="s">
        <v>1918</v>
      </c>
      <c r="V1330" t="s">
        <v>398</v>
      </c>
      <c r="W1330" s="393">
        <v>37681450.990000002</v>
      </c>
      <c r="X1330" s="393">
        <v>10512.76</v>
      </c>
      <c r="Y1330" s="393">
        <v>88740.25</v>
      </c>
      <c r="Z1330" s="393">
        <v>37681450.990000002</v>
      </c>
      <c r="AA1330">
        <v>0</v>
      </c>
      <c r="AB1330" s="400">
        <v>44580.191163622687</v>
      </c>
      <c r="AC1330" t="s">
        <v>437</v>
      </c>
    </row>
    <row r="1331" spans="1:29">
      <c r="A1331" t="s">
        <v>382</v>
      </c>
      <c r="B1331" t="s">
        <v>440</v>
      </c>
      <c r="C1331" t="s">
        <v>425</v>
      </c>
      <c r="D1331" t="s">
        <v>426</v>
      </c>
      <c r="E1331" t="s">
        <v>390</v>
      </c>
      <c r="F1331" t="s">
        <v>391</v>
      </c>
      <c r="G1331">
        <v>6103527</v>
      </c>
      <c r="H1331">
        <v>202112</v>
      </c>
      <c r="I1331" s="400">
        <v>44561</v>
      </c>
      <c r="J1331">
        <v>119010</v>
      </c>
      <c r="K1331" t="s">
        <v>386</v>
      </c>
      <c r="L1331" t="s">
        <v>399</v>
      </c>
      <c r="M1331" t="s">
        <v>400</v>
      </c>
      <c r="O1331" t="s">
        <v>401</v>
      </c>
      <c r="P1331" t="s">
        <v>402</v>
      </c>
      <c r="Q1331" t="s">
        <v>396</v>
      </c>
      <c r="R1331">
        <v>2244668</v>
      </c>
      <c r="S1331" t="s">
        <v>399</v>
      </c>
      <c r="U1331" t="s">
        <v>1919</v>
      </c>
      <c r="V1331" t="s">
        <v>398</v>
      </c>
      <c r="W1331" s="393">
        <v>-87332160.299999997</v>
      </c>
      <c r="X1331" s="393">
        <v>-21936.09</v>
      </c>
      <c r="Y1331" s="393">
        <v>-193553.39</v>
      </c>
      <c r="Z1331" s="393">
        <v>-87332160.299999997</v>
      </c>
      <c r="AA1331">
        <v>0</v>
      </c>
      <c r="AB1331" s="400">
        <v>44575.749431446762</v>
      </c>
      <c r="AC1331" t="s">
        <v>439</v>
      </c>
    </row>
    <row r="1332" spans="1:29">
      <c r="A1332" t="s">
        <v>382</v>
      </c>
      <c r="B1332" t="s">
        <v>440</v>
      </c>
      <c r="C1332" t="s">
        <v>425</v>
      </c>
      <c r="D1332" t="s">
        <v>426</v>
      </c>
      <c r="E1332" t="s">
        <v>390</v>
      </c>
      <c r="F1332" t="s">
        <v>391</v>
      </c>
      <c r="G1332">
        <v>6103525</v>
      </c>
      <c r="H1332">
        <v>202112</v>
      </c>
      <c r="I1332" s="400">
        <v>44561</v>
      </c>
      <c r="J1332">
        <v>119010</v>
      </c>
      <c r="K1332" t="s">
        <v>386</v>
      </c>
      <c r="L1332" t="s">
        <v>399</v>
      </c>
      <c r="M1332" t="s">
        <v>400</v>
      </c>
      <c r="O1332" t="s">
        <v>401</v>
      </c>
      <c r="P1332" t="s">
        <v>402</v>
      </c>
      <c r="Q1332" t="s">
        <v>396</v>
      </c>
      <c r="R1332">
        <v>2244668</v>
      </c>
      <c r="S1332" t="s">
        <v>399</v>
      </c>
      <c r="U1332" t="s">
        <v>1920</v>
      </c>
      <c r="V1332" t="s">
        <v>398</v>
      </c>
      <c r="W1332" s="393">
        <v>-78198905.629999995</v>
      </c>
      <c r="X1332" s="393">
        <v>-19642</v>
      </c>
      <c r="Y1332" s="393">
        <v>-173311.45</v>
      </c>
      <c r="Z1332" s="393">
        <v>-78198905.629999995</v>
      </c>
      <c r="AA1332">
        <v>0</v>
      </c>
      <c r="AB1332" s="400">
        <v>44574.979683831021</v>
      </c>
      <c r="AC1332" t="s">
        <v>439</v>
      </c>
    </row>
    <row r="1333" spans="1:29">
      <c r="A1333" t="s">
        <v>382</v>
      </c>
      <c r="B1333" t="s">
        <v>440</v>
      </c>
      <c r="C1333" t="s">
        <v>425</v>
      </c>
      <c r="D1333" t="s">
        <v>426</v>
      </c>
      <c r="E1333" t="s">
        <v>390</v>
      </c>
      <c r="F1333" t="s">
        <v>391</v>
      </c>
      <c r="G1333">
        <v>6103328</v>
      </c>
      <c r="H1333">
        <v>202112</v>
      </c>
      <c r="I1333" s="400">
        <v>44551</v>
      </c>
      <c r="J1333">
        <v>119010</v>
      </c>
      <c r="K1333" t="s">
        <v>386</v>
      </c>
      <c r="L1333" t="s">
        <v>399</v>
      </c>
      <c r="M1333" t="s">
        <v>400</v>
      </c>
      <c r="O1333" t="s">
        <v>401</v>
      </c>
      <c r="P1333" t="s">
        <v>402</v>
      </c>
      <c r="Q1333" t="s">
        <v>396</v>
      </c>
      <c r="R1333">
        <v>2244668</v>
      </c>
      <c r="S1333" t="s">
        <v>399</v>
      </c>
      <c r="U1333" t="s">
        <v>1921</v>
      </c>
      <c r="V1333" t="s">
        <v>398</v>
      </c>
      <c r="W1333" s="393">
        <v>-63779772.039999999</v>
      </c>
      <c r="X1333" s="393">
        <v>-15983.85</v>
      </c>
      <c r="Y1333" s="393">
        <v>-144150.57999999999</v>
      </c>
      <c r="Z1333" s="393">
        <v>-63779772.039999999</v>
      </c>
      <c r="AA1333">
        <v>0</v>
      </c>
      <c r="AB1333" s="400">
        <v>44551.904961770837</v>
      </c>
      <c r="AC1333" t="s">
        <v>439</v>
      </c>
    </row>
    <row r="1334" spans="1:29">
      <c r="A1334" t="s">
        <v>382</v>
      </c>
      <c r="B1334" t="s">
        <v>440</v>
      </c>
      <c r="C1334" t="s">
        <v>425</v>
      </c>
      <c r="D1334" t="s">
        <v>426</v>
      </c>
      <c r="E1334" t="s">
        <v>390</v>
      </c>
      <c r="F1334" t="s">
        <v>391</v>
      </c>
      <c r="G1334">
        <v>6103528</v>
      </c>
      <c r="H1334">
        <v>202112</v>
      </c>
      <c r="I1334" s="400">
        <v>44561</v>
      </c>
      <c r="J1334">
        <v>119010</v>
      </c>
      <c r="K1334" t="s">
        <v>386</v>
      </c>
      <c r="L1334" t="s">
        <v>399</v>
      </c>
      <c r="M1334" t="s">
        <v>400</v>
      </c>
      <c r="O1334" t="s">
        <v>401</v>
      </c>
      <c r="P1334" t="s">
        <v>402</v>
      </c>
      <c r="Q1334" t="s">
        <v>396</v>
      </c>
      <c r="R1334">
        <v>2244668</v>
      </c>
      <c r="S1334" t="s">
        <v>399</v>
      </c>
      <c r="U1334" t="s">
        <v>1922</v>
      </c>
      <c r="V1334" t="s">
        <v>398</v>
      </c>
      <c r="W1334" s="393">
        <v>87332160.299999997</v>
      </c>
      <c r="X1334" s="393">
        <v>21936.09</v>
      </c>
      <c r="Y1334" s="393">
        <v>193553.39</v>
      </c>
      <c r="Z1334" s="393">
        <v>87332160.299999997</v>
      </c>
      <c r="AA1334">
        <v>0</v>
      </c>
      <c r="AB1334" s="400">
        <v>44575.96334884259</v>
      </c>
      <c r="AC1334" t="s">
        <v>439</v>
      </c>
    </row>
    <row r="1335" spans="1:29">
      <c r="A1335" t="s">
        <v>382</v>
      </c>
      <c r="B1335" t="s">
        <v>440</v>
      </c>
      <c r="C1335" t="s">
        <v>425</v>
      </c>
      <c r="D1335" t="s">
        <v>426</v>
      </c>
      <c r="E1335" t="s">
        <v>390</v>
      </c>
      <c r="F1335" t="s">
        <v>391</v>
      </c>
      <c r="G1335">
        <v>6103529</v>
      </c>
      <c r="H1335">
        <v>202112</v>
      </c>
      <c r="I1335" s="400">
        <v>44561</v>
      </c>
      <c r="J1335">
        <v>119010</v>
      </c>
      <c r="K1335" t="s">
        <v>386</v>
      </c>
      <c r="L1335" t="s">
        <v>399</v>
      </c>
      <c r="M1335" t="s">
        <v>400</v>
      </c>
      <c r="O1335" t="s">
        <v>401</v>
      </c>
      <c r="P1335" t="s">
        <v>402</v>
      </c>
      <c r="Q1335" t="s">
        <v>396</v>
      </c>
      <c r="R1335">
        <v>2244668</v>
      </c>
      <c r="S1335" t="s">
        <v>399</v>
      </c>
      <c r="U1335" t="s">
        <v>1919</v>
      </c>
      <c r="V1335" t="s">
        <v>398</v>
      </c>
      <c r="W1335" s="393">
        <v>-87332160.299999997</v>
      </c>
      <c r="X1335" s="393">
        <v>-29778.400000000001</v>
      </c>
      <c r="Y1335" s="393">
        <v>-239494.14</v>
      </c>
      <c r="Z1335" s="393">
        <v>-87332160.299999997</v>
      </c>
      <c r="AA1335">
        <v>0</v>
      </c>
      <c r="AB1335" s="400">
        <v>44575.966131331021</v>
      </c>
      <c r="AC1335" t="s">
        <v>439</v>
      </c>
    </row>
    <row r="1336" spans="1:29">
      <c r="A1336" t="s">
        <v>382</v>
      </c>
      <c r="B1336" t="s">
        <v>440</v>
      </c>
      <c r="C1336" t="s">
        <v>425</v>
      </c>
      <c r="D1336" t="s">
        <v>426</v>
      </c>
      <c r="E1336" t="s">
        <v>390</v>
      </c>
      <c r="F1336" t="s">
        <v>391</v>
      </c>
      <c r="G1336">
        <v>6103530</v>
      </c>
      <c r="H1336">
        <v>202112</v>
      </c>
      <c r="I1336" s="400">
        <v>44561</v>
      </c>
      <c r="J1336">
        <v>119010</v>
      </c>
      <c r="K1336" t="s">
        <v>386</v>
      </c>
      <c r="L1336" t="s">
        <v>399</v>
      </c>
      <c r="M1336" t="s">
        <v>400</v>
      </c>
      <c r="O1336" t="s">
        <v>401</v>
      </c>
      <c r="P1336" t="s">
        <v>402</v>
      </c>
      <c r="Q1336" t="s">
        <v>396</v>
      </c>
      <c r="R1336">
        <v>2244668</v>
      </c>
      <c r="S1336" t="s">
        <v>399</v>
      </c>
      <c r="U1336" t="s">
        <v>1923</v>
      </c>
      <c r="V1336" t="s">
        <v>398</v>
      </c>
      <c r="W1336" s="393">
        <v>27083743.559999999</v>
      </c>
      <c r="X1336" s="393">
        <v>7448.03</v>
      </c>
      <c r="Y1336" s="393">
        <v>63728.05</v>
      </c>
      <c r="Z1336" s="393">
        <v>27083743.559999999</v>
      </c>
      <c r="AA1336">
        <v>0</v>
      </c>
      <c r="AB1336" s="400">
        <v>44575.973650266205</v>
      </c>
      <c r="AC1336" t="s">
        <v>439</v>
      </c>
    </row>
    <row r="1337" spans="1:29">
      <c r="A1337" t="s">
        <v>382</v>
      </c>
      <c r="B1337" t="s">
        <v>1214</v>
      </c>
      <c r="C1337" t="s">
        <v>1924</v>
      </c>
      <c r="D1337" t="s">
        <v>1925</v>
      </c>
      <c r="E1337" t="s">
        <v>390</v>
      </c>
      <c r="F1337" t="s">
        <v>391</v>
      </c>
      <c r="G1337">
        <v>6103544</v>
      </c>
      <c r="H1337">
        <v>202112</v>
      </c>
      <c r="I1337" s="400">
        <v>44561</v>
      </c>
      <c r="J1337">
        <v>119010</v>
      </c>
      <c r="K1337" t="s">
        <v>386</v>
      </c>
      <c r="L1337" t="s">
        <v>1926</v>
      </c>
      <c r="M1337" t="s">
        <v>1927</v>
      </c>
      <c r="O1337" t="s">
        <v>1928</v>
      </c>
      <c r="P1337" t="s">
        <v>1929</v>
      </c>
      <c r="Q1337" t="s">
        <v>450</v>
      </c>
      <c r="R1337">
        <v>2557530</v>
      </c>
      <c r="S1337" t="s">
        <v>387</v>
      </c>
      <c r="U1337" t="s">
        <v>1930</v>
      </c>
      <c r="V1337" t="s">
        <v>398</v>
      </c>
      <c r="W1337" s="393">
        <v>66500</v>
      </c>
      <c r="X1337" s="393">
        <v>16.63</v>
      </c>
      <c r="Y1337" s="393">
        <v>149.66</v>
      </c>
      <c r="Z1337" s="393">
        <v>66500</v>
      </c>
      <c r="AA1337">
        <v>0</v>
      </c>
      <c r="AB1337" s="400">
        <v>44581.051366122687</v>
      </c>
      <c r="AC1337" t="s">
        <v>324</v>
      </c>
    </row>
    <row r="1338" spans="1:29">
      <c r="A1338" t="s">
        <v>382</v>
      </c>
      <c r="B1338" t="s">
        <v>1214</v>
      </c>
      <c r="C1338" t="s">
        <v>1924</v>
      </c>
      <c r="D1338" t="s">
        <v>1925</v>
      </c>
      <c r="E1338" t="s">
        <v>390</v>
      </c>
      <c r="F1338" t="s">
        <v>391</v>
      </c>
      <c r="G1338">
        <v>6103544</v>
      </c>
      <c r="H1338">
        <v>202112</v>
      </c>
      <c r="I1338" s="400">
        <v>44561</v>
      </c>
      <c r="J1338">
        <v>119010</v>
      </c>
      <c r="K1338" t="s">
        <v>386</v>
      </c>
      <c r="L1338" t="s">
        <v>1931</v>
      </c>
      <c r="M1338" t="s">
        <v>1927</v>
      </c>
      <c r="O1338" t="s">
        <v>1928</v>
      </c>
      <c r="P1338" t="s">
        <v>1929</v>
      </c>
      <c r="Q1338" t="s">
        <v>450</v>
      </c>
      <c r="R1338">
        <v>2557530</v>
      </c>
      <c r="S1338" t="s">
        <v>387</v>
      </c>
      <c r="U1338" t="s">
        <v>1930</v>
      </c>
      <c r="V1338" t="s">
        <v>398</v>
      </c>
      <c r="W1338" s="393">
        <v>66500</v>
      </c>
      <c r="X1338" s="393">
        <v>16.63</v>
      </c>
      <c r="Y1338" s="393">
        <v>149.66</v>
      </c>
      <c r="Z1338" s="393">
        <v>66500</v>
      </c>
      <c r="AA1338">
        <v>0</v>
      </c>
      <c r="AB1338" s="400">
        <v>44581.051366122687</v>
      </c>
      <c r="AC1338" t="s">
        <v>324</v>
      </c>
    </row>
    <row r="1339" spans="1:29">
      <c r="A1339" t="s">
        <v>382</v>
      </c>
      <c r="B1339" t="s">
        <v>1214</v>
      </c>
      <c r="C1339" t="s">
        <v>1924</v>
      </c>
      <c r="D1339" t="s">
        <v>1925</v>
      </c>
      <c r="E1339" t="s">
        <v>390</v>
      </c>
      <c r="F1339" t="s">
        <v>391</v>
      </c>
      <c r="G1339">
        <v>6103544</v>
      </c>
      <c r="H1339">
        <v>202112</v>
      </c>
      <c r="I1339" s="400">
        <v>44561</v>
      </c>
      <c r="J1339">
        <v>119010</v>
      </c>
      <c r="K1339" t="s">
        <v>386</v>
      </c>
      <c r="L1339" t="s">
        <v>1932</v>
      </c>
      <c r="M1339" t="s">
        <v>1927</v>
      </c>
      <c r="O1339" t="s">
        <v>1928</v>
      </c>
      <c r="P1339" t="s">
        <v>1929</v>
      </c>
      <c r="Q1339" t="s">
        <v>450</v>
      </c>
      <c r="R1339">
        <v>2557530</v>
      </c>
      <c r="S1339" t="s">
        <v>387</v>
      </c>
      <c r="U1339" t="s">
        <v>1930</v>
      </c>
      <c r="V1339" t="s">
        <v>398</v>
      </c>
      <c r="W1339" s="393">
        <v>66500</v>
      </c>
      <c r="X1339" s="393">
        <v>16.63</v>
      </c>
      <c r="Y1339" s="393">
        <v>149.66</v>
      </c>
      <c r="Z1339" s="393">
        <v>66500</v>
      </c>
      <c r="AA1339">
        <v>0</v>
      </c>
      <c r="AB1339" s="400">
        <v>44581.051366122687</v>
      </c>
      <c r="AC1339" t="s">
        <v>324</v>
      </c>
    </row>
    <row r="1340" spans="1:29">
      <c r="A1340" t="s">
        <v>382</v>
      </c>
      <c r="B1340" t="s">
        <v>1214</v>
      </c>
      <c r="C1340" t="s">
        <v>1924</v>
      </c>
      <c r="D1340" t="s">
        <v>1925</v>
      </c>
      <c r="E1340" t="s">
        <v>390</v>
      </c>
      <c r="F1340" t="s">
        <v>391</v>
      </c>
      <c r="G1340">
        <v>6103544</v>
      </c>
      <c r="H1340">
        <v>202112</v>
      </c>
      <c r="I1340" s="400">
        <v>44561</v>
      </c>
      <c r="J1340">
        <v>119010</v>
      </c>
      <c r="K1340" t="s">
        <v>386</v>
      </c>
      <c r="L1340" t="s">
        <v>1933</v>
      </c>
      <c r="M1340" t="s">
        <v>1927</v>
      </c>
      <c r="O1340" t="s">
        <v>1928</v>
      </c>
      <c r="P1340" t="s">
        <v>1929</v>
      </c>
      <c r="Q1340" t="s">
        <v>450</v>
      </c>
      <c r="R1340">
        <v>2557530</v>
      </c>
      <c r="S1340" t="s">
        <v>387</v>
      </c>
      <c r="U1340" t="s">
        <v>1930</v>
      </c>
      <c r="V1340" t="s">
        <v>398</v>
      </c>
      <c r="W1340" s="393">
        <v>66500</v>
      </c>
      <c r="X1340" s="393">
        <v>16.63</v>
      </c>
      <c r="Y1340" s="393">
        <v>149.66</v>
      </c>
      <c r="Z1340" s="393">
        <v>66500</v>
      </c>
      <c r="AA1340">
        <v>0</v>
      </c>
      <c r="AB1340" s="400">
        <v>44581.051366122687</v>
      </c>
      <c r="AC1340" t="s">
        <v>324</v>
      </c>
    </row>
    <row r="1341" spans="1:29">
      <c r="A1341" t="s">
        <v>382</v>
      </c>
      <c r="B1341" t="s">
        <v>1214</v>
      </c>
      <c r="C1341" t="s">
        <v>1924</v>
      </c>
      <c r="D1341" t="s">
        <v>1925</v>
      </c>
      <c r="E1341" t="s">
        <v>390</v>
      </c>
      <c r="F1341" t="s">
        <v>391</v>
      </c>
      <c r="G1341">
        <v>6103544</v>
      </c>
      <c r="H1341">
        <v>202112</v>
      </c>
      <c r="I1341" s="400">
        <v>44561</v>
      </c>
      <c r="J1341">
        <v>119010</v>
      </c>
      <c r="K1341" t="s">
        <v>386</v>
      </c>
      <c r="L1341" t="s">
        <v>1934</v>
      </c>
      <c r="M1341" t="s">
        <v>1927</v>
      </c>
      <c r="O1341" t="s">
        <v>1928</v>
      </c>
      <c r="P1341" t="s">
        <v>1929</v>
      </c>
      <c r="Q1341" t="s">
        <v>450</v>
      </c>
      <c r="R1341">
        <v>2557530</v>
      </c>
      <c r="S1341" t="s">
        <v>387</v>
      </c>
      <c r="U1341" t="s">
        <v>1930</v>
      </c>
      <c r="V1341" t="s">
        <v>398</v>
      </c>
      <c r="W1341" s="393">
        <v>66500</v>
      </c>
      <c r="X1341" s="393">
        <v>16.63</v>
      </c>
      <c r="Y1341" s="393">
        <v>149.66</v>
      </c>
      <c r="Z1341" s="393">
        <v>66500</v>
      </c>
      <c r="AA1341">
        <v>0</v>
      </c>
      <c r="AB1341" s="400">
        <v>44581.051366122687</v>
      </c>
      <c r="AC1341" t="s">
        <v>324</v>
      </c>
    </row>
    <row r="1342" spans="1:29">
      <c r="A1342" t="s">
        <v>382</v>
      </c>
      <c r="B1342" t="s">
        <v>1214</v>
      </c>
      <c r="C1342" t="s">
        <v>1924</v>
      </c>
      <c r="D1342" t="s">
        <v>1925</v>
      </c>
      <c r="E1342" t="s">
        <v>390</v>
      </c>
      <c r="F1342" t="s">
        <v>391</v>
      </c>
      <c r="G1342">
        <v>6103544</v>
      </c>
      <c r="H1342">
        <v>202112</v>
      </c>
      <c r="I1342" s="400">
        <v>44561</v>
      </c>
      <c r="J1342">
        <v>119010</v>
      </c>
      <c r="K1342" t="s">
        <v>386</v>
      </c>
      <c r="L1342" t="s">
        <v>1935</v>
      </c>
      <c r="M1342" t="s">
        <v>1927</v>
      </c>
      <c r="O1342" t="s">
        <v>1928</v>
      </c>
      <c r="P1342" t="s">
        <v>1929</v>
      </c>
      <c r="Q1342" t="s">
        <v>450</v>
      </c>
      <c r="R1342">
        <v>2557530</v>
      </c>
      <c r="S1342" t="s">
        <v>387</v>
      </c>
      <c r="U1342" t="s">
        <v>1930</v>
      </c>
      <c r="V1342" t="s">
        <v>398</v>
      </c>
      <c r="W1342" s="393">
        <v>66500</v>
      </c>
      <c r="X1342" s="393">
        <v>16.63</v>
      </c>
      <c r="Y1342" s="393">
        <v>149.66</v>
      </c>
      <c r="Z1342" s="393">
        <v>66500</v>
      </c>
      <c r="AA1342">
        <v>0</v>
      </c>
      <c r="AB1342" s="400">
        <v>44581.051366122687</v>
      </c>
      <c r="AC1342" t="s">
        <v>324</v>
      </c>
    </row>
    <row r="1343" spans="1:29">
      <c r="A1343" t="s">
        <v>382</v>
      </c>
      <c r="B1343" t="s">
        <v>1214</v>
      </c>
      <c r="C1343" t="s">
        <v>1924</v>
      </c>
      <c r="D1343" t="s">
        <v>1925</v>
      </c>
      <c r="E1343" t="s">
        <v>390</v>
      </c>
      <c r="F1343" t="s">
        <v>391</v>
      </c>
      <c r="G1343">
        <v>6103544</v>
      </c>
      <c r="H1343">
        <v>202112</v>
      </c>
      <c r="I1343" s="400">
        <v>44561</v>
      </c>
      <c r="J1343">
        <v>119010</v>
      </c>
      <c r="K1343" t="s">
        <v>386</v>
      </c>
      <c r="L1343" t="s">
        <v>1936</v>
      </c>
      <c r="M1343" t="s">
        <v>1937</v>
      </c>
      <c r="O1343" t="s">
        <v>1928</v>
      </c>
      <c r="P1343" t="s">
        <v>1929</v>
      </c>
      <c r="Q1343" t="s">
        <v>450</v>
      </c>
      <c r="R1343">
        <v>2557530</v>
      </c>
      <c r="S1343" t="s">
        <v>387</v>
      </c>
      <c r="U1343" t="s">
        <v>1938</v>
      </c>
      <c r="V1343" t="s">
        <v>398</v>
      </c>
      <c r="W1343" s="393">
        <v>355656</v>
      </c>
      <c r="X1343" s="393">
        <v>88.96</v>
      </c>
      <c r="Y1343" s="393">
        <v>800.41</v>
      </c>
      <c r="Z1343" s="393">
        <v>355656</v>
      </c>
      <c r="AA1343">
        <v>0</v>
      </c>
      <c r="AB1343" s="400">
        <v>44581.051366122687</v>
      </c>
      <c r="AC1343" t="s">
        <v>324</v>
      </c>
    </row>
    <row r="1344" spans="1:29">
      <c r="A1344" t="s">
        <v>382</v>
      </c>
      <c r="B1344" t="s">
        <v>1214</v>
      </c>
      <c r="C1344" t="s">
        <v>1924</v>
      </c>
      <c r="D1344" t="s">
        <v>1925</v>
      </c>
      <c r="E1344" t="s">
        <v>390</v>
      </c>
      <c r="F1344" t="s">
        <v>391</v>
      </c>
      <c r="G1344">
        <v>6103544</v>
      </c>
      <c r="H1344">
        <v>202112</v>
      </c>
      <c r="I1344" s="400">
        <v>44561</v>
      </c>
      <c r="J1344">
        <v>119010</v>
      </c>
      <c r="K1344" t="s">
        <v>386</v>
      </c>
      <c r="L1344" t="s">
        <v>1939</v>
      </c>
      <c r="M1344" t="s">
        <v>1937</v>
      </c>
      <c r="O1344" t="s">
        <v>1928</v>
      </c>
      <c r="P1344" t="s">
        <v>1929</v>
      </c>
      <c r="Q1344" t="s">
        <v>450</v>
      </c>
      <c r="R1344">
        <v>2557530</v>
      </c>
      <c r="S1344" t="s">
        <v>387</v>
      </c>
      <c r="U1344" t="s">
        <v>1938</v>
      </c>
      <c r="V1344" t="s">
        <v>398</v>
      </c>
      <c r="W1344" s="393">
        <v>355657</v>
      </c>
      <c r="X1344" s="393">
        <v>88.96</v>
      </c>
      <c r="Y1344" s="393">
        <v>800.42</v>
      </c>
      <c r="Z1344" s="393">
        <v>355657</v>
      </c>
      <c r="AA1344">
        <v>0</v>
      </c>
      <c r="AB1344" s="400">
        <v>44581.051366122687</v>
      </c>
      <c r="AC1344" t="s">
        <v>324</v>
      </c>
    </row>
    <row r="1345" spans="1:29">
      <c r="A1345" t="s">
        <v>382</v>
      </c>
      <c r="B1345" t="s">
        <v>1214</v>
      </c>
      <c r="C1345" t="s">
        <v>1924</v>
      </c>
      <c r="D1345" t="s">
        <v>1940</v>
      </c>
      <c r="E1345" t="s">
        <v>390</v>
      </c>
      <c r="F1345" t="s">
        <v>391</v>
      </c>
      <c r="G1345">
        <v>6103544</v>
      </c>
      <c r="H1345">
        <v>202112</v>
      </c>
      <c r="I1345" s="400">
        <v>44561</v>
      </c>
      <c r="J1345">
        <v>119010</v>
      </c>
      <c r="K1345" t="s">
        <v>386</v>
      </c>
      <c r="L1345" t="s">
        <v>1926</v>
      </c>
      <c r="M1345" t="s">
        <v>1927</v>
      </c>
      <c r="O1345" t="s">
        <v>1928</v>
      </c>
      <c r="P1345" t="s">
        <v>1929</v>
      </c>
      <c r="Q1345" t="s">
        <v>450</v>
      </c>
      <c r="R1345">
        <v>2557530</v>
      </c>
      <c r="S1345" t="s">
        <v>387</v>
      </c>
      <c r="U1345" t="s">
        <v>1930</v>
      </c>
      <c r="V1345" t="s">
        <v>398</v>
      </c>
      <c r="W1345" s="393">
        <v>350000</v>
      </c>
      <c r="X1345" s="393">
        <v>87.55</v>
      </c>
      <c r="Y1345" s="393">
        <v>787.69</v>
      </c>
      <c r="Z1345" s="393">
        <v>350000</v>
      </c>
      <c r="AA1345">
        <v>0</v>
      </c>
      <c r="AB1345" s="400">
        <v>44581.051366122687</v>
      </c>
      <c r="AC1345" t="s">
        <v>324</v>
      </c>
    </row>
    <row r="1346" spans="1:29">
      <c r="A1346" t="s">
        <v>382</v>
      </c>
      <c r="B1346" t="s">
        <v>1214</v>
      </c>
      <c r="C1346" t="s">
        <v>1924</v>
      </c>
      <c r="D1346" t="s">
        <v>1940</v>
      </c>
      <c r="E1346" t="s">
        <v>390</v>
      </c>
      <c r="F1346" t="s">
        <v>391</v>
      </c>
      <c r="G1346">
        <v>6103544</v>
      </c>
      <c r="H1346">
        <v>202112</v>
      </c>
      <c r="I1346" s="400">
        <v>44561</v>
      </c>
      <c r="J1346">
        <v>119010</v>
      </c>
      <c r="K1346" t="s">
        <v>386</v>
      </c>
      <c r="L1346" t="s">
        <v>1931</v>
      </c>
      <c r="M1346" t="s">
        <v>1927</v>
      </c>
      <c r="O1346" t="s">
        <v>1928</v>
      </c>
      <c r="P1346" t="s">
        <v>1929</v>
      </c>
      <c r="Q1346" t="s">
        <v>450</v>
      </c>
      <c r="R1346">
        <v>2557530</v>
      </c>
      <c r="S1346" t="s">
        <v>387</v>
      </c>
      <c r="U1346" t="s">
        <v>1930</v>
      </c>
      <c r="V1346" t="s">
        <v>398</v>
      </c>
      <c r="W1346" s="393">
        <v>350000</v>
      </c>
      <c r="X1346" s="393">
        <v>87.55</v>
      </c>
      <c r="Y1346" s="393">
        <v>787.69</v>
      </c>
      <c r="Z1346" s="393">
        <v>350000</v>
      </c>
      <c r="AA1346">
        <v>0</v>
      </c>
      <c r="AB1346" s="400">
        <v>44581.051366122687</v>
      </c>
      <c r="AC1346" t="s">
        <v>324</v>
      </c>
    </row>
    <row r="1347" spans="1:29">
      <c r="A1347" t="s">
        <v>382</v>
      </c>
      <c r="B1347" t="s">
        <v>1214</v>
      </c>
      <c r="C1347" t="s">
        <v>1924</v>
      </c>
      <c r="D1347" t="s">
        <v>1940</v>
      </c>
      <c r="E1347" t="s">
        <v>390</v>
      </c>
      <c r="F1347" t="s">
        <v>391</v>
      </c>
      <c r="G1347">
        <v>6103544</v>
      </c>
      <c r="H1347">
        <v>202112</v>
      </c>
      <c r="I1347" s="400">
        <v>44561</v>
      </c>
      <c r="J1347">
        <v>119010</v>
      </c>
      <c r="K1347" t="s">
        <v>386</v>
      </c>
      <c r="L1347" t="s">
        <v>1932</v>
      </c>
      <c r="M1347" t="s">
        <v>1927</v>
      </c>
      <c r="O1347" t="s">
        <v>1928</v>
      </c>
      <c r="P1347" t="s">
        <v>1929</v>
      </c>
      <c r="Q1347" t="s">
        <v>450</v>
      </c>
      <c r="R1347">
        <v>2557530</v>
      </c>
      <c r="S1347" t="s">
        <v>387</v>
      </c>
      <c r="U1347" t="s">
        <v>1930</v>
      </c>
      <c r="V1347" t="s">
        <v>398</v>
      </c>
      <c r="W1347" s="393">
        <v>350000</v>
      </c>
      <c r="X1347" s="393">
        <v>87.55</v>
      </c>
      <c r="Y1347" s="393">
        <v>787.69</v>
      </c>
      <c r="Z1347" s="393">
        <v>350000</v>
      </c>
      <c r="AA1347">
        <v>0</v>
      </c>
      <c r="AB1347" s="400">
        <v>44581.051366122687</v>
      </c>
      <c r="AC1347" t="s">
        <v>324</v>
      </c>
    </row>
    <row r="1348" spans="1:29">
      <c r="A1348" t="s">
        <v>382</v>
      </c>
      <c r="B1348" t="s">
        <v>1214</v>
      </c>
      <c r="C1348" t="s">
        <v>1924</v>
      </c>
      <c r="D1348" t="s">
        <v>1940</v>
      </c>
      <c r="E1348" t="s">
        <v>390</v>
      </c>
      <c r="F1348" t="s">
        <v>391</v>
      </c>
      <c r="G1348">
        <v>6103544</v>
      </c>
      <c r="H1348">
        <v>202112</v>
      </c>
      <c r="I1348" s="400">
        <v>44561</v>
      </c>
      <c r="J1348">
        <v>119010</v>
      </c>
      <c r="K1348" t="s">
        <v>386</v>
      </c>
      <c r="L1348" t="s">
        <v>1933</v>
      </c>
      <c r="M1348" t="s">
        <v>1927</v>
      </c>
      <c r="O1348" t="s">
        <v>1928</v>
      </c>
      <c r="P1348" t="s">
        <v>1929</v>
      </c>
      <c r="Q1348" t="s">
        <v>450</v>
      </c>
      <c r="R1348">
        <v>2557530</v>
      </c>
      <c r="S1348" t="s">
        <v>387</v>
      </c>
      <c r="U1348" t="s">
        <v>1930</v>
      </c>
      <c r="V1348" t="s">
        <v>398</v>
      </c>
      <c r="W1348" s="393">
        <v>350000</v>
      </c>
      <c r="X1348" s="393">
        <v>87.55</v>
      </c>
      <c r="Y1348" s="393">
        <v>787.69</v>
      </c>
      <c r="Z1348" s="393">
        <v>350000</v>
      </c>
      <c r="AA1348">
        <v>0</v>
      </c>
      <c r="AB1348" s="400">
        <v>44581.051366122687</v>
      </c>
      <c r="AC1348" t="s">
        <v>324</v>
      </c>
    </row>
    <row r="1349" spans="1:29">
      <c r="A1349" t="s">
        <v>382</v>
      </c>
      <c r="B1349" t="s">
        <v>1214</v>
      </c>
      <c r="C1349" t="s">
        <v>1924</v>
      </c>
      <c r="D1349" t="s">
        <v>1940</v>
      </c>
      <c r="E1349" t="s">
        <v>390</v>
      </c>
      <c r="F1349" t="s">
        <v>391</v>
      </c>
      <c r="G1349">
        <v>6103544</v>
      </c>
      <c r="H1349">
        <v>202112</v>
      </c>
      <c r="I1349" s="400">
        <v>44561</v>
      </c>
      <c r="J1349">
        <v>119010</v>
      </c>
      <c r="K1349" t="s">
        <v>386</v>
      </c>
      <c r="L1349" t="s">
        <v>1934</v>
      </c>
      <c r="M1349" t="s">
        <v>1927</v>
      </c>
      <c r="O1349" t="s">
        <v>1928</v>
      </c>
      <c r="P1349" t="s">
        <v>1929</v>
      </c>
      <c r="Q1349" t="s">
        <v>450</v>
      </c>
      <c r="R1349">
        <v>2557530</v>
      </c>
      <c r="S1349" t="s">
        <v>387</v>
      </c>
      <c r="U1349" t="s">
        <v>1930</v>
      </c>
      <c r="V1349" t="s">
        <v>398</v>
      </c>
      <c r="W1349" s="393">
        <v>350000</v>
      </c>
      <c r="X1349" s="393">
        <v>87.55</v>
      </c>
      <c r="Y1349" s="393">
        <v>787.69</v>
      </c>
      <c r="Z1349" s="393">
        <v>350000</v>
      </c>
      <c r="AA1349">
        <v>0</v>
      </c>
      <c r="AB1349" s="400">
        <v>44581.051366122687</v>
      </c>
      <c r="AC1349" t="s">
        <v>324</v>
      </c>
    </row>
    <row r="1350" spans="1:29">
      <c r="A1350" t="s">
        <v>382</v>
      </c>
      <c r="B1350" t="s">
        <v>1214</v>
      </c>
      <c r="C1350" t="s">
        <v>1924</v>
      </c>
      <c r="D1350" t="s">
        <v>1940</v>
      </c>
      <c r="E1350" t="s">
        <v>390</v>
      </c>
      <c r="F1350" t="s">
        <v>391</v>
      </c>
      <c r="G1350">
        <v>6103544</v>
      </c>
      <c r="H1350">
        <v>202112</v>
      </c>
      <c r="I1350" s="400">
        <v>44561</v>
      </c>
      <c r="J1350">
        <v>119010</v>
      </c>
      <c r="K1350" t="s">
        <v>386</v>
      </c>
      <c r="L1350" t="s">
        <v>1935</v>
      </c>
      <c r="M1350" t="s">
        <v>1927</v>
      </c>
      <c r="O1350" t="s">
        <v>1928</v>
      </c>
      <c r="P1350" t="s">
        <v>1929</v>
      </c>
      <c r="Q1350" t="s">
        <v>450</v>
      </c>
      <c r="R1350">
        <v>2557530</v>
      </c>
      <c r="S1350" t="s">
        <v>387</v>
      </c>
      <c r="U1350" t="s">
        <v>1930</v>
      </c>
      <c r="V1350" t="s">
        <v>398</v>
      </c>
      <c r="W1350" s="393">
        <v>350000</v>
      </c>
      <c r="X1350" s="393">
        <v>87.55</v>
      </c>
      <c r="Y1350" s="393">
        <v>787.69</v>
      </c>
      <c r="Z1350" s="393">
        <v>350000</v>
      </c>
      <c r="AA1350">
        <v>0</v>
      </c>
      <c r="AB1350" s="400">
        <v>44581.051366122687</v>
      </c>
      <c r="AC1350" t="s">
        <v>324</v>
      </c>
    </row>
    <row r="1351" spans="1:29">
      <c r="A1351" t="s">
        <v>382</v>
      </c>
      <c r="B1351" t="s">
        <v>1214</v>
      </c>
      <c r="C1351" t="s">
        <v>1924</v>
      </c>
      <c r="D1351" t="s">
        <v>1940</v>
      </c>
      <c r="E1351" t="s">
        <v>390</v>
      </c>
      <c r="F1351" t="s">
        <v>391</v>
      </c>
      <c r="G1351">
        <v>6103544</v>
      </c>
      <c r="H1351">
        <v>202112</v>
      </c>
      <c r="I1351" s="400">
        <v>44561</v>
      </c>
      <c r="J1351">
        <v>119010</v>
      </c>
      <c r="K1351" t="s">
        <v>386</v>
      </c>
      <c r="L1351" t="s">
        <v>1936</v>
      </c>
      <c r="M1351" t="s">
        <v>1937</v>
      </c>
      <c r="O1351" t="s">
        <v>1928</v>
      </c>
      <c r="P1351" t="s">
        <v>1929</v>
      </c>
      <c r="Q1351" t="s">
        <v>450</v>
      </c>
      <c r="R1351">
        <v>2557530</v>
      </c>
      <c r="S1351" t="s">
        <v>387</v>
      </c>
      <c r="U1351" t="s">
        <v>1938</v>
      </c>
      <c r="V1351" t="s">
        <v>398</v>
      </c>
      <c r="W1351" s="393">
        <v>1870000</v>
      </c>
      <c r="X1351" s="393">
        <v>467.76</v>
      </c>
      <c r="Y1351" s="393">
        <v>4208.49</v>
      </c>
      <c r="Z1351" s="393">
        <v>1870000</v>
      </c>
      <c r="AA1351">
        <v>0</v>
      </c>
      <c r="AB1351" s="400">
        <v>44581.051366122687</v>
      </c>
      <c r="AC1351" t="s">
        <v>324</v>
      </c>
    </row>
    <row r="1352" spans="1:29">
      <c r="A1352" t="s">
        <v>382</v>
      </c>
      <c r="B1352" t="s">
        <v>1214</v>
      </c>
      <c r="C1352" t="s">
        <v>1924</v>
      </c>
      <c r="D1352" t="s">
        <v>1940</v>
      </c>
      <c r="E1352" t="s">
        <v>390</v>
      </c>
      <c r="F1352" t="s">
        <v>391</v>
      </c>
      <c r="G1352">
        <v>6103544</v>
      </c>
      <c r="H1352">
        <v>202112</v>
      </c>
      <c r="I1352" s="400">
        <v>44561</v>
      </c>
      <c r="J1352">
        <v>119010</v>
      </c>
      <c r="K1352" t="s">
        <v>386</v>
      </c>
      <c r="L1352" t="s">
        <v>1939</v>
      </c>
      <c r="M1352" t="s">
        <v>1937</v>
      </c>
      <c r="O1352" t="s">
        <v>1928</v>
      </c>
      <c r="P1352" t="s">
        <v>1929</v>
      </c>
      <c r="Q1352" t="s">
        <v>450</v>
      </c>
      <c r="R1352">
        <v>2557530</v>
      </c>
      <c r="S1352" t="s">
        <v>387</v>
      </c>
      <c r="U1352" t="s">
        <v>1938</v>
      </c>
      <c r="V1352" t="s">
        <v>398</v>
      </c>
      <c r="W1352" s="393">
        <v>1870000</v>
      </c>
      <c r="X1352" s="393">
        <v>467.76</v>
      </c>
      <c r="Y1352" s="393">
        <v>4208.49</v>
      </c>
      <c r="Z1352" s="393">
        <v>1870000</v>
      </c>
      <c r="AA1352">
        <v>0</v>
      </c>
      <c r="AB1352" s="400">
        <v>44581.051366122687</v>
      </c>
      <c r="AC1352" t="s">
        <v>324</v>
      </c>
    </row>
    <row r="1353" spans="1:29">
      <c r="A1353" t="s">
        <v>382</v>
      </c>
      <c r="B1353" t="s">
        <v>440</v>
      </c>
      <c r="C1353" t="s">
        <v>1941</v>
      </c>
      <c r="D1353" t="s">
        <v>1942</v>
      </c>
      <c r="E1353" t="s">
        <v>390</v>
      </c>
      <c r="F1353" t="s">
        <v>391</v>
      </c>
      <c r="G1353">
        <v>6103033</v>
      </c>
      <c r="H1353">
        <v>202111</v>
      </c>
      <c r="I1353" s="400">
        <v>44530</v>
      </c>
      <c r="J1353" t="s">
        <v>452</v>
      </c>
      <c r="K1353" t="s">
        <v>386</v>
      </c>
      <c r="L1353" t="s">
        <v>1943</v>
      </c>
      <c r="M1353" t="s">
        <v>447</v>
      </c>
      <c r="O1353" t="s">
        <v>448</v>
      </c>
      <c r="P1353" t="s">
        <v>449</v>
      </c>
      <c r="Q1353" t="s">
        <v>450</v>
      </c>
      <c r="R1353">
        <v>2069135</v>
      </c>
      <c r="S1353" t="s">
        <v>387</v>
      </c>
      <c r="U1353" t="s">
        <v>1944</v>
      </c>
      <c r="V1353" t="s">
        <v>398</v>
      </c>
      <c r="W1353" s="393">
        <v>43700</v>
      </c>
      <c r="X1353" s="393">
        <v>11.01</v>
      </c>
      <c r="Y1353" s="393">
        <v>95.19</v>
      </c>
      <c r="Z1353" s="393">
        <v>43700</v>
      </c>
      <c r="AA1353">
        <v>0</v>
      </c>
      <c r="AB1353" s="400">
        <v>44531.985123032406</v>
      </c>
      <c r="AC1353" t="s">
        <v>324</v>
      </c>
    </row>
    <row r="1354" spans="1:29">
      <c r="A1354" t="s">
        <v>382</v>
      </c>
      <c r="B1354" t="s">
        <v>440</v>
      </c>
      <c r="C1354" t="s">
        <v>1941</v>
      </c>
      <c r="D1354" t="s">
        <v>1942</v>
      </c>
      <c r="E1354" t="s">
        <v>390</v>
      </c>
      <c r="F1354" t="s">
        <v>391</v>
      </c>
      <c r="G1354">
        <v>6103110</v>
      </c>
      <c r="H1354">
        <v>202111</v>
      </c>
      <c r="I1354" s="400">
        <v>44530</v>
      </c>
      <c r="J1354" t="s">
        <v>452</v>
      </c>
      <c r="K1354" t="s">
        <v>386</v>
      </c>
      <c r="L1354" t="s">
        <v>1943</v>
      </c>
      <c r="M1354" t="s">
        <v>447</v>
      </c>
      <c r="O1354" t="s">
        <v>448</v>
      </c>
      <c r="P1354" t="s">
        <v>449</v>
      </c>
      <c r="Q1354" t="s">
        <v>450</v>
      </c>
      <c r="R1354">
        <v>2069135</v>
      </c>
      <c r="S1354" t="s">
        <v>1945</v>
      </c>
      <c r="U1354" t="s">
        <v>1946</v>
      </c>
      <c r="V1354" t="s">
        <v>398</v>
      </c>
      <c r="W1354" s="393">
        <v>-43700</v>
      </c>
      <c r="X1354" s="393">
        <v>-11.01</v>
      </c>
      <c r="Y1354" s="393">
        <v>-95.19</v>
      </c>
      <c r="Z1354" s="393">
        <v>-43700</v>
      </c>
      <c r="AA1354">
        <v>0</v>
      </c>
      <c r="AB1354" s="400">
        <v>44533.058913194443</v>
      </c>
      <c r="AC1354" t="s">
        <v>324</v>
      </c>
    </row>
    <row r="1355" spans="1:29">
      <c r="A1355" t="s">
        <v>382</v>
      </c>
      <c r="B1355" t="s">
        <v>440</v>
      </c>
      <c r="C1355" t="s">
        <v>1941</v>
      </c>
      <c r="D1355" t="s">
        <v>1942</v>
      </c>
      <c r="E1355" t="s">
        <v>390</v>
      </c>
      <c r="F1355" t="s">
        <v>391</v>
      </c>
      <c r="G1355">
        <v>6103110</v>
      </c>
      <c r="H1355">
        <v>202111</v>
      </c>
      <c r="I1355" s="400">
        <v>44530</v>
      </c>
      <c r="J1355" t="s">
        <v>452</v>
      </c>
      <c r="K1355" t="s">
        <v>386</v>
      </c>
      <c r="L1355" t="s">
        <v>1947</v>
      </c>
      <c r="M1355" t="s">
        <v>447</v>
      </c>
      <c r="O1355" t="s">
        <v>448</v>
      </c>
      <c r="P1355" t="s">
        <v>449</v>
      </c>
      <c r="Q1355" t="s">
        <v>450</v>
      </c>
      <c r="R1355">
        <v>2069135</v>
      </c>
      <c r="S1355" t="s">
        <v>1945</v>
      </c>
      <c r="U1355" t="s">
        <v>1948</v>
      </c>
      <c r="V1355" t="s">
        <v>398</v>
      </c>
      <c r="W1355" s="393">
        <v>-43700</v>
      </c>
      <c r="X1355" s="393">
        <v>-11.01</v>
      </c>
      <c r="Y1355" s="393">
        <v>-95.19</v>
      </c>
      <c r="Z1355" s="393">
        <v>-43700</v>
      </c>
      <c r="AA1355">
        <v>0</v>
      </c>
      <c r="AB1355" s="400">
        <v>44533.058913194443</v>
      </c>
      <c r="AC1355" t="s">
        <v>324</v>
      </c>
    </row>
    <row r="1356" spans="1:29">
      <c r="A1356" t="s">
        <v>382</v>
      </c>
      <c r="B1356" t="s">
        <v>440</v>
      </c>
      <c r="C1356" t="s">
        <v>1941</v>
      </c>
      <c r="D1356" t="s">
        <v>1942</v>
      </c>
      <c r="E1356" t="s">
        <v>390</v>
      </c>
      <c r="F1356" t="s">
        <v>391</v>
      </c>
      <c r="G1356">
        <v>6103033</v>
      </c>
      <c r="H1356">
        <v>202111</v>
      </c>
      <c r="I1356" s="400">
        <v>44530</v>
      </c>
      <c r="J1356" t="s">
        <v>452</v>
      </c>
      <c r="K1356" t="s">
        <v>386</v>
      </c>
      <c r="L1356" t="s">
        <v>1947</v>
      </c>
      <c r="M1356" t="s">
        <v>447</v>
      </c>
      <c r="O1356" t="s">
        <v>448</v>
      </c>
      <c r="P1356" t="s">
        <v>449</v>
      </c>
      <c r="Q1356" t="s">
        <v>450</v>
      </c>
      <c r="R1356">
        <v>2069135</v>
      </c>
      <c r="S1356" t="s">
        <v>387</v>
      </c>
      <c r="U1356" t="s">
        <v>1949</v>
      </c>
      <c r="V1356" t="s">
        <v>398</v>
      </c>
      <c r="W1356" s="393">
        <v>43700</v>
      </c>
      <c r="X1356" s="393">
        <v>11.01</v>
      </c>
      <c r="Y1356" s="393">
        <v>95.19</v>
      </c>
      <c r="Z1356" s="393">
        <v>43700</v>
      </c>
      <c r="AA1356">
        <v>0</v>
      </c>
      <c r="AB1356" s="400">
        <v>44531.985123182872</v>
      </c>
      <c r="AC1356" t="s">
        <v>324</v>
      </c>
    </row>
    <row r="1357" spans="1:29">
      <c r="A1357" t="s">
        <v>382</v>
      </c>
      <c r="B1357" t="s">
        <v>440</v>
      </c>
      <c r="C1357" t="s">
        <v>1941</v>
      </c>
      <c r="D1357" t="s">
        <v>1942</v>
      </c>
      <c r="E1357" t="s">
        <v>390</v>
      </c>
      <c r="F1357" t="s">
        <v>391</v>
      </c>
      <c r="G1357">
        <v>6103033</v>
      </c>
      <c r="H1357">
        <v>202111</v>
      </c>
      <c r="I1357" s="400">
        <v>44530</v>
      </c>
      <c r="J1357" t="s">
        <v>452</v>
      </c>
      <c r="K1357" t="s">
        <v>386</v>
      </c>
      <c r="L1357" t="s">
        <v>1950</v>
      </c>
      <c r="M1357" t="s">
        <v>447</v>
      </c>
      <c r="O1357" t="s">
        <v>448</v>
      </c>
      <c r="P1357" t="s">
        <v>449</v>
      </c>
      <c r="Q1357" t="s">
        <v>450</v>
      </c>
      <c r="R1357">
        <v>2069135</v>
      </c>
      <c r="S1357" t="s">
        <v>387</v>
      </c>
      <c r="U1357" t="s">
        <v>1951</v>
      </c>
      <c r="V1357" t="s">
        <v>398</v>
      </c>
      <c r="W1357" s="393">
        <v>43700</v>
      </c>
      <c r="X1357" s="393">
        <v>11.01</v>
      </c>
      <c r="Y1357" s="393">
        <v>95.19</v>
      </c>
      <c r="Z1357" s="393">
        <v>43700</v>
      </c>
      <c r="AA1357">
        <v>0</v>
      </c>
      <c r="AB1357" s="400">
        <v>44531.985123182872</v>
      </c>
      <c r="AC1357" t="s">
        <v>324</v>
      </c>
    </row>
    <row r="1358" spans="1:29">
      <c r="A1358" t="s">
        <v>382</v>
      </c>
      <c r="B1358" t="s">
        <v>440</v>
      </c>
      <c r="C1358" t="s">
        <v>1941</v>
      </c>
      <c r="D1358" t="s">
        <v>1942</v>
      </c>
      <c r="E1358" t="s">
        <v>390</v>
      </c>
      <c r="F1358" t="s">
        <v>391</v>
      </c>
      <c r="G1358">
        <v>6103110</v>
      </c>
      <c r="H1358">
        <v>202111</v>
      </c>
      <c r="I1358" s="400">
        <v>44530</v>
      </c>
      <c r="J1358" t="s">
        <v>452</v>
      </c>
      <c r="K1358" t="s">
        <v>386</v>
      </c>
      <c r="L1358" t="s">
        <v>1950</v>
      </c>
      <c r="M1358" t="s">
        <v>447</v>
      </c>
      <c r="O1358" t="s">
        <v>448</v>
      </c>
      <c r="P1358" t="s">
        <v>449</v>
      </c>
      <c r="Q1358" t="s">
        <v>450</v>
      </c>
      <c r="R1358">
        <v>2069135</v>
      </c>
      <c r="S1358" t="s">
        <v>1945</v>
      </c>
      <c r="U1358" t="s">
        <v>1952</v>
      </c>
      <c r="V1358" t="s">
        <v>398</v>
      </c>
      <c r="W1358" s="393">
        <v>-43700</v>
      </c>
      <c r="X1358" s="393">
        <v>-11.01</v>
      </c>
      <c r="Y1358" s="393">
        <v>-95.19</v>
      </c>
      <c r="Z1358" s="393">
        <v>-43700</v>
      </c>
      <c r="AA1358">
        <v>0</v>
      </c>
      <c r="AB1358" s="400">
        <v>44533.058913194443</v>
      </c>
      <c r="AC1358" t="s">
        <v>324</v>
      </c>
    </row>
    <row r="1359" spans="1:29">
      <c r="A1359" t="s">
        <v>382</v>
      </c>
      <c r="B1359" t="s">
        <v>440</v>
      </c>
      <c r="C1359" t="s">
        <v>469</v>
      </c>
      <c r="D1359" t="s">
        <v>470</v>
      </c>
      <c r="E1359" t="s">
        <v>390</v>
      </c>
      <c r="F1359" t="s">
        <v>391</v>
      </c>
      <c r="G1359">
        <v>6103110</v>
      </c>
      <c r="H1359">
        <v>202111</v>
      </c>
      <c r="I1359" s="400">
        <v>44530</v>
      </c>
      <c r="J1359" t="s">
        <v>452</v>
      </c>
      <c r="K1359" t="s">
        <v>386</v>
      </c>
      <c r="L1359" t="s">
        <v>1943</v>
      </c>
      <c r="M1359" t="s">
        <v>447</v>
      </c>
      <c r="O1359" t="s">
        <v>448</v>
      </c>
      <c r="P1359" t="s">
        <v>449</v>
      </c>
      <c r="Q1359" t="s">
        <v>450</v>
      </c>
      <c r="R1359">
        <v>2069135</v>
      </c>
      <c r="S1359" t="s">
        <v>1945</v>
      </c>
      <c r="U1359" t="s">
        <v>1946</v>
      </c>
      <c r="V1359" t="s">
        <v>398</v>
      </c>
      <c r="W1359" s="393">
        <v>43700</v>
      </c>
      <c r="X1359" s="393">
        <v>11.01</v>
      </c>
      <c r="Y1359" s="393">
        <v>95.19</v>
      </c>
      <c r="Z1359" s="393">
        <v>43700</v>
      </c>
      <c r="AA1359">
        <v>0</v>
      </c>
      <c r="AB1359" s="400">
        <v>44533.058913194443</v>
      </c>
      <c r="AC1359" t="s">
        <v>324</v>
      </c>
    </row>
    <row r="1360" spans="1:29">
      <c r="A1360" t="s">
        <v>382</v>
      </c>
      <c r="B1360" t="s">
        <v>440</v>
      </c>
      <c r="C1360" t="s">
        <v>469</v>
      </c>
      <c r="D1360" t="s">
        <v>470</v>
      </c>
      <c r="E1360" t="s">
        <v>390</v>
      </c>
      <c r="F1360" t="s">
        <v>391</v>
      </c>
      <c r="G1360">
        <v>6103033</v>
      </c>
      <c r="H1360">
        <v>202111</v>
      </c>
      <c r="I1360" s="400">
        <v>44530</v>
      </c>
      <c r="J1360" t="s">
        <v>452</v>
      </c>
      <c r="K1360" t="s">
        <v>386</v>
      </c>
      <c r="L1360" t="s">
        <v>1943</v>
      </c>
      <c r="M1360" t="s">
        <v>447</v>
      </c>
      <c r="O1360" t="s">
        <v>448</v>
      </c>
      <c r="P1360" t="s">
        <v>449</v>
      </c>
      <c r="Q1360" t="s">
        <v>450</v>
      </c>
      <c r="R1360">
        <v>2069135</v>
      </c>
      <c r="S1360" t="s">
        <v>387</v>
      </c>
      <c r="U1360" t="s">
        <v>1953</v>
      </c>
      <c r="V1360" t="s">
        <v>398</v>
      </c>
      <c r="W1360" s="393">
        <v>1018400</v>
      </c>
      <c r="X1360" s="393">
        <v>256.56</v>
      </c>
      <c r="Y1360" s="393">
        <v>2218.41</v>
      </c>
      <c r="Z1360" s="393">
        <v>1018400</v>
      </c>
      <c r="AA1360">
        <v>0</v>
      </c>
      <c r="AB1360" s="400">
        <v>44531.985122650462</v>
      </c>
      <c r="AC1360" t="s">
        <v>324</v>
      </c>
    </row>
    <row r="1361" spans="1:29">
      <c r="A1361" t="s">
        <v>382</v>
      </c>
      <c r="B1361" t="s">
        <v>440</v>
      </c>
      <c r="C1361" t="s">
        <v>469</v>
      </c>
      <c r="D1361" t="s">
        <v>470</v>
      </c>
      <c r="E1361" t="s">
        <v>390</v>
      </c>
      <c r="F1361" t="s">
        <v>391</v>
      </c>
      <c r="G1361">
        <v>6103033</v>
      </c>
      <c r="H1361">
        <v>202111</v>
      </c>
      <c r="I1361" s="400">
        <v>44530</v>
      </c>
      <c r="J1361" t="s">
        <v>452</v>
      </c>
      <c r="K1361" t="s">
        <v>386</v>
      </c>
      <c r="L1361" t="s">
        <v>1947</v>
      </c>
      <c r="M1361" t="s">
        <v>447</v>
      </c>
      <c r="O1361" t="s">
        <v>448</v>
      </c>
      <c r="P1361" t="s">
        <v>449</v>
      </c>
      <c r="Q1361" t="s">
        <v>450</v>
      </c>
      <c r="R1361">
        <v>2069135</v>
      </c>
      <c r="S1361" t="s">
        <v>387</v>
      </c>
      <c r="U1361" t="s">
        <v>1954</v>
      </c>
      <c r="V1361" t="s">
        <v>398</v>
      </c>
      <c r="W1361" s="393">
        <v>1018400</v>
      </c>
      <c r="X1361" s="393">
        <v>256.56</v>
      </c>
      <c r="Y1361" s="393">
        <v>2218.41</v>
      </c>
      <c r="Z1361" s="393">
        <v>1018400</v>
      </c>
      <c r="AA1361">
        <v>0</v>
      </c>
      <c r="AB1361" s="400">
        <v>44531.985122835649</v>
      </c>
      <c r="AC1361" t="s">
        <v>324</v>
      </c>
    </row>
    <row r="1362" spans="1:29">
      <c r="A1362" t="s">
        <v>382</v>
      </c>
      <c r="B1362" t="s">
        <v>440</v>
      </c>
      <c r="C1362" t="s">
        <v>469</v>
      </c>
      <c r="D1362" t="s">
        <v>470</v>
      </c>
      <c r="E1362" t="s">
        <v>390</v>
      </c>
      <c r="F1362" t="s">
        <v>391</v>
      </c>
      <c r="G1362">
        <v>6103110</v>
      </c>
      <c r="H1362">
        <v>202111</v>
      </c>
      <c r="I1362" s="400">
        <v>44530</v>
      </c>
      <c r="J1362" t="s">
        <v>452</v>
      </c>
      <c r="K1362" t="s">
        <v>386</v>
      </c>
      <c r="L1362" t="s">
        <v>1947</v>
      </c>
      <c r="M1362" t="s">
        <v>447</v>
      </c>
      <c r="O1362" t="s">
        <v>448</v>
      </c>
      <c r="P1362" t="s">
        <v>449</v>
      </c>
      <c r="Q1362" t="s">
        <v>450</v>
      </c>
      <c r="R1362">
        <v>2069135</v>
      </c>
      <c r="S1362" t="s">
        <v>1945</v>
      </c>
      <c r="U1362" t="s">
        <v>1948</v>
      </c>
      <c r="V1362" t="s">
        <v>398</v>
      </c>
      <c r="W1362" s="393">
        <v>43700</v>
      </c>
      <c r="X1362" s="393">
        <v>11.01</v>
      </c>
      <c r="Y1362" s="393">
        <v>95.19</v>
      </c>
      <c r="Z1362" s="393">
        <v>43700</v>
      </c>
      <c r="AA1362">
        <v>0</v>
      </c>
      <c r="AB1362" s="400">
        <v>44533.058913194443</v>
      </c>
      <c r="AC1362" t="s">
        <v>324</v>
      </c>
    </row>
    <row r="1363" spans="1:29">
      <c r="A1363" t="s">
        <v>382</v>
      </c>
      <c r="B1363" t="s">
        <v>440</v>
      </c>
      <c r="C1363" t="s">
        <v>469</v>
      </c>
      <c r="D1363" t="s">
        <v>470</v>
      </c>
      <c r="E1363" t="s">
        <v>390</v>
      </c>
      <c r="F1363" t="s">
        <v>391</v>
      </c>
      <c r="G1363">
        <v>6103110</v>
      </c>
      <c r="H1363">
        <v>202111</v>
      </c>
      <c r="I1363" s="400">
        <v>44530</v>
      </c>
      <c r="J1363" t="s">
        <v>452</v>
      </c>
      <c r="K1363" t="s">
        <v>386</v>
      </c>
      <c r="L1363" t="s">
        <v>1950</v>
      </c>
      <c r="M1363" t="s">
        <v>447</v>
      </c>
      <c r="O1363" t="s">
        <v>448</v>
      </c>
      <c r="P1363" t="s">
        <v>449</v>
      </c>
      <c r="Q1363" t="s">
        <v>450</v>
      </c>
      <c r="R1363">
        <v>2069135</v>
      </c>
      <c r="S1363" t="s">
        <v>1945</v>
      </c>
      <c r="U1363" t="s">
        <v>1952</v>
      </c>
      <c r="V1363" t="s">
        <v>398</v>
      </c>
      <c r="W1363" s="393">
        <v>43700</v>
      </c>
      <c r="X1363" s="393">
        <v>11.01</v>
      </c>
      <c r="Y1363" s="393">
        <v>95.19</v>
      </c>
      <c r="Z1363" s="393">
        <v>43700</v>
      </c>
      <c r="AA1363">
        <v>0</v>
      </c>
      <c r="AB1363" s="400">
        <v>44533.058913194443</v>
      </c>
      <c r="AC1363" t="s">
        <v>324</v>
      </c>
    </row>
    <row r="1364" spans="1:29">
      <c r="A1364" t="s">
        <v>382</v>
      </c>
      <c r="B1364" t="s">
        <v>440</v>
      </c>
      <c r="C1364" t="s">
        <v>469</v>
      </c>
      <c r="D1364" t="s">
        <v>470</v>
      </c>
      <c r="E1364" t="s">
        <v>390</v>
      </c>
      <c r="F1364" t="s">
        <v>391</v>
      </c>
      <c r="G1364">
        <v>6103033</v>
      </c>
      <c r="H1364">
        <v>202111</v>
      </c>
      <c r="I1364" s="400">
        <v>44530</v>
      </c>
      <c r="J1364" t="s">
        <v>452</v>
      </c>
      <c r="K1364" t="s">
        <v>386</v>
      </c>
      <c r="L1364" t="s">
        <v>1950</v>
      </c>
      <c r="M1364" t="s">
        <v>447</v>
      </c>
      <c r="O1364" t="s">
        <v>448</v>
      </c>
      <c r="P1364" t="s">
        <v>449</v>
      </c>
      <c r="Q1364" t="s">
        <v>450</v>
      </c>
      <c r="R1364">
        <v>2069135</v>
      </c>
      <c r="S1364" t="s">
        <v>387</v>
      </c>
      <c r="U1364" t="s">
        <v>1955</v>
      </c>
      <c r="V1364" t="s">
        <v>398</v>
      </c>
      <c r="W1364" s="393">
        <v>1018400</v>
      </c>
      <c r="X1364" s="393">
        <v>256.56</v>
      </c>
      <c r="Y1364" s="393">
        <v>2218.41</v>
      </c>
      <c r="Z1364" s="393">
        <v>1018400</v>
      </c>
      <c r="AA1364">
        <v>0</v>
      </c>
      <c r="AB1364" s="400">
        <v>44531.985122835649</v>
      </c>
      <c r="AC1364" t="s">
        <v>324</v>
      </c>
    </row>
    <row r="1365" spans="1:29">
      <c r="A1365" t="s">
        <v>382</v>
      </c>
      <c r="B1365" t="s">
        <v>440</v>
      </c>
      <c r="C1365" t="s">
        <v>469</v>
      </c>
      <c r="D1365" t="s">
        <v>477</v>
      </c>
      <c r="E1365" t="s">
        <v>390</v>
      </c>
      <c r="F1365" t="s">
        <v>391</v>
      </c>
      <c r="G1365">
        <v>6103033</v>
      </c>
      <c r="H1365">
        <v>202111</v>
      </c>
      <c r="I1365" s="400">
        <v>44530</v>
      </c>
      <c r="J1365" t="s">
        <v>452</v>
      </c>
      <c r="K1365" t="s">
        <v>386</v>
      </c>
      <c r="L1365" t="s">
        <v>1943</v>
      </c>
      <c r="M1365" t="s">
        <v>447</v>
      </c>
      <c r="O1365" t="s">
        <v>448</v>
      </c>
      <c r="P1365" t="s">
        <v>449</v>
      </c>
      <c r="Q1365" t="s">
        <v>450</v>
      </c>
      <c r="R1365">
        <v>2069135</v>
      </c>
      <c r="S1365" t="s">
        <v>387</v>
      </c>
      <c r="U1365" t="s">
        <v>1953</v>
      </c>
      <c r="V1365" t="s">
        <v>398</v>
      </c>
      <c r="W1365" s="393">
        <v>5360000</v>
      </c>
      <c r="X1365" s="393">
        <v>1350.29</v>
      </c>
      <c r="Y1365" s="393">
        <v>11675.85</v>
      </c>
      <c r="Z1365" s="393">
        <v>5360000</v>
      </c>
      <c r="AA1365">
        <v>5</v>
      </c>
      <c r="AB1365" s="400">
        <v>44531.985122303238</v>
      </c>
      <c r="AC1365" t="s">
        <v>324</v>
      </c>
    </row>
    <row r="1366" spans="1:29">
      <c r="A1366" t="s">
        <v>382</v>
      </c>
      <c r="B1366" t="s">
        <v>440</v>
      </c>
      <c r="C1366" t="s">
        <v>469</v>
      </c>
      <c r="D1366" t="s">
        <v>477</v>
      </c>
      <c r="E1366" t="s">
        <v>390</v>
      </c>
      <c r="F1366" t="s">
        <v>391</v>
      </c>
      <c r="G1366">
        <v>6103033</v>
      </c>
      <c r="H1366">
        <v>202111</v>
      </c>
      <c r="I1366" s="400">
        <v>44530</v>
      </c>
      <c r="J1366" t="s">
        <v>452</v>
      </c>
      <c r="K1366" t="s">
        <v>386</v>
      </c>
      <c r="L1366" t="s">
        <v>1943</v>
      </c>
      <c r="M1366" t="s">
        <v>447</v>
      </c>
      <c r="O1366" t="s">
        <v>448</v>
      </c>
      <c r="P1366" t="s">
        <v>449</v>
      </c>
      <c r="Q1366" t="s">
        <v>450</v>
      </c>
      <c r="R1366">
        <v>2069135</v>
      </c>
      <c r="S1366" t="s">
        <v>387</v>
      </c>
      <c r="U1366" t="s">
        <v>1944</v>
      </c>
      <c r="V1366" t="s">
        <v>398</v>
      </c>
      <c r="W1366" s="393">
        <v>230000</v>
      </c>
      <c r="X1366" s="393">
        <v>57.94</v>
      </c>
      <c r="Y1366" s="393">
        <v>501.02</v>
      </c>
      <c r="Z1366" s="393">
        <v>230000</v>
      </c>
      <c r="AA1366">
        <v>364</v>
      </c>
      <c r="AB1366" s="400">
        <v>44531.985122303238</v>
      </c>
      <c r="AC1366" t="s">
        <v>324</v>
      </c>
    </row>
    <row r="1367" spans="1:29">
      <c r="A1367" t="s">
        <v>382</v>
      </c>
      <c r="B1367" t="s">
        <v>440</v>
      </c>
      <c r="C1367" t="s">
        <v>469</v>
      </c>
      <c r="D1367" t="s">
        <v>477</v>
      </c>
      <c r="E1367" t="s">
        <v>390</v>
      </c>
      <c r="F1367" t="s">
        <v>391</v>
      </c>
      <c r="G1367">
        <v>6103033</v>
      </c>
      <c r="H1367">
        <v>202111</v>
      </c>
      <c r="I1367" s="400">
        <v>44530</v>
      </c>
      <c r="J1367" t="s">
        <v>452</v>
      </c>
      <c r="K1367" t="s">
        <v>386</v>
      </c>
      <c r="L1367" t="s">
        <v>1947</v>
      </c>
      <c r="M1367" t="s">
        <v>447</v>
      </c>
      <c r="O1367" t="s">
        <v>448</v>
      </c>
      <c r="P1367" t="s">
        <v>449</v>
      </c>
      <c r="Q1367" t="s">
        <v>450</v>
      </c>
      <c r="R1367">
        <v>2069135</v>
      </c>
      <c r="S1367" t="s">
        <v>387</v>
      </c>
      <c r="U1367" t="s">
        <v>1949</v>
      </c>
      <c r="V1367" t="s">
        <v>398</v>
      </c>
      <c r="W1367" s="393">
        <v>230000</v>
      </c>
      <c r="X1367" s="393">
        <v>57.94</v>
      </c>
      <c r="Y1367" s="393">
        <v>501.02</v>
      </c>
      <c r="Z1367" s="393">
        <v>230000</v>
      </c>
      <c r="AA1367">
        <v>364</v>
      </c>
      <c r="AB1367" s="400">
        <v>44531.985122303238</v>
      </c>
      <c r="AC1367" t="s">
        <v>324</v>
      </c>
    </row>
    <row r="1368" spans="1:29">
      <c r="A1368" t="s">
        <v>382</v>
      </c>
      <c r="B1368" t="s">
        <v>440</v>
      </c>
      <c r="C1368" t="s">
        <v>469</v>
      </c>
      <c r="D1368" t="s">
        <v>477</v>
      </c>
      <c r="E1368" t="s">
        <v>390</v>
      </c>
      <c r="F1368" t="s">
        <v>391</v>
      </c>
      <c r="G1368">
        <v>6103033</v>
      </c>
      <c r="H1368">
        <v>202111</v>
      </c>
      <c r="I1368" s="400">
        <v>44530</v>
      </c>
      <c r="J1368" t="s">
        <v>452</v>
      </c>
      <c r="K1368" t="s">
        <v>386</v>
      </c>
      <c r="L1368" t="s">
        <v>1947</v>
      </c>
      <c r="M1368" t="s">
        <v>447</v>
      </c>
      <c r="O1368" t="s">
        <v>448</v>
      </c>
      <c r="P1368" t="s">
        <v>449</v>
      </c>
      <c r="Q1368" t="s">
        <v>450</v>
      </c>
      <c r="R1368">
        <v>2069135</v>
      </c>
      <c r="S1368" t="s">
        <v>387</v>
      </c>
      <c r="U1368" t="s">
        <v>1954</v>
      </c>
      <c r="V1368" t="s">
        <v>398</v>
      </c>
      <c r="W1368" s="393">
        <v>5360000</v>
      </c>
      <c r="X1368" s="393">
        <v>1350.29</v>
      </c>
      <c r="Y1368" s="393">
        <v>11675.85</v>
      </c>
      <c r="Z1368" s="393">
        <v>5360000</v>
      </c>
      <c r="AA1368">
        <v>5</v>
      </c>
      <c r="AB1368" s="400">
        <v>44531.985122303238</v>
      </c>
      <c r="AC1368" t="s">
        <v>324</v>
      </c>
    </row>
    <row r="1369" spans="1:29">
      <c r="A1369" t="s">
        <v>382</v>
      </c>
      <c r="B1369" t="s">
        <v>440</v>
      </c>
      <c r="C1369" t="s">
        <v>469</v>
      </c>
      <c r="D1369" t="s">
        <v>477</v>
      </c>
      <c r="E1369" t="s">
        <v>390</v>
      </c>
      <c r="F1369" t="s">
        <v>391</v>
      </c>
      <c r="G1369">
        <v>6103033</v>
      </c>
      <c r="H1369">
        <v>202111</v>
      </c>
      <c r="I1369" s="400">
        <v>44530</v>
      </c>
      <c r="J1369" t="s">
        <v>452</v>
      </c>
      <c r="K1369" t="s">
        <v>386</v>
      </c>
      <c r="L1369" t="s">
        <v>1950</v>
      </c>
      <c r="M1369" t="s">
        <v>447</v>
      </c>
      <c r="O1369" t="s">
        <v>448</v>
      </c>
      <c r="P1369" t="s">
        <v>449</v>
      </c>
      <c r="Q1369" t="s">
        <v>450</v>
      </c>
      <c r="R1369">
        <v>2069135</v>
      </c>
      <c r="S1369" t="s">
        <v>387</v>
      </c>
      <c r="U1369" t="s">
        <v>1951</v>
      </c>
      <c r="V1369" t="s">
        <v>398</v>
      </c>
      <c r="W1369" s="393">
        <v>230000</v>
      </c>
      <c r="X1369" s="393">
        <v>57.94</v>
      </c>
      <c r="Y1369" s="393">
        <v>501.02</v>
      </c>
      <c r="Z1369" s="393">
        <v>230000</v>
      </c>
      <c r="AA1369">
        <v>364</v>
      </c>
      <c r="AB1369" s="400">
        <v>44531.985122303238</v>
      </c>
      <c r="AC1369" t="s">
        <v>324</v>
      </c>
    </row>
    <row r="1370" spans="1:29">
      <c r="A1370" t="s">
        <v>382</v>
      </c>
      <c r="B1370" t="s">
        <v>440</v>
      </c>
      <c r="C1370" t="s">
        <v>469</v>
      </c>
      <c r="D1370" t="s">
        <v>477</v>
      </c>
      <c r="E1370" t="s">
        <v>390</v>
      </c>
      <c r="F1370" t="s">
        <v>391</v>
      </c>
      <c r="G1370">
        <v>6103033</v>
      </c>
      <c r="H1370">
        <v>202111</v>
      </c>
      <c r="I1370" s="400">
        <v>44530</v>
      </c>
      <c r="J1370" t="s">
        <v>452</v>
      </c>
      <c r="K1370" t="s">
        <v>386</v>
      </c>
      <c r="L1370" t="s">
        <v>1950</v>
      </c>
      <c r="M1370" t="s">
        <v>447</v>
      </c>
      <c r="O1370" t="s">
        <v>448</v>
      </c>
      <c r="P1370" t="s">
        <v>449</v>
      </c>
      <c r="Q1370" t="s">
        <v>450</v>
      </c>
      <c r="R1370">
        <v>2069135</v>
      </c>
      <c r="S1370" t="s">
        <v>387</v>
      </c>
      <c r="U1370" t="s">
        <v>1955</v>
      </c>
      <c r="V1370" t="s">
        <v>398</v>
      </c>
      <c r="W1370" s="393">
        <v>5360000</v>
      </c>
      <c r="X1370" s="393">
        <v>1350.29</v>
      </c>
      <c r="Y1370" s="393">
        <v>11675.85</v>
      </c>
      <c r="Z1370" s="393">
        <v>5360000</v>
      </c>
      <c r="AA1370">
        <v>5</v>
      </c>
      <c r="AB1370" s="400">
        <v>44531.985122303238</v>
      </c>
      <c r="AC1370" t="s">
        <v>324</v>
      </c>
    </row>
    <row r="1371" spans="1:29">
      <c r="A1371" t="s">
        <v>382</v>
      </c>
      <c r="B1371" t="s">
        <v>440</v>
      </c>
      <c r="C1371" t="s">
        <v>486</v>
      </c>
      <c r="D1371" t="s">
        <v>487</v>
      </c>
      <c r="E1371" t="s">
        <v>390</v>
      </c>
      <c r="F1371" t="s">
        <v>391</v>
      </c>
      <c r="G1371">
        <v>6102984</v>
      </c>
      <c r="H1371">
        <v>202111</v>
      </c>
      <c r="I1371" s="400">
        <v>44526</v>
      </c>
      <c r="J1371">
        <v>122536</v>
      </c>
      <c r="K1371" t="s">
        <v>386</v>
      </c>
      <c r="M1371" t="s">
        <v>387</v>
      </c>
      <c r="O1371" t="s">
        <v>1956</v>
      </c>
      <c r="P1371" t="s">
        <v>1957</v>
      </c>
      <c r="Q1371" t="s">
        <v>396</v>
      </c>
      <c r="R1371">
        <v>2069127</v>
      </c>
      <c r="S1371" t="s">
        <v>387</v>
      </c>
      <c r="U1371" t="s">
        <v>1958</v>
      </c>
      <c r="V1371" t="s">
        <v>398</v>
      </c>
      <c r="W1371" s="393">
        <v>2000000</v>
      </c>
      <c r="X1371" s="393">
        <v>503.84</v>
      </c>
      <c r="Y1371" s="393">
        <v>4356.66</v>
      </c>
      <c r="Z1371" s="393">
        <v>2000000</v>
      </c>
      <c r="AA1371">
        <v>301</v>
      </c>
      <c r="AB1371" s="400">
        <v>44530.757913969908</v>
      </c>
      <c r="AC1371" t="s">
        <v>36</v>
      </c>
    </row>
    <row r="1372" spans="1:29">
      <c r="A1372" t="s">
        <v>382</v>
      </c>
      <c r="B1372" t="s">
        <v>440</v>
      </c>
      <c r="C1372" t="s">
        <v>486</v>
      </c>
      <c r="D1372" t="s">
        <v>487</v>
      </c>
      <c r="E1372" t="s">
        <v>390</v>
      </c>
      <c r="F1372" t="s">
        <v>391</v>
      </c>
      <c r="G1372">
        <v>6103178</v>
      </c>
      <c r="H1372">
        <v>202112</v>
      </c>
      <c r="I1372" s="400">
        <v>44537</v>
      </c>
      <c r="J1372">
        <v>122536</v>
      </c>
      <c r="K1372" t="s">
        <v>386</v>
      </c>
      <c r="M1372" t="s">
        <v>387</v>
      </c>
      <c r="O1372" t="s">
        <v>1959</v>
      </c>
      <c r="P1372" t="s">
        <v>1960</v>
      </c>
      <c r="Q1372" t="s">
        <v>396</v>
      </c>
      <c r="R1372">
        <v>2069126</v>
      </c>
      <c r="S1372" t="s">
        <v>387</v>
      </c>
      <c r="U1372" t="s">
        <v>1961</v>
      </c>
      <c r="V1372" t="s">
        <v>398</v>
      </c>
      <c r="W1372" s="393">
        <v>2000000</v>
      </c>
      <c r="X1372" s="393">
        <v>505.92</v>
      </c>
      <c r="Y1372" s="393">
        <v>4489.74</v>
      </c>
      <c r="Z1372" s="393">
        <v>2000000</v>
      </c>
      <c r="AA1372">
        <v>301</v>
      </c>
      <c r="AB1372" s="400">
        <v>44545.707935069448</v>
      </c>
      <c r="AC1372" t="s">
        <v>36</v>
      </c>
    </row>
    <row r="1373" spans="1:29">
      <c r="A1373" t="s">
        <v>382</v>
      </c>
      <c r="B1373" t="s">
        <v>440</v>
      </c>
      <c r="C1373" t="s">
        <v>486</v>
      </c>
      <c r="D1373" t="s">
        <v>487</v>
      </c>
      <c r="E1373" t="s">
        <v>390</v>
      </c>
      <c r="F1373" t="s">
        <v>391</v>
      </c>
      <c r="G1373">
        <v>6103178</v>
      </c>
      <c r="H1373">
        <v>202112</v>
      </c>
      <c r="I1373" s="400">
        <v>44537</v>
      </c>
      <c r="J1373">
        <v>122536</v>
      </c>
      <c r="K1373" t="s">
        <v>386</v>
      </c>
      <c r="M1373" t="s">
        <v>387</v>
      </c>
      <c r="O1373" t="s">
        <v>1962</v>
      </c>
      <c r="P1373" t="s">
        <v>1963</v>
      </c>
      <c r="Q1373" t="s">
        <v>396</v>
      </c>
      <c r="R1373">
        <v>2069126</v>
      </c>
      <c r="S1373" t="s">
        <v>387</v>
      </c>
      <c r="U1373" t="s">
        <v>1964</v>
      </c>
      <c r="V1373" t="s">
        <v>398</v>
      </c>
      <c r="W1373" s="393">
        <v>600000</v>
      </c>
      <c r="X1373" s="393">
        <v>151.78</v>
      </c>
      <c r="Y1373" s="393">
        <v>1346.92</v>
      </c>
      <c r="Z1373" s="393">
        <v>600000</v>
      </c>
      <c r="AA1373">
        <v>301</v>
      </c>
      <c r="AB1373" s="400">
        <v>44545.707935219907</v>
      </c>
      <c r="AC1373" t="s">
        <v>36</v>
      </c>
    </row>
    <row r="1374" spans="1:29">
      <c r="A1374" t="s">
        <v>382</v>
      </c>
      <c r="B1374" t="s">
        <v>440</v>
      </c>
      <c r="C1374" t="s">
        <v>486</v>
      </c>
      <c r="D1374" t="s">
        <v>487</v>
      </c>
      <c r="E1374" t="s">
        <v>390</v>
      </c>
      <c r="F1374" t="s">
        <v>391</v>
      </c>
      <c r="G1374">
        <v>6103392</v>
      </c>
      <c r="H1374">
        <v>202112</v>
      </c>
      <c r="I1374" s="400">
        <v>44552</v>
      </c>
      <c r="J1374">
        <v>122536</v>
      </c>
      <c r="K1374" t="s">
        <v>386</v>
      </c>
      <c r="M1374" t="s">
        <v>387</v>
      </c>
      <c r="O1374" t="s">
        <v>1959</v>
      </c>
      <c r="P1374" t="s">
        <v>1960</v>
      </c>
      <c r="Q1374" t="s">
        <v>396</v>
      </c>
      <c r="R1374">
        <v>2069126</v>
      </c>
      <c r="S1374" t="s">
        <v>387</v>
      </c>
      <c r="U1374" t="s">
        <v>1965</v>
      </c>
      <c r="V1374" t="s">
        <v>398</v>
      </c>
      <c r="W1374" s="393">
        <v>2000000</v>
      </c>
      <c r="X1374" s="393">
        <v>501.22</v>
      </c>
      <c r="Y1374" s="393">
        <v>4520.26</v>
      </c>
      <c r="Z1374" s="393">
        <v>2000000</v>
      </c>
      <c r="AA1374">
        <v>301</v>
      </c>
      <c r="AB1374" s="400">
        <v>44559.728658715278</v>
      </c>
      <c r="AC1374" t="s">
        <v>36</v>
      </c>
    </row>
    <row r="1375" spans="1:29">
      <c r="A1375" t="s">
        <v>382</v>
      </c>
      <c r="B1375" t="s">
        <v>440</v>
      </c>
      <c r="C1375" t="s">
        <v>486</v>
      </c>
      <c r="D1375" t="s">
        <v>487</v>
      </c>
      <c r="E1375" t="s">
        <v>390</v>
      </c>
      <c r="F1375" t="s">
        <v>391</v>
      </c>
      <c r="G1375">
        <v>6103191</v>
      </c>
      <c r="H1375">
        <v>202112</v>
      </c>
      <c r="I1375" s="400">
        <v>44544</v>
      </c>
      <c r="J1375">
        <v>122536</v>
      </c>
      <c r="K1375" t="s">
        <v>386</v>
      </c>
      <c r="M1375" t="s">
        <v>387</v>
      </c>
      <c r="O1375" t="s">
        <v>1956</v>
      </c>
      <c r="P1375" t="s">
        <v>1957</v>
      </c>
      <c r="Q1375" t="s">
        <v>396</v>
      </c>
      <c r="R1375">
        <v>2069126</v>
      </c>
      <c r="S1375" t="s">
        <v>387</v>
      </c>
      <c r="U1375" t="s">
        <v>1966</v>
      </c>
      <c r="V1375" t="s">
        <v>398</v>
      </c>
      <c r="W1375" s="393">
        <v>2000000</v>
      </c>
      <c r="X1375" s="393">
        <v>512.02</v>
      </c>
      <c r="Y1375" s="393">
        <v>4614.9399999999996</v>
      </c>
      <c r="Z1375" s="393">
        <v>2000000</v>
      </c>
      <c r="AA1375">
        <v>301</v>
      </c>
      <c r="AB1375" s="400">
        <v>44546.705520833333</v>
      </c>
      <c r="AC1375" t="s">
        <v>36</v>
      </c>
    </row>
    <row r="1376" spans="1:29">
      <c r="A1376" t="s">
        <v>382</v>
      </c>
      <c r="B1376" t="s">
        <v>440</v>
      </c>
      <c r="C1376" t="s">
        <v>486</v>
      </c>
      <c r="D1376" t="s">
        <v>487</v>
      </c>
      <c r="E1376" t="s">
        <v>390</v>
      </c>
      <c r="F1376" t="s">
        <v>391</v>
      </c>
      <c r="G1376">
        <v>6103285</v>
      </c>
      <c r="H1376">
        <v>202112</v>
      </c>
      <c r="I1376" s="400">
        <v>44547</v>
      </c>
      <c r="J1376">
        <v>122536</v>
      </c>
      <c r="K1376" t="s">
        <v>386</v>
      </c>
      <c r="M1376" t="s">
        <v>387</v>
      </c>
      <c r="O1376" t="s">
        <v>1967</v>
      </c>
      <c r="P1376" t="s">
        <v>1968</v>
      </c>
      <c r="Q1376" t="s">
        <v>396</v>
      </c>
      <c r="R1376">
        <v>2069126</v>
      </c>
      <c r="S1376" t="s">
        <v>387</v>
      </c>
      <c r="U1376" t="s">
        <v>1969</v>
      </c>
      <c r="V1376" t="s">
        <v>398</v>
      </c>
      <c r="W1376" s="393">
        <v>2000000</v>
      </c>
      <c r="X1376" s="393">
        <v>501.22</v>
      </c>
      <c r="Y1376" s="393">
        <v>4520.26</v>
      </c>
      <c r="Z1376" s="393">
        <v>2000000</v>
      </c>
      <c r="AA1376">
        <v>301</v>
      </c>
      <c r="AB1376" s="400">
        <v>44550.84569652778</v>
      </c>
      <c r="AC1376" t="s">
        <v>36</v>
      </c>
    </row>
    <row r="1377" spans="1:29">
      <c r="A1377" t="s">
        <v>382</v>
      </c>
      <c r="B1377" t="s">
        <v>440</v>
      </c>
      <c r="C1377" t="s">
        <v>486</v>
      </c>
      <c r="D1377" t="s">
        <v>487</v>
      </c>
      <c r="E1377" t="s">
        <v>390</v>
      </c>
      <c r="F1377" t="s">
        <v>391</v>
      </c>
      <c r="G1377">
        <v>6103285</v>
      </c>
      <c r="H1377">
        <v>202112</v>
      </c>
      <c r="I1377" s="400">
        <v>44547</v>
      </c>
      <c r="J1377">
        <v>122536</v>
      </c>
      <c r="K1377" t="s">
        <v>386</v>
      </c>
      <c r="M1377" t="s">
        <v>387</v>
      </c>
      <c r="O1377" t="s">
        <v>1967</v>
      </c>
      <c r="P1377" t="s">
        <v>1968</v>
      </c>
      <c r="Q1377" t="s">
        <v>396</v>
      </c>
      <c r="R1377">
        <v>2069126</v>
      </c>
      <c r="S1377" t="s">
        <v>387</v>
      </c>
      <c r="U1377" t="s">
        <v>1970</v>
      </c>
      <c r="V1377" t="s">
        <v>398</v>
      </c>
      <c r="W1377" s="393">
        <v>2000000</v>
      </c>
      <c r="X1377" s="393">
        <v>501.22</v>
      </c>
      <c r="Y1377" s="393">
        <v>4520.26</v>
      </c>
      <c r="Z1377" s="393">
        <v>2000000</v>
      </c>
      <c r="AA1377">
        <v>301</v>
      </c>
      <c r="AB1377" s="400">
        <v>44550.845696180557</v>
      </c>
      <c r="AC1377" t="s">
        <v>36</v>
      </c>
    </row>
    <row r="1378" spans="1:29">
      <c r="A1378" t="s">
        <v>382</v>
      </c>
      <c r="B1378" t="s">
        <v>440</v>
      </c>
      <c r="C1378" t="s">
        <v>486</v>
      </c>
      <c r="D1378" t="s">
        <v>487</v>
      </c>
      <c r="E1378" t="s">
        <v>390</v>
      </c>
      <c r="F1378" t="s">
        <v>391</v>
      </c>
      <c r="G1378">
        <v>6103191</v>
      </c>
      <c r="H1378">
        <v>202112</v>
      </c>
      <c r="I1378" s="400">
        <v>44544</v>
      </c>
      <c r="J1378">
        <v>122536</v>
      </c>
      <c r="K1378" t="s">
        <v>386</v>
      </c>
      <c r="M1378" t="s">
        <v>387</v>
      </c>
      <c r="O1378" t="s">
        <v>1971</v>
      </c>
      <c r="P1378" t="s">
        <v>1972</v>
      </c>
      <c r="Q1378" t="s">
        <v>396</v>
      </c>
      <c r="R1378">
        <v>2069126</v>
      </c>
      <c r="S1378" t="s">
        <v>387</v>
      </c>
      <c r="U1378" t="s">
        <v>1973</v>
      </c>
      <c r="V1378" t="s">
        <v>398</v>
      </c>
      <c r="W1378" s="393">
        <v>600000</v>
      </c>
      <c r="X1378" s="393">
        <v>153.61000000000001</v>
      </c>
      <c r="Y1378" s="393">
        <v>1384.48</v>
      </c>
      <c r="Z1378" s="393">
        <v>600000</v>
      </c>
      <c r="AA1378">
        <v>301</v>
      </c>
      <c r="AB1378" s="400">
        <v>44546.70552103009</v>
      </c>
      <c r="AC1378" t="s">
        <v>36</v>
      </c>
    </row>
    <row r="1379" spans="1:29">
      <c r="A1379" t="s">
        <v>382</v>
      </c>
      <c r="B1379" t="s">
        <v>440</v>
      </c>
      <c r="C1379" t="s">
        <v>486</v>
      </c>
      <c r="D1379" t="s">
        <v>487</v>
      </c>
      <c r="E1379" t="s">
        <v>390</v>
      </c>
      <c r="F1379" t="s">
        <v>391</v>
      </c>
      <c r="G1379">
        <v>6103191</v>
      </c>
      <c r="H1379">
        <v>202112</v>
      </c>
      <c r="I1379" s="400">
        <v>44544</v>
      </c>
      <c r="J1379">
        <v>122536</v>
      </c>
      <c r="K1379" t="s">
        <v>386</v>
      </c>
      <c r="M1379" t="s">
        <v>387</v>
      </c>
      <c r="O1379" t="s">
        <v>1974</v>
      </c>
      <c r="P1379" t="s">
        <v>1975</v>
      </c>
      <c r="Q1379" t="s">
        <v>396</v>
      </c>
      <c r="R1379">
        <v>2069126</v>
      </c>
      <c r="S1379" t="s">
        <v>387</v>
      </c>
      <c r="U1379" t="s">
        <v>1976</v>
      </c>
      <c r="V1379" t="s">
        <v>398</v>
      </c>
      <c r="W1379" s="393">
        <v>600000</v>
      </c>
      <c r="X1379" s="393">
        <v>153.61000000000001</v>
      </c>
      <c r="Y1379" s="393">
        <v>1384.48</v>
      </c>
      <c r="Z1379" s="393">
        <v>600000</v>
      </c>
      <c r="AA1379">
        <v>301</v>
      </c>
      <c r="AB1379" s="400">
        <v>44546.70552103009</v>
      </c>
      <c r="AC1379" t="s">
        <v>36</v>
      </c>
    </row>
    <row r="1380" spans="1:29">
      <c r="A1380" t="s">
        <v>382</v>
      </c>
      <c r="B1380" t="s">
        <v>440</v>
      </c>
      <c r="C1380" t="s">
        <v>486</v>
      </c>
      <c r="D1380" t="s">
        <v>487</v>
      </c>
      <c r="E1380" t="s">
        <v>390</v>
      </c>
      <c r="F1380" t="s">
        <v>391</v>
      </c>
      <c r="G1380">
        <v>6103186</v>
      </c>
      <c r="H1380">
        <v>202112</v>
      </c>
      <c r="I1380" s="400">
        <v>44543</v>
      </c>
      <c r="J1380">
        <v>122536</v>
      </c>
      <c r="K1380" t="s">
        <v>386</v>
      </c>
      <c r="M1380" t="s">
        <v>387</v>
      </c>
      <c r="O1380" t="s">
        <v>1977</v>
      </c>
      <c r="P1380" t="s">
        <v>1978</v>
      </c>
      <c r="Q1380" t="s">
        <v>396</v>
      </c>
      <c r="R1380">
        <v>2069127</v>
      </c>
      <c r="S1380" t="s">
        <v>387</v>
      </c>
      <c r="U1380" t="s">
        <v>1979</v>
      </c>
      <c r="V1380" t="s">
        <v>398</v>
      </c>
      <c r="W1380" s="393">
        <v>2000000</v>
      </c>
      <c r="X1380" s="393">
        <v>512.02</v>
      </c>
      <c r="Y1380" s="393">
        <v>4614.9399999999996</v>
      </c>
      <c r="Z1380" s="393">
        <v>2000000</v>
      </c>
      <c r="AA1380">
        <v>301</v>
      </c>
      <c r="AB1380" s="400">
        <v>44545.94065300926</v>
      </c>
      <c r="AC1380" t="s">
        <v>36</v>
      </c>
    </row>
    <row r="1381" spans="1:29">
      <c r="A1381" t="s">
        <v>382</v>
      </c>
      <c r="B1381" t="s">
        <v>440</v>
      </c>
      <c r="C1381" t="s">
        <v>486</v>
      </c>
      <c r="D1381" t="s">
        <v>487</v>
      </c>
      <c r="E1381" t="s">
        <v>390</v>
      </c>
      <c r="F1381" t="s">
        <v>391</v>
      </c>
      <c r="G1381">
        <v>6103266</v>
      </c>
      <c r="H1381">
        <v>202112</v>
      </c>
      <c r="I1381" s="400">
        <v>44545</v>
      </c>
      <c r="J1381">
        <v>122536</v>
      </c>
      <c r="K1381" t="s">
        <v>386</v>
      </c>
      <c r="M1381" t="s">
        <v>387</v>
      </c>
      <c r="O1381" t="s">
        <v>1980</v>
      </c>
      <c r="P1381" t="s">
        <v>1981</v>
      </c>
      <c r="Q1381" t="s">
        <v>396</v>
      </c>
      <c r="R1381">
        <v>2069127</v>
      </c>
      <c r="S1381" t="s">
        <v>387</v>
      </c>
      <c r="U1381" t="s">
        <v>1982</v>
      </c>
      <c r="V1381" t="s">
        <v>398</v>
      </c>
      <c r="W1381" s="393">
        <v>2000000</v>
      </c>
      <c r="X1381" s="393">
        <v>512.02</v>
      </c>
      <c r="Y1381" s="393">
        <v>4614.9399999999996</v>
      </c>
      <c r="Z1381" s="393">
        <v>2000000</v>
      </c>
      <c r="AA1381">
        <v>301</v>
      </c>
      <c r="AB1381" s="400">
        <v>44550.642280821761</v>
      </c>
      <c r="AC1381" t="s">
        <v>36</v>
      </c>
    </row>
    <row r="1382" spans="1:29">
      <c r="A1382" t="s">
        <v>382</v>
      </c>
      <c r="B1382" t="s">
        <v>440</v>
      </c>
      <c r="C1382" t="s">
        <v>486</v>
      </c>
      <c r="D1382" t="s">
        <v>487</v>
      </c>
      <c r="E1382" t="s">
        <v>390</v>
      </c>
      <c r="F1382" t="s">
        <v>391</v>
      </c>
      <c r="G1382">
        <v>6103266</v>
      </c>
      <c r="H1382">
        <v>202112</v>
      </c>
      <c r="I1382" s="400">
        <v>44545</v>
      </c>
      <c r="J1382">
        <v>122536</v>
      </c>
      <c r="K1382" t="s">
        <v>386</v>
      </c>
      <c r="M1382" t="s">
        <v>387</v>
      </c>
      <c r="O1382" t="s">
        <v>1983</v>
      </c>
      <c r="P1382" t="s">
        <v>1984</v>
      </c>
      <c r="Q1382" t="s">
        <v>396</v>
      </c>
      <c r="R1382">
        <v>2069127</v>
      </c>
      <c r="S1382" t="s">
        <v>387</v>
      </c>
      <c r="U1382" t="s">
        <v>1985</v>
      </c>
      <c r="V1382" t="s">
        <v>398</v>
      </c>
      <c r="W1382" s="393">
        <v>2000000</v>
      </c>
      <c r="X1382" s="393">
        <v>512.02</v>
      </c>
      <c r="Y1382" s="393">
        <v>4614.9399999999996</v>
      </c>
      <c r="Z1382" s="393">
        <v>2000000</v>
      </c>
      <c r="AA1382">
        <v>301</v>
      </c>
      <c r="AB1382" s="400">
        <v>44550.642280821761</v>
      </c>
      <c r="AC1382" t="s">
        <v>36</v>
      </c>
    </row>
    <row r="1383" spans="1:29">
      <c r="A1383" t="s">
        <v>382</v>
      </c>
      <c r="B1383" t="s">
        <v>440</v>
      </c>
      <c r="C1383" t="s">
        <v>486</v>
      </c>
      <c r="D1383" t="s">
        <v>508</v>
      </c>
      <c r="E1383" t="s">
        <v>390</v>
      </c>
      <c r="F1383" t="s">
        <v>391</v>
      </c>
      <c r="G1383">
        <v>6103303</v>
      </c>
      <c r="H1383">
        <v>202112</v>
      </c>
      <c r="I1383" s="400">
        <v>44547</v>
      </c>
      <c r="J1383" t="s">
        <v>452</v>
      </c>
      <c r="K1383" t="s">
        <v>386</v>
      </c>
      <c r="M1383" t="s">
        <v>387</v>
      </c>
      <c r="O1383" t="s">
        <v>1986</v>
      </c>
      <c r="P1383" t="s">
        <v>1987</v>
      </c>
      <c r="Q1383" t="s">
        <v>396</v>
      </c>
      <c r="R1383">
        <v>2265784</v>
      </c>
      <c r="S1383" t="s">
        <v>387</v>
      </c>
      <c r="U1383" t="s">
        <v>1988</v>
      </c>
      <c r="V1383" t="s">
        <v>398</v>
      </c>
      <c r="W1383" s="393">
        <v>106400</v>
      </c>
      <c r="X1383" s="393">
        <v>26.66</v>
      </c>
      <c r="Y1383" s="393">
        <v>240.48</v>
      </c>
      <c r="Z1383" s="393">
        <v>106400</v>
      </c>
      <c r="AA1383">
        <v>0</v>
      </c>
      <c r="AB1383" s="400">
        <v>44550.984537962962</v>
      </c>
      <c r="AC1383" t="s">
        <v>326</v>
      </c>
    </row>
    <row r="1384" spans="1:29">
      <c r="A1384" t="s">
        <v>382</v>
      </c>
      <c r="B1384" t="s">
        <v>440</v>
      </c>
      <c r="C1384" t="s">
        <v>486</v>
      </c>
      <c r="D1384" t="s">
        <v>547</v>
      </c>
      <c r="E1384" t="s">
        <v>390</v>
      </c>
      <c r="F1384" t="s">
        <v>391</v>
      </c>
      <c r="G1384">
        <v>6102464</v>
      </c>
      <c r="H1384">
        <v>202110</v>
      </c>
      <c r="I1384" s="400">
        <v>44491</v>
      </c>
      <c r="J1384">
        <v>124932</v>
      </c>
      <c r="K1384" t="s">
        <v>386</v>
      </c>
      <c r="M1384" t="s">
        <v>387</v>
      </c>
      <c r="O1384" t="s">
        <v>565</v>
      </c>
      <c r="P1384" t="s">
        <v>566</v>
      </c>
      <c r="Q1384" t="s">
        <v>396</v>
      </c>
      <c r="R1384">
        <v>2069126</v>
      </c>
      <c r="S1384" t="s">
        <v>387</v>
      </c>
      <c r="U1384" t="s">
        <v>1989</v>
      </c>
      <c r="V1384" t="s">
        <v>398</v>
      </c>
      <c r="W1384" s="393">
        <v>300000</v>
      </c>
      <c r="X1384" s="393">
        <v>79.56</v>
      </c>
      <c r="Y1384" s="393">
        <v>691.04</v>
      </c>
      <c r="Z1384" s="393">
        <v>300000</v>
      </c>
      <c r="AA1384">
        <v>0</v>
      </c>
      <c r="AB1384" s="400">
        <v>44497.91976084491</v>
      </c>
      <c r="AC1384" t="s">
        <v>36</v>
      </c>
    </row>
    <row r="1385" spans="1:29">
      <c r="A1385" t="s">
        <v>382</v>
      </c>
      <c r="B1385" t="s">
        <v>440</v>
      </c>
      <c r="C1385" t="s">
        <v>486</v>
      </c>
      <c r="D1385" t="s">
        <v>547</v>
      </c>
      <c r="E1385" t="s">
        <v>390</v>
      </c>
      <c r="F1385" t="s">
        <v>391</v>
      </c>
      <c r="G1385">
        <v>6102464</v>
      </c>
      <c r="H1385">
        <v>202110</v>
      </c>
      <c r="I1385" s="400">
        <v>44491</v>
      </c>
      <c r="J1385">
        <v>124932</v>
      </c>
      <c r="K1385" t="s">
        <v>386</v>
      </c>
      <c r="M1385" t="s">
        <v>387</v>
      </c>
      <c r="O1385" t="s">
        <v>557</v>
      </c>
      <c r="P1385" t="s">
        <v>558</v>
      </c>
      <c r="Q1385" t="s">
        <v>396</v>
      </c>
      <c r="R1385">
        <v>2069126</v>
      </c>
      <c r="S1385" t="s">
        <v>387</v>
      </c>
      <c r="U1385" t="s">
        <v>1990</v>
      </c>
      <c r="V1385" t="s">
        <v>398</v>
      </c>
      <c r="W1385" s="393">
        <v>2400000</v>
      </c>
      <c r="X1385" s="393">
        <v>636.5</v>
      </c>
      <c r="Y1385" s="393">
        <v>5528.35</v>
      </c>
      <c r="Z1385" s="393">
        <v>2400000</v>
      </c>
      <c r="AA1385">
        <v>312</v>
      </c>
      <c r="AB1385" s="400">
        <v>44497.919761377314</v>
      </c>
      <c r="AC1385" t="s">
        <v>36</v>
      </c>
    </row>
    <row r="1386" spans="1:29">
      <c r="A1386" t="s">
        <v>382</v>
      </c>
      <c r="B1386" t="s">
        <v>440</v>
      </c>
      <c r="C1386" t="s">
        <v>486</v>
      </c>
      <c r="D1386" t="s">
        <v>547</v>
      </c>
      <c r="E1386" t="s">
        <v>390</v>
      </c>
      <c r="F1386" t="s">
        <v>391</v>
      </c>
      <c r="G1386">
        <v>6102464</v>
      </c>
      <c r="H1386">
        <v>202110</v>
      </c>
      <c r="I1386" s="400">
        <v>44491</v>
      </c>
      <c r="J1386">
        <v>124932</v>
      </c>
      <c r="K1386" t="s">
        <v>386</v>
      </c>
      <c r="M1386" t="s">
        <v>387</v>
      </c>
      <c r="O1386" t="s">
        <v>557</v>
      </c>
      <c r="P1386" t="s">
        <v>558</v>
      </c>
      <c r="Q1386" t="s">
        <v>396</v>
      </c>
      <c r="R1386">
        <v>2069127</v>
      </c>
      <c r="S1386" t="s">
        <v>387</v>
      </c>
      <c r="U1386" t="s">
        <v>1991</v>
      </c>
      <c r="V1386" t="s">
        <v>398</v>
      </c>
      <c r="W1386" s="393">
        <v>2500000</v>
      </c>
      <c r="X1386" s="393">
        <v>663.03</v>
      </c>
      <c r="Y1386" s="393">
        <v>5758.7</v>
      </c>
      <c r="Z1386" s="393">
        <v>2500000</v>
      </c>
      <c r="AA1386">
        <v>312</v>
      </c>
      <c r="AB1386" s="400">
        <v>44497.919761030091</v>
      </c>
      <c r="AC1386" t="s">
        <v>36</v>
      </c>
    </row>
    <row r="1387" spans="1:29">
      <c r="A1387" t="s">
        <v>382</v>
      </c>
      <c r="B1387" t="s">
        <v>440</v>
      </c>
      <c r="C1387" t="s">
        <v>486</v>
      </c>
      <c r="D1387" t="s">
        <v>547</v>
      </c>
      <c r="E1387" t="s">
        <v>390</v>
      </c>
      <c r="F1387" t="s">
        <v>391</v>
      </c>
      <c r="G1387">
        <v>6102863</v>
      </c>
      <c r="H1387">
        <v>202111</v>
      </c>
      <c r="I1387" s="400">
        <v>44519</v>
      </c>
      <c r="J1387">
        <v>122536</v>
      </c>
      <c r="K1387" t="s">
        <v>386</v>
      </c>
      <c r="M1387" t="s">
        <v>387</v>
      </c>
      <c r="O1387" t="s">
        <v>557</v>
      </c>
      <c r="P1387" t="s">
        <v>558</v>
      </c>
      <c r="Q1387" t="s">
        <v>396</v>
      </c>
      <c r="R1387">
        <v>2069126</v>
      </c>
      <c r="S1387" t="s">
        <v>387</v>
      </c>
      <c r="U1387" t="s">
        <v>1992</v>
      </c>
      <c r="V1387" t="s">
        <v>398</v>
      </c>
      <c r="W1387" s="393">
        <v>2000000</v>
      </c>
      <c r="X1387" s="393">
        <v>511.78</v>
      </c>
      <c r="Y1387" s="393">
        <v>4388.66</v>
      </c>
      <c r="Z1387" s="393">
        <v>2000000</v>
      </c>
      <c r="AA1387">
        <v>312</v>
      </c>
      <c r="AB1387" s="400">
        <v>44521.726549074076</v>
      </c>
      <c r="AC1387" t="s">
        <v>36</v>
      </c>
    </row>
    <row r="1388" spans="1:29">
      <c r="A1388" t="s">
        <v>382</v>
      </c>
      <c r="B1388" t="s">
        <v>440</v>
      </c>
      <c r="C1388" t="s">
        <v>486</v>
      </c>
      <c r="D1388" t="s">
        <v>547</v>
      </c>
      <c r="E1388" t="s">
        <v>390</v>
      </c>
      <c r="F1388" t="s">
        <v>391</v>
      </c>
      <c r="G1388">
        <v>6102863</v>
      </c>
      <c r="H1388">
        <v>202111</v>
      </c>
      <c r="I1388" s="400">
        <v>44519</v>
      </c>
      <c r="J1388">
        <v>122536</v>
      </c>
      <c r="K1388" t="s">
        <v>386</v>
      </c>
      <c r="M1388" t="s">
        <v>387</v>
      </c>
      <c r="O1388" t="s">
        <v>557</v>
      </c>
      <c r="P1388" t="s">
        <v>558</v>
      </c>
      <c r="Q1388" t="s">
        <v>396</v>
      </c>
      <c r="R1388">
        <v>2069127</v>
      </c>
      <c r="S1388" t="s">
        <v>387</v>
      </c>
      <c r="U1388" t="s">
        <v>1993</v>
      </c>
      <c r="V1388" t="s">
        <v>398</v>
      </c>
      <c r="W1388" s="393">
        <v>2000000</v>
      </c>
      <c r="X1388" s="393">
        <v>511.78</v>
      </c>
      <c r="Y1388" s="393">
        <v>4388.66</v>
      </c>
      <c r="Z1388" s="393">
        <v>2000000</v>
      </c>
      <c r="AA1388">
        <v>312</v>
      </c>
      <c r="AB1388" s="400">
        <v>44521.726548877312</v>
      </c>
      <c r="AC1388" t="s">
        <v>36</v>
      </c>
    </row>
    <row r="1389" spans="1:29">
      <c r="A1389" t="s">
        <v>382</v>
      </c>
      <c r="B1389" t="s">
        <v>440</v>
      </c>
      <c r="C1389" t="s">
        <v>486</v>
      </c>
      <c r="D1389" t="s">
        <v>547</v>
      </c>
      <c r="E1389" t="s">
        <v>390</v>
      </c>
      <c r="F1389" t="s">
        <v>391</v>
      </c>
      <c r="G1389">
        <v>6102743</v>
      </c>
      <c r="H1389">
        <v>202111</v>
      </c>
      <c r="I1389" s="400">
        <v>44509</v>
      </c>
      <c r="J1389">
        <v>122536</v>
      </c>
      <c r="K1389" t="s">
        <v>386</v>
      </c>
      <c r="M1389" t="s">
        <v>387</v>
      </c>
      <c r="O1389" t="s">
        <v>557</v>
      </c>
      <c r="P1389" t="s">
        <v>558</v>
      </c>
      <c r="Q1389" t="s">
        <v>396</v>
      </c>
      <c r="R1389">
        <v>2069126</v>
      </c>
      <c r="S1389" t="s">
        <v>387</v>
      </c>
      <c r="U1389" t="s">
        <v>1994</v>
      </c>
      <c r="V1389" t="s">
        <v>398</v>
      </c>
      <c r="W1389" s="393">
        <v>2000000</v>
      </c>
      <c r="X1389" s="393">
        <v>521.12</v>
      </c>
      <c r="Y1389" s="393">
        <v>4435.82</v>
      </c>
      <c r="Z1389" s="393">
        <v>2000000</v>
      </c>
      <c r="AA1389">
        <v>312</v>
      </c>
      <c r="AB1389" s="400">
        <v>44518.896630520831</v>
      </c>
      <c r="AC1389" t="s">
        <v>36</v>
      </c>
    </row>
    <row r="1390" spans="1:29">
      <c r="A1390" t="s">
        <v>382</v>
      </c>
      <c r="B1390" t="s">
        <v>440</v>
      </c>
      <c r="C1390" t="s">
        <v>486</v>
      </c>
      <c r="D1390" t="s">
        <v>547</v>
      </c>
      <c r="E1390" t="s">
        <v>390</v>
      </c>
      <c r="F1390" t="s">
        <v>391</v>
      </c>
      <c r="G1390">
        <v>6102743</v>
      </c>
      <c r="H1390">
        <v>202111</v>
      </c>
      <c r="I1390" s="400">
        <v>44509</v>
      </c>
      <c r="J1390">
        <v>122536</v>
      </c>
      <c r="K1390" t="s">
        <v>386</v>
      </c>
      <c r="M1390" t="s">
        <v>387</v>
      </c>
      <c r="O1390" t="s">
        <v>565</v>
      </c>
      <c r="P1390" t="s">
        <v>566</v>
      </c>
      <c r="Q1390" t="s">
        <v>396</v>
      </c>
      <c r="R1390">
        <v>2069126</v>
      </c>
      <c r="S1390" t="s">
        <v>387</v>
      </c>
      <c r="U1390" t="s">
        <v>1995</v>
      </c>
      <c r="V1390" t="s">
        <v>398</v>
      </c>
      <c r="W1390" s="393">
        <v>2000000</v>
      </c>
      <c r="X1390" s="393">
        <v>521.12</v>
      </c>
      <c r="Y1390" s="393">
        <v>4435.82</v>
      </c>
      <c r="Z1390" s="393">
        <v>2000000</v>
      </c>
      <c r="AA1390">
        <v>312</v>
      </c>
      <c r="AB1390" s="400">
        <v>44518.896630902775</v>
      </c>
      <c r="AC1390" t="s">
        <v>36</v>
      </c>
    </row>
    <row r="1391" spans="1:29">
      <c r="A1391" t="s">
        <v>382</v>
      </c>
      <c r="B1391" t="s">
        <v>440</v>
      </c>
      <c r="C1391" t="s">
        <v>486</v>
      </c>
      <c r="D1391" t="s">
        <v>547</v>
      </c>
      <c r="E1391" t="s">
        <v>390</v>
      </c>
      <c r="F1391" t="s">
        <v>391</v>
      </c>
      <c r="G1391">
        <v>6103392</v>
      </c>
      <c r="H1391">
        <v>202112</v>
      </c>
      <c r="I1391" s="400">
        <v>44552</v>
      </c>
      <c r="J1391">
        <v>122536</v>
      </c>
      <c r="K1391" t="s">
        <v>386</v>
      </c>
      <c r="M1391" t="s">
        <v>387</v>
      </c>
      <c r="O1391" t="s">
        <v>565</v>
      </c>
      <c r="P1391" t="s">
        <v>566</v>
      </c>
      <c r="Q1391" t="s">
        <v>396</v>
      </c>
      <c r="R1391">
        <v>2069126</v>
      </c>
      <c r="S1391" t="s">
        <v>387</v>
      </c>
      <c r="U1391" t="s">
        <v>1996</v>
      </c>
      <c r="V1391" t="s">
        <v>398</v>
      </c>
      <c r="W1391" s="393">
        <v>2000000</v>
      </c>
      <c r="X1391" s="393">
        <v>501.22</v>
      </c>
      <c r="Y1391" s="393">
        <v>4520.26</v>
      </c>
      <c r="Z1391" s="393">
        <v>2000000</v>
      </c>
      <c r="AA1391">
        <v>312</v>
      </c>
      <c r="AB1391" s="400">
        <v>44559.728658912034</v>
      </c>
      <c r="AC1391" t="s">
        <v>36</v>
      </c>
    </row>
    <row r="1392" spans="1:29">
      <c r="A1392" t="s">
        <v>382</v>
      </c>
      <c r="B1392" t="s">
        <v>440</v>
      </c>
      <c r="C1392" t="s">
        <v>486</v>
      </c>
      <c r="D1392" t="s">
        <v>547</v>
      </c>
      <c r="E1392" t="s">
        <v>390</v>
      </c>
      <c r="F1392" t="s">
        <v>391</v>
      </c>
      <c r="G1392">
        <v>6103270</v>
      </c>
      <c r="H1392">
        <v>202112</v>
      </c>
      <c r="I1392" s="400">
        <v>44546</v>
      </c>
      <c r="J1392">
        <v>122536</v>
      </c>
      <c r="K1392" t="s">
        <v>386</v>
      </c>
      <c r="M1392" t="s">
        <v>387</v>
      </c>
      <c r="O1392" t="s">
        <v>1997</v>
      </c>
      <c r="P1392" t="s">
        <v>1998</v>
      </c>
      <c r="Q1392" t="s">
        <v>396</v>
      </c>
      <c r="R1392">
        <v>2069127</v>
      </c>
      <c r="S1392" t="s">
        <v>387</v>
      </c>
      <c r="U1392" t="s">
        <v>1999</v>
      </c>
      <c r="V1392" t="s">
        <v>398</v>
      </c>
      <c r="W1392" s="393">
        <v>2300000</v>
      </c>
      <c r="X1392" s="393">
        <v>576.4</v>
      </c>
      <c r="Y1392" s="393">
        <v>5198.3</v>
      </c>
      <c r="Z1392" s="393">
        <v>2300000</v>
      </c>
      <c r="AA1392">
        <v>312</v>
      </c>
      <c r="AB1392" s="400">
        <v>44550.674272766206</v>
      </c>
      <c r="AC1392" t="s">
        <v>36</v>
      </c>
    </row>
    <row r="1393" spans="1:29">
      <c r="A1393" t="s">
        <v>382</v>
      </c>
      <c r="B1393" t="s">
        <v>440</v>
      </c>
      <c r="C1393" t="s">
        <v>486</v>
      </c>
      <c r="D1393" t="s">
        <v>547</v>
      </c>
      <c r="E1393" t="s">
        <v>390</v>
      </c>
      <c r="F1393" t="s">
        <v>391</v>
      </c>
      <c r="G1393">
        <v>6103270</v>
      </c>
      <c r="H1393">
        <v>202112</v>
      </c>
      <c r="I1393" s="400">
        <v>44546</v>
      </c>
      <c r="J1393">
        <v>122536</v>
      </c>
      <c r="K1393" t="s">
        <v>386</v>
      </c>
      <c r="M1393" t="s">
        <v>387</v>
      </c>
      <c r="O1393" t="s">
        <v>1997</v>
      </c>
      <c r="P1393" t="s">
        <v>1998</v>
      </c>
      <c r="Q1393" t="s">
        <v>396</v>
      </c>
      <c r="R1393">
        <v>2069126</v>
      </c>
      <c r="S1393" t="s">
        <v>387</v>
      </c>
      <c r="U1393" t="s">
        <v>2000</v>
      </c>
      <c r="V1393" t="s">
        <v>398</v>
      </c>
      <c r="W1393" s="393">
        <v>2300000</v>
      </c>
      <c r="X1393" s="393">
        <v>576.4</v>
      </c>
      <c r="Y1393" s="393">
        <v>5198.3</v>
      </c>
      <c r="Z1393" s="393">
        <v>2300000</v>
      </c>
      <c r="AA1393">
        <v>312</v>
      </c>
      <c r="AB1393" s="400">
        <v>44550.674272951386</v>
      </c>
      <c r="AC1393" t="s">
        <v>36</v>
      </c>
    </row>
    <row r="1394" spans="1:29">
      <c r="A1394" t="s">
        <v>382</v>
      </c>
      <c r="B1394" t="s">
        <v>440</v>
      </c>
      <c r="C1394" t="s">
        <v>486</v>
      </c>
      <c r="D1394" t="s">
        <v>547</v>
      </c>
      <c r="E1394" t="s">
        <v>390</v>
      </c>
      <c r="F1394" t="s">
        <v>391</v>
      </c>
      <c r="G1394">
        <v>6103191</v>
      </c>
      <c r="H1394">
        <v>202112</v>
      </c>
      <c r="I1394" s="400">
        <v>44544</v>
      </c>
      <c r="J1394">
        <v>122536</v>
      </c>
      <c r="K1394" t="s">
        <v>386</v>
      </c>
      <c r="M1394" t="s">
        <v>387</v>
      </c>
      <c r="O1394" t="s">
        <v>1071</v>
      </c>
      <c r="P1394" t="s">
        <v>1072</v>
      </c>
      <c r="Q1394" t="s">
        <v>396</v>
      </c>
      <c r="R1394">
        <v>2069127</v>
      </c>
      <c r="S1394" t="s">
        <v>387</v>
      </c>
      <c r="U1394" t="s">
        <v>2001</v>
      </c>
      <c r="V1394" t="s">
        <v>398</v>
      </c>
      <c r="W1394" s="393">
        <v>2000000</v>
      </c>
      <c r="X1394" s="393">
        <v>512.02</v>
      </c>
      <c r="Y1394" s="393">
        <v>4614.9399999999996</v>
      </c>
      <c r="Z1394" s="393">
        <v>2000000</v>
      </c>
      <c r="AA1394">
        <v>312</v>
      </c>
      <c r="AB1394" s="400">
        <v>44546.705520636577</v>
      </c>
      <c r="AC1394" t="s">
        <v>36</v>
      </c>
    </row>
    <row r="1395" spans="1:29">
      <c r="A1395" t="s">
        <v>382</v>
      </c>
      <c r="B1395" t="s">
        <v>440</v>
      </c>
      <c r="C1395" t="s">
        <v>486</v>
      </c>
      <c r="D1395" t="s">
        <v>547</v>
      </c>
      <c r="E1395" t="s">
        <v>390</v>
      </c>
      <c r="F1395" t="s">
        <v>391</v>
      </c>
      <c r="G1395">
        <v>6103191</v>
      </c>
      <c r="H1395">
        <v>202112</v>
      </c>
      <c r="I1395" s="400">
        <v>44544</v>
      </c>
      <c r="J1395">
        <v>122536</v>
      </c>
      <c r="K1395" t="s">
        <v>386</v>
      </c>
      <c r="M1395" t="s">
        <v>387</v>
      </c>
      <c r="O1395" t="s">
        <v>1071</v>
      </c>
      <c r="P1395" t="s">
        <v>1072</v>
      </c>
      <c r="Q1395" t="s">
        <v>396</v>
      </c>
      <c r="R1395">
        <v>2069126</v>
      </c>
      <c r="S1395" t="s">
        <v>387</v>
      </c>
      <c r="U1395" t="s">
        <v>2002</v>
      </c>
      <c r="V1395" t="s">
        <v>398</v>
      </c>
      <c r="W1395" s="393">
        <v>2300000</v>
      </c>
      <c r="X1395" s="393">
        <v>588.82000000000005</v>
      </c>
      <c r="Y1395" s="393">
        <v>5307.18</v>
      </c>
      <c r="Z1395" s="393">
        <v>2300000</v>
      </c>
      <c r="AA1395">
        <v>312</v>
      </c>
      <c r="AB1395" s="400">
        <v>44546.70552048611</v>
      </c>
      <c r="AC1395" t="s">
        <v>36</v>
      </c>
    </row>
    <row r="1396" spans="1:29">
      <c r="A1396" t="s">
        <v>382</v>
      </c>
      <c r="B1396" t="s">
        <v>440</v>
      </c>
      <c r="C1396" t="s">
        <v>486</v>
      </c>
      <c r="D1396" t="s">
        <v>2003</v>
      </c>
      <c r="E1396" t="s">
        <v>390</v>
      </c>
      <c r="F1396" t="s">
        <v>391</v>
      </c>
      <c r="G1396">
        <v>6102432</v>
      </c>
      <c r="H1396">
        <v>202110</v>
      </c>
      <c r="I1396" s="400">
        <v>44489</v>
      </c>
      <c r="J1396" t="s">
        <v>1016</v>
      </c>
      <c r="K1396" t="s">
        <v>386</v>
      </c>
      <c r="M1396" t="s">
        <v>387</v>
      </c>
      <c r="O1396" t="s">
        <v>535</v>
      </c>
      <c r="P1396" t="s">
        <v>536</v>
      </c>
      <c r="Q1396" t="s">
        <v>396</v>
      </c>
      <c r="R1396">
        <v>2069132</v>
      </c>
      <c r="S1396" t="s">
        <v>387</v>
      </c>
      <c r="U1396" t="s">
        <v>2004</v>
      </c>
      <c r="V1396" t="s">
        <v>398</v>
      </c>
      <c r="W1396" s="393">
        <v>180000</v>
      </c>
      <c r="X1396" s="393">
        <v>47.52</v>
      </c>
      <c r="Y1396" s="393">
        <v>408.5</v>
      </c>
      <c r="Z1396" s="393">
        <v>180000</v>
      </c>
      <c r="AA1396">
        <v>313</v>
      </c>
      <c r="AB1396" s="400">
        <v>44490.717552858798</v>
      </c>
      <c r="AC1396" t="s">
        <v>56</v>
      </c>
    </row>
    <row r="1397" spans="1:29">
      <c r="A1397" t="s">
        <v>382</v>
      </c>
      <c r="B1397" t="s">
        <v>440</v>
      </c>
      <c r="C1397" t="s">
        <v>486</v>
      </c>
      <c r="D1397" t="s">
        <v>571</v>
      </c>
      <c r="E1397" t="s">
        <v>390</v>
      </c>
      <c r="F1397" t="s">
        <v>391</v>
      </c>
      <c r="G1397">
        <v>6102466</v>
      </c>
      <c r="H1397">
        <v>202110</v>
      </c>
      <c r="I1397" s="400">
        <v>44495</v>
      </c>
      <c r="J1397">
        <v>122536</v>
      </c>
      <c r="K1397" t="s">
        <v>386</v>
      </c>
      <c r="M1397" t="s">
        <v>387</v>
      </c>
      <c r="O1397" t="s">
        <v>950</v>
      </c>
      <c r="P1397" t="s">
        <v>951</v>
      </c>
      <c r="Q1397" t="s">
        <v>396</v>
      </c>
      <c r="R1397">
        <v>2069132</v>
      </c>
      <c r="S1397" t="s">
        <v>387</v>
      </c>
      <c r="U1397" t="s">
        <v>2005</v>
      </c>
      <c r="V1397" t="s">
        <v>398</v>
      </c>
      <c r="W1397" s="393">
        <v>400000</v>
      </c>
      <c r="X1397" s="393">
        <v>106.08</v>
      </c>
      <c r="Y1397" s="393">
        <v>921.39</v>
      </c>
      <c r="Z1397" s="393">
        <v>400000</v>
      </c>
      <c r="AA1397">
        <v>0</v>
      </c>
      <c r="AB1397" s="400">
        <v>44498.099531250002</v>
      </c>
      <c r="AC1397" t="s">
        <v>56</v>
      </c>
    </row>
    <row r="1398" spans="1:29">
      <c r="A1398" t="s">
        <v>382</v>
      </c>
      <c r="B1398" t="s">
        <v>440</v>
      </c>
      <c r="C1398" t="s">
        <v>486</v>
      </c>
      <c r="D1398" t="s">
        <v>571</v>
      </c>
      <c r="E1398" t="s">
        <v>390</v>
      </c>
      <c r="F1398" t="s">
        <v>391</v>
      </c>
      <c r="G1398">
        <v>6102648</v>
      </c>
      <c r="H1398">
        <v>202110</v>
      </c>
      <c r="I1398" s="400">
        <v>44490</v>
      </c>
      <c r="J1398">
        <v>124932</v>
      </c>
      <c r="K1398" t="s">
        <v>386</v>
      </c>
      <c r="M1398" t="s">
        <v>387</v>
      </c>
      <c r="O1398" t="s">
        <v>587</v>
      </c>
      <c r="P1398" t="s">
        <v>588</v>
      </c>
      <c r="Q1398" t="s">
        <v>396</v>
      </c>
      <c r="R1398">
        <v>2069132</v>
      </c>
      <c r="S1398" t="s">
        <v>387</v>
      </c>
      <c r="U1398" t="s">
        <v>2006</v>
      </c>
      <c r="V1398" t="s">
        <v>398</v>
      </c>
      <c r="W1398" s="393">
        <v>142010</v>
      </c>
      <c r="X1398" s="393">
        <v>37.659999999999997</v>
      </c>
      <c r="Y1398" s="393">
        <v>327.12</v>
      </c>
      <c r="Z1398" s="393">
        <v>142010</v>
      </c>
      <c r="AA1398">
        <v>0</v>
      </c>
      <c r="AB1398" s="400">
        <v>44502.711907210651</v>
      </c>
      <c r="AC1398" t="s">
        <v>56</v>
      </c>
    </row>
    <row r="1399" spans="1:29">
      <c r="A1399" t="s">
        <v>382</v>
      </c>
      <c r="B1399" t="s">
        <v>440</v>
      </c>
      <c r="C1399" t="s">
        <v>486</v>
      </c>
      <c r="D1399" t="s">
        <v>571</v>
      </c>
      <c r="E1399" t="s">
        <v>390</v>
      </c>
      <c r="F1399" t="s">
        <v>391</v>
      </c>
      <c r="G1399">
        <v>6102648</v>
      </c>
      <c r="H1399">
        <v>202110</v>
      </c>
      <c r="I1399" s="400">
        <v>44490</v>
      </c>
      <c r="J1399">
        <v>124932</v>
      </c>
      <c r="K1399" t="s">
        <v>386</v>
      </c>
      <c r="M1399" t="s">
        <v>387</v>
      </c>
      <c r="O1399" t="s">
        <v>587</v>
      </c>
      <c r="P1399" t="s">
        <v>588</v>
      </c>
      <c r="Q1399" t="s">
        <v>396</v>
      </c>
      <c r="R1399">
        <v>2069132</v>
      </c>
      <c r="S1399" t="s">
        <v>387</v>
      </c>
      <c r="U1399" t="s">
        <v>2007</v>
      </c>
      <c r="V1399" t="s">
        <v>398</v>
      </c>
      <c r="W1399" s="393">
        <v>140000</v>
      </c>
      <c r="X1399" s="393">
        <v>37.130000000000003</v>
      </c>
      <c r="Y1399" s="393">
        <v>322.49</v>
      </c>
      <c r="Z1399" s="393">
        <v>140000</v>
      </c>
      <c r="AA1399">
        <v>0</v>
      </c>
      <c r="AB1399" s="400">
        <v>44502.711907210651</v>
      </c>
      <c r="AC1399" t="s">
        <v>56</v>
      </c>
    </row>
    <row r="1400" spans="1:29">
      <c r="A1400" t="s">
        <v>382</v>
      </c>
      <c r="B1400" t="s">
        <v>440</v>
      </c>
      <c r="C1400" t="s">
        <v>486</v>
      </c>
      <c r="D1400" t="s">
        <v>571</v>
      </c>
      <c r="E1400" t="s">
        <v>390</v>
      </c>
      <c r="F1400" t="s">
        <v>391</v>
      </c>
      <c r="G1400">
        <v>6102648</v>
      </c>
      <c r="H1400">
        <v>202110</v>
      </c>
      <c r="I1400" s="400">
        <v>44490</v>
      </c>
      <c r="J1400">
        <v>124932</v>
      </c>
      <c r="K1400" t="s">
        <v>386</v>
      </c>
      <c r="M1400" t="s">
        <v>387</v>
      </c>
      <c r="O1400" t="s">
        <v>906</v>
      </c>
      <c r="P1400" t="s">
        <v>907</v>
      </c>
      <c r="Q1400" t="s">
        <v>396</v>
      </c>
      <c r="R1400">
        <v>2069132</v>
      </c>
      <c r="S1400" t="s">
        <v>387</v>
      </c>
      <c r="U1400" t="s">
        <v>2008</v>
      </c>
      <c r="V1400" t="s">
        <v>398</v>
      </c>
      <c r="W1400" s="393">
        <v>67000</v>
      </c>
      <c r="X1400" s="393">
        <v>17.77</v>
      </c>
      <c r="Y1400" s="393">
        <v>154.33000000000001</v>
      </c>
      <c r="Z1400" s="393">
        <v>67000</v>
      </c>
      <c r="AA1400">
        <v>0</v>
      </c>
      <c r="AB1400" s="400">
        <v>44502.711907060184</v>
      </c>
      <c r="AC1400" t="s">
        <v>56</v>
      </c>
    </row>
    <row r="1401" spans="1:29">
      <c r="A1401" t="s">
        <v>382</v>
      </c>
      <c r="B1401" t="s">
        <v>440</v>
      </c>
      <c r="C1401" t="s">
        <v>486</v>
      </c>
      <c r="D1401" t="s">
        <v>571</v>
      </c>
      <c r="E1401" t="s">
        <v>390</v>
      </c>
      <c r="F1401" t="s">
        <v>391</v>
      </c>
      <c r="G1401">
        <v>6102466</v>
      </c>
      <c r="H1401">
        <v>202110</v>
      </c>
      <c r="I1401" s="400">
        <v>44495</v>
      </c>
      <c r="J1401">
        <v>122536</v>
      </c>
      <c r="K1401" t="s">
        <v>386</v>
      </c>
      <c r="M1401" t="s">
        <v>387</v>
      </c>
      <c r="O1401" t="s">
        <v>950</v>
      </c>
      <c r="P1401" t="s">
        <v>951</v>
      </c>
      <c r="Q1401" t="s">
        <v>396</v>
      </c>
      <c r="R1401">
        <v>2069132</v>
      </c>
      <c r="S1401" t="s">
        <v>387</v>
      </c>
      <c r="U1401" t="s">
        <v>2009</v>
      </c>
      <c r="V1401" t="s">
        <v>398</v>
      </c>
      <c r="W1401" s="393">
        <v>330000</v>
      </c>
      <c r="X1401" s="393">
        <v>87.52</v>
      </c>
      <c r="Y1401" s="393">
        <v>760.15</v>
      </c>
      <c r="Z1401" s="393">
        <v>330000</v>
      </c>
      <c r="AA1401">
        <v>0</v>
      </c>
      <c r="AB1401" s="400">
        <v>44498.099531446758</v>
      </c>
      <c r="AC1401" t="s">
        <v>56</v>
      </c>
    </row>
    <row r="1402" spans="1:29">
      <c r="A1402" t="s">
        <v>382</v>
      </c>
      <c r="B1402" t="s">
        <v>440</v>
      </c>
      <c r="C1402" t="s">
        <v>486</v>
      </c>
      <c r="D1402" t="s">
        <v>571</v>
      </c>
      <c r="E1402" t="s">
        <v>390</v>
      </c>
      <c r="F1402" t="s">
        <v>391</v>
      </c>
      <c r="G1402">
        <v>6102432</v>
      </c>
      <c r="H1402">
        <v>202110</v>
      </c>
      <c r="I1402" s="400">
        <v>44489</v>
      </c>
      <c r="J1402" t="s">
        <v>1016</v>
      </c>
      <c r="K1402" t="s">
        <v>386</v>
      </c>
      <c r="M1402" t="s">
        <v>387</v>
      </c>
      <c r="O1402" t="s">
        <v>950</v>
      </c>
      <c r="P1402" t="s">
        <v>951</v>
      </c>
      <c r="Q1402" t="s">
        <v>396</v>
      </c>
      <c r="R1402">
        <v>2069132</v>
      </c>
      <c r="S1402" t="s">
        <v>387</v>
      </c>
      <c r="U1402" t="s">
        <v>2010</v>
      </c>
      <c r="V1402" t="s">
        <v>398</v>
      </c>
      <c r="W1402" s="393">
        <v>490000</v>
      </c>
      <c r="X1402" s="393">
        <v>129.36000000000001</v>
      </c>
      <c r="Y1402" s="393">
        <v>1112.04</v>
      </c>
      <c r="Z1402" s="393">
        <v>490000</v>
      </c>
      <c r="AA1402">
        <v>0</v>
      </c>
      <c r="AB1402" s="400">
        <v>44490.717550497684</v>
      </c>
      <c r="AC1402" t="s">
        <v>56</v>
      </c>
    </row>
    <row r="1403" spans="1:29">
      <c r="A1403" t="s">
        <v>382</v>
      </c>
      <c r="B1403" t="s">
        <v>440</v>
      </c>
      <c r="C1403" t="s">
        <v>486</v>
      </c>
      <c r="D1403" t="s">
        <v>571</v>
      </c>
      <c r="E1403" t="s">
        <v>390</v>
      </c>
      <c r="F1403" t="s">
        <v>391</v>
      </c>
      <c r="G1403">
        <v>6102373</v>
      </c>
      <c r="H1403">
        <v>202110</v>
      </c>
      <c r="I1403" s="400">
        <v>44483</v>
      </c>
      <c r="J1403">
        <v>124932</v>
      </c>
      <c r="K1403" t="s">
        <v>386</v>
      </c>
      <c r="M1403" t="s">
        <v>387</v>
      </c>
      <c r="O1403" t="s">
        <v>950</v>
      </c>
      <c r="P1403" t="s">
        <v>951</v>
      </c>
      <c r="Q1403" t="s">
        <v>396</v>
      </c>
      <c r="R1403">
        <v>2069127</v>
      </c>
      <c r="S1403" t="s">
        <v>387</v>
      </c>
      <c r="U1403" t="s">
        <v>2011</v>
      </c>
      <c r="V1403" t="s">
        <v>398</v>
      </c>
      <c r="W1403" s="393">
        <v>350000</v>
      </c>
      <c r="X1403" s="393">
        <v>92.4</v>
      </c>
      <c r="Y1403" s="393">
        <v>794.31</v>
      </c>
      <c r="Z1403" s="393">
        <v>350000</v>
      </c>
      <c r="AA1403">
        <v>0</v>
      </c>
      <c r="AB1403" s="400">
        <v>44488.917233946762</v>
      </c>
      <c r="AC1403" t="s">
        <v>36</v>
      </c>
    </row>
    <row r="1404" spans="1:29">
      <c r="A1404" t="s">
        <v>382</v>
      </c>
      <c r="B1404" t="s">
        <v>440</v>
      </c>
      <c r="C1404" t="s">
        <v>486</v>
      </c>
      <c r="D1404" t="s">
        <v>571</v>
      </c>
      <c r="E1404" t="s">
        <v>390</v>
      </c>
      <c r="F1404" t="s">
        <v>391</v>
      </c>
      <c r="G1404">
        <v>6102980</v>
      </c>
      <c r="H1404">
        <v>202111</v>
      </c>
      <c r="I1404" s="400">
        <v>44526</v>
      </c>
      <c r="J1404">
        <v>125062</v>
      </c>
      <c r="K1404" t="s">
        <v>386</v>
      </c>
      <c r="M1404" t="s">
        <v>387</v>
      </c>
      <c r="O1404" t="s">
        <v>849</v>
      </c>
      <c r="P1404" t="s">
        <v>850</v>
      </c>
      <c r="Q1404" t="s">
        <v>396</v>
      </c>
      <c r="R1404">
        <v>2069128</v>
      </c>
      <c r="S1404" t="s">
        <v>387</v>
      </c>
      <c r="U1404" t="s">
        <v>2012</v>
      </c>
      <c r="V1404" t="s">
        <v>398</v>
      </c>
      <c r="W1404" s="393">
        <v>130000</v>
      </c>
      <c r="X1404" s="393">
        <v>33.270000000000003</v>
      </c>
      <c r="Y1404" s="393">
        <v>285.26</v>
      </c>
      <c r="Z1404" s="393">
        <v>130000</v>
      </c>
      <c r="AA1404">
        <v>0</v>
      </c>
      <c r="AB1404" s="400">
        <v>44530.658615624998</v>
      </c>
      <c r="AC1404" t="s">
        <v>40</v>
      </c>
    </row>
    <row r="1405" spans="1:29">
      <c r="A1405" t="s">
        <v>382</v>
      </c>
      <c r="B1405" t="s">
        <v>440</v>
      </c>
      <c r="C1405" t="s">
        <v>486</v>
      </c>
      <c r="D1405" t="s">
        <v>571</v>
      </c>
      <c r="E1405" t="s">
        <v>390</v>
      </c>
      <c r="F1405" t="s">
        <v>391</v>
      </c>
      <c r="G1405">
        <v>6102965</v>
      </c>
      <c r="H1405">
        <v>202111</v>
      </c>
      <c r="I1405" s="400">
        <v>44529</v>
      </c>
      <c r="J1405" t="s">
        <v>452</v>
      </c>
      <c r="K1405" t="s">
        <v>386</v>
      </c>
      <c r="M1405" t="s">
        <v>387</v>
      </c>
      <c r="O1405" t="s">
        <v>906</v>
      </c>
      <c r="P1405" t="s">
        <v>907</v>
      </c>
      <c r="Q1405" t="s">
        <v>396</v>
      </c>
      <c r="R1405">
        <v>2265776</v>
      </c>
      <c r="S1405" t="s">
        <v>387</v>
      </c>
      <c r="U1405" t="s">
        <v>2013</v>
      </c>
      <c r="V1405" t="s">
        <v>398</v>
      </c>
      <c r="W1405" s="393">
        <v>33000</v>
      </c>
      <c r="X1405" s="393">
        <v>8.31</v>
      </c>
      <c r="Y1405" s="393">
        <v>71.88</v>
      </c>
      <c r="Z1405" s="393">
        <v>33000</v>
      </c>
      <c r="AA1405">
        <v>0</v>
      </c>
      <c r="AB1405" s="400">
        <v>44529.870321956019</v>
      </c>
      <c r="AC1405" t="s">
        <v>326</v>
      </c>
    </row>
    <row r="1406" spans="1:29">
      <c r="A1406" t="s">
        <v>382</v>
      </c>
      <c r="B1406" t="s">
        <v>440</v>
      </c>
      <c r="C1406" t="s">
        <v>486</v>
      </c>
      <c r="D1406" t="s">
        <v>571</v>
      </c>
      <c r="E1406" t="s">
        <v>390</v>
      </c>
      <c r="F1406" t="s">
        <v>391</v>
      </c>
      <c r="G1406">
        <v>6102965</v>
      </c>
      <c r="H1406">
        <v>202111</v>
      </c>
      <c r="I1406" s="400">
        <v>44529</v>
      </c>
      <c r="J1406" t="s">
        <v>452</v>
      </c>
      <c r="K1406" t="s">
        <v>386</v>
      </c>
      <c r="M1406" t="s">
        <v>387</v>
      </c>
      <c r="O1406" t="s">
        <v>896</v>
      </c>
      <c r="P1406" t="s">
        <v>897</v>
      </c>
      <c r="Q1406" t="s">
        <v>396</v>
      </c>
      <c r="R1406">
        <v>2265776</v>
      </c>
      <c r="S1406" t="s">
        <v>387</v>
      </c>
      <c r="U1406" t="s">
        <v>2014</v>
      </c>
      <c r="V1406" t="s">
        <v>398</v>
      </c>
      <c r="W1406" s="393">
        <v>33000</v>
      </c>
      <c r="X1406" s="393">
        <v>8.31</v>
      </c>
      <c r="Y1406" s="393">
        <v>71.88</v>
      </c>
      <c r="Z1406" s="393">
        <v>33000</v>
      </c>
      <c r="AA1406">
        <v>0</v>
      </c>
      <c r="AB1406" s="400">
        <v>44529.870321759263</v>
      </c>
      <c r="AC1406" t="s">
        <v>326</v>
      </c>
    </row>
    <row r="1407" spans="1:29">
      <c r="A1407" t="s">
        <v>382</v>
      </c>
      <c r="B1407" t="s">
        <v>440</v>
      </c>
      <c r="C1407" t="s">
        <v>486</v>
      </c>
      <c r="D1407" t="s">
        <v>571</v>
      </c>
      <c r="E1407" t="s">
        <v>390</v>
      </c>
      <c r="F1407" t="s">
        <v>391</v>
      </c>
      <c r="G1407">
        <v>6102965</v>
      </c>
      <c r="H1407">
        <v>202111</v>
      </c>
      <c r="I1407" s="400">
        <v>44529</v>
      </c>
      <c r="J1407" t="s">
        <v>452</v>
      </c>
      <c r="K1407" t="s">
        <v>386</v>
      </c>
      <c r="M1407" t="s">
        <v>387</v>
      </c>
      <c r="O1407" t="s">
        <v>906</v>
      </c>
      <c r="P1407" t="s">
        <v>907</v>
      </c>
      <c r="Q1407" t="s">
        <v>396</v>
      </c>
      <c r="R1407">
        <v>2265776</v>
      </c>
      <c r="S1407" t="s">
        <v>387</v>
      </c>
      <c r="U1407" t="s">
        <v>2015</v>
      </c>
      <c r="V1407" t="s">
        <v>398</v>
      </c>
      <c r="W1407" s="393">
        <v>15000</v>
      </c>
      <c r="X1407" s="393">
        <v>3.78</v>
      </c>
      <c r="Y1407" s="393">
        <v>32.67</v>
      </c>
      <c r="Z1407" s="393">
        <v>15000</v>
      </c>
      <c r="AA1407">
        <v>0</v>
      </c>
      <c r="AB1407" s="400">
        <v>44529.870321759263</v>
      </c>
      <c r="AC1407" t="s">
        <v>326</v>
      </c>
    </row>
    <row r="1408" spans="1:29">
      <c r="A1408" t="s">
        <v>382</v>
      </c>
      <c r="B1408" t="s">
        <v>440</v>
      </c>
      <c r="C1408" t="s">
        <v>486</v>
      </c>
      <c r="D1408" t="s">
        <v>571</v>
      </c>
      <c r="E1408" t="s">
        <v>390</v>
      </c>
      <c r="F1408" t="s">
        <v>391</v>
      </c>
      <c r="G1408">
        <v>6102965</v>
      </c>
      <c r="H1408">
        <v>202111</v>
      </c>
      <c r="I1408" s="400">
        <v>44529</v>
      </c>
      <c r="J1408" t="s">
        <v>452</v>
      </c>
      <c r="K1408" t="s">
        <v>386</v>
      </c>
      <c r="M1408" t="s">
        <v>387</v>
      </c>
      <c r="O1408" t="s">
        <v>896</v>
      </c>
      <c r="P1408" t="s">
        <v>897</v>
      </c>
      <c r="Q1408" t="s">
        <v>396</v>
      </c>
      <c r="R1408">
        <v>2265776</v>
      </c>
      <c r="S1408" t="s">
        <v>387</v>
      </c>
      <c r="U1408" t="s">
        <v>2016</v>
      </c>
      <c r="V1408" t="s">
        <v>398</v>
      </c>
      <c r="W1408" s="393">
        <v>33000</v>
      </c>
      <c r="X1408" s="393">
        <v>8.31</v>
      </c>
      <c r="Y1408" s="393">
        <v>71.88</v>
      </c>
      <c r="Z1408" s="393">
        <v>33000</v>
      </c>
      <c r="AA1408">
        <v>0</v>
      </c>
      <c r="AB1408" s="400">
        <v>44529.870321956019</v>
      </c>
      <c r="AC1408" t="s">
        <v>326</v>
      </c>
    </row>
    <row r="1409" spans="1:29">
      <c r="A1409" t="s">
        <v>382</v>
      </c>
      <c r="B1409" t="s">
        <v>440</v>
      </c>
      <c r="C1409" t="s">
        <v>486</v>
      </c>
      <c r="D1409" t="s">
        <v>571</v>
      </c>
      <c r="E1409" t="s">
        <v>390</v>
      </c>
      <c r="F1409" t="s">
        <v>391</v>
      </c>
      <c r="G1409">
        <v>6102965</v>
      </c>
      <c r="H1409">
        <v>202111</v>
      </c>
      <c r="I1409" s="400">
        <v>44529</v>
      </c>
      <c r="J1409" t="s">
        <v>452</v>
      </c>
      <c r="K1409" t="s">
        <v>386</v>
      </c>
      <c r="M1409" t="s">
        <v>387</v>
      </c>
      <c r="O1409" t="s">
        <v>794</v>
      </c>
      <c r="P1409" t="s">
        <v>795</v>
      </c>
      <c r="Q1409" t="s">
        <v>396</v>
      </c>
      <c r="R1409">
        <v>2265776</v>
      </c>
      <c r="S1409" t="s">
        <v>387</v>
      </c>
      <c r="U1409" t="s">
        <v>2017</v>
      </c>
      <c r="V1409" t="s">
        <v>398</v>
      </c>
      <c r="W1409" s="393">
        <v>11500</v>
      </c>
      <c r="X1409" s="393">
        <v>2.9</v>
      </c>
      <c r="Y1409" s="393">
        <v>25.05</v>
      </c>
      <c r="Z1409" s="393">
        <v>11500</v>
      </c>
      <c r="AA1409">
        <v>0</v>
      </c>
      <c r="AB1409" s="400">
        <v>44529.870321759263</v>
      </c>
      <c r="AC1409" t="s">
        <v>326</v>
      </c>
    </row>
    <row r="1410" spans="1:29">
      <c r="A1410" t="s">
        <v>382</v>
      </c>
      <c r="B1410" t="s">
        <v>440</v>
      </c>
      <c r="C1410" t="s">
        <v>486</v>
      </c>
      <c r="D1410" t="s">
        <v>571</v>
      </c>
      <c r="E1410" t="s">
        <v>390</v>
      </c>
      <c r="F1410" t="s">
        <v>391</v>
      </c>
      <c r="G1410">
        <v>6102800</v>
      </c>
      <c r="H1410">
        <v>202111</v>
      </c>
      <c r="I1410" s="400">
        <v>44519</v>
      </c>
      <c r="J1410" t="s">
        <v>452</v>
      </c>
      <c r="K1410" t="s">
        <v>386</v>
      </c>
      <c r="M1410" t="s">
        <v>387</v>
      </c>
      <c r="O1410" t="s">
        <v>2018</v>
      </c>
      <c r="P1410" t="s">
        <v>2019</v>
      </c>
      <c r="Q1410" t="s">
        <v>396</v>
      </c>
      <c r="R1410">
        <v>2069128</v>
      </c>
      <c r="S1410" t="s">
        <v>387</v>
      </c>
      <c r="U1410" t="s">
        <v>2020</v>
      </c>
      <c r="V1410" t="s">
        <v>398</v>
      </c>
      <c r="W1410" s="393">
        <v>39980</v>
      </c>
      <c r="X1410" s="393">
        <v>10.23</v>
      </c>
      <c r="Y1410" s="393">
        <v>87.73</v>
      </c>
      <c r="Z1410" s="393">
        <v>39980</v>
      </c>
      <c r="AA1410">
        <v>316</v>
      </c>
      <c r="AB1410" s="400">
        <v>44519.893362847222</v>
      </c>
      <c r="AC1410" t="s">
        <v>40</v>
      </c>
    </row>
    <row r="1411" spans="1:29">
      <c r="A1411" t="s">
        <v>382</v>
      </c>
      <c r="B1411" t="s">
        <v>440</v>
      </c>
      <c r="C1411" t="s">
        <v>486</v>
      </c>
      <c r="D1411" t="s">
        <v>571</v>
      </c>
      <c r="E1411" t="s">
        <v>390</v>
      </c>
      <c r="F1411" t="s">
        <v>391</v>
      </c>
      <c r="G1411">
        <v>6102800</v>
      </c>
      <c r="H1411">
        <v>202111</v>
      </c>
      <c r="I1411" s="400">
        <v>44519</v>
      </c>
      <c r="J1411" t="s">
        <v>452</v>
      </c>
      <c r="K1411" t="s">
        <v>386</v>
      </c>
      <c r="M1411" t="s">
        <v>387</v>
      </c>
      <c r="O1411" t="s">
        <v>599</v>
      </c>
      <c r="P1411" t="s">
        <v>600</v>
      </c>
      <c r="Q1411" t="s">
        <v>396</v>
      </c>
      <c r="R1411">
        <v>2069128</v>
      </c>
      <c r="S1411" t="s">
        <v>387</v>
      </c>
      <c r="U1411" t="s">
        <v>2021</v>
      </c>
      <c r="V1411" t="s">
        <v>398</v>
      </c>
      <c r="W1411" s="393">
        <v>56000</v>
      </c>
      <c r="X1411" s="393">
        <v>14.33</v>
      </c>
      <c r="Y1411" s="393">
        <v>122.88</v>
      </c>
      <c r="Z1411" s="393">
        <v>56000</v>
      </c>
      <c r="AA1411">
        <v>0</v>
      </c>
      <c r="AB1411" s="400">
        <v>44519.893362650466</v>
      </c>
      <c r="AC1411" t="s">
        <v>40</v>
      </c>
    </row>
    <row r="1412" spans="1:29">
      <c r="A1412" t="s">
        <v>382</v>
      </c>
      <c r="B1412" t="s">
        <v>440</v>
      </c>
      <c r="C1412" t="s">
        <v>486</v>
      </c>
      <c r="D1412" t="s">
        <v>571</v>
      </c>
      <c r="E1412" t="s">
        <v>390</v>
      </c>
      <c r="F1412" t="s">
        <v>391</v>
      </c>
      <c r="G1412">
        <v>6102858</v>
      </c>
      <c r="H1412">
        <v>202111</v>
      </c>
      <c r="I1412" s="400">
        <v>44517</v>
      </c>
      <c r="J1412">
        <v>122536</v>
      </c>
      <c r="K1412" t="s">
        <v>386</v>
      </c>
      <c r="M1412" t="s">
        <v>387</v>
      </c>
      <c r="O1412" t="s">
        <v>1066</v>
      </c>
      <c r="P1412" t="s">
        <v>1067</v>
      </c>
      <c r="Q1412" t="s">
        <v>396</v>
      </c>
      <c r="R1412">
        <v>2069132</v>
      </c>
      <c r="S1412" t="s">
        <v>387</v>
      </c>
      <c r="U1412" t="s">
        <v>2022</v>
      </c>
      <c r="V1412" t="s">
        <v>398</v>
      </c>
      <c r="W1412" s="393">
        <v>1500000</v>
      </c>
      <c r="X1412" s="393">
        <v>387.06</v>
      </c>
      <c r="Y1412" s="393">
        <v>3289.89</v>
      </c>
      <c r="Z1412" s="393">
        <v>1500000</v>
      </c>
      <c r="AA1412">
        <v>301</v>
      </c>
      <c r="AB1412" s="400">
        <v>44521.676175462962</v>
      </c>
      <c r="AC1412" t="s">
        <v>56</v>
      </c>
    </row>
    <row r="1413" spans="1:29">
      <c r="A1413" t="s">
        <v>382</v>
      </c>
      <c r="B1413" t="s">
        <v>440</v>
      </c>
      <c r="C1413" t="s">
        <v>486</v>
      </c>
      <c r="D1413" t="s">
        <v>571</v>
      </c>
      <c r="E1413" t="s">
        <v>390</v>
      </c>
      <c r="F1413" t="s">
        <v>391</v>
      </c>
      <c r="G1413">
        <v>6102863</v>
      </c>
      <c r="H1413">
        <v>202111</v>
      </c>
      <c r="I1413" s="400">
        <v>44519</v>
      </c>
      <c r="J1413">
        <v>122536</v>
      </c>
      <c r="K1413" t="s">
        <v>386</v>
      </c>
      <c r="M1413" t="s">
        <v>387</v>
      </c>
      <c r="O1413" t="s">
        <v>1974</v>
      </c>
      <c r="P1413" t="s">
        <v>1975</v>
      </c>
      <c r="Q1413" t="s">
        <v>396</v>
      </c>
      <c r="R1413">
        <v>2069126</v>
      </c>
      <c r="S1413" t="s">
        <v>387</v>
      </c>
      <c r="U1413" t="s">
        <v>2023</v>
      </c>
      <c r="V1413" t="s">
        <v>398</v>
      </c>
      <c r="W1413" s="393">
        <v>600000</v>
      </c>
      <c r="X1413" s="393">
        <v>153.53</v>
      </c>
      <c r="Y1413" s="393">
        <v>1316.6</v>
      </c>
      <c r="Z1413" s="393">
        <v>600000</v>
      </c>
      <c r="AA1413">
        <v>305</v>
      </c>
      <c r="AB1413" s="400">
        <v>44521.726548726852</v>
      </c>
      <c r="AC1413" t="s">
        <v>36</v>
      </c>
    </row>
    <row r="1414" spans="1:29">
      <c r="A1414" t="s">
        <v>382</v>
      </c>
      <c r="B1414" t="s">
        <v>440</v>
      </c>
      <c r="C1414" t="s">
        <v>486</v>
      </c>
      <c r="D1414" t="s">
        <v>571</v>
      </c>
      <c r="E1414" t="s">
        <v>390</v>
      </c>
      <c r="F1414" t="s">
        <v>391</v>
      </c>
      <c r="G1414">
        <v>6102743</v>
      </c>
      <c r="H1414">
        <v>202111</v>
      </c>
      <c r="I1414" s="400">
        <v>44509</v>
      </c>
      <c r="J1414">
        <v>122536</v>
      </c>
      <c r="K1414" t="s">
        <v>386</v>
      </c>
      <c r="M1414" t="s">
        <v>387</v>
      </c>
      <c r="O1414" t="s">
        <v>950</v>
      </c>
      <c r="P1414" t="s">
        <v>951</v>
      </c>
      <c r="Q1414" t="s">
        <v>396</v>
      </c>
      <c r="R1414">
        <v>2069126</v>
      </c>
      <c r="S1414" t="s">
        <v>387</v>
      </c>
      <c r="U1414" t="s">
        <v>2024</v>
      </c>
      <c r="V1414" t="s">
        <v>398</v>
      </c>
      <c r="W1414" s="393">
        <v>1200000</v>
      </c>
      <c r="X1414" s="393">
        <v>312.67</v>
      </c>
      <c r="Y1414" s="393">
        <v>2661.49</v>
      </c>
      <c r="Z1414" s="393">
        <v>1200000</v>
      </c>
      <c r="AA1414">
        <v>306</v>
      </c>
      <c r="AB1414" s="400">
        <v>44518.896630706018</v>
      </c>
      <c r="AC1414" t="s">
        <v>36</v>
      </c>
    </row>
    <row r="1415" spans="1:29">
      <c r="A1415" t="s">
        <v>382</v>
      </c>
      <c r="B1415" t="s">
        <v>440</v>
      </c>
      <c r="C1415" t="s">
        <v>486</v>
      </c>
      <c r="D1415" t="s">
        <v>571</v>
      </c>
      <c r="E1415" t="s">
        <v>390</v>
      </c>
      <c r="F1415" t="s">
        <v>391</v>
      </c>
      <c r="G1415">
        <v>6102980</v>
      </c>
      <c r="H1415">
        <v>202111</v>
      </c>
      <c r="I1415" s="400">
        <v>44526</v>
      </c>
      <c r="J1415">
        <v>125062</v>
      </c>
      <c r="K1415" t="s">
        <v>386</v>
      </c>
      <c r="M1415" t="s">
        <v>387</v>
      </c>
      <c r="O1415" t="s">
        <v>849</v>
      </c>
      <c r="P1415" t="s">
        <v>850</v>
      </c>
      <c r="Q1415" t="s">
        <v>396</v>
      </c>
      <c r="R1415">
        <v>2069128</v>
      </c>
      <c r="S1415" t="s">
        <v>387</v>
      </c>
      <c r="U1415" t="s">
        <v>2025</v>
      </c>
      <c r="V1415" t="s">
        <v>398</v>
      </c>
      <c r="W1415" s="393">
        <v>95000</v>
      </c>
      <c r="X1415" s="393">
        <v>24.31</v>
      </c>
      <c r="Y1415" s="393">
        <v>208.46</v>
      </c>
      <c r="Z1415" s="393">
        <v>95000</v>
      </c>
      <c r="AA1415">
        <v>0</v>
      </c>
      <c r="AB1415" s="400">
        <v>44530.658615474538</v>
      </c>
      <c r="AC1415" t="s">
        <v>40</v>
      </c>
    </row>
    <row r="1416" spans="1:29">
      <c r="A1416" t="s">
        <v>382</v>
      </c>
      <c r="B1416" t="s">
        <v>440</v>
      </c>
      <c r="C1416" t="s">
        <v>486</v>
      </c>
      <c r="D1416" t="s">
        <v>571</v>
      </c>
      <c r="E1416" t="s">
        <v>390</v>
      </c>
      <c r="F1416" t="s">
        <v>391</v>
      </c>
      <c r="G1416">
        <v>6103114</v>
      </c>
      <c r="H1416">
        <v>202111</v>
      </c>
      <c r="I1416" s="400">
        <v>44529</v>
      </c>
      <c r="J1416" t="s">
        <v>452</v>
      </c>
      <c r="K1416" t="s">
        <v>386</v>
      </c>
      <c r="M1416" t="s">
        <v>387</v>
      </c>
      <c r="O1416" t="s">
        <v>896</v>
      </c>
      <c r="P1416" t="s">
        <v>897</v>
      </c>
      <c r="Q1416" t="s">
        <v>396</v>
      </c>
      <c r="R1416">
        <v>2265776</v>
      </c>
      <c r="S1416" t="s">
        <v>387</v>
      </c>
      <c r="U1416" t="s">
        <v>2026</v>
      </c>
      <c r="V1416" t="s">
        <v>398</v>
      </c>
      <c r="W1416" s="393">
        <v>-33000</v>
      </c>
      <c r="X1416" s="393">
        <v>-8.31</v>
      </c>
      <c r="Y1416" s="393">
        <v>-71.88</v>
      </c>
      <c r="Z1416" s="393">
        <v>-33000</v>
      </c>
      <c r="AA1416">
        <v>0</v>
      </c>
      <c r="AB1416" s="400">
        <v>44533.085564351852</v>
      </c>
      <c r="AC1416" t="s">
        <v>326</v>
      </c>
    </row>
    <row r="1417" spans="1:29">
      <c r="A1417" t="s">
        <v>382</v>
      </c>
      <c r="B1417" t="s">
        <v>440</v>
      </c>
      <c r="C1417" t="s">
        <v>486</v>
      </c>
      <c r="D1417" t="s">
        <v>571</v>
      </c>
      <c r="E1417" t="s">
        <v>390</v>
      </c>
      <c r="F1417" t="s">
        <v>391</v>
      </c>
      <c r="G1417">
        <v>6103114</v>
      </c>
      <c r="H1417">
        <v>202111</v>
      </c>
      <c r="I1417" s="400">
        <v>44529</v>
      </c>
      <c r="J1417" t="s">
        <v>452</v>
      </c>
      <c r="K1417" t="s">
        <v>386</v>
      </c>
      <c r="M1417" t="s">
        <v>387</v>
      </c>
      <c r="O1417" t="s">
        <v>906</v>
      </c>
      <c r="P1417" t="s">
        <v>907</v>
      </c>
      <c r="Q1417" t="s">
        <v>396</v>
      </c>
      <c r="R1417">
        <v>2265776</v>
      </c>
      <c r="S1417" t="s">
        <v>387</v>
      </c>
      <c r="U1417" t="s">
        <v>2027</v>
      </c>
      <c r="V1417" t="s">
        <v>398</v>
      </c>
      <c r="W1417" s="393">
        <v>-15000</v>
      </c>
      <c r="X1417" s="393">
        <v>-3.78</v>
      </c>
      <c r="Y1417" s="393">
        <v>-32.67</v>
      </c>
      <c r="Z1417" s="393">
        <v>-15000</v>
      </c>
      <c r="AA1417">
        <v>0</v>
      </c>
      <c r="AB1417" s="400">
        <v>44533.085564351852</v>
      </c>
      <c r="AC1417" t="s">
        <v>326</v>
      </c>
    </row>
    <row r="1418" spans="1:29">
      <c r="A1418" t="s">
        <v>382</v>
      </c>
      <c r="B1418" t="s">
        <v>440</v>
      </c>
      <c r="C1418" t="s">
        <v>486</v>
      </c>
      <c r="D1418" t="s">
        <v>571</v>
      </c>
      <c r="E1418" t="s">
        <v>390</v>
      </c>
      <c r="F1418" t="s">
        <v>391</v>
      </c>
      <c r="G1418">
        <v>6102800</v>
      </c>
      <c r="H1418">
        <v>202111</v>
      </c>
      <c r="I1418" s="400">
        <v>44519</v>
      </c>
      <c r="J1418" t="s">
        <v>452</v>
      </c>
      <c r="K1418" t="s">
        <v>386</v>
      </c>
      <c r="M1418" t="s">
        <v>387</v>
      </c>
      <c r="O1418" t="s">
        <v>2028</v>
      </c>
      <c r="P1418" t="s">
        <v>2029</v>
      </c>
      <c r="Q1418" t="s">
        <v>396</v>
      </c>
      <c r="R1418">
        <v>2069128</v>
      </c>
      <c r="S1418" t="s">
        <v>387</v>
      </c>
      <c r="U1418" t="s">
        <v>2030</v>
      </c>
      <c r="V1418" t="s">
        <v>398</v>
      </c>
      <c r="W1418" s="393">
        <v>42000</v>
      </c>
      <c r="X1418" s="393">
        <v>10.75</v>
      </c>
      <c r="Y1418" s="393">
        <v>92.16</v>
      </c>
      <c r="Z1418" s="393">
        <v>42000</v>
      </c>
      <c r="AA1418">
        <v>0</v>
      </c>
      <c r="AB1418" s="400">
        <v>44519.893362465278</v>
      </c>
      <c r="AC1418" t="s">
        <v>40</v>
      </c>
    </row>
    <row r="1419" spans="1:29">
      <c r="A1419" t="s">
        <v>382</v>
      </c>
      <c r="B1419" t="s">
        <v>440</v>
      </c>
      <c r="C1419" t="s">
        <v>486</v>
      </c>
      <c r="D1419" t="s">
        <v>571</v>
      </c>
      <c r="E1419" t="s">
        <v>390</v>
      </c>
      <c r="F1419" t="s">
        <v>391</v>
      </c>
      <c r="G1419">
        <v>6102800</v>
      </c>
      <c r="H1419">
        <v>202111</v>
      </c>
      <c r="I1419" s="400">
        <v>44519</v>
      </c>
      <c r="J1419" t="s">
        <v>452</v>
      </c>
      <c r="K1419" t="s">
        <v>386</v>
      </c>
      <c r="M1419" t="s">
        <v>387</v>
      </c>
      <c r="O1419" t="s">
        <v>587</v>
      </c>
      <c r="P1419" t="s">
        <v>588</v>
      </c>
      <c r="Q1419" t="s">
        <v>396</v>
      </c>
      <c r="R1419">
        <v>2069128</v>
      </c>
      <c r="S1419" t="s">
        <v>387</v>
      </c>
      <c r="U1419" t="s">
        <v>2031</v>
      </c>
      <c r="V1419" t="s">
        <v>398</v>
      </c>
      <c r="W1419" s="393">
        <v>12000</v>
      </c>
      <c r="X1419" s="393">
        <v>3.07</v>
      </c>
      <c r="Y1419" s="393">
        <v>26.33</v>
      </c>
      <c r="Z1419" s="393">
        <v>12000</v>
      </c>
      <c r="AA1419">
        <v>0</v>
      </c>
      <c r="AB1419" s="400">
        <v>44519.893362997682</v>
      </c>
      <c r="AC1419" t="s">
        <v>40</v>
      </c>
    </row>
    <row r="1420" spans="1:29">
      <c r="A1420" t="s">
        <v>382</v>
      </c>
      <c r="B1420" t="s">
        <v>440</v>
      </c>
      <c r="C1420" t="s">
        <v>486</v>
      </c>
      <c r="D1420" t="s">
        <v>571</v>
      </c>
      <c r="E1420" t="s">
        <v>390</v>
      </c>
      <c r="F1420" t="s">
        <v>391</v>
      </c>
      <c r="G1420">
        <v>6102800</v>
      </c>
      <c r="H1420">
        <v>202111</v>
      </c>
      <c r="I1420" s="400">
        <v>44519</v>
      </c>
      <c r="J1420" t="s">
        <v>452</v>
      </c>
      <c r="K1420" t="s">
        <v>386</v>
      </c>
      <c r="M1420" t="s">
        <v>387</v>
      </c>
      <c r="O1420" t="s">
        <v>2018</v>
      </c>
      <c r="P1420" t="s">
        <v>2019</v>
      </c>
      <c r="Q1420" t="s">
        <v>396</v>
      </c>
      <c r="R1420">
        <v>2069128</v>
      </c>
      <c r="S1420" t="s">
        <v>387</v>
      </c>
      <c r="U1420" t="s">
        <v>2032</v>
      </c>
      <c r="V1420" t="s">
        <v>398</v>
      </c>
      <c r="W1420" s="393">
        <v>40</v>
      </c>
      <c r="X1420" s="393">
        <v>0.01</v>
      </c>
      <c r="Y1420" s="393">
        <v>0.09</v>
      </c>
      <c r="Z1420" s="393">
        <v>40</v>
      </c>
      <c r="AA1420">
        <v>0</v>
      </c>
      <c r="AB1420" s="400">
        <v>44519.893362997682</v>
      </c>
      <c r="AC1420" t="s">
        <v>40</v>
      </c>
    </row>
    <row r="1421" spans="1:29">
      <c r="A1421" t="s">
        <v>382</v>
      </c>
      <c r="B1421" t="s">
        <v>440</v>
      </c>
      <c r="C1421" t="s">
        <v>486</v>
      </c>
      <c r="D1421" t="s">
        <v>571</v>
      </c>
      <c r="E1421" t="s">
        <v>390</v>
      </c>
      <c r="F1421" t="s">
        <v>391</v>
      </c>
      <c r="G1421">
        <v>6102984</v>
      </c>
      <c r="H1421">
        <v>202111</v>
      </c>
      <c r="I1421" s="400">
        <v>44526</v>
      </c>
      <c r="J1421">
        <v>122536</v>
      </c>
      <c r="K1421" t="s">
        <v>386</v>
      </c>
      <c r="M1421" t="s">
        <v>387</v>
      </c>
      <c r="O1421" t="s">
        <v>950</v>
      </c>
      <c r="P1421" t="s">
        <v>951</v>
      </c>
      <c r="Q1421" t="s">
        <v>396</v>
      </c>
      <c r="R1421">
        <v>2069126</v>
      </c>
      <c r="S1421" t="s">
        <v>387</v>
      </c>
      <c r="U1421" t="s">
        <v>2033</v>
      </c>
      <c r="V1421" t="s">
        <v>398</v>
      </c>
      <c r="W1421" s="393">
        <v>1500000</v>
      </c>
      <c r="X1421" s="393">
        <v>377.88</v>
      </c>
      <c r="Y1421" s="393">
        <v>3267.5</v>
      </c>
      <c r="Z1421" s="393">
        <v>1500000</v>
      </c>
      <c r="AA1421">
        <v>306</v>
      </c>
      <c r="AB1421" s="400">
        <v>44530.757913969908</v>
      </c>
      <c r="AC1421" t="s">
        <v>36</v>
      </c>
    </row>
    <row r="1422" spans="1:29">
      <c r="A1422" t="s">
        <v>382</v>
      </c>
      <c r="B1422" t="s">
        <v>440</v>
      </c>
      <c r="C1422" t="s">
        <v>486</v>
      </c>
      <c r="D1422" t="s">
        <v>571</v>
      </c>
      <c r="E1422" t="s">
        <v>390</v>
      </c>
      <c r="F1422" t="s">
        <v>391</v>
      </c>
      <c r="G1422">
        <v>6102897</v>
      </c>
      <c r="H1422">
        <v>202111</v>
      </c>
      <c r="I1422" s="400">
        <v>44519</v>
      </c>
      <c r="J1422">
        <v>125062</v>
      </c>
      <c r="K1422" t="s">
        <v>386</v>
      </c>
      <c r="M1422" t="s">
        <v>387</v>
      </c>
      <c r="O1422" t="s">
        <v>849</v>
      </c>
      <c r="P1422" t="s">
        <v>850</v>
      </c>
      <c r="Q1422" t="s">
        <v>396</v>
      </c>
      <c r="R1422">
        <v>2069126</v>
      </c>
      <c r="S1422" t="s">
        <v>387</v>
      </c>
      <c r="U1422" t="s">
        <v>2034</v>
      </c>
      <c r="V1422" t="s">
        <v>398</v>
      </c>
      <c r="W1422" s="393">
        <v>65000</v>
      </c>
      <c r="X1422" s="393">
        <v>16.63</v>
      </c>
      <c r="Y1422" s="393">
        <v>142.63</v>
      </c>
      <c r="Z1422" s="393">
        <v>65000</v>
      </c>
      <c r="AA1422">
        <v>0</v>
      </c>
      <c r="AB1422" s="400">
        <v>44523.596706562501</v>
      </c>
      <c r="AC1422" t="s">
        <v>36</v>
      </c>
    </row>
    <row r="1423" spans="1:29">
      <c r="A1423" t="s">
        <v>382</v>
      </c>
      <c r="B1423" t="s">
        <v>440</v>
      </c>
      <c r="C1423" t="s">
        <v>486</v>
      </c>
      <c r="D1423" t="s">
        <v>571</v>
      </c>
      <c r="E1423" t="s">
        <v>390</v>
      </c>
      <c r="F1423" t="s">
        <v>391</v>
      </c>
      <c r="G1423">
        <v>6102897</v>
      </c>
      <c r="H1423">
        <v>202111</v>
      </c>
      <c r="I1423" s="400">
        <v>44519</v>
      </c>
      <c r="J1423">
        <v>125062</v>
      </c>
      <c r="K1423" t="s">
        <v>386</v>
      </c>
      <c r="M1423" t="s">
        <v>387</v>
      </c>
      <c r="O1423" t="s">
        <v>849</v>
      </c>
      <c r="P1423" t="s">
        <v>850</v>
      </c>
      <c r="Q1423" t="s">
        <v>396</v>
      </c>
      <c r="R1423">
        <v>2069126</v>
      </c>
      <c r="S1423" t="s">
        <v>387</v>
      </c>
      <c r="U1423" t="s">
        <v>2035</v>
      </c>
      <c r="V1423" t="s">
        <v>398</v>
      </c>
      <c r="W1423" s="393">
        <v>95000</v>
      </c>
      <c r="X1423" s="393">
        <v>24.31</v>
      </c>
      <c r="Y1423" s="393">
        <v>208.46</v>
      </c>
      <c r="Z1423" s="393">
        <v>95000</v>
      </c>
      <c r="AA1423">
        <v>0</v>
      </c>
      <c r="AB1423" s="400">
        <v>44523.596706562501</v>
      </c>
      <c r="AC1423" t="s">
        <v>36</v>
      </c>
    </row>
    <row r="1424" spans="1:29">
      <c r="A1424" t="s">
        <v>382</v>
      </c>
      <c r="B1424" t="s">
        <v>440</v>
      </c>
      <c r="C1424" t="s">
        <v>486</v>
      </c>
      <c r="D1424" t="s">
        <v>571</v>
      </c>
      <c r="E1424" t="s">
        <v>390</v>
      </c>
      <c r="F1424" t="s">
        <v>391</v>
      </c>
      <c r="G1424">
        <v>6103114</v>
      </c>
      <c r="H1424">
        <v>202111</v>
      </c>
      <c r="I1424" s="400">
        <v>44529</v>
      </c>
      <c r="J1424" t="s">
        <v>452</v>
      </c>
      <c r="K1424" t="s">
        <v>386</v>
      </c>
      <c r="M1424" t="s">
        <v>387</v>
      </c>
      <c r="O1424" t="s">
        <v>896</v>
      </c>
      <c r="P1424" t="s">
        <v>897</v>
      </c>
      <c r="Q1424" t="s">
        <v>396</v>
      </c>
      <c r="R1424">
        <v>2265776</v>
      </c>
      <c r="S1424" t="s">
        <v>387</v>
      </c>
      <c r="U1424" t="s">
        <v>2036</v>
      </c>
      <c r="V1424" t="s">
        <v>398</v>
      </c>
      <c r="W1424" s="393">
        <v>-33000</v>
      </c>
      <c r="X1424" s="393">
        <v>-8.31</v>
      </c>
      <c r="Y1424" s="393">
        <v>-71.88</v>
      </c>
      <c r="Z1424" s="393">
        <v>-33000</v>
      </c>
      <c r="AA1424">
        <v>0</v>
      </c>
      <c r="AB1424" s="400">
        <v>44533.085564351852</v>
      </c>
      <c r="AC1424" t="s">
        <v>326</v>
      </c>
    </row>
    <row r="1425" spans="1:29">
      <c r="A1425" t="s">
        <v>382</v>
      </c>
      <c r="B1425" t="s">
        <v>440</v>
      </c>
      <c r="C1425" t="s">
        <v>486</v>
      </c>
      <c r="D1425" t="s">
        <v>571</v>
      </c>
      <c r="E1425" t="s">
        <v>390</v>
      </c>
      <c r="F1425" t="s">
        <v>391</v>
      </c>
      <c r="G1425">
        <v>6103114</v>
      </c>
      <c r="H1425">
        <v>202111</v>
      </c>
      <c r="I1425" s="400">
        <v>44529</v>
      </c>
      <c r="J1425" t="s">
        <v>452</v>
      </c>
      <c r="K1425" t="s">
        <v>386</v>
      </c>
      <c r="M1425" t="s">
        <v>387</v>
      </c>
      <c r="O1425" t="s">
        <v>794</v>
      </c>
      <c r="P1425" t="s">
        <v>795</v>
      </c>
      <c r="Q1425" t="s">
        <v>396</v>
      </c>
      <c r="R1425">
        <v>2265776</v>
      </c>
      <c r="S1425" t="s">
        <v>387</v>
      </c>
      <c r="U1425" t="s">
        <v>2037</v>
      </c>
      <c r="V1425" t="s">
        <v>398</v>
      </c>
      <c r="W1425" s="393">
        <v>-11500</v>
      </c>
      <c r="X1425" s="393">
        <v>-2.9</v>
      </c>
      <c r="Y1425" s="393">
        <v>-25.05</v>
      </c>
      <c r="Z1425" s="393">
        <v>-11500</v>
      </c>
      <c r="AA1425">
        <v>0</v>
      </c>
      <c r="AB1425" s="400">
        <v>44533.085564351852</v>
      </c>
      <c r="AC1425" t="s">
        <v>326</v>
      </c>
    </row>
    <row r="1426" spans="1:29">
      <c r="A1426" t="s">
        <v>382</v>
      </c>
      <c r="B1426" t="s">
        <v>440</v>
      </c>
      <c r="C1426" t="s">
        <v>486</v>
      </c>
      <c r="D1426" t="s">
        <v>571</v>
      </c>
      <c r="E1426" t="s">
        <v>390</v>
      </c>
      <c r="F1426" t="s">
        <v>391</v>
      </c>
      <c r="G1426">
        <v>6103114</v>
      </c>
      <c r="H1426">
        <v>202111</v>
      </c>
      <c r="I1426" s="400">
        <v>44529</v>
      </c>
      <c r="J1426" t="s">
        <v>452</v>
      </c>
      <c r="K1426" t="s">
        <v>386</v>
      </c>
      <c r="M1426" t="s">
        <v>387</v>
      </c>
      <c r="O1426" t="s">
        <v>906</v>
      </c>
      <c r="P1426" t="s">
        <v>907</v>
      </c>
      <c r="Q1426" t="s">
        <v>396</v>
      </c>
      <c r="R1426">
        <v>2265776</v>
      </c>
      <c r="S1426" t="s">
        <v>387</v>
      </c>
      <c r="U1426" t="s">
        <v>2038</v>
      </c>
      <c r="V1426" t="s">
        <v>398</v>
      </c>
      <c r="W1426" s="393">
        <v>-33000</v>
      </c>
      <c r="X1426" s="393">
        <v>-8.31</v>
      </c>
      <c r="Y1426" s="393">
        <v>-71.88</v>
      </c>
      <c r="Z1426" s="393">
        <v>-33000</v>
      </c>
      <c r="AA1426">
        <v>0</v>
      </c>
      <c r="AB1426" s="400">
        <v>44533.085564155095</v>
      </c>
      <c r="AC1426" t="s">
        <v>326</v>
      </c>
    </row>
    <row r="1427" spans="1:29">
      <c r="A1427" t="s">
        <v>382</v>
      </c>
      <c r="B1427" t="s">
        <v>440</v>
      </c>
      <c r="C1427" t="s">
        <v>486</v>
      </c>
      <c r="D1427" t="s">
        <v>571</v>
      </c>
      <c r="E1427" t="s">
        <v>390</v>
      </c>
      <c r="F1427" t="s">
        <v>391</v>
      </c>
      <c r="G1427">
        <v>6102984</v>
      </c>
      <c r="H1427">
        <v>202111</v>
      </c>
      <c r="I1427" s="400">
        <v>44526</v>
      </c>
      <c r="J1427">
        <v>122536</v>
      </c>
      <c r="K1427" t="s">
        <v>386</v>
      </c>
      <c r="M1427" t="s">
        <v>387</v>
      </c>
      <c r="O1427" t="s">
        <v>950</v>
      </c>
      <c r="P1427" t="s">
        <v>951</v>
      </c>
      <c r="Q1427" t="s">
        <v>396</v>
      </c>
      <c r="R1427">
        <v>2069128</v>
      </c>
      <c r="S1427" t="s">
        <v>387</v>
      </c>
      <c r="U1427" t="s">
        <v>2039</v>
      </c>
      <c r="V1427" t="s">
        <v>398</v>
      </c>
      <c r="W1427" s="393">
        <v>2500000</v>
      </c>
      <c r="X1427" s="393">
        <v>629.79999999999995</v>
      </c>
      <c r="Y1427" s="393">
        <v>5445.83</v>
      </c>
      <c r="Z1427" s="393">
        <v>2500000</v>
      </c>
      <c r="AA1427">
        <v>306</v>
      </c>
      <c r="AB1427" s="400">
        <v>44530.757913773145</v>
      </c>
      <c r="AC1427" t="s">
        <v>40</v>
      </c>
    </row>
    <row r="1428" spans="1:29">
      <c r="A1428" t="s">
        <v>382</v>
      </c>
      <c r="B1428" t="s">
        <v>440</v>
      </c>
      <c r="C1428" t="s">
        <v>486</v>
      </c>
      <c r="D1428" t="s">
        <v>571</v>
      </c>
      <c r="E1428" t="s">
        <v>390</v>
      </c>
      <c r="F1428" t="s">
        <v>391</v>
      </c>
      <c r="G1428">
        <v>6103358</v>
      </c>
      <c r="H1428">
        <v>202112</v>
      </c>
      <c r="I1428" s="400">
        <v>44547</v>
      </c>
      <c r="J1428" t="s">
        <v>452</v>
      </c>
      <c r="K1428" t="s">
        <v>386</v>
      </c>
      <c r="M1428" t="s">
        <v>387</v>
      </c>
      <c r="O1428" t="s">
        <v>1108</v>
      </c>
      <c r="P1428" t="s">
        <v>1109</v>
      </c>
      <c r="Q1428" t="s">
        <v>450</v>
      </c>
      <c r="R1428">
        <v>2069080</v>
      </c>
      <c r="S1428" t="s">
        <v>387</v>
      </c>
      <c r="U1428" t="s">
        <v>2040</v>
      </c>
      <c r="V1428" t="s">
        <v>398</v>
      </c>
      <c r="W1428" s="393">
        <v>-26400</v>
      </c>
      <c r="X1428" s="393">
        <v>-6.62</v>
      </c>
      <c r="Y1428" s="393">
        <v>-59.67</v>
      </c>
      <c r="Z1428" s="393">
        <v>-26400</v>
      </c>
      <c r="AA1428">
        <v>0</v>
      </c>
      <c r="AB1428" s="400">
        <v>44552.651628553242</v>
      </c>
      <c r="AC1428" t="s">
        <v>324</v>
      </c>
    </row>
    <row r="1429" spans="1:29">
      <c r="A1429" t="s">
        <v>382</v>
      </c>
      <c r="B1429" t="s">
        <v>440</v>
      </c>
      <c r="C1429" t="s">
        <v>486</v>
      </c>
      <c r="D1429" t="s">
        <v>571</v>
      </c>
      <c r="E1429" t="s">
        <v>390</v>
      </c>
      <c r="F1429" t="s">
        <v>391</v>
      </c>
      <c r="G1429">
        <v>6103388</v>
      </c>
      <c r="H1429">
        <v>202112</v>
      </c>
      <c r="I1429" s="400">
        <v>44551</v>
      </c>
      <c r="J1429">
        <v>122536</v>
      </c>
      <c r="K1429" t="s">
        <v>386</v>
      </c>
      <c r="M1429" t="s">
        <v>387</v>
      </c>
      <c r="O1429" t="s">
        <v>587</v>
      </c>
      <c r="P1429" t="s">
        <v>588</v>
      </c>
      <c r="Q1429" t="s">
        <v>396</v>
      </c>
      <c r="R1429">
        <v>2069128</v>
      </c>
      <c r="S1429" t="s">
        <v>387</v>
      </c>
      <c r="U1429" t="s">
        <v>2041</v>
      </c>
      <c r="V1429" t="s">
        <v>398</v>
      </c>
      <c r="W1429" s="393">
        <v>144000</v>
      </c>
      <c r="X1429" s="393">
        <v>36.090000000000003</v>
      </c>
      <c r="Y1429" s="393">
        <v>325.45999999999998</v>
      </c>
      <c r="Z1429" s="393">
        <v>144000</v>
      </c>
      <c r="AA1429">
        <v>0</v>
      </c>
      <c r="AB1429" s="400">
        <v>44558.973001736114</v>
      </c>
      <c r="AC1429" t="s">
        <v>40</v>
      </c>
    </row>
    <row r="1430" spans="1:29">
      <c r="A1430" t="s">
        <v>382</v>
      </c>
      <c r="B1430" t="s">
        <v>440</v>
      </c>
      <c r="C1430" t="s">
        <v>486</v>
      </c>
      <c r="D1430" t="s">
        <v>571</v>
      </c>
      <c r="E1430" t="s">
        <v>390</v>
      </c>
      <c r="F1430" t="s">
        <v>391</v>
      </c>
      <c r="G1430">
        <v>6103335</v>
      </c>
      <c r="H1430">
        <v>202112</v>
      </c>
      <c r="I1430" s="400">
        <v>44547</v>
      </c>
      <c r="J1430" t="s">
        <v>452</v>
      </c>
      <c r="K1430" t="s">
        <v>386</v>
      </c>
      <c r="M1430" t="s">
        <v>387</v>
      </c>
      <c r="O1430" t="s">
        <v>749</v>
      </c>
      <c r="P1430" t="s">
        <v>750</v>
      </c>
      <c r="Q1430" t="s">
        <v>396</v>
      </c>
      <c r="R1430">
        <v>2069128</v>
      </c>
      <c r="S1430" t="s">
        <v>2042</v>
      </c>
      <c r="T1430" t="s">
        <v>2042</v>
      </c>
      <c r="U1430" t="s">
        <v>2043</v>
      </c>
      <c r="V1430" t="s">
        <v>398</v>
      </c>
      <c r="W1430" s="393">
        <v>28000</v>
      </c>
      <c r="X1430" s="393">
        <v>7.02</v>
      </c>
      <c r="Y1430" s="393">
        <v>63.28</v>
      </c>
      <c r="Z1430" s="393">
        <v>28000</v>
      </c>
      <c r="AA1430">
        <v>0</v>
      </c>
      <c r="AB1430" s="400">
        <v>44552.029221909725</v>
      </c>
      <c r="AC1430" t="s">
        <v>40</v>
      </c>
    </row>
    <row r="1431" spans="1:29">
      <c r="A1431" t="s">
        <v>382</v>
      </c>
      <c r="B1431" t="s">
        <v>440</v>
      </c>
      <c r="C1431" t="s">
        <v>486</v>
      </c>
      <c r="D1431" t="s">
        <v>571</v>
      </c>
      <c r="E1431" t="s">
        <v>390</v>
      </c>
      <c r="F1431" t="s">
        <v>391</v>
      </c>
      <c r="G1431">
        <v>6103462</v>
      </c>
      <c r="H1431">
        <v>202112</v>
      </c>
      <c r="I1431" s="400">
        <v>44560</v>
      </c>
      <c r="J1431">
        <v>124932</v>
      </c>
      <c r="K1431" t="s">
        <v>386</v>
      </c>
      <c r="M1431" t="s">
        <v>387</v>
      </c>
      <c r="O1431" t="s">
        <v>849</v>
      </c>
      <c r="P1431" t="s">
        <v>850</v>
      </c>
      <c r="Q1431" t="s">
        <v>396</v>
      </c>
      <c r="R1431">
        <v>2069126</v>
      </c>
      <c r="S1431" t="s">
        <v>387</v>
      </c>
      <c r="U1431" t="s">
        <v>2044</v>
      </c>
      <c r="V1431" t="s">
        <v>398</v>
      </c>
      <c r="W1431" s="393">
        <v>65000</v>
      </c>
      <c r="X1431" s="393">
        <v>16.149999999999999</v>
      </c>
      <c r="Y1431" s="393">
        <v>145.34</v>
      </c>
      <c r="Z1431" s="393">
        <v>65000</v>
      </c>
      <c r="AA1431">
        <v>0</v>
      </c>
      <c r="AB1431" s="400">
        <v>44566.58792283565</v>
      </c>
      <c r="AC1431" t="s">
        <v>36</v>
      </c>
    </row>
    <row r="1432" spans="1:29">
      <c r="A1432" t="s">
        <v>382</v>
      </c>
      <c r="B1432" t="s">
        <v>440</v>
      </c>
      <c r="C1432" t="s">
        <v>486</v>
      </c>
      <c r="D1432" t="s">
        <v>571</v>
      </c>
      <c r="E1432" t="s">
        <v>390</v>
      </c>
      <c r="F1432" t="s">
        <v>391</v>
      </c>
      <c r="G1432">
        <v>6103223</v>
      </c>
      <c r="H1432">
        <v>202112</v>
      </c>
      <c r="I1432" s="400">
        <v>44545</v>
      </c>
      <c r="J1432">
        <v>124932</v>
      </c>
      <c r="K1432" t="s">
        <v>386</v>
      </c>
      <c r="M1432" t="s">
        <v>387</v>
      </c>
      <c r="O1432" t="s">
        <v>849</v>
      </c>
      <c r="P1432" t="s">
        <v>850</v>
      </c>
      <c r="Q1432" t="s">
        <v>396</v>
      </c>
      <c r="R1432">
        <v>2069126</v>
      </c>
      <c r="S1432" t="s">
        <v>387</v>
      </c>
      <c r="U1432" t="s">
        <v>2045</v>
      </c>
      <c r="V1432" t="s">
        <v>398</v>
      </c>
      <c r="W1432" s="393">
        <v>65000</v>
      </c>
      <c r="X1432" s="393">
        <v>16.64</v>
      </c>
      <c r="Y1432" s="393">
        <v>149.99</v>
      </c>
      <c r="Z1432" s="393">
        <v>65000</v>
      </c>
      <c r="AA1432">
        <v>0</v>
      </c>
      <c r="AB1432" s="400">
        <v>44549.639262187498</v>
      </c>
      <c r="AC1432" t="s">
        <v>36</v>
      </c>
    </row>
    <row r="1433" spans="1:29">
      <c r="A1433" t="s">
        <v>382</v>
      </c>
      <c r="B1433" t="s">
        <v>440</v>
      </c>
      <c r="C1433" t="s">
        <v>486</v>
      </c>
      <c r="D1433" t="s">
        <v>571</v>
      </c>
      <c r="E1433" t="s">
        <v>390</v>
      </c>
      <c r="F1433" t="s">
        <v>391</v>
      </c>
      <c r="G1433">
        <v>6103223</v>
      </c>
      <c r="H1433">
        <v>202112</v>
      </c>
      <c r="I1433" s="400">
        <v>44545</v>
      </c>
      <c r="J1433">
        <v>124932</v>
      </c>
      <c r="K1433" t="s">
        <v>386</v>
      </c>
      <c r="M1433" t="s">
        <v>387</v>
      </c>
      <c r="O1433" t="s">
        <v>849</v>
      </c>
      <c r="P1433" t="s">
        <v>850</v>
      </c>
      <c r="Q1433" t="s">
        <v>396</v>
      </c>
      <c r="R1433">
        <v>2265787</v>
      </c>
      <c r="S1433" t="s">
        <v>387</v>
      </c>
      <c r="U1433" t="s">
        <v>2046</v>
      </c>
      <c r="V1433" t="s">
        <v>398</v>
      </c>
      <c r="W1433" s="393">
        <v>95000</v>
      </c>
      <c r="X1433" s="393">
        <v>24.32</v>
      </c>
      <c r="Y1433" s="393">
        <v>219.21</v>
      </c>
      <c r="Z1433" s="393">
        <v>95000</v>
      </c>
      <c r="AA1433">
        <v>0</v>
      </c>
      <c r="AB1433" s="400">
        <v>44549.639262187498</v>
      </c>
      <c r="AC1433" t="s">
        <v>326</v>
      </c>
    </row>
    <row r="1434" spans="1:29">
      <c r="A1434" t="s">
        <v>382</v>
      </c>
      <c r="B1434" t="s">
        <v>440</v>
      </c>
      <c r="C1434" t="s">
        <v>486</v>
      </c>
      <c r="D1434" t="s">
        <v>571</v>
      </c>
      <c r="E1434" t="s">
        <v>390</v>
      </c>
      <c r="F1434" t="s">
        <v>391</v>
      </c>
      <c r="G1434">
        <v>6103353</v>
      </c>
      <c r="H1434">
        <v>202112</v>
      </c>
      <c r="I1434" s="400">
        <v>44547</v>
      </c>
      <c r="J1434" t="s">
        <v>452</v>
      </c>
      <c r="K1434" t="s">
        <v>386</v>
      </c>
      <c r="M1434" t="s">
        <v>387</v>
      </c>
      <c r="O1434" t="s">
        <v>1108</v>
      </c>
      <c r="P1434" t="s">
        <v>1109</v>
      </c>
      <c r="Q1434" t="s">
        <v>450</v>
      </c>
      <c r="R1434">
        <v>2069080</v>
      </c>
      <c r="S1434" t="s">
        <v>387</v>
      </c>
      <c r="U1434" t="s">
        <v>2047</v>
      </c>
      <c r="V1434" t="s">
        <v>398</v>
      </c>
      <c r="W1434" s="393">
        <v>26400</v>
      </c>
      <c r="X1434" s="393">
        <v>6.62</v>
      </c>
      <c r="Y1434" s="393">
        <v>59.67</v>
      </c>
      <c r="Z1434" s="393">
        <v>26400</v>
      </c>
      <c r="AA1434">
        <v>0</v>
      </c>
      <c r="AB1434" s="400">
        <v>44552.208996643516</v>
      </c>
      <c r="AC1434" t="s">
        <v>324</v>
      </c>
    </row>
    <row r="1435" spans="1:29">
      <c r="A1435" t="s">
        <v>382</v>
      </c>
      <c r="B1435" t="s">
        <v>382</v>
      </c>
      <c r="C1435" t="s">
        <v>486</v>
      </c>
      <c r="D1435" t="s">
        <v>571</v>
      </c>
      <c r="E1435" t="s">
        <v>390</v>
      </c>
      <c r="F1435" t="s">
        <v>391</v>
      </c>
      <c r="G1435">
        <v>6103326</v>
      </c>
      <c r="H1435">
        <v>202112</v>
      </c>
      <c r="I1435" s="400">
        <v>44547</v>
      </c>
      <c r="J1435" t="s">
        <v>452</v>
      </c>
      <c r="K1435" t="s">
        <v>386</v>
      </c>
      <c r="M1435" t="s">
        <v>387</v>
      </c>
      <c r="O1435" t="s">
        <v>794</v>
      </c>
      <c r="P1435" t="s">
        <v>795</v>
      </c>
      <c r="Q1435" t="s">
        <v>396</v>
      </c>
      <c r="R1435">
        <v>2265787</v>
      </c>
      <c r="S1435" t="s">
        <v>2048</v>
      </c>
      <c r="U1435" t="s">
        <v>2049</v>
      </c>
      <c r="V1435" t="s">
        <v>398</v>
      </c>
      <c r="W1435" s="393">
        <v>7700</v>
      </c>
      <c r="X1435" s="393">
        <v>1.93</v>
      </c>
      <c r="Y1435" s="393">
        <v>17.399999999999999</v>
      </c>
      <c r="Z1435" s="393">
        <v>7700</v>
      </c>
      <c r="AA1435">
        <v>0</v>
      </c>
      <c r="AB1435" s="400">
        <v>44551.899221446758</v>
      </c>
      <c r="AC1435" t="s">
        <v>326</v>
      </c>
    </row>
    <row r="1436" spans="1:29">
      <c r="A1436" t="s">
        <v>382</v>
      </c>
      <c r="B1436" t="s">
        <v>382</v>
      </c>
      <c r="C1436" t="s">
        <v>486</v>
      </c>
      <c r="D1436" t="s">
        <v>571</v>
      </c>
      <c r="E1436" t="s">
        <v>390</v>
      </c>
      <c r="F1436" t="s">
        <v>391</v>
      </c>
      <c r="G1436">
        <v>6103326</v>
      </c>
      <c r="H1436">
        <v>202112</v>
      </c>
      <c r="I1436" s="400">
        <v>44547</v>
      </c>
      <c r="J1436" t="s">
        <v>452</v>
      </c>
      <c r="K1436" t="s">
        <v>386</v>
      </c>
      <c r="M1436" t="s">
        <v>387</v>
      </c>
      <c r="O1436" t="s">
        <v>2050</v>
      </c>
      <c r="P1436" t="s">
        <v>2051</v>
      </c>
      <c r="Q1436" t="s">
        <v>396</v>
      </c>
      <c r="R1436">
        <v>2265787</v>
      </c>
      <c r="S1436" t="s">
        <v>2052</v>
      </c>
      <c r="U1436" t="s">
        <v>2053</v>
      </c>
      <c r="V1436" t="s">
        <v>398</v>
      </c>
      <c r="W1436" s="393">
        <v>23000</v>
      </c>
      <c r="X1436" s="393">
        <v>5.76</v>
      </c>
      <c r="Y1436" s="393">
        <v>51.98</v>
      </c>
      <c r="Z1436" s="393">
        <v>23000</v>
      </c>
      <c r="AA1436">
        <v>0</v>
      </c>
      <c r="AB1436" s="400">
        <v>44551.899221446758</v>
      </c>
      <c r="AC1436" t="s">
        <v>326</v>
      </c>
    </row>
    <row r="1437" spans="1:29">
      <c r="A1437" t="s">
        <v>382</v>
      </c>
      <c r="B1437" t="s">
        <v>382</v>
      </c>
      <c r="C1437" t="s">
        <v>486</v>
      </c>
      <c r="D1437" t="s">
        <v>571</v>
      </c>
      <c r="E1437" t="s">
        <v>390</v>
      </c>
      <c r="F1437" t="s">
        <v>391</v>
      </c>
      <c r="G1437">
        <v>6103326</v>
      </c>
      <c r="H1437">
        <v>202112</v>
      </c>
      <c r="I1437" s="400">
        <v>44547</v>
      </c>
      <c r="J1437" t="s">
        <v>452</v>
      </c>
      <c r="K1437" t="s">
        <v>386</v>
      </c>
      <c r="M1437" t="s">
        <v>387</v>
      </c>
      <c r="O1437" t="s">
        <v>1001</v>
      </c>
      <c r="P1437" t="s">
        <v>1002</v>
      </c>
      <c r="Q1437" t="s">
        <v>396</v>
      </c>
      <c r="R1437">
        <v>2265787</v>
      </c>
      <c r="S1437" t="s">
        <v>2054</v>
      </c>
      <c r="U1437" t="s">
        <v>2055</v>
      </c>
      <c r="V1437" t="s">
        <v>398</v>
      </c>
      <c r="W1437" s="393">
        <v>9000</v>
      </c>
      <c r="X1437" s="393">
        <v>2.2599999999999998</v>
      </c>
      <c r="Y1437" s="393">
        <v>20.34</v>
      </c>
      <c r="Z1437" s="393">
        <v>9000</v>
      </c>
      <c r="AA1437">
        <v>0</v>
      </c>
      <c r="AB1437" s="400">
        <v>44551.899221446758</v>
      </c>
      <c r="AC1437" t="s">
        <v>326</v>
      </c>
    </row>
    <row r="1438" spans="1:29">
      <c r="A1438" t="s">
        <v>382</v>
      </c>
      <c r="B1438" t="s">
        <v>382</v>
      </c>
      <c r="C1438" t="s">
        <v>486</v>
      </c>
      <c r="D1438" t="s">
        <v>571</v>
      </c>
      <c r="E1438" t="s">
        <v>390</v>
      </c>
      <c r="F1438" t="s">
        <v>391</v>
      </c>
      <c r="G1438">
        <v>6103326</v>
      </c>
      <c r="H1438">
        <v>202112</v>
      </c>
      <c r="I1438" s="400">
        <v>44547</v>
      </c>
      <c r="J1438" t="s">
        <v>452</v>
      </c>
      <c r="K1438" t="s">
        <v>386</v>
      </c>
      <c r="M1438" t="s">
        <v>387</v>
      </c>
      <c r="O1438" t="s">
        <v>1001</v>
      </c>
      <c r="P1438" t="s">
        <v>1002</v>
      </c>
      <c r="Q1438" t="s">
        <v>396</v>
      </c>
      <c r="R1438">
        <v>2265787</v>
      </c>
      <c r="S1438" t="s">
        <v>2056</v>
      </c>
      <c r="U1438" t="s">
        <v>2057</v>
      </c>
      <c r="V1438" t="s">
        <v>398</v>
      </c>
      <c r="W1438" s="393">
        <v>9000</v>
      </c>
      <c r="X1438" s="393">
        <v>2.2599999999999998</v>
      </c>
      <c r="Y1438" s="393">
        <v>20.34</v>
      </c>
      <c r="Z1438" s="393">
        <v>9000</v>
      </c>
      <c r="AA1438">
        <v>0</v>
      </c>
      <c r="AB1438" s="400">
        <v>44551.899221446758</v>
      </c>
      <c r="AC1438" t="s">
        <v>326</v>
      </c>
    </row>
    <row r="1439" spans="1:29">
      <c r="A1439" t="s">
        <v>382</v>
      </c>
      <c r="B1439" t="s">
        <v>382</v>
      </c>
      <c r="C1439" t="s">
        <v>486</v>
      </c>
      <c r="D1439" t="s">
        <v>571</v>
      </c>
      <c r="E1439" t="s">
        <v>390</v>
      </c>
      <c r="F1439" t="s">
        <v>391</v>
      </c>
      <c r="G1439">
        <v>6103326</v>
      </c>
      <c r="H1439">
        <v>202112</v>
      </c>
      <c r="I1439" s="400">
        <v>44547</v>
      </c>
      <c r="J1439" t="s">
        <v>452</v>
      </c>
      <c r="K1439" t="s">
        <v>386</v>
      </c>
      <c r="M1439" t="s">
        <v>387</v>
      </c>
      <c r="O1439" t="s">
        <v>587</v>
      </c>
      <c r="P1439" t="s">
        <v>588</v>
      </c>
      <c r="Q1439" t="s">
        <v>396</v>
      </c>
      <c r="R1439">
        <v>2265787</v>
      </c>
      <c r="S1439" t="s">
        <v>626</v>
      </c>
      <c r="U1439" t="s">
        <v>2058</v>
      </c>
      <c r="V1439" t="s">
        <v>398</v>
      </c>
      <c r="W1439" s="393">
        <v>13000</v>
      </c>
      <c r="X1439" s="393">
        <v>3.26</v>
      </c>
      <c r="Y1439" s="393">
        <v>29.38</v>
      </c>
      <c r="Z1439" s="393">
        <v>13000</v>
      </c>
      <c r="AA1439">
        <v>0</v>
      </c>
      <c r="AB1439" s="400">
        <v>44551.899221446758</v>
      </c>
      <c r="AC1439" t="s">
        <v>326</v>
      </c>
    </row>
    <row r="1440" spans="1:29">
      <c r="A1440" t="s">
        <v>382</v>
      </c>
      <c r="B1440" t="s">
        <v>382</v>
      </c>
      <c r="C1440" t="s">
        <v>486</v>
      </c>
      <c r="D1440" t="s">
        <v>571</v>
      </c>
      <c r="E1440" t="s">
        <v>390</v>
      </c>
      <c r="F1440" t="s">
        <v>391</v>
      </c>
      <c r="G1440">
        <v>6103326</v>
      </c>
      <c r="H1440">
        <v>202112</v>
      </c>
      <c r="I1440" s="400">
        <v>44547</v>
      </c>
      <c r="J1440" t="s">
        <v>452</v>
      </c>
      <c r="K1440" t="s">
        <v>386</v>
      </c>
      <c r="M1440" t="s">
        <v>387</v>
      </c>
      <c r="O1440" t="s">
        <v>780</v>
      </c>
      <c r="P1440" t="s">
        <v>781</v>
      </c>
      <c r="Q1440" t="s">
        <v>396</v>
      </c>
      <c r="R1440">
        <v>2265787</v>
      </c>
      <c r="S1440" t="s">
        <v>2059</v>
      </c>
      <c r="U1440" t="s">
        <v>2060</v>
      </c>
      <c r="V1440" t="s">
        <v>398</v>
      </c>
      <c r="W1440" s="393">
        <v>23500</v>
      </c>
      <c r="X1440" s="393">
        <v>5.89</v>
      </c>
      <c r="Y1440" s="393">
        <v>53.11</v>
      </c>
      <c r="Z1440" s="393">
        <v>23500</v>
      </c>
      <c r="AA1440">
        <v>0</v>
      </c>
      <c r="AB1440" s="400">
        <v>44551.899221446758</v>
      </c>
      <c r="AC1440" t="s">
        <v>326</v>
      </c>
    </row>
    <row r="1441" spans="1:29">
      <c r="A1441" t="s">
        <v>382</v>
      </c>
      <c r="B1441" t="s">
        <v>440</v>
      </c>
      <c r="C1441" t="s">
        <v>486</v>
      </c>
      <c r="D1441" t="s">
        <v>571</v>
      </c>
      <c r="E1441" t="s">
        <v>390</v>
      </c>
      <c r="F1441" t="s">
        <v>391</v>
      </c>
      <c r="G1441">
        <v>6103381</v>
      </c>
      <c r="H1441">
        <v>202112</v>
      </c>
      <c r="I1441" s="400">
        <v>44551</v>
      </c>
      <c r="J1441">
        <v>122536</v>
      </c>
      <c r="K1441" t="s">
        <v>386</v>
      </c>
      <c r="M1441" t="s">
        <v>387</v>
      </c>
      <c r="O1441" t="s">
        <v>1066</v>
      </c>
      <c r="P1441" t="s">
        <v>1067</v>
      </c>
      <c r="Q1441" t="s">
        <v>396</v>
      </c>
      <c r="R1441">
        <v>2069132</v>
      </c>
      <c r="S1441" t="s">
        <v>387</v>
      </c>
      <c r="U1441" t="s">
        <v>2061</v>
      </c>
      <c r="V1441" t="s">
        <v>398</v>
      </c>
      <c r="W1441" s="393">
        <v>1500000</v>
      </c>
      <c r="X1441" s="393">
        <v>375.92</v>
      </c>
      <c r="Y1441" s="393">
        <v>3390.2</v>
      </c>
      <c r="Z1441" s="393">
        <v>1500000</v>
      </c>
      <c r="AA1441">
        <v>301</v>
      </c>
      <c r="AB1441" s="400">
        <v>44558.78209552083</v>
      </c>
      <c r="AC1441" t="s">
        <v>56</v>
      </c>
    </row>
    <row r="1442" spans="1:29">
      <c r="A1442" t="s">
        <v>382</v>
      </c>
      <c r="B1442" t="s">
        <v>440</v>
      </c>
      <c r="C1442" t="s">
        <v>486</v>
      </c>
      <c r="D1442" t="s">
        <v>571</v>
      </c>
      <c r="E1442" t="s">
        <v>390</v>
      </c>
      <c r="F1442" t="s">
        <v>391</v>
      </c>
      <c r="G1442">
        <v>6103335</v>
      </c>
      <c r="H1442">
        <v>202112</v>
      </c>
      <c r="I1442" s="400">
        <v>44547</v>
      </c>
      <c r="J1442" t="s">
        <v>452</v>
      </c>
      <c r="K1442" t="s">
        <v>386</v>
      </c>
      <c r="M1442" t="s">
        <v>387</v>
      </c>
      <c r="O1442" t="s">
        <v>906</v>
      </c>
      <c r="P1442" t="s">
        <v>907</v>
      </c>
      <c r="Q1442" t="s">
        <v>396</v>
      </c>
      <c r="R1442">
        <v>2069128</v>
      </c>
      <c r="S1442" t="s">
        <v>2062</v>
      </c>
      <c r="T1442" t="s">
        <v>2062</v>
      </c>
      <c r="U1442" t="s">
        <v>2063</v>
      </c>
      <c r="V1442" t="s">
        <v>398</v>
      </c>
      <c r="W1442" s="393">
        <v>15000</v>
      </c>
      <c r="X1442" s="393">
        <v>3.76</v>
      </c>
      <c r="Y1442" s="393">
        <v>33.9</v>
      </c>
      <c r="Z1442" s="393">
        <v>15000</v>
      </c>
      <c r="AA1442">
        <v>0</v>
      </c>
      <c r="AB1442" s="400">
        <v>44552.029221909725</v>
      </c>
      <c r="AC1442" t="s">
        <v>40</v>
      </c>
    </row>
    <row r="1443" spans="1:29">
      <c r="A1443" t="s">
        <v>382</v>
      </c>
      <c r="B1443" t="s">
        <v>440</v>
      </c>
      <c r="C1443" t="s">
        <v>486</v>
      </c>
      <c r="D1443" t="s">
        <v>571</v>
      </c>
      <c r="E1443" t="s">
        <v>390</v>
      </c>
      <c r="F1443" t="s">
        <v>391</v>
      </c>
      <c r="G1443">
        <v>6103497</v>
      </c>
      <c r="H1443">
        <v>202112</v>
      </c>
      <c r="I1443" s="400">
        <v>44560</v>
      </c>
      <c r="J1443" t="s">
        <v>452</v>
      </c>
      <c r="K1443" t="s">
        <v>386</v>
      </c>
      <c r="M1443" t="s">
        <v>387</v>
      </c>
      <c r="O1443" t="s">
        <v>587</v>
      </c>
      <c r="P1443" t="s">
        <v>588</v>
      </c>
      <c r="Q1443" t="s">
        <v>396</v>
      </c>
      <c r="R1443">
        <v>2069128</v>
      </c>
      <c r="S1443" t="s">
        <v>939</v>
      </c>
      <c r="U1443" t="s">
        <v>2064</v>
      </c>
      <c r="V1443" t="s">
        <v>398</v>
      </c>
      <c r="W1443" s="393">
        <v>12000</v>
      </c>
      <c r="X1443" s="393">
        <v>3.01</v>
      </c>
      <c r="Y1443" s="393">
        <v>27.12</v>
      </c>
      <c r="Z1443" s="393">
        <v>12000</v>
      </c>
      <c r="AA1443">
        <v>0</v>
      </c>
      <c r="AB1443" s="400">
        <v>44568.649555787037</v>
      </c>
      <c r="AC1443" t="s">
        <v>40</v>
      </c>
    </row>
    <row r="1444" spans="1:29">
      <c r="A1444" t="s">
        <v>382</v>
      </c>
      <c r="B1444" t="s">
        <v>440</v>
      </c>
      <c r="C1444" t="s">
        <v>486</v>
      </c>
      <c r="D1444" t="s">
        <v>571</v>
      </c>
      <c r="E1444" t="s">
        <v>390</v>
      </c>
      <c r="F1444" t="s">
        <v>391</v>
      </c>
      <c r="G1444">
        <v>6103497</v>
      </c>
      <c r="H1444">
        <v>202112</v>
      </c>
      <c r="I1444" s="400">
        <v>44560</v>
      </c>
      <c r="J1444" t="s">
        <v>452</v>
      </c>
      <c r="K1444" t="s">
        <v>386</v>
      </c>
      <c r="M1444" t="s">
        <v>387</v>
      </c>
      <c r="O1444" t="s">
        <v>587</v>
      </c>
      <c r="P1444" t="s">
        <v>588</v>
      </c>
      <c r="Q1444" t="s">
        <v>396</v>
      </c>
      <c r="R1444">
        <v>2069128</v>
      </c>
      <c r="S1444" t="s">
        <v>939</v>
      </c>
      <c r="U1444" t="s">
        <v>2064</v>
      </c>
      <c r="V1444" t="s">
        <v>398</v>
      </c>
      <c r="W1444" s="393">
        <v>12000</v>
      </c>
      <c r="X1444" s="393">
        <v>3.01</v>
      </c>
      <c r="Y1444" s="393">
        <v>27.12</v>
      </c>
      <c r="Z1444" s="393">
        <v>12000</v>
      </c>
      <c r="AA1444">
        <v>0</v>
      </c>
      <c r="AB1444" s="400">
        <v>44568.649555787037</v>
      </c>
      <c r="AC1444" t="s">
        <v>40</v>
      </c>
    </row>
    <row r="1445" spans="1:29">
      <c r="A1445" t="s">
        <v>382</v>
      </c>
      <c r="B1445" t="s">
        <v>440</v>
      </c>
      <c r="C1445" t="s">
        <v>486</v>
      </c>
      <c r="D1445" t="s">
        <v>571</v>
      </c>
      <c r="E1445" t="s">
        <v>390</v>
      </c>
      <c r="F1445" t="s">
        <v>391</v>
      </c>
      <c r="G1445">
        <v>6103497</v>
      </c>
      <c r="H1445">
        <v>202112</v>
      </c>
      <c r="I1445" s="400">
        <v>44560</v>
      </c>
      <c r="J1445" t="s">
        <v>452</v>
      </c>
      <c r="K1445" t="s">
        <v>386</v>
      </c>
      <c r="M1445" t="s">
        <v>387</v>
      </c>
      <c r="O1445" t="s">
        <v>2065</v>
      </c>
      <c r="P1445" t="s">
        <v>2066</v>
      </c>
      <c r="Q1445" t="s">
        <v>396</v>
      </c>
      <c r="R1445">
        <v>2069128</v>
      </c>
      <c r="S1445" t="s">
        <v>939</v>
      </c>
      <c r="U1445" t="s">
        <v>2064</v>
      </c>
      <c r="V1445" t="s">
        <v>398</v>
      </c>
      <c r="W1445" s="393">
        <v>-12000</v>
      </c>
      <c r="X1445" s="393">
        <v>-3.01</v>
      </c>
      <c r="Y1445" s="393">
        <v>-27.12</v>
      </c>
      <c r="Z1445" s="393">
        <v>-12000</v>
      </c>
      <c r="AA1445">
        <v>0</v>
      </c>
      <c r="AB1445" s="400">
        <v>44568.649555787037</v>
      </c>
      <c r="AC1445" t="s">
        <v>40</v>
      </c>
    </row>
    <row r="1446" spans="1:29">
      <c r="A1446" t="s">
        <v>382</v>
      </c>
      <c r="B1446" t="s">
        <v>440</v>
      </c>
      <c r="C1446" t="s">
        <v>486</v>
      </c>
      <c r="D1446" t="s">
        <v>571</v>
      </c>
      <c r="E1446" t="s">
        <v>390</v>
      </c>
      <c r="F1446" t="s">
        <v>391</v>
      </c>
      <c r="G1446">
        <v>6103497</v>
      </c>
      <c r="H1446">
        <v>202112</v>
      </c>
      <c r="I1446" s="400">
        <v>44560</v>
      </c>
      <c r="J1446" t="s">
        <v>452</v>
      </c>
      <c r="K1446" t="s">
        <v>386</v>
      </c>
      <c r="M1446" t="s">
        <v>387</v>
      </c>
      <c r="O1446" t="s">
        <v>2065</v>
      </c>
      <c r="P1446" t="s">
        <v>2066</v>
      </c>
      <c r="Q1446" t="s">
        <v>396</v>
      </c>
      <c r="R1446">
        <v>2069128</v>
      </c>
      <c r="S1446" t="s">
        <v>939</v>
      </c>
      <c r="U1446" t="s">
        <v>2064</v>
      </c>
      <c r="V1446" t="s">
        <v>398</v>
      </c>
      <c r="W1446" s="393">
        <v>-12000</v>
      </c>
      <c r="X1446" s="393">
        <v>-3.01</v>
      </c>
      <c r="Y1446" s="393">
        <v>-27.12</v>
      </c>
      <c r="Z1446" s="393">
        <v>-12000</v>
      </c>
      <c r="AA1446">
        <v>0</v>
      </c>
      <c r="AB1446" s="400">
        <v>44568.649555787037</v>
      </c>
      <c r="AC1446" t="s">
        <v>40</v>
      </c>
    </row>
    <row r="1447" spans="1:29">
      <c r="A1447" t="s">
        <v>382</v>
      </c>
      <c r="B1447" t="s">
        <v>440</v>
      </c>
      <c r="C1447" t="s">
        <v>486</v>
      </c>
      <c r="D1447" t="s">
        <v>571</v>
      </c>
      <c r="E1447" t="s">
        <v>390</v>
      </c>
      <c r="F1447" t="s">
        <v>391</v>
      </c>
      <c r="G1447">
        <v>6103301</v>
      </c>
      <c r="H1447">
        <v>202112</v>
      </c>
      <c r="I1447" s="400">
        <v>44547</v>
      </c>
      <c r="J1447">
        <v>122536</v>
      </c>
      <c r="K1447" t="s">
        <v>386</v>
      </c>
      <c r="M1447" t="s">
        <v>387</v>
      </c>
      <c r="O1447" t="s">
        <v>2067</v>
      </c>
      <c r="P1447" t="s">
        <v>2068</v>
      </c>
      <c r="Q1447" t="s">
        <v>396</v>
      </c>
      <c r="R1447">
        <v>2069126</v>
      </c>
      <c r="S1447" t="s">
        <v>387</v>
      </c>
      <c r="U1447" t="s">
        <v>2069</v>
      </c>
      <c r="V1447" t="s">
        <v>398</v>
      </c>
      <c r="W1447" s="393">
        <v>10000</v>
      </c>
      <c r="X1447" s="393">
        <v>2.5099999999999998</v>
      </c>
      <c r="Y1447" s="393">
        <v>22.6</v>
      </c>
      <c r="Z1447" s="393">
        <v>10000</v>
      </c>
      <c r="AA1447">
        <v>0</v>
      </c>
      <c r="AB1447" s="400">
        <v>44550.969247222223</v>
      </c>
      <c r="AC1447" t="s">
        <v>36</v>
      </c>
    </row>
    <row r="1448" spans="1:29">
      <c r="A1448" t="s">
        <v>382</v>
      </c>
      <c r="B1448" t="s">
        <v>440</v>
      </c>
      <c r="C1448" t="s">
        <v>486</v>
      </c>
      <c r="D1448" t="s">
        <v>571</v>
      </c>
      <c r="E1448" t="s">
        <v>390</v>
      </c>
      <c r="F1448" t="s">
        <v>391</v>
      </c>
      <c r="G1448">
        <v>6103301</v>
      </c>
      <c r="H1448">
        <v>202112</v>
      </c>
      <c r="I1448" s="400">
        <v>44547</v>
      </c>
      <c r="J1448">
        <v>122536</v>
      </c>
      <c r="K1448" t="s">
        <v>386</v>
      </c>
      <c r="M1448" t="s">
        <v>387</v>
      </c>
      <c r="O1448" t="s">
        <v>2070</v>
      </c>
      <c r="P1448" t="s">
        <v>2071</v>
      </c>
      <c r="Q1448" t="s">
        <v>396</v>
      </c>
      <c r="R1448">
        <v>2069126</v>
      </c>
      <c r="S1448" t="s">
        <v>387</v>
      </c>
      <c r="U1448" t="s">
        <v>2072</v>
      </c>
      <c r="V1448" t="s">
        <v>398</v>
      </c>
      <c r="W1448" s="393">
        <v>33500</v>
      </c>
      <c r="X1448" s="393">
        <v>8.4</v>
      </c>
      <c r="Y1448" s="393">
        <v>75.709999999999994</v>
      </c>
      <c r="Z1448" s="393">
        <v>33500</v>
      </c>
      <c r="AA1448">
        <v>0</v>
      </c>
      <c r="AB1448" s="400">
        <v>44550.969247222223</v>
      </c>
      <c r="AC1448" t="s">
        <v>36</v>
      </c>
    </row>
    <row r="1449" spans="1:29">
      <c r="A1449" t="s">
        <v>382</v>
      </c>
      <c r="B1449" t="s">
        <v>440</v>
      </c>
      <c r="C1449" t="s">
        <v>486</v>
      </c>
      <c r="D1449" t="s">
        <v>571</v>
      </c>
      <c r="E1449" t="s">
        <v>390</v>
      </c>
      <c r="F1449" t="s">
        <v>391</v>
      </c>
      <c r="G1449">
        <v>6103301</v>
      </c>
      <c r="H1449">
        <v>202112</v>
      </c>
      <c r="I1449" s="400">
        <v>44547</v>
      </c>
      <c r="J1449">
        <v>122536</v>
      </c>
      <c r="K1449" t="s">
        <v>386</v>
      </c>
      <c r="M1449" t="s">
        <v>387</v>
      </c>
      <c r="O1449" t="s">
        <v>587</v>
      </c>
      <c r="P1449" t="s">
        <v>588</v>
      </c>
      <c r="Q1449" t="s">
        <v>396</v>
      </c>
      <c r="R1449">
        <v>2069126</v>
      </c>
      <c r="S1449" t="s">
        <v>387</v>
      </c>
      <c r="U1449" t="s">
        <v>2073</v>
      </c>
      <c r="V1449" t="s">
        <v>398</v>
      </c>
      <c r="W1449" s="393">
        <v>64000</v>
      </c>
      <c r="X1449" s="393">
        <v>16.04</v>
      </c>
      <c r="Y1449" s="393">
        <v>144.65</v>
      </c>
      <c r="Z1449" s="393">
        <v>64000</v>
      </c>
      <c r="AA1449">
        <v>0</v>
      </c>
      <c r="AB1449" s="400">
        <v>44550.969247222223</v>
      </c>
      <c r="AC1449" t="s">
        <v>36</v>
      </c>
    </row>
    <row r="1450" spans="1:29">
      <c r="A1450" t="s">
        <v>382</v>
      </c>
      <c r="B1450" t="s">
        <v>440</v>
      </c>
      <c r="C1450" t="s">
        <v>486</v>
      </c>
      <c r="D1450" t="s">
        <v>571</v>
      </c>
      <c r="E1450" t="s">
        <v>390</v>
      </c>
      <c r="F1450" t="s">
        <v>391</v>
      </c>
      <c r="G1450">
        <v>6103301</v>
      </c>
      <c r="H1450">
        <v>202112</v>
      </c>
      <c r="I1450" s="400">
        <v>44547</v>
      </c>
      <c r="J1450">
        <v>122536</v>
      </c>
      <c r="K1450" t="s">
        <v>386</v>
      </c>
      <c r="M1450" t="s">
        <v>387</v>
      </c>
      <c r="O1450" t="s">
        <v>2028</v>
      </c>
      <c r="P1450" t="s">
        <v>2029</v>
      </c>
      <c r="Q1450" t="s">
        <v>396</v>
      </c>
      <c r="R1450">
        <v>2069128</v>
      </c>
      <c r="S1450" t="s">
        <v>387</v>
      </c>
      <c r="U1450" t="s">
        <v>2074</v>
      </c>
      <c r="V1450" t="s">
        <v>398</v>
      </c>
      <c r="W1450" s="393">
        <v>14000</v>
      </c>
      <c r="X1450" s="393">
        <v>3.51</v>
      </c>
      <c r="Y1450" s="393">
        <v>31.64</v>
      </c>
      <c r="Z1450" s="393">
        <v>14000</v>
      </c>
      <c r="AA1450">
        <v>0</v>
      </c>
      <c r="AB1450" s="400">
        <v>44550.969247025459</v>
      </c>
      <c r="AC1450" t="s">
        <v>40</v>
      </c>
    </row>
    <row r="1451" spans="1:29">
      <c r="A1451" t="s">
        <v>382</v>
      </c>
      <c r="B1451" t="s">
        <v>440</v>
      </c>
      <c r="C1451" t="s">
        <v>486</v>
      </c>
      <c r="D1451" t="s">
        <v>571</v>
      </c>
      <c r="E1451" t="s">
        <v>390</v>
      </c>
      <c r="F1451" t="s">
        <v>391</v>
      </c>
      <c r="G1451">
        <v>6103301</v>
      </c>
      <c r="H1451">
        <v>202112</v>
      </c>
      <c r="I1451" s="400">
        <v>44547</v>
      </c>
      <c r="J1451">
        <v>122536</v>
      </c>
      <c r="K1451" t="s">
        <v>386</v>
      </c>
      <c r="M1451" t="s">
        <v>387</v>
      </c>
      <c r="O1451" t="s">
        <v>794</v>
      </c>
      <c r="P1451" t="s">
        <v>795</v>
      </c>
      <c r="Q1451" t="s">
        <v>396</v>
      </c>
      <c r="R1451">
        <v>2069128</v>
      </c>
      <c r="S1451" t="s">
        <v>387</v>
      </c>
      <c r="U1451" t="s">
        <v>2075</v>
      </c>
      <c r="V1451" t="s">
        <v>398</v>
      </c>
      <c r="W1451" s="393">
        <v>6000</v>
      </c>
      <c r="X1451" s="393">
        <v>1.5</v>
      </c>
      <c r="Y1451" s="393">
        <v>13.56</v>
      </c>
      <c r="Z1451" s="393">
        <v>6000</v>
      </c>
      <c r="AA1451">
        <v>0</v>
      </c>
      <c r="AB1451" s="400">
        <v>44550.969247025459</v>
      </c>
      <c r="AC1451" t="s">
        <v>40</v>
      </c>
    </row>
    <row r="1452" spans="1:29">
      <c r="A1452" t="s">
        <v>382</v>
      </c>
      <c r="B1452" t="s">
        <v>440</v>
      </c>
      <c r="C1452" t="s">
        <v>486</v>
      </c>
      <c r="D1452" t="s">
        <v>571</v>
      </c>
      <c r="E1452" t="s">
        <v>390</v>
      </c>
      <c r="F1452" t="s">
        <v>391</v>
      </c>
      <c r="G1452">
        <v>6103301</v>
      </c>
      <c r="H1452">
        <v>202112</v>
      </c>
      <c r="I1452" s="400">
        <v>44547</v>
      </c>
      <c r="J1452">
        <v>122536</v>
      </c>
      <c r="K1452" t="s">
        <v>386</v>
      </c>
      <c r="M1452" t="s">
        <v>387</v>
      </c>
      <c r="O1452" t="s">
        <v>2076</v>
      </c>
      <c r="P1452" t="s">
        <v>2077</v>
      </c>
      <c r="Q1452" t="s">
        <v>396</v>
      </c>
      <c r="R1452">
        <v>2069128</v>
      </c>
      <c r="S1452" t="s">
        <v>387</v>
      </c>
      <c r="U1452" t="s">
        <v>2078</v>
      </c>
      <c r="V1452" t="s">
        <v>398</v>
      </c>
      <c r="W1452" s="393">
        <v>31000</v>
      </c>
      <c r="X1452" s="393">
        <v>7.77</v>
      </c>
      <c r="Y1452" s="393">
        <v>70.06</v>
      </c>
      <c r="Z1452" s="393">
        <v>31000</v>
      </c>
      <c r="AA1452">
        <v>0</v>
      </c>
      <c r="AB1452" s="400">
        <v>44550.969247222223</v>
      </c>
      <c r="AC1452" t="s">
        <v>40</v>
      </c>
    </row>
    <row r="1453" spans="1:29">
      <c r="A1453" t="s">
        <v>382</v>
      </c>
      <c r="B1453" t="s">
        <v>440</v>
      </c>
      <c r="C1453" t="s">
        <v>486</v>
      </c>
      <c r="D1453" t="s">
        <v>571</v>
      </c>
      <c r="E1453" t="s">
        <v>390</v>
      </c>
      <c r="F1453" t="s">
        <v>391</v>
      </c>
      <c r="G1453">
        <v>6103301</v>
      </c>
      <c r="H1453">
        <v>202112</v>
      </c>
      <c r="I1453" s="400">
        <v>44547</v>
      </c>
      <c r="J1453">
        <v>122536</v>
      </c>
      <c r="K1453" t="s">
        <v>386</v>
      </c>
      <c r="M1453" t="s">
        <v>387</v>
      </c>
      <c r="O1453" t="s">
        <v>2079</v>
      </c>
      <c r="P1453" t="s">
        <v>2080</v>
      </c>
      <c r="Q1453" t="s">
        <v>396</v>
      </c>
      <c r="R1453">
        <v>2069128</v>
      </c>
      <c r="S1453" t="s">
        <v>387</v>
      </c>
      <c r="U1453" t="s">
        <v>2081</v>
      </c>
      <c r="V1453" t="s">
        <v>398</v>
      </c>
      <c r="W1453" s="393">
        <v>9800</v>
      </c>
      <c r="X1453" s="393">
        <v>2.46</v>
      </c>
      <c r="Y1453" s="393">
        <v>22.15</v>
      </c>
      <c r="Z1453" s="393">
        <v>9800</v>
      </c>
      <c r="AA1453">
        <v>0</v>
      </c>
      <c r="AB1453" s="400">
        <v>44550.969247222223</v>
      </c>
      <c r="AC1453" t="s">
        <v>40</v>
      </c>
    </row>
    <row r="1454" spans="1:29">
      <c r="A1454" t="s">
        <v>382</v>
      </c>
      <c r="B1454" t="s">
        <v>440</v>
      </c>
      <c r="C1454" t="s">
        <v>486</v>
      </c>
      <c r="D1454" t="s">
        <v>571</v>
      </c>
      <c r="E1454" t="s">
        <v>390</v>
      </c>
      <c r="F1454" t="s">
        <v>391</v>
      </c>
      <c r="G1454">
        <v>6103301</v>
      </c>
      <c r="H1454">
        <v>202112</v>
      </c>
      <c r="I1454" s="400">
        <v>44547</v>
      </c>
      <c r="J1454">
        <v>122536</v>
      </c>
      <c r="K1454" t="s">
        <v>386</v>
      </c>
      <c r="M1454" t="s">
        <v>387</v>
      </c>
      <c r="O1454" t="s">
        <v>906</v>
      </c>
      <c r="P1454" t="s">
        <v>907</v>
      </c>
      <c r="Q1454" t="s">
        <v>396</v>
      </c>
      <c r="R1454">
        <v>2069128</v>
      </c>
      <c r="S1454" t="s">
        <v>387</v>
      </c>
      <c r="U1454" t="s">
        <v>2082</v>
      </c>
      <c r="V1454" t="s">
        <v>398</v>
      </c>
      <c r="W1454" s="393">
        <v>36000</v>
      </c>
      <c r="X1454" s="393">
        <v>9.02</v>
      </c>
      <c r="Y1454" s="393">
        <v>81.36</v>
      </c>
      <c r="Z1454" s="393">
        <v>36000</v>
      </c>
      <c r="AA1454">
        <v>0</v>
      </c>
      <c r="AB1454" s="400">
        <v>44550.969247222223</v>
      </c>
      <c r="AC1454" t="s">
        <v>40</v>
      </c>
    </row>
    <row r="1455" spans="1:29">
      <c r="A1455" t="s">
        <v>382</v>
      </c>
      <c r="B1455" t="s">
        <v>440</v>
      </c>
      <c r="C1455" t="s">
        <v>486</v>
      </c>
      <c r="D1455" t="s">
        <v>571</v>
      </c>
      <c r="E1455" t="s">
        <v>390</v>
      </c>
      <c r="F1455" t="s">
        <v>391</v>
      </c>
      <c r="G1455">
        <v>6103301</v>
      </c>
      <c r="H1455">
        <v>202112</v>
      </c>
      <c r="I1455" s="400">
        <v>44547</v>
      </c>
      <c r="J1455">
        <v>122536</v>
      </c>
      <c r="K1455" t="s">
        <v>386</v>
      </c>
      <c r="M1455" t="s">
        <v>387</v>
      </c>
      <c r="O1455" t="s">
        <v>725</v>
      </c>
      <c r="P1455" t="s">
        <v>726</v>
      </c>
      <c r="Q1455" t="s">
        <v>396</v>
      </c>
      <c r="R1455">
        <v>2069128</v>
      </c>
      <c r="S1455" t="s">
        <v>387</v>
      </c>
      <c r="U1455" t="s">
        <v>2083</v>
      </c>
      <c r="V1455" t="s">
        <v>398</v>
      </c>
      <c r="W1455" s="393">
        <v>5000</v>
      </c>
      <c r="X1455" s="393">
        <v>1.25</v>
      </c>
      <c r="Y1455" s="393">
        <v>11.3</v>
      </c>
      <c r="Z1455" s="393">
        <v>5000</v>
      </c>
      <c r="AA1455">
        <v>0</v>
      </c>
      <c r="AB1455" s="400">
        <v>44550.969247222223</v>
      </c>
      <c r="AC1455" t="s">
        <v>40</v>
      </c>
    </row>
    <row r="1456" spans="1:29">
      <c r="A1456" t="s">
        <v>382</v>
      </c>
      <c r="B1456" t="s">
        <v>440</v>
      </c>
      <c r="C1456" t="s">
        <v>486</v>
      </c>
      <c r="D1456" t="s">
        <v>571</v>
      </c>
      <c r="E1456" t="s">
        <v>390</v>
      </c>
      <c r="F1456" t="s">
        <v>391</v>
      </c>
      <c r="G1456">
        <v>6103301</v>
      </c>
      <c r="H1456">
        <v>202112</v>
      </c>
      <c r="I1456" s="400">
        <v>44547</v>
      </c>
      <c r="J1456">
        <v>122536</v>
      </c>
      <c r="K1456" t="s">
        <v>386</v>
      </c>
      <c r="M1456" t="s">
        <v>387</v>
      </c>
      <c r="O1456" t="s">
        <v>2084</v>
      </c>
      <c r="P1456" t="s">
        <v>2085</v>
      </c>
      <c r="Q1456" t="s">
        <v>396</v>
      </c>
      <c r="R1456">
        <v>2069126</v>
      </c>
      <c r="S1456" t="s">
        <v>387</v>
      </c>
      <c r="U1456" t="s">
        <v>2086</v>
      </c>
      <c r="V1456" t="s">
        <v>398</v>
      </c>
      <c r="W1456" s="393">
        <v>11000</v>
      </c>
      <c r="X1456" s="393">
        <v>2.76</v>
      </c>
      <c r="Y1456" s="393">
        <v>24.86</v>
      </c>
      <c r="Z1456" s="393">
        <v>11000</v>
      </c>
      <c r="AA1456">
        <v>0</v>
      </c>
      <c r="AB1456" s="400">
        <v>44550.969247025459</v>
      </c>
      <c r="AC1456" t="s">
        <v>36</v>
      </c>
    </row>
    <row r="1457" spans="1:29">
      <c r="A1457" t="s">
        <v>382</v>
      </c>
      <c r="B1457" t="s">
        <v>440</v>
      </c>
      <c r="C1457" t="s">
        <v>486</v>
      </c>
      <c r="D1457" t="s">
        <v>571</v>
      </c>
      <c r="E1457" t="s">
        <v>390</v>
      </c>
      <c r="F1457" t="s">
        <v>391</v>
      </c>
      <c r="G1457">
        <v>6103301</v>
      </c>
      <c r="H1457">
        <v>202112</v>
      </c>
      <c r="I1457" s="400">
        <v>44547</v>
      </c>
      <c r="J1457">
        <v>122536</v>
      </c>
      <c r="K1457" t="s">
        <v>386</v>
      </c>
      <c r="M1457" t="s">
        <v>387</v>
      </c>
      <c r="O1457" t="s">
        <v>2087</v>
      </c>
      <c r="P1457" t="s">
        <v>2088</v>
      </c>
      <c r="Q1457" t="s">
        <v>396</v>
      </c>
      <c r="R1457">
        <v>2069126</v>
      </c>
      <c r="S1457" t="s">
        <v>387</v>
      </c>
      <c r="U1457" t="s">
        <v>2089</v>
      </c>
      <c r="V1457" t="s">
        <v>398</v>
      </c>
      <c r="W1457" s="393">
        <v>22000</v>
      </c>
      <c r="X1457" s="393">
        <v>5.51</v>
      </c>
      <c r="Y1457" s="393">
        <v>49.72</v>
      </c>
      <c r="Z1457" s="393">
        <v>22000</v>
      </c>
      <c r="AA1457">
        <v>0</v>
      </c>
      <c r="AB1457" s="400">
        <v>44550.969247025459</v>
      </c>
      <c r="AC1457" t="s">
        <v>36</v>
      </c>
    </row>
    <row r="1458" spans="1:29">
      <c r="A1458" t="s">
        <v>382</v>
      </c>
      <c r="B1458" t="s">
        <v>440</v>
      </c>
      <c r="C1458" t="s">
        <v>486</v>
      </c>
      <c r="D1458" t="s">
        <v>571</v>
      </c>
      <c r="E1458" t="s">
        <v>390</v>
      </c>
      <c r="F1458" t="s">
        <v>391</v>
      </c>
      <c r="G1458">
        <v>6103301</v>
      </c>
      <c r="H1458">
        <v>202112</v>
      </c>
      <c r="I1458" s="400">
        <v>44547</v>
      </c>
      <c r="J1458">
        <v>122536</v>
      </c>
      <c r="K1458" t="s">
        <v>386</v>
      </c>
      <c r="M1458" t="s">
        <v>387</v>
      </c>
      <c r="O1458" t="s">
        <v>2070</v>
      </c>
      <c r="P1458" t="s">
        <v>2071</v>
      </c>
      <c r="Q1458" t="s">
        <v>396</v>
      </c>
      <c r="R1458">
        <v>2069126</v>
      </c>
      <c r="S1458" t="s">
        <v>387</v>
      </c>
      <c r="U1458" t="s">
        <v>2089</v>
      </c>
      <c r="V1458" t="s">
        <v>398</v>
      </c>
      <c r="W1458" s="393">
        <v>33500</v>
      </c>
      <c r="X1458" s="393">
        <v>8.4</v>
      </c>
      <c r="Y1458" s="393">
        <v>75.709999999999994</v>
      </c>
      <c r="Z1458" s="393">
        <v>33500</v>
      </c>
      <c r="AA1458">
        <v>0</v>
      </c>
      <c r="AB1458" s="400">
        <v>44550.969247025459</v>
      </c>
      <c r="AC1458" t="s">
        <v>36</v>
      </c>
    </row>
    <row r="1459" spans="1:29">
      <c r="A1459" t="s">
        <v>382</v>
      </c>
      <c r="B1459" t="s">
        <v>440</v>
      </c>
      <c r="C1459" t="s">
        <v>486</v>
      </c>
      <c r="D1459" t="s">
        <v>571</v>
      </c>
      <c r="E1459" t="s">
        <v>390</v>
      </c>
      <c r="F1459" t="s">
        <v>391</v>
      </c>
      <c r="G1459">
        <v>6103301</v>
      </c>
      <c r="H1459">
        <v>202112</v>
      </c>
      <c r="I1459" s="400">
        <v>44547</v>
      </c>
      <c r="J1459">
        <v>122536</v>
      </c>
      <c r="K1459" t="s">
        <v>386</v>
      </c>
      <c r="M1459" t="s">
        <v>387</v>
      </c>
      <c r="O1459" t="s">
        <v>531</v>
      </c>
      <c r="P1459" t="s">
        <v>532</v>
      </c>
      <c r="Q1459" t="s">
        <v>396</v>
      </c>
      <c r="R1459">
        <v>2069126</v>
      </c>
      <c r="S1459" t="s">
        <v>387</v>
      </c>
      <c r="U1459" t="s">
        <v>2090</v>
      </c>
      <c r="V1459" t="s">
        <v>398</v>
      </c>
      <c r="W1459" s="393">
        <v>25000</v>
      </c>
      <c r="X1459" s="393">
        <v>6.27</v>
      </c>
      <c r="Y1459" s="393">
        <v>56.5</v>
      </c>
      <c r="Z1459" s="393">
        <v>25000</v>
      </c>
      <c r="AA1459">
        <v>0</v>
      </c>
      <c r="AB1459" s="400">
        <v>44550.969247025459</v>
      </c>
      <c r="AC1459" t="s">
        <v>36</v>
      </c>
    </row>
    <row r="1460" spans="1:29">
      <c r="A1460" t="s">
        <v>382</v>
      </c>
      <c r="B1460" t="s">
        <v>440</v>
      </c>
      <c r="C1460" t="s">
        <v>486</v>
      </c>
      <c r="D1460" t="s">
        <v>571</v>
      </c>
      <c r="E1460" t="s">
        <v>390</v>
      </c>
      <c r="F1460" t="s">
        <v>391</v>
      </c>
      <c r="G1460">
        <v>6103301</v>
      </c>
      <c r="H1460">
        <v>202112</v>
      </c>
      <c r="I1460" s="400">
        <v>44547</v>
      </c>
      <c r="J1460">
        <v>122536</v>
      </c>
      <c r="K1460" t="s">
        <v>386</v>
      </c>
      <c r="M1460" t="s">
        <v>387</v>
      </c>
      <c r="O1460" t="s">
        <v>2091</v>
      </c>
      <c r="P1460" t="s">
        <v>2092</v>
      </c>
      <c r="Q1460" t="s">
        <v>396</v>
      </c>
      <c r="R1460">
        <v>2069126</v>
      </c>
      <c r="S1460" t="s">
        <v>387</v>
      </c>
      <c r="U1460" t="s">
        <v>2093</v>
      </c>
      <c r="V1460" t="s">
        <v>398</v>
      </c>
      <c r="W1460" s="393">
        <v>18000</v>
      </c>
      <c r="X1460" s="393">
        <v>4.51</v>
      </c>
      <c r="Y1460" s="393">
        <v>40.68</v>
      </c>
      <c r="Z1460" s="393">
        <v>18000</v>
      </c>
      <c r="AA1460">
        <v>0</v>
      </c>
      <c r="AB1460" s="400">
        <v>44550.969247222223</v>
      </c>
      <c r="AC1460" t="s">
        <v>36</v>
      </c>
    </row>
    <row r="1461" spans="1:29">
      <c r="A1461" t="s">
        <v>382</v>
      </c>
      <c r="B1461" t="s">
        <v>440</v>
      </c>
      <c r="C1461" t="s">
        <v>486</v>
      </c>
      <c r="D1461" t="s">
        <v>571</v>
      </c>
      <c r="E1461" t="s">
        <v>390</v>
      </c>
      <c r="F1461" t="s">
        <v>391</v>
      </c>
      <c r="G1461">
        <v>6103301</v>
      </c>
      <c r="H1461">
        <v>202112</v>
      </c>
      <c r="I1461" s="400">
        <v>44547</v>
      </c>
      <c r="J1461">
        <v>122536</v>
      </c>
      <c r="K1461" t="s">
        <v>386</v>
      </c>
      <c r="M1461" t="s">
        <v>387</v>
      </c>
      <c r="O1461" t="s">
        <v>2091</v>
      </c>
      <c r="P1461" t="s">
        <v>2092</v>
      </c>
      <c r="Q1461" t="s">
        <v>396</v>
      </c>
      <c r="R1461">
        <v>2069126</v>
      </c>
      <c r="S1461" t="s">
        <v>387</v>
      </c>
      <c r="U1461" t="s">
        <v>2094</v>
      </c>
      <c r="V1461" t="s">
        <v>398</v>
      </c>
      <c r="W1461" s="393">
        <v>8500</v>
      </c>
      <c r="X1461" s="393">
        <v>2.13</v>
      </c>
      <c r="Y1461" s="393">
        <v>19.21</v>
      </c>
      <c r="Z1461" s="393">
        <v>8500</v>
      </c>
      <c r="AA1461">
        <v>0</v>
      </c>
      <c r="AB1461" s="400">
        <v>44550.969247222223</v>
      </c>
      <c r="AC1461" t="s">
        <v>36</v>
      </c>
    </row>
    <row r="1462" spans="1:29">
      <c r="A1462" t="s">
        <v>382</v>
      </c>
      <c r="B1462" t="s">
        <v>440</v>
      </c>
      <c r="C1462" t="s">
        <v>486</v>
      </c>
      <c r="D1462" t="s">
        <v>571</v>
      </c>
      <c r="E1462" t="s">
        <v>390</v>
      </c>
      <c r="F1462" t="s">
        <v>391</v>
      </c>
      <c r="G1462">
        <v>6103154</v>
      </c>
      <c r="H1462">
        <v>202112</v>
      </c>
      <c r="I1462" s="400">
        <v>44531</v>
      </c>
      <c r="J1462">
        <v>122536</v>
      </c>
      <c r="K1462" t="s">
        <v>386</v>
      </c>
      <c r="M1462" t="s">
        <v>387</v>
      </c>
      <c r="O1462" t="s">
        <v>906</v>
      </c>
      <c r="P1462" t="s">
        <v>907</v>
      </c>
      <c r="Q1462" t="s">
        <v>396</v>
      </c>
      <c r="R1462">
        <v>2069131</v>
      </c>
      <c r="S1462" t="s">
        <v>387</v>
      </c>
      <c r="U1462" t="s">
        <v>2095</v>
      </c>
      <c r="V1462" t="s">
        <v>398</v>
      </c>
      <c r="W1462" s="393">
        <v>35000</v>
      </c>
      <c r="X1462" s="393">
        <v>8.82</v>
      </c>
      <c r="Y1462" s="393">
        <v>76.239999999999995</v>
      </c>
      <c r="Z1462" s="393">
        <v>35000</v>
      </c>
      <c r="AA1462">
        <v>0</v>
      </c>
      <c r="AB1462" s="400">
        <v>44544.693283449073</v>
      </c>
      <c r="AC1462" t="s">
        <v>52</v>
      </c>
    </row>
    <row r="1463" spans="1:29">
      <c r="A1463" t="s">
        <v>382</v>
      </c>
      <c r="B1463" t="s">
        <v>440</v>
      </c>
      <c r="C1463" t="s">
        <v>486</v>
      </c>
      <c r="D1463" t="s">
        <v>571</v>
      </c>
      <c r="E1463" t="s">
        <v>390</v>
      </c>
      <c r="F1463" t="s">
        <v>391</v>
      </c>
      <c r="G1463">
        <v>6103335</v>
      </c>
      <c r="H1463">
        <v>202112</v>
      </c>
      <c r="I1463" s="400">
        <v>44547</v>
      </c>
      <c r="J1463" t="s">
        <v>452</v>
      </c>
      <c r="K1463" t="s">
        <v>386</v>
      </c>
      <c r="M1463" t="s">
        <v>387</v>
      </c>
      <c r="O1463" t="s">
        <v>1001</v>
      </c>
      <c r="P1463" t="s">
        <v>1002</v>
      </c>
      <c r="Q1463" t="s">
        <v>396</v>
      </c>
      <c r="R1463">
        <v>2069128</v>
      </c>
      <c r="S1463" t="s">
        <v>2096</v>
      </c>
      <c r="T1463" t="s">
        <v>2096</v>
      </c>
      <c r="U1463" t="s">
        <v>2097</v>
      </c>
      <c r="V1463" t="s">
        <v>398</v>
      </c>
      <c r="W1463" s="393">
        <v>9000</v>
      </c>
      <c r="X1463" s="393">
        <v>2.2599999999999998</v>
      </c>
      <c r="Y1463" s="393">
        <v>20.34</v>
      </c>
      <c r="Z1463" s="393">
        <v>9000</v>
      </c>
      <c r="AA1463">
        <v>0</v>
      </c>
      <c r="AB1463" s="400">
        <v>44552.029221909725</v>
      </c>
      <c r="AC1463" t="s">
        <v>40</v>
      </c>
    </row>
    <row r="1464" spans="1:29">
      <c r="A1464" t="s">
        <v>382</v>
      </c>
      <c r="B1464" t="s">
        <v>440</v>
      </c>
      <c r="C1464" t="s">
        <v>486</v>
      </c>
      <c r="D1464" t="s">
        <v>571</v>
      </c>
      <c r="E1464" t="s">
        <v>390</v>
      </c>
      <c r="F1464" t="s">
        <v>391</v>
      </c>
      <c r="G1464">
        <v>6103335</v>
      </c>
      <c r="H1464">
        <v>202112</v>
      </c>
      <c r="I1464" s="400">
        <v>44547</v>
      </c>
      <c r="J1464" t="s">
        <v>452</v>
      </c>
      <c r="K1464" t="s">
        <v>386</v>
      </c>
      <c r="M1464" t="s">
        <v>387</v>
      </c>
      <c r="O1464" t="s">
        <v>1001</v>
      </c>
      <c r="P1464" t="s">
        <v>1002</v>
      </c>
      <c r="Q1464" t="s">
        <v>396</v>
      </c>
      <c r="R1464">
        <v>2069128</v>
      </c>
      <c r="S1464" t="s">
        <v>2098</v>
      </c>
      <c r="T1464" t="s">
        <v>2098</v>
      </c>
      <c r="U1464" t="s">
        <v>2099</v>
      </c>
      <c r="V1464" t="s">
        <v>398</v>
      </c>
      <c r="W1464" s="393">
        <v>9000</v>
      </c>
      <c r="X1464" s="393">
        <v>2.2599999999999998</v>
      </c>
      <c r="Y1464" s="393">
        <v>20.34</v>
      </c>
      <c r="Z1464" s="393">
        <v>9000</v>
      </c>
      <c r="AA1464">
        <v>0</v>
      </c>
      <c r="AB1464" s="400">
        <v>44552.029221909725</v>
      </c>
      <c r="AC1464" t="s">
        <v>40</v>
      </c>
    </row>
    <row r="1465" spans="1:29">
      <c r="A1465" t="s">
        <v>382</v>
      </c>
      <c r="B1465" t="s">
        <v>440</v>
      </c>
      <c r="C1465" t="s">
        <v>486</v>
      </c>
      <c r="D1465" t="s">
        <v>571</v>
      </c>
      <c r="E1465" t="s">
        <v>390</v>
      </c>
      <c r="F1465" t="s">
        <v>391</v>
      </c>
      <c r="G1465">
        <v>6103335</v>
      </c>
      <c r="H1465">
        <v>202112</v>
      </c>
      <c r="I1465" s="400">
        <v>44547</v>
      </c>
      <c r="J1465" t="s">
        <v>452</v>
      </c>
      <c r="K1465" t="s">
        <v>386</v>
      </c>
      <c r="M1465" t="s">
        <v>387</v>
      </c>
      <c r="O1465" t="s">
        <v>613</v>
      </c>
      <c r="P1465" t="s">
        <v>614</v>
      </c>
      <c r="Q1465" t="s">
        <v>396</v>
      </c>
      <c r="R1465">
        <v>2069128</v>
      </c>
      <c r="S1465" t="s">
        <v>2100</v>
      </c>
      <c r="T1465" t="s">
        <v>2100</v>
      </c>
      <c r="U1465" t="s">
        <v>2101</v>
      </c>
      <c r="V1465" t="s">
        <v>398</v>
      </c>
      <c r="W1465" s="393">
        <v>80000</v>
      </c>
      <c r="X1465" s="393">
        <v>20.05</v>
      </c>
      <c r="Y1465" s="393">
        <v>180.81</v>
      </c>
      <c r="Z1465" s="393">
        <v>80000</v>
      </c>
      <c r="AA1465">
        <v>0</v>
      </c>
      <c r="AB1465" s="400">
        <v>44552.029221909725</v>
      </c>
      <c r="AC1465" t="s">
        <v>40</v>
      </c>
    </row>
    <row r="1466" spans="1:29">
      <c r="A1466" t="s">
        <v>382</v>
      </c>
      <c r="B1466" t="s">
        <v>440</v>
      </c>
      <c r="C1466" t="s">
        <v>486</v>
      </c>
      <c r="D1466" t="s">
        <v>571</v>
      </c>
      <c r="E1466" t="s">
        <v>390</v>
      </c>
      <c r="F1466" t="s">
        <v>391</v>
      </c>
      <c r="G1466">
        <v>6103335</v>
      </c>
      <c r="H1466">
        <v>202112</v>
      </c>
      <c r="I1466" s="400">
        <v>44547</v>
      </c>
      <c r="J1466" t="s">
        <v>452</v>
      </c>
      <c r="K1466" t="s">
        <v>386</v>
      </c>
      <c r="M1466" t="s">
        <v>387</v>
      </c>
      <c r="O1466" t="s">
        <v>599</v>
      </c>
      <c r="P1466" t="s">
        <v>600</v>
      </c>
      <c r="Q1466" t="s">
        <v>396</v>
      </c>
      <c r="R1466">
        <v>2069128</v>
      </c>
      <c r="S1466" t="s">
        <v>2102</v>
      </c>
      <c r="T1466" t="s">
        <v>2102</v>
      </c>
      <c r="U1466" t="s">
        <v>2103</v>
      </c>
      <c r="V1466" t="s">
        <v>398</v>
      </c>
      <c r="W1466" s="393">
        <v>73000</v>
      </c>
      <c r="X1466" s="393">
        <v>18.29</v>
      </c>
      <c r="Y1466" s="393">
        <v>164.99</v>
      </c>
      <c r="Z1466" s="393">
        <v>73000</v>
      </c>
      <c r="AA1466">
        <v>0</v>
      </c>
      <c r="AB1466" s="400">
        <v>44552.029221909725</v>
      </c>
      <c r="AC1466" t="s">
        <v>40</v>
      </c>
    </row>
    <row r="1467" spans="1:29">
      <c r="A1467" t="s">
        <v>382</v>
      </c>
      <c r="B1467" t="s">
        <v>440</v>
      </c>
      <c r="C1467" t="s">
        <v>486</v>
      </c>
      <c r="D1467" t="s">
        <v>571</v>
      </c>
      <c r="E1467" t="s">
        <v>390</v>
      </c>
      <c r="F1467" t="s">
        <v>391</v>
      </c>
      <c r="G1467">
        <v>6103335</v>
      </c>
      <c r="H1467">
        <v>202112</v>
      </c>
      <c r="I1467" s="400">
        <v>44547</v>
      </c>
      <c r="J1467" t="s">
        <v>452</v>
      </c>
      <c r="K1467" t="s">
        <v>386</v>
      </c>
      <c r="M1467" t="s">
        <v>387</v>
      </c>
      <c r="O1467" t="s">
        <v>2065</v>
      </c>
      <c r="P1467" t="s">
        <v>2066</v>
      </c>
      <c r="Q1467" t="s">
        <v>396</v>
      </c>
      <c r="R1467">
        <v>2069128</v>
      </c>
      <c r="S1467" t="s">
        <v>939</v>
      </c>
      <c r="T1467" t="s">
        <v>939</v>
      </c>
      <c r="U1467" t="s">
        <v>2104</v>
      </c>
      <c r="V1467" t="s">
        <v>398</v>
      </c>
      <c r="W1467" s="393">
        <v>12000</v>
      </c>
      <c r="X1467" s="393">
        <v>3.01</v>
      </c>
      <c r="Y1467" s="393">
        <v>27.12</v>
      </c>
      <c r="Z1467" s="393">
        <v>12000</v>
      </c>
      <c r="AA1467">
        <v>0</v>
      </c>
      <c r="AB1467" s="400">
        <v>44552.029221909725</v>
      </c>
      <c r="AC1467" t="s">
        <v>40</v>
      </c>
    </row>
    <row r="1468" spans="1:29">
      <c r="A1468" t="s">
        <v>382</v>
      </c>
      <c r="B1468" t="s">
        <v>440</v>
      </c>
      <c r="C1468" t="s">
        <v>486</v>
      </c>
      <c r="D1468" t="s">
        <v>571</v>
      </c>
      <c r="E1468" t="s">
        <v>390</v>
      </c>
      <c r="F1468" t="s">
        <v>391</v>
      </c>
      <c r="G1468">
        <v>6103335</v>
      </c>
      <c r="H1468">
        <v>202112</v>
      </c>
      <c r="I1468" s="400">
        <v>44547</v>
      </c>
      <c r="J1468" t="s">
        <v>452</v>
      </c>
      <c r="K1468" t="s">
        <v>386</v>
      </c>
      <c r="M1468" t="s">
        <v>387</v>
      </c>
      <c r="O1468" t="s">
        <v>794</v>
      </c>
      <c r="P1468" t="s">
        <v>795</v>
      </c>
      <c r="Q1468" t="s">
        <v>396</v>
      </c>
      <c r="R1468">
        <v>2069128</v>
      </c>
      <c r="S1468" t="s">
        <v>2105</v>
      </c>
      <c r="T1468" t="s">
        <v>2105</v>
      </c>
      <c r="U1468" t="s">
        <v>2106</v>
      </c>
      <c r="V1468" t="s">
        <v>398</v>
      </c>
      <c r="W1468" s="393">
        <v>12500</v>
      </c>
      <c r="X1468" s="393">
        <v>3.13</v>
      </c>
      <c r="Y1468" s="393">
        <v>28.25</v>
      </c>
      <c r="Z1468" s="393">
        <v>12500</v>
      </c>
      <c r="AA1468">
        <v>0</v>
      </c>
      <c r="AB1468" s="400">
        <v>44552.029221909725</v>
      </c>
      <c r="AC1468" t="s">
        <v>40</v>
      </c>
    </row>
    <row r="1469" spans="1:29">
      <c r="A1469" t="s">
        <v>382</v>
      </c>
      <c r="B1469" t="s">
        <v>440</v>
      </c>
      <c r="C1469" t="s">
        <v>486</v>
      </c>
      <c r="D1469" t="s">
        <v>571</v>
      </c>
      <c r="E1469" t="s">
        <v>390</v>
      </c>
      <c r="F1469" t="s">
        <v>391</v>
      </c>
      <c r="G1469">
        <v>6103335</v>
      </c>
      <c r="H1469">
        <v>202112</v>
      </c>
      <c r="I1469" s="400">
        <v>44547</v>
      </c>
      <c r="J1469" t="s">
        <v>452</v>
      </c>
      <c r="K1469" t="s">
        <v>386</v>
      </c>
      <c r="M1469" t="s">
        <v>387</v>
      </c>
      <c r="O1469" t="s">
        <v>1001</v>
      </c>
      <c r="P1469" t="s">
        <v>1002</v>
      </c>
      <c r="Q1469" t="s">
        <v>396</v>
      </c>
      <c r="R1469">
        <v>2069128</v>
      </c>
      <c r="S1469" t="s">
        <v>2107</v>
      </c>
      <c r="T1469" t="s">
        <v>2107</v>
      </c>
      <c r="U1469" t="s">
        <v>2108</v>
      </c>
      <c r="V1469" t="s">
        <v>398</v>
      </c>
      <c r="W1469" s="393">
        <v>9000</v>
      </c>
      <c r="X1469" s="393">
        <v>2.2599999999999998</v>
      </c>
      <c r="Y1469" s="393">
        <v>20.34</v>
      </c>
      <c r="Z1469" s="393">
        <v>9000</v>
      </c>
      <c r="AA1469">
        <v>0</v>
      </c>
      <c r="AB1469" s="400">
        <v>44552.029221909725</v>
      </c>
      <c r="AC1469" t="s">
        <v>40</v>
      </c>
    </row>
    <row r="1470" spans="1:29">
      <c r="A1470" t="s">
        <v>382</v>
      </c>
      <c r="B1470" t="s">
        <v>440</v>
      </c>
      <c r="C1470" t="s">
        <v>486</v>
      </c>
      <c r="D1470" t="s">
        <v>571</v>
      </c>
      <c r="E1470" t="s">
        <v>390</v>
      </c>
      <c r="F1470" t="s">
        <v>391</v>
      </c>
      <c r="G1470">
        <v>6103335</v>
      </c>
      <c r="H1470">
        <v>202112</v>
      </c>
      <c r="I1470" s="400">
        <v>44547</v>
      </c>
      <c r="J1470" t="s">
        <v>452</v>
      </c>
      <c r="K1470" t="s">
        <v>386</v>
      </c>
      <c r="M1470" t="s">
        <v>387</v>
      </c>
      <c r="O1470" t="s">
        <v>1001</v>
      </c>
      <c r="P1470" t="s">
        <v>1002</v>
      </c>
      <c r="Q1470" t="s">
        <v>396</v>
      </c>
      <c r="R1470">
        <v>2069128</v>
      </c>
      <c r="S1470" t="s">
        <v>2109</v>
      </c>
      <c r="T1470" t="s">
        <v>2109</v>
      </c>
      <c r="U1470" t="s">
        <v>2110</v>
      </c>
      <c r="V1470" t="s">
        <v>398</v>
      </c>
      <c r="W1470" s="393">
        <v>9000</v>
      </c>
      <c r="X1470" s="393">
        <v>2.2599999999999998</v>
      </c>
      <c r="Y1470" s="393">
        <v>20.34</v>
      </c>
      <c r="Z1470" s="393">
        <v>9000</v>
      </c>
      <c r="AA1470">
        <v>0</v>
      </c>
      <c r="AB1470" s="400">
        <v>44552.029221909725</v>
      </c>
      <c r="AC1470" t="s">
        <v>40</v>
      </c>
    </row>
    <row r="1471" spans="1:29">
      <c r="A1471" t="s">
        <v>382</v>
      </c>
      <c r="B1471" t="s">
        <v>440</v>
      </c>
      <c r="C1471" t="s">
        <v>486</v>
      </c>
      <c r="D1471" t="s">
        <v>571</v>
      </c>
      <c r="E1471" t="s">
        <v>390</v>
      </c>
      <c r="F1471" t="s">
        <v>391</v>
      </c>
      <c r="G1471">
        <v>6103387</v>
      </c>
      <c r="H1471">
        <v>202112</v>
      </c>
      <c r="I1471" s="400">
        <v>44551</v>
      </c>
      <c r="J1471">
        <v>122536</v>
      </c>
      <c r="K1471" t="s">
        <v>386</v>
      </c>
      <c r="M1471" t="s">
        <v>387</v>
      </c>
      <c r="O1471" t="s">
        <v>794</v>
      </c>
      <c r="P1471" t="s">
        <v>795</v>
      </c>
      <c r="Q1471" t="s">
        <v>396</v>
      </c>
      <c r="R1471">
        <v>2069126</v>
      </c>
      <c r="S1471" t="s">
        <v>387</v>
      </c>
      <c r="U1471" t="s">
        <v>2111</v>
      </c>
      <c r="V1471" t="s">
        <v>398</v>
      </c>
      <c r="W1471" s="393">
        <v>12000</v>
      </c>
      <c r="X1471" s="393">
        <v>3.01</v>
      </c>
      <c r="Y1471" s="393">
        <v>27.12</v>
      </c>
      <c r="Z1471" s="393">
        <v>12000</v>
      </c>
      <c r="AA1471">
        <v>0</v>
      </c>
      <c r="AB1471" s="400">
        <v>44558.945818171298</v>
      </c>
      <c r="AC1471" t="s">
        <v>36</v>
      </c>
    </row>
    <row r="1472" spans="1:29">
      <c r="A1472" t="s">
        <v>382</v>
      </c>
      <c r="B1472" t="s">
        <v>440</v>
      </c>
      <c r="C1472" t="s">
        <v>486</v>
      </c>
      <c r="D1472" t="s">
        <v>571</v>
      </c>
      <c r="E1472" t="s">
        <v>390</v>
      </c>
      <c r="F1472" t="s">
        <v>391</v>
      </c>
      <c r="G1472">
        <v>6103387</v>
      </c>
      <c r="H1472">
        <v>202112</v>
      </c>
      <c r="I1472" s="400">
        <v>44551</v>
      </c>
      <c r="J1472">
        <v>122536</v>
      </c>
      <c r="K1472" t="s">
        <v>386</v>
      </c>
      <c r="M1472" t="s">
        <v>387</v>
      </c>
      <c r="O1472" t="s">
        <v>593</v>
      </c>
      <c r="P1472" t="s">
        <v>594</v>
      </c>
      <c r="Q1472" t="s">
        <v>396</v>
      </c>
      <c r="R1472">
        <v>2069126</v>
      </c>
      <c r="S1472" t="s">
        <v>387</v>
      </c>
      <c r="U1472" t="s">
        <v>2112</v>
      </c>
      <c r="V1472" t="s">
        <v>398</v>
      </c>
      <c r="W1472" s="393">
        <v>17600</v>
      </c>
      <c r="X1472" s="393">
        <v>4.41</v>
      </c>
      <c r="Y1472" s="393">
        <v>39.78</v>
      </c>
      <c r="Z1472" s="393">
        <v>17600</v>
      </c>
      <c r="AA1472">
        <v>0</v>
      </c>
      <c r="AB1472" s="400">
        <v>44558.945818171298</v>
      </c>
      <c r="AC1472" t="s">
        <v>36</v>
      </c>
    </row>
    <row r="1473" spans="1:29">
      <c r="A1473" t="s">
        <v>382</v>
      </c>
      <c r="B1473" t="s">
        <v>440</v>
      </c>
      <c r="C1473" t="s">
        <v>486</v>
      </c>
      <c r="D1473" t="s">
        <v>571</v>
      </c>
      <c r="E1473" t="s">
        <v>390</v>
      </c>
      <c r="F1473" t="s">
        <v>391</v>
      </c>
      <c r="G1473">
        <v>6103387</v>
      </c>
      <c r="H1473">
        <v>202112</v>
      </c>
      <c r="I1473" s="400">
        <v>44551</v>
      </c>
      <c r="J1473">
        <v>122536</v>
      </c>
      <c r="K1473" t="s">
        <v>386</v>
      </c>
      <c r="M1473" t="s">
        <v>387</v>
      </c>
      <c r="O1473" t="s">
        <v>2113</v>
      </c>
      <c r="P1473" t="s">
        <v>2114</v>
      </c>
      <c r="Q1473" t="s">
        <v>396</v>
      </c>
      <c r="R1473">
        <v>2069126</v>
      </c>
      <c r="S1473" t="s">
        <v>387</v>
      </c>
      <c r="U1473" t="s">
        <v>2115</v>
      </c>
      <c r="V1473" t="s">
        <v>398</v>
      </c>
      <c r="W1473" s="393">
        <v>60000</v>
      </c>
      <c r="X1473" s="393">
        <v>15.04</v>
      </c>
      <c r="Y1473" s="393">
        <v>135.61000000000001</v>
      </c>
      <c r="Z1473" s="393">
        <v>60000</v>
      </c>
      <c r="AA1473">
        <v>0</v>
      </c>
      <c r="AB1473" s="400">
        <v>44558.945818171298</v>
      </c>
      <c r="AC1473" t="s">
        <v>36</v>
      </c>
    </row>
    <row r="1474" spans="1:29">
      <c r="A1474" t="s">
        <v>382</v>
      </c>
      <c r="B1474" t="s">
        <v>440</v>
      </c>
      <c r="C1474" t="s">
        <v>486</v>
      </c>
      <c r="D1474" t="s">
        <v>571</v>
      </c>
      <c r="E1474" t="s">
        <v>390</v>
      </c>
      <c r="F1474" t="s">
        <v>391</v>
      </c>
      <c r="G1474">
        <v>6103383</v>
      </c>
      <c r="H1474">
        <v>202112</v>
      </c>
      <c r="I1474" s="400">
        <v>44551</v>
      </c>
      <c r="J1474">
        <v>122536</v>
      </c>
      <c r="K1474" t="s">
        <v>386</v>
      </c>
      <c r="M1474" t="s">
        <v>387</v>
      </c>
      <c r="O1474" t="s">
        <v>950</v>
      </c>
      <c r="P1474" t="s">
        <v>951</v>
      </c>
      <c r="Q1474" t="s">
        <v>396</v>
      </c>
      <c r="R1474">
        <v>2069130</v>
      </c>
      <c r="S1474" t="s">
        <v>387</v>
      </c>
      <c r="U1474" t="s">
        <v>2116</v>
      </c>
      <c r="V1474" t="s">
        <v>398</v>
      </c>
      <c r="W1474" s="393">
        <v>350000</v>
      </c>
      <c r="X1474" s="393">
        <v>87.71</v>
      </c>
      <c r="Y1474" s="393">
        <v>791.05</v>
      </c>
      <c r="Z1474" s="393">
        <v>350000</v>
      </c>
      <c r="AA1474">
        <v>0</v>
      </c>
      <c r="AB1474" s="400">
        <v>44558.834371956022</v>
      </c>
      <c r="AC1474" t="s">
        <v>52</v>
      </c>
    </row>
    <row r="1475" spans="1:29">
      <c r="A1475" t="s">
        <v>382</v>
      </c>
      <c r="B1475" t="s">
        <v>440</v>
      </c>
      <c r="C1475" t="s">
        <v>486</v>
      </c>
      <c r="D1475" t="s">
        <v>571</v>
      </c>
      <c r="E1475" t="s">
        <v>390</v>
      </c>
      <c r="F1475" t="s">
        <v>391</v>
      </c>
      <c r="G1475">
        <v>6103335</v>
      </c>
      <c r="H1475">
        <v>202112</v>
      </c>
      <c r="I1475" s="400">
        <v>44547</v>
      </c>
      <c r="J1475" t="s">
        <v>452</v>
      </c>
      <c r="K1475" t="s">
        <v>386</v>
      </c>
      <c r="M1475" t="s">
        <v>387</v>
      </c>
      <c r="O1475" t="s">
        <v>2065</v>
      </c>
      <c r="P1475" t="s">
        <v>2066</v>
      </c>
      <c r="Q1475" t="s">
        <v>396</v>
      </c>
      <c r="R1475">
        <v>2069128</v>
      </c>
      <c r="S1475" t="s">
        <v>939</v>
      </c>
      <c r="T1475" t="s">
        <v>939</v>
      </c>
      <c r="U1475" t="s">
        <v>2104</v>
      </c>
      <c r="V1475" t="s">
        <v>398</v>
      </c>
      <c r="W1475" s="393">
        <v>12000</v>
      </c>
      <c r="X1475" s="393">
        <v>3.01</v>
      </c>
      <c r="Y1475" s="393">
        <v>27.12</v>
      </c>
      <c r="Z1475" s="393">
        <v>12000</v>
      </c>
      <c r="AA1475">
        <v>0</v>
      </c>
      <c r="AB1475" s="400">
        <v>44552.029221909725</v>
      </c>
      <c r="AC1475" t="s">
        <v>40</v>
      </c>
    </row>
    <row r="1476" spans="1:29">
      <c r="A1476" t="s">
        <v>382</v>
      </c>
      <c r="B1476" t="s">
        <v>440</v>
      </c>
      <c r="C1476" t="s">
        <v>486</v>
      </c>
      <c r="D1476" t="s">
        <v>571</v>
      </c>
      <c r="E1476" t="s">
        <v>390</v>
      </c>
      <c r="F1476" t="s">
        <v>391</v>
      </c>
      <c r="G1476">
        <v>6103301</v>
      </c>
      <c r="H1476">
        <v>202112</v>
      </c>
      <c r="I1476" s="400">
        <v>44547</v>
      </c>
      <c r="J1476">
        <v>122536</v>
      </c>
      <c r="K1476" t="s">
        <v>386</v>
      </c>
      <c r="M1476" t="s">
        <v>387</v>
      </c>
      <c r="O1476" t="s">
        <v>531</v>
      </c>
      <c r="P1476" t="s">
        <v>532</v>
      </c>
      <c r="Q1476" t="s">
        <v>396</v>
      </c>
      <c r="R1476">
        <v>2069126</v>
      </c>
      <c r="S1476" t="s">
        <v>387</v>
      </c>
      <c r="U1476" t="s">
        <v>2117</v>
      </c>
      <c r="V1476" t="s">
        <v>398</v>
      </c>
      <c r="W1476" s="393">
        <v>20000</v>
      </c>
      <c r="X1476" s="393">
        <v>5.01</v>
      </c>
      <c r="Y1476" s="393">
        <v>45.2</v>
      </c>
      <c r="Z1476" s="393">
        <v>20000</v>
      </c>
      <c r="AA1476">
        <v>0</v>
      </c>
      <c r="AB1476" s="400">
        <v>44550.969247025459</v>
      </c>
      <c r="AC1476" t="s">
        <v>36</v>
      </c>
    </row>
    <row r="1477" spans="1:29">
      <c r="A1477" t="s">
        <v>382</v>
      </c>
      <c r="B1477" t="s">
        <v>440</v>
      </c>
      <c r="C1477" t="s">
        <v>486</v>
      </c>
      <c r="D1477" t="s">
        <v>571</v>
      </c>
      <c r="E1477" t="s">
        <v>390</v>
      </c>
      <c r="F1477" t="s">
        <v>391</v>
      </c>
      <c r="G1477">
        <v>6103301</v>
      </c>
      <c r="H1477">
        <v>202112</v>
      </c>
      <c r="I1477" s="400">
        <v>44547</v>
      </c>
      <c r="J1477">
        <v>122536</v>
      </c>
      <c r="K1477" t="s">
        <v>386</v>
      </c>
      <c r="M1477" t="s">
        <v>387</v>
      </c>
      <c r="O1477" t="s">
        <v>593</v>
      </c>
      <c r="P1477" t="s">
        <v>594</v>
      </c>
      <c r="Q1477" t="s">
        <v>396</v>
      </c>
      <c r="R1477">
        <v>2069126</v>
      </c>
      <c r="S1477" t="s">
        <v>387</v>
      </c>
      <c r="U1477" t="s">
        <v>2118</v>
      </c>
      <c r="V1477" t="s">
        <v>398</v>
      </c>
      <c r="W1477" s="393">
        <v>13400</v>
      </c>
      <c r="X1477" s="393">
        <v>3.36</v>
      </c>
      <c r="Y1477" s="393">
        <v>30.29</v>
      </c>
      <c r="Z1477" s="393">
        <v>13400</v>
      </c>
      <c r="AA1477">
        <v>0</v>
      </c>
      <c r="AB1477" s="400">
        <v>44550.969247025459</v>
      </c>
      <c r="AC1477" t="s">
        <v>36</v>
      </c>
    </row>
    <row r="1478" spans="1:29">
      <c r="A1478" t="s">
        <v>382</v>
      </c>
      <c r="B1478" t="s">
        <v>440</v>
      </c>
      <c r="C1478" t="s">
        <v>486</v>
      </c>
      <c r="D1478" t="s">
        <v>571</v>
      </c>
      <c r="E1478" t="s">
        <v>390</v>
      </c>
      <c r="F1478" t="s">
        <v>391</v>
      </c>
      <c r="G1478">
        <v>6103301</v>
      </c>
      <c r="H1478">
        <v>202112</v>
      </c>
      <c r="I1478" s="400">
        <v>44547</v>
      </c>
      <c r="J1478">
        <v>122536</v>
      </c>
      <c r="K1478" t="s">
        <v>386</v>
      </c>
      <c r="M1478" t="s">
        <v>387</v>
      </c>
      <c r="O1478" t="s">
        <v>593</v>
      </c>
      <c r="P1478" t="s">
        <v>594</v>
      </c>
      <c r="Q1478" t="s">
        <v>396</v>
      </c>
      <c r="R1478">
        <v>2069128</v>
      </c>
      <c r="S1478" t="s">
        <v>387</v>
      </c>
      <c r="U1478" t="s">
        <v>2119</v>
      </c>
      <c r="V1478" t="s">
        <v>398</v>
      </c>
      <c r="W1478" s="393">
        <v>19100</v>
      </c>
      <c r="X1478" s="393">
        <v>4.79</v>
      </c>
      <c r="Y1478" s="393">
        <v>43.17</v>
      </c>
      <c r="Z1478" s="393">
        <v>19100</v>
      </c>
      <c r="AA1478">
        <v>0</v>
      </c>
      <c r="AB1478" s="400">
        <v>44550.969247025459</v>
      </c>
      <c r="AC1478" t="s">
        <v>40</v>
      </c>
    </row>
    <row r="1479" spans="1:29">
      <c r="A1479" t="s">
        <v>382</v>
      </c>
      <c r="B1479" t="s">
        <v>440</v>
      </c>
      <c r="C1479" t="s">
        <v>486</v>
      </c>
      <c r="D1479" t="s">
        <v>571</v>
      </c>
      <c r="E1479" t="s">
        <v>390</v>
      </c>
      <c r="F1479" t="s">
        <v>391</v>
      </c>
      <c r="G1479">
        <v>6103301</v>
      </c>
      <c r="H1479">
        <v>202112</v>
      </c>
      <c r="I1479" s="400">
        <v>44547</v>
      </c>
      <c r="J1479">
        <v>122536</v>
      </c>
      <c r="K1479" t="s">
        <v>386</v>
      </c>
      <c r="M1479" t="s">
        <v>387</v>
      </c>
      <c r="O1479" t="s">
        <v>2120</v>
      </c>
      <c r="P1479" t="s">
        <v>2121</v>
      </c>
      <c r="Q1479" t="s">
        <v>396</v>
      </c>
      <c r="R1479">
        <v>2069128</v>
      </c>
      <c r="S1479" t="s">
        <v>387</v>
      </c>
      <c r="U1479" t="s">
        <v>2122</v>
      </c>
      <c r="V1479" t="s">
        <v>398</v>
      </c>
      <c r="W1479" s="393">
        <v>30900</v>
      </c>
      <c r="X1479" s="393">
        <v>7.74</v>
      </c>
      <c r="Y1479" s="393">
        <v>69.84</v>
      </c>
      <c r="Z1479" s="393">
        <v>30900</v>
      </c>
      <c r="AA1479">
        <v>0</v>
      </c>
      <c r="AB1479" s="400">
        <v>44550.969247025459</v>
      </c>
      <c r="AC1479" t="s">
        <v>40</v>
      </c>
    </row>
    <row r="1480" spans="1:29">
      <c r="A1480" t="s">
        <v>382</v>
      </c>
      <c r="B1480" t="s">
        <v>440</v>
      </c>
      <c r="C1480" t="s">
        <v>486</v>
      </c>
      <c r="D1480" t="s">
        <v>571</v>
      </c>
      <c r="E1480" t="s">
        <v>390</v>
      </c>
      <c r="F1480" t="s">
        <v>391</v>
      </c>
      <c r="G1480">
        <v>6103301</v>
      </c>
      <c r="H1480">
        <v>202112</v>
      </c>
      <c r="I1480" s="400">
        <v>44547</v>
      </c>
      <c r="J1480">
        <v>122536</v>
      </c>
      <c r="K1480" t="s">
        <v>386</v>
      </c>
      <c r="M1480" t="s">
        <v>387</v>
      </c>
      <c r="O1480" t="s">
        <v>909</v>
      </c>
      <c r="P1480" t="s">
        <v>910</v>
      </c>
      <c r="Q1480" t="s">
        <v>396</v>
      </c>
      <c r="R1480">
        <v>2069128</v>
      </c>
      <c r="S1480" t="s">
        <v>387</v>
      </c>
      <c r="U1480" t="s">
        <v>2123</v>
      </c>
      <c r="V1480" t="s">
        <v>398</v>
      </c>
      <c r="W1480" s="393">
        <v>120000</v>
      </c>
      <c r="X1480" s="393">
        <v>30.07</v>
      </c>
      <c r="Y1480" s="393">
        <v>271.22000000000003</v>
      </c>
      <c r="Z1480" s="393">
        <v>120000</v>
      </c>
      <c r="AA1480">
        <v>0</v>
      </c>
      <c r="AB1480" s="400">
        <v>44550.969247025459</v>
      </c>
      <c r="AC1480" t="s">
        <v>40</v>
      </c>
    </row>
    <row r="1481" spans="1:29">
      <c r="A1481" t="s">
        <v>382</v>
      </c>
      <c r="B1481" t="s">
        <v>440</v>
      </c>
      <c r="C1481" t="s">
        <v>486</v>
      </c>
      <c r="D1481" t="s">
        <v>571</v>
      </c>
      <c r="E1481" t="s">
        <v>390</v>
      </c>
      <c r="F1481" t="s">
        <v>391</v>
      </c>
      <c r="G1481">
        <v>6103301</v>
      </c>
      <c r="H1481">
        <v>202112</v>
      </c>
      <c r="I1481" s="400">
        <v>44547</v>
      </c>
      <c r="J1481">
        <v>122536</v>
      </c>
      <c r="K1481" t="s">
        <v>386</v>
      </c>
      <c r="M1481" t="s">
        <v>387</v>
      </c>
      <c r="O1481" t="s">
        <v>2091</v>
      </c>
      <c r="P1481" t="s">
        <v>2092</v>
      </c>
      <c r="Q1481" t="s">
        <v>396</v>
      </c>
      <c r="R1481">
        <v>2069126</v>
      </c>
      <c r="S1481" t="s">
        <v>387</v>
      </c>
      <c r="U1481" t="s">
        <v>2124</v>
      </c>
      <c r="V1481" t="s">
        <v>398</v>
      </c>
      <c r="W1481" s="393">
        <v>72000</v>
      </c>
      <c r="X1481" s="393">
        <v>18.04</v>
      </c>
      <c r="Y1481" s="393">
        <v>162.72999999999999</v>
      </c>
      <c r="Z1481" s="393">
        <v>72000</v>
      </c>
      <c r="AA1481">
        <v>0</v>
      </c>
      <c r="AB1481" s="400">
        <v>44550.969247222223</v>
      </c>
      <c r="AC1481" t="s">
        <v>36</v>
      </c>
    </row>
    <row r="1482" spans="1:29">
      <c r="A1482" t="s">
        <v>382</v>
      </c>
      <c r="B1482" t="s">
        <v>440</v>
      </c>
      <c r="C1482" t="s">
        <v>486</v>
      </c>
      <c r="D1482" t="s">
        <v>571</v>
      </c>
      <c r="E1482" t="s">
        <v>390</v>
      </c>
      <c r="F1482" t="s">
        <v>391</v>
      </c>
      <c r="G1482">
        <v>6103301</v>
      </c>
      <c r="H1482">
        <v>202112</v>
      </c>
      <c r="I1482" s="400">
        <v>44547</v>
      </c>
      <c r="J1482">
        <v>122536</v>
      </c>
      <c r="K1482" t="s">
        <v>386</v>
      </c>
      <c r="M1482" t="s">
        <v>387</v>
      </c>
      <c r="O1482" t="s">
        <v>857</v>
      </c>
      <c r="P1482" t="s">
        <v>858</v>
      </c>
      <c r="Q1482" t="s">
        <v>396</v>
      </c>
      <c r="R1482">
        <v>2069126</v>
      </c>
      <c r="S1482" t="s">
        <v>387</v>
      </c>
      <c r="U1482" t="s">
        <v>2125</v>
      </c>
      <c r="V1482" t="s">
        <v>398</v>
      </c>
      <c r="W1482" s="393">
        <v>11000</v>
      </c>
      <c r="X1482" s="393">
        <v>2.76</v>
      </c>
      <c r="Y1482" s="393">
        <v>24.86</v>
      </c>
      <c r="Z1482" s="393">
        <v>11000</v>
      </c>
      <c r="AA1482">
        <v>0</v>
      </c>
      <c r="AB1482" s="400">
        <v>44550.969247222223</v>
      </c>
      <c r="AC1482" t="s">
        <v>36</v>
      </c>
    </row>
    <row r="1483" spans="1:29">
      <c r="A1483" t="s">
        <v>382</v>
      </c>
      <c r="B1483" t="s">
        <v>440</v>
      </c>
      <c r="C1483" t="s">
        <v>486</v>
      </c>
      <c r="D1483" t="s">
        <v>571</v>
      </c>
      <c r="E1483" t="s">
        <v>390</v>
      </c>
      <c r="F1483" t="s">
        <v>391</v>
      </c>
      <c r="G1483">
        <v>6103301</v>
      </c>
      <c r="H1483">
        <v>202112</v>
      </c>
      <c r="I1483" s="400">
        <v>44547</v>
      </c>
      <c r="J1483">
        <v>122536</v>
      </c>
      <c r="K1483" t="s">
        <v>386</v>
      </c>
      <c r="M1483" t="s">
        <v>387</v>
      </c>
      <c r="O1483" t="s">
        <v>909</v>
      </c>
      <c r="P1483" t="s">
        <v>910</v>
      </c>
      <c r="Q1483" t="s">
        <v>396</v>
      </c>
      <c r="R1483">
        <v>2069128</v>
      </c>
      <c r="S1483" t="s">
        <v>387</v>
      </c>
      <c r="U1483" t="s">
        <v>2126</v>
      </c>
      <c r="V1483" t="s">
        <v>398</v>
      </c>
      <c r="W1483" s="393">
        <v>14500</v>
      </c>
      <c r="X1483" s="393">
        <v>3.63</v>
      </c>
      <c r="Y1483" s="393">
        <v>32.770000000000003</v>
      </c>
      <c r="Z1483" s="393">
        <v>14500</v>
      </c>
      <c r="AA1483">
        <v>0</v>
      </c>
      <c r="AB1483" s="400">
        <v>44550.969247222223</v>
      </c>
      <c r="AC1483" t="s">
        <v>40</v>
      </c>
    </row>
    <row r="1484" spans="1:29">
      <c r="A1484" t="s">
        <v>382</v>
      </c>
      <c r="B1484" t="s">
        <v>440</v>
      </c>
      <c r="C1484" t="s">
        <v>486</v>
      </c>
      <c r="D1484" t="s">
        <v>571</v>
      </c>
      <c r="E1484" t="s">
        <v>390</v>
      </c>
      <c r="F1484" t="s">
        <v>391</v>
      </c>
      <c r="G1484">
        <v>6103301</v>
      </c>
      <c r="H1484">
        <v>202112</v>
      </c>
      <c r="I1484" s="400">
        <v>44547</v>
      </c>
      <c r="J1484">
        <v>122536</v>
      </c>
      <c r="K1484" t="s">
        <v>386</v>
      </c>
      <c r="M1484" t="s">
        <v>387</v>
      </c>
      <c r="O1484" t="s">
        <v>909</v>
      </c>
      <c r="P1484" t="s">
        <v>910</v>
      </c>
      <c r="Q1484" t="s">
        <v>396</v>
      </c>
      <c r="R1484">
        <v>2069128</v>
      </c>
      <c r="S1484" t="s">
        <v>387</v>
      </c>
      <c r="U1484" t="s">
        <v>2127</v>
      </c>
      <c r="V1484" t="s">
        <v>398</v>
      </c>
      <c r="W1484" s="393">
        <v>40000</v>
      </c>
      <c r="X1484" s="393">
        <v>10.02</v>
      </c>
      <c r="Y1484" s="393">
        <v>90.41</v>
      </c>
      <c r="Z1484" s="393">
        <v>40000</v>
      </c>
      <c r="AA1484">
        <v>0</v>
      </c>
      <c r="AB1484" s="400">
        <v>44550.969247222223</v>
      </c>
      <c r="AC1484" t="s">
        <v>40</v>
      </c>
    </row>
    <row r="1485" spans="1:29">
      <c r="A1485" t="s">
        <v>382</v>
      </c>
      <c r="B1485" t="s">
        <v>440</v>
      </c>
      <c r="C1485" t="s">
        <v>486</v>
      </c>
      <c r="D1485" t="s">
        <v>571</v>
      </c>
      <c r="E1485" t="s">
        <v>390</v>
      </c>
      <c r="F1485" t="s">
        <v>391</v>
      </c>
      <c r="G1485">
        <v>6103301</v>
      </c>
      <c r="H1485">
        <v>202112</v>
      </c>
      <c r="I1485" s="400">
        <v>44547</v>
      </c>
      <c r="J1485">
        <v>122536</v>
      </c>
      <c r="K1485" t="s">
        <v>386</v>
      </c>
      <c r="M1485" t="s">
        <v>387</v>
      </c>
      <c r="O1485" t="s">
        <v>909</v>
      </c>
      <c r="P1485" t="s">
        <v>910</v>
      </c>
      <c r="Q1485" t="s">
        <v>396</v>
      </c>
      <c r="R1485">
        <v>2069128</v>
      </c>
      <c r="S1485" t="s">
        <v>387</v>
      </c>
      <c r="U1485" t="s">
        <v>2128</v>
      </c>
      <c r="V1485" t="s">
        <v>398</v>
      </c>
      <c r="W1485" s="393">
        <v>125800</v>
      </c>
      <c r="X1485" s="393">
        <v>31.53</v>
      </c>
      <c r="Y1485" s="393">
        <v>284.32</v>
      </c>
      <c r="Z1485" s="393">
        <v>125800</v>
      </c>
      <c r="AA1485">
        <v>0</v>
      </c>
      <c r="AB1485" s="400">
        <v>44550.969247222223</v>
      </c>
      <c r="AC1485" t="s">
        <v>40</v>
      </c>
    </row>
    <row r="1486" spans="1:29">
      <c r="A1486" t="s">
        <v>382</v>
      </c>
      <c r="B1486" t="s">
        <v>440</v>
      </c>
      <c r="C1486" t="s">
        <v>486</v>
      </c>
      <c r="D1486" t="s">
        <v>571</v>
      </c>
      <c r="E1486" t="s">
        <v>390</v>
      </c>
      <c r="F1486" t="s">
        <v>391</v>
      </c>
      <c r="G1486">
        <v>6103178</v>
      </c>
      <c r="H1486">
        <v>202112</v>
      </c>
      <c r="I1486" s="400">
        <v>44537</v>
      </c>
      <c r="J1486">
        <v>122536</v>
      </c>
      <c r="K1486" t="s">
        <v>386</v>
      </c>
      <c r="M1486" t="s">
        <v>387</v>
      </c>
      <c r="O1486" t="s">
        <v>950</v>
      </c>
      <c r="P1486" t="s">
        <v>951</v>
      </c>
      <c r="Q1486" t="s">
        <v>396</v>
      </c>
      <c r="R1486">
        <v>2069126</v>
      </c>
      <c r="S1486" t="s">
        <v>387</v>
      </c>
      <c r="U1486" t="s">
        <v>2129</v>
      </c>
      <c r="V1486" t="s">
        <v>398</v>
      </c>
      <c r="W1486" s="393">
        <v>1400000</v>
      </c>
      <c r="X1486" s="393">
        <v>354.14</v>
      </c>
      <c r="Y1486" s="393">
        <v>3142.82</v>
      </c>
      <c r="Z1486" s="393">
        <v>1400000</v>
      </c>
      <c r="AA1486">
        <v>306</v>
      </c>
      <c r="AB1486" s="400">
        <v>44545.707935219907</v>
      </c>
      <c r="AC1486" t="s">
        <v>36</v>
      </c>
    </row>
    <row r="1487" spans="1:29">
      <c r="A1487" t="s">
        <v>382</v>
      </c>
      <c r="B1487" t="s">
        <v>440</v>
      </c>
      <c r="C1487" t="s">
        <v>486</v>
      </c>
      <c r="D1487" t="s">
        <v>571</v>
      </c>
      <c r="E1487" t="s">
        <v>390</v>
      </c>
      <c r="F1487" t="s">
        <v>391</v>
      </c>
      <c r="G1487">
        <v>6103335</v>
      </c>
      <c r="H1487">
        <v>202112</v>
      </c>
      <c r="I1487" s="400">
        <v>44547</v>
      </c>
      <c r="J1487" t="s">
        <v>452</v>
      </c>
      <c r="K1487" t="s">
        <v>386</v>
      </c>
      <c r="M1487" t="s">
        <v>387</v>
      </c>
      <c r="O1487" t="s">
        <v>2130</v>
      </c>
      <c r="P1487" t="s">
        <v>2131</v>
      </c>
      <c r="Q1487" t="s">
        <v>396</v>
      </c>
      <c r="R1487">
        <v>2069128</v>
      </c>
      <c r="S1487" t="s">
        <v>2132</v>
      </c>
      <c r="T1487" t="s">
        <v>2132</v>
      </c>
      <c r="U1487" t="s">
        <v>2133</v>
      </c>
      <c r="V1487" t="s">
        <v>398</v>
      </c>
      <c r="W1487" s="393">
        <v>12000</v>
      </c>
      <c r="X1487" s="393">
        <v>3.01</v>
      </c>
      <c r="Y1487" s="393">
        <v>27.12</v>
      </c>
      <c r="Z1487" s="393">
        <v>12000</v>
      </c>
      <c r="AA1487">
        <v>0</v>
      </c>
      <c r="AB1487" s="400">
        <v>44552.029221909725</v>
      </c>
      <c r="AC1487" t="s">
        <v>40</v>
      </c>
    </row>
    <row r="1488" spans="1:29">
      <c r="A1488" t="s">
        <v>382</v>
      </c>
      <c r="B1488" t="s">
        <v>440</v>
      </c>
      <c r="C1488" t="s">
        <v>486</v>
      </c>
      <c r="D1488" t="s">
        <v>571</v>
      </c>
      <c r="E1488" t="s">
        <v>390</v>
      </c>
      <c r="F1488" t="s">
        <v>391</v>
      </c>
      <c r="G1488">
        <v>6103335</v>
      </c>
      <c r="H1488">
        <v>202112</v>
      </c>
      <c r="I1488" s="400">
        <v>44547</v>
      </c>
      <c r="J1488" t="s">
        <v>452</v>
      </c>
      <c r="K1488" t="s">
        <v>386</v>
      </c>
      <c r="M1488" t="s">
        <v>387</v>
      </c>
      <c r="O1488" t="s">
        <v>1001</v>
      </c>
      <c r="P1488" t="s">
        <v>1002</v>
      </c>
      <c r="Q1488" t="s">
        <v>396</v>
      </c>
      <c r="R1488">
        <v>2069128</v>
      </c>
      <c r="S1488" t="s">
        <v>2134</v>
      </c>
      <c r="T1488" t="s">
        <v>2134</v>
      </c>
      <c r="U1488" t="s">
        <v>2135</v>
      </c>
      <c r="V1488" t="s">
        <v>398</v>
      </c>
      <c r="W1488" s="393">
        <v>9000</v>
      </c>
      <c r="X1488" s="393">
        <v>2.2599999999999998</v>
      </c>
      <c r="Y1488" s="393">
        <v>20.34</v>
      </c>
      <c r="Z1488" s="393">
        <v>9000</v>
      </c>
      <c r="AA1488">
        <v>0</v>
      </c>
      <c r="AB1488" s="400">
        <v>44552.029221909725</v>
      </c>
      <c r="AC1488" t="s">
        <v>40</v>
      </c>
    </row>
    <row r="1489" spans="1:29">
      <c r="A1489" t="s">
        <v>382</v>
      </c>
      <c r="B1489" t="s">
        <v>440</v>
      </c>
      <c r="C1489" t="s">
        <v>486</v>
      </c>
      <c r="D1489" t="s">
        <v>571</v>
      </c>
      <c r="E1489" t="s">
        <v>390</v>
      </c>
      <c r="F1489" t="s">
        <v>391</v>
      </c>
      <c r="G1489">
        <v>6103335</v>
      </c>
      <c r="H1489">
        <v>202112</v>
      </c>
      <c r="I1489" s="400">
        <v>44547</v>
      </c>
      <c r="J1489" t="s">
        <v>452</v>
      </c>
      <c r="K1489" t="s">
        <v>386</v>
      </c>
      <c r="M1489" t="s">
        <v>387</v>
      </c>
      <c r="O1489" t="s">
        <v>1001</v>
      </c>
      <c r="P1489" t="s">
        <v>1002</v>
      </c>
      <c r="Q1489" t="s">
        <v>396</v>
      </c>
      <c r="R1489">
        <v>2069128</v>
      </c>
      <c r="S1489" t="s">
        <v>2136</v>
      </c>
      <c r="T1489" t="s">
        <v>2136</v>
      </c>
      <c r="U1489" t="s">
        <v>2137</v>
      </c>
      <c r="V1489" t="s">
        <v>398</v>
      </c>
      <c r="W1489" s="393">
        <v>9000</v>
      </c>
      <c r="X1489" s="393">
        <v>2.2599999999999998</v>
      </c>
      <c r="Y1489" s="393">
        <v>20.34</v>
      </c>
      <c r="Z1489" s="393">
        <v>9000</v>
      </c>
      <c r="AA1489">
        <v>0</v>
      </c>
      <c r="AB1489" s="400">
        <v>44552.029221909725</v>
      </c>
      <c r="AC1489" t="s">
        <v>40</v>
      </c>
    </row>
    <row r="1490" spans="1:29">
      <c r="A1490" t="s">
        <v>382</v>
      </c>
      <c r="B1490" t="s">
        <v>440</v>
      </c>
      <c r="C1490" t="s">
        <v>486</v>
      </c>
      <c r="D1490" t="s">
        <v>571</v>
      </c>
      <c r="E1490" t="s">
        <v>390</v>
      </c>
      <c r="F1490" t="s">
        <v>391</v>
      </c>
      <c r="G1490">
        <v>6103458</v>
      </c>
      <c r="H1490">
        <v>202112</v>
      </c>
      <c r="I1490" s="400">
        <v>44560</v>
      </c>
      <c r="J1490">
        <v>124932</v>
      </c>
      <c r="K1490" t="s">
        <v>386</v>
      </c>
      <c r="M1490" t="s">
        <v>387</v>
      </c>
      <c r="O1490" t="s">
        <v>2138</v>
      </c>
      <c r="P1490" t="s">
        <v>2139</v>
      </c>
      <c r="Q1490" t="s">
        <v>396</v>
      </c>
      <c r="R1490">
        <v>2069128</v>
      </c>
      <c r="S1490" t="s">
        <v>387</v>
      </c>
      <c r="U1490" t="s">
        <v>2140</v>
      </c>
      <c r="V1490" t="s">
        <v>398</v>
      </c>
      <c r="W1490" s="393">
        <v>110000</v>
      </c>
      <c r="X1490" s="393">
        <v>27.34</v>
      </c>
      <c r="Y1490" s="393">
        <v>245.97</v>
      </c>
      <c r="Z1490" s="393">
        <v>110000</v>
      </c>
      <c r="AA1490">
        <v>0</v>
      </c>
      <c r="AB1490" s="400">
        <v>44566.100211921294</v>
      </c>
      <c r="AC1490" t="s">
        <v>40</v>
      </c>
    </row>
    <row r="1491" spans="1:29">
      <c r="A1491" t="s">
        <v>382</v>
      </c>
      <c r="B1491" t="s">
        <v>440</v>
      </c>
      <c r="C1491" t="s">
        <v>486</v>
      </c>
      <c r="D1491" t="s">
        <v>571</v>
      </c>
      <c r="E1491" t="s">
        <v>390</v>
      </c>
      <c r="F1491" t="s">
        <v>391</v>
      </c>
      <c r="G1491">
        <v>6103393</v>
      </c>
      <c r="H1491">
        <v>202112</v>
      </c>
      <c r="I1491" s="400">
        <v>44552</v>
      </c>
      <c r="J1491">
        <v>122536</v>
      </c>
      <c r="K1491" t="s">
        <v>386</v>
      </c>
      <c r="M1491" t="s">
        <v>387</v>
      </c>
      <c r="O1491" t="s">
        <v>950</v>
      </c>
      <c r="P1491" t="s">
        <v>951</v>
      </c>
      <c r="Q1491" t="s">
        <v>396</v>
      </c>
      <c r="R1491">
        <v>2069130</v>
      </c>
      <c r="S1491" t="s">
        <v>387</v>
      </c>
      <c r="U1491" t="s">
        <v>2141</v>
      </c>
      <c r="V1491" t="s">
        <v>398</v>
      </c>
      <c r="W1491" s="393">
        <v>350000</v>
      </c>
      <c r="X1491" s="393">
        <v>87.71</v>
      </c>
      <c r="Y1491" s="393">
        <v>791.05</v>
      </c>
      <c r="Z1491" s="393">
        <v>350000</v>
      </c>
      <c r="AA1491">
        <v>0</v>
      </c>
      <c r="AB1491" s="400">
        <v>44559.735565625</v>
      </c>
      <c r="AC1491" t="s">
        <v>52</v>
      </c>
    </row>
    <row r="1492" spans="1:29">
      <c r="A1492" t="s">
        <v>382</v>
      </c>
      <c r="B1492" t="s">
        <v>440</v>
      </c>
      <c r="C1492" t="s">
        <v>486</v>
      </c>
      <c r="D1492" t="s">
        <v>571</v>
      </c>
      <c r="E1492" t="s">
        <v>390</v>
      </c>
      <c r="F1492" t="s">
        <v>391</v>
      </c>
      <c r="G1492">
        <v>6103392</v>
      </c>
      <c r="H1492">
        <v>202112</v>
      </c>
      <c r="I1492" s="400">
        <v>44552</v>
      </c>
      <c r="J1492">
        <v>122536</v>
      </c>
      <c r="K1492" t="s">
        <v>386</v>
      </c>
      <c r="M1492" t="s">
        <v>387</v>
      </c>
      <c r="O1492" t="s">
        <v>565</v>
      </c>
      <c r="P1492" t="s">
        <v>566</v>
      </c>
      <c r="Q1492" t="s">
        <v>396</v>
      </c>
      <c r="R1492">
        <v>2069126</v>
      </c>
      <c r="S1492" t="s">
        <v>387</v>
      </c>
      <c r="U1492" t="s">
        <v>2142</v>
      </c>
      <c r="V1492" t="s">
        <v>398</v>
      </c>
      <c r="W1492" s="393">
        <v>300000</v>
      </c>
      <c r="X1492" s="393">
        <v>75.180000000000007</v>
      </c>
      <c r="Y1492" s="393">
        <v>678.04</v>
      </c>
      <c r="Z1492" s="393">
        <v>300000</v>
      </c>
      <c r="AA1492">
        <v>305</v>
      </c>
      <c r="AB1492" s="400">
        <v>44559.728659062501</v>
      </c>
      <c r="AC1492" t="s">
        <v>36</v>
      </c>
    </row>
    <row r="1493" spans="1:29">
      <c r="A1493" t="s">
        <v>382</v>
      </c>
      <c r="B1493" t="s">
        <v>440</v>
      </c>
      <c r="C1493" t="s">
        <v>486</v>
      </c>
      <c r="D1493" t="s">
        <v>571</v>
      </c>
      <c r="E1493" t="s">
        <v>390</v>
      </c>
      <c r="F1493" t="s">
        <v>391</v>
      </c>
      <c r="G1493">
        <v>6103154</v>
      </c>
      <c r="H1493">
        <v>202112</v>
      </c>
      <c r="I1493" s="400">
        <v>44531</v>
      </c>
      <c r="J1493">
        <v>122536</v>
      </c>
      <c r="K1493" t="s">
        <v>386</v>
      </c>
      <c r="M1493" t="s">
        <v>387</v>
      </c>
      <c r="O1493" t="s">
        <v>2143</v>
      </c>
      <c r="P1493" t="s">
        <v>2144</v>
      </c>
      <c r="Q1493" t="s">
        <v>396</v>
      </c>
      <c r="R1493">
        <v>2069131</v>
      </c>
      <c r="S1493" t="s">
        <v>387</v>
      </c>
      <c r="U1493" t="s">
        <v>2145</v>
      </c>
      <c r="V1493" t="s">
        <v>398</v>
      </c>
      <c r="W1493" s="393">
        <v>11800</v>
      </c>
      <c r="X1493" s="393">
        <v>2.97</v>
      </c>
      <c r="Y1493" s="393">
        <v>25.7</v>
      </c>
      <c r="Z1493" s="393">
        <v>11800</v>
      </c>
      <c r="AA1493">
        <v>0</v>
      </c>
      <c r="AB1493" s="400">
        <v>44544.693283449073</v>
      </c>
      <c r="AC1493" t="s">
        <v>52</v>
      </c>
    </row>
    <row r="1494" spans="1:29">
      <c r="A1494" t="s">
        <v>382</v>
      </c>
      <c r="B1494" t="s">
        <v>440</v>
      </c>
      <c r="C1494" t="s">
        <v>486</v>
      </c>
      <c r="D1494" t="s">
        <v>1006</v>
      </c>
      <c r="E1494" t="s">
        <v>390</v>
      </c>
      <c r="F1494" t="s">
        <v>391</v>
      </c>
      <c r="G1494">
        <v>6103303</v>
      </c>
      <c r="H1494">
        <v>202112</v>
      </c>
      <c r="I1494" s="400">
        <v>44547</v>
      </c>
      <c r="J1494" t="s">
        <v>452</v>
      </c>
      <c r="K1494" t="s">
        <v>386</v>
      </c>
      <c r="M1494" t="s">
        <v>387</v>
      </c>
      <c r="O1494" t="s">
        <v>1986</v>
      </c>
      <c r="P1494" t="s">
        <v>1987</v>
      </c>
      <c r="Q1494" t="s">
        <v>396</v>
      </c>
      <c r="R1494">
        <v>2265784</v>
      </c>
      <c r="S1494" t="s">
        <v>387</v>
      </c>
      <c r="U1494" t="s">
        <v>1988</v>
      </c>
      <c r="V1494" t="s">
        <v>398</v>
      </c>
      <c r="W1494" s="393">
        <v>560000</v>
      </c>
      <c r="X1494" s="393">
        <v>140.34</v>
      </c>
      <c r="Y1494" s="393">
        <v>1265.67</v>
      </c>
      <c r="Z1494" s="393">
        <v>560000</v>
      </c>
      <c r="AA1494">
        <v>13</v>
      </c>
      <c r="AB1494" s="400">
        <v>44550.984537418983</v>
      </c>
      <c r="AC1494" t="s">
        <v>326</v>
      </c>
    </row>
    <row r="1495" spans="1:29">
      <c r="A1495" t="s">
        <v>382</v>
      </c>
      <c r="B1495" t="s">
        <v>440</v>
      </c>
      <c r="C1495" t="s">
        <v>486</v>
      </c>
      <c r="D1495" t="s">
        <v>1011</v>
      </c>
      <c r="E1495" t="s">
        <v>390</v>
      </c>
      <c r="F1495" t="s">
        <v>391</v>
      </c>
      <c r="G1495">
        <v>6102432</v>
      </c>
      <c r="H1495">
        <v>202110</v>
      </c>
      <c r="I1495" s="400">
        <v>44489</v>
      </c>
      <c r="J1495" t="s">
        <v>1016</v>
      </c>
      <c r="K1495" t="s">
        <v>386</v>
      </c>
      <c r="M1495" t="s">
        <v>387</v>
      </c>
      <c r="O1495" t="s">
        <v>535</v>
      </c>
      <c r="P1495" t="s">
        <v>536</v>
      </c>
      <c r="Q1495" t="s">
        <v>396</v>
      </c>
      <c r="R1495">
        <v>2069132</v>
      </c>
      <c r="S1495" t="s">
        <v>387</v>
      </c>
      <c r="U1495" t="s">
        <v>2146</v>
      </c>
      <c r="V1495" t="s">
        <v>398</v>
      </c>
      <c r="W1495" s="393">
        <v>15000</v>
      </c>
      <c r="X1495" s="393">
        <v>3.96</v>
      </c>
      <c r="Y1495" s="393">
        <v>34.04</v>
      </c>
      <c r="Z1495" s="393">
        <v>15000</v>
      </c>
      <c r="AA1495">
        <v>0</v>
      </c>
      <c r="AB1495" s="400">
        <v>44490.717553043978</v>
      </c>
      <c r="AC1495" t="s">
        <v>56</v>
      </c>
    </row>
    <row r="1496" spans="1:29">
      <c r="A1496" t="s">
        <v>382</v>
      </c>
      <c r="B1496" t="s">
        <v>440</v>
      </c>
      <c r="C1496" t="s">
        <v>486</v>
      </c>
      <c r="D1496" t="s">
        <v>1011</v>
      </c>
      <c r="E1496" t="s">
        <v>390</v>
      </c>
      <c r="F1496" t="s">
        <v>391</v>
      </c>
      <c r="G1496">
        <v>6102604</v>
      </c>
      <c r="H1496">
        <v>202110</v>
      </c>
      <c r="I1496" s="400">
        <v>44498</v>
      </c>
      <c r="J1496" t="s">
        <v>1016</v>
      </c>
      <c r="K1496" t="s">
        <v>386</v>
      </c>
      <c r="M1496" t="s">
        <v>387</v>
      </c>
      <c r="O1496" t="s">
        <v>1012</v>
      </c>
      <c r="P1496" t="s">
        <v>1013</v>
      </c>
      <c r="Q1496" t="s">
        <v>396</v>
      </c>
      <c r="R1496">
        <v>2069126</v>
      </c>
      <c r="S1496" t="s">
        <v>387</v>
      </c>
      <c r="U1496" t="s">
        <v>2147</v>
      </c>
      <c r="V1496" t="s">
        <v>398</v>
      </c>
      <c r="W1496" s="393">
        <v>12000000</v>
      </c>
      <c r="X1496" s="393">
        <v>3182.52</v>
      </c>
      <c r="Y1496" s="393">
        <v>27641.759999999998</v>
      </c>
      <c r="Z1496" s="393">
        <v>12000000</v>
      </c>
      <c r="AA1496">
        <v>0</v>
      </c>
      <c r="AB1496" s="400">
        <v>44501.814869178241</v>
      </c>
      <c r="AC1496" t="s">
        <v>36</v>
      </c>
    </row>
    <row r="1497" spans="1:29">
      <c r="A1497" t="s">
        <v>382</v>
      </c>
      <c r="B1497" t="s">
        <v>440</v>
      </c>
      <c r="C1497" t="s">
        <v>486</v>
      </c>
      <c r="D1497" t="s">
        <v>1011</v>
      </c>
      <c r="E1497" t="s">
        <v>390</v>
      </c>
      <c r="F1497" t="s">
        <v>391</v>
      </c>
      <c r="G1497">
        <v>6102604</v>
      </c>
      <c r="H1497">
        <v>202110</v>
      </c>
      <c r="I1497" s="400">
        <v>44498</v>
      </c>
      <c r="J1497" t="s">
        <v>1016</v>
      </c>
      <c r="K1497" t="s">
        <v>386</v>
      </c>
      <c r="M1497" t="s">
        <v>387</v>
      </c>
      <c r="O1497" t="s">
        <v>1018</v>
      </c>
      <c r="P1497" t="s">
        <v>1019</v>
      </c>
      <c r="Q1497" t="s">
        <v>396</v>
      </c>
      <c r="R1497">
        <v>2069126</v>
      </c>
      <c r="S1497" t="s">
        <v>387</v>
      </c>
      <c r="U1497" t="s">
        <v>2148</v>
      </c>
      <c r="V1497" t="s">
        <v>398</v>
      </c>
      <c r="W1497" s="393">
        <v>136800</v>
      </c>
      <c r="X1497" s="393">
        <v>36.28</v>
      </c>
      <c r="Y1497" s="393">
        <v>315.12</v>
      </c>
      <c r="Z1497" s="393">
        <v>136800</v>
      </c>
      <c r="AA1497">
        <v>0</v>
      </c>
      <c r="AB1497" s="400">
        <v>44501.814869178241</v>
      </c>
      <c r="AC1497" t="s">
        <v>36</v>
      </c>
    </row>
    <row r="1498" spans="1:29">
      <c r="A1498" t="s">
        <v>382</v>
      </c>
      <c r="B1498" t="s">
        <v>440</v>
      </c>
      <c r="C1498" t="s">
        <v>486</v>
      </c>
      <c r="D1498" t="s">
        <v>1011</v>
      </c>
      <c r="E1498" t="s">
        <v>390</v>
      </c>
      <c r="F1498" t="s">
        <v>391</v>
      </c>
      <c r="G1498">
        <v>6102604</v>
      </c>
      <c r="H1498">
        <v>202110</v>
      </c>
      <c r="I1498" s="400">
        <v>44498</v>
      </c>
      <c r="J1498" t="s">
        <v>1016</v>
      </c>
      <c r="K1498" t="s">
        <v>386</v>
      </c>
      <c r="M1498" t="s">
        <v>387</v>
      </c>
      <c r="O1498" t="s">
        <v>1012</v>
      </c>
      <c r="P1498" t="s">
        <v>1013</v>
      </c>
      <c r="Q1498" t="s">
        <v>396</v>
      </c>
      <c r="R1498">
        <v>2069127</v>
      </c>
      <c r="S1498" t="s">
        <v>387</v>
      </c>
      <c r="U1498" t="s">
        <v>2147</v>
      </c>
      <c r="V1498" t="s">
        <v>398</v>
      </c>
      <c r="W1498" s="393">
        <v>14400000</v>
      </c>
      <c r="X1498" s="393">
        <v>3819.02</v>
      </c>
      <c r="Y1498" s="393">
        <v>33170.11</v>
      </c>
      <c r="Z1498" s="393">
        <v>14400000</v>
      </c>
      <c r="AA1498">
        <v>0</v>
      </c>
      <c r="AB1498" s="400">
        <v>44501.814869178241</v>
      </c>
      <c r="AC1498" t="s">
        <v>36</v>
      </c>
    </row>
    <row r="1499" spans="1:29">
      <c r="A1499" t="s">
        <v>382</v>
      </c>
      <c r="B1499" t="s">
        <v>440</v>
      </c>
      <c r="C1499" t="s">
        <v>486</v>
      </c>
      <c r="D1499" t="s">
        <v>1011</v>
      </c>
      <c r="E1499" t="s">
        <v>390</v>
      </c>
      <c r="F1499" t="s">
        <v>391</v>
      </c>
      <c r="G1499">
        <v>6102604</v>
      </c>
      <c r="H1499">
        <v>202110</v>
      </c>
      <c r="I1499" s="400">
        <v>44498</v>
      </c>
      <c r="J1499" t="s">
        <v>1016</v>
      </c>
      <c r="K1499" t="s">
        <v>386</v>
      </c>
      <c r="M1499" t="s">
        <v>387</v>
      </c>
      <c r="O1499" t="s">
        <v>1018</v>
      </c>
      <c r="P1499" t="s">
        <v>1019</v>
      </c>
      <c r="Q1499" t="s">
        <v>396</v>
      </c>
      <c r="R1499">
        <v>2069127</v>
      </c>
      <c r="S1499" t="s">
        <v>387</v>
      </c>
      <c r="U1499" t="s">
        <v>2149</v>
      </c>
      <c r="V1499" t="s">
        <v>398</v>
      </c>
      <c r="W1499" s="393">
        <v>164160</v>
      </c>
      <c r="X1499" s="393">
        <v>43.54</v>
      </c>
      <c r="Y1499" s="393">
        <v>378.14</v>
      </c>
      <c r="Z1499" s="393">
        <v>164160</v>
      </c>
      <c r="AA1499">
        <v>0</v>
      </c>
      <c r="AB1499" s="400">
        <v>44501.814869178241</v>
      </c>
      <c r="AC1499" t="s">
        <v>36</v>
      </c>
    </row>
    <row r="1500" spans="1:29">
      <c r="A1500" t="s">
        <v>382</v>
      </c>
      <c r="B1500" t="s">
        <v>440</v>
      </c>
      <c r="C1500" t="s">
        <v>486</v>
      </c>
      <c r="D1500" t="s">
        <v>1011</v>
      </c>
      <c r="E1500" t="s">
        <v>390</v>
      </c>
      <c r="F1500" t="s">
        <v>391</v>
      </c>
      <c r="G1500">
        <v>6103492</v>
      </c>
      <c r="H1500">
        <v>202112</v>
      </c>
      <c r="I1500" s="400">
        <v>44558</v>
      </c>
      <c r="J1500" t="s">
        <v>1016</v>
      </c>
      <c r="K1500" t="s">
        <v>386</v>
      </c>
      <c r="M1500" t="s">
        <v>387</v>
      </c>
      <c r="O1500" t="s">
        <v>587</v>
      </c>
      <c r="P1500" t="s">
        <v>588</v>
      </c>
      <c r="Q1500" t="s">
        <v>490</v>
      </c>
      <c r="R1500">
        <v>2069125</v>
      </c>
      <c r="S1500" t="s">
        <v>387</v>
      </c>
      <c r="U1500" t="s">
        <v>2150</v>
      </c>
      <c r="V1500" t="s">
        <v>398</v>
      </c>
      <c r="W1500" s="393">
        <v>-2400000</v>
      </c>
      <c r="X1500" s="393">
        <v>-681.6</v>
      </c>
      <c r="Y1500" s="393">
        <v>-5762.4</v>
      </c>
      <c r="Z1500" s="393">
        <v>-2400000</v>
      </c>
      <c r="AA1500">
        <v>0</v>
      </c>
      <c r="AB1500" s="400">
        <v>44567.857607442129</v>
      </c>
      <c r="AC1500" t="s">
        <v>25</v>
      </c>
    </row>
    <row r="1501" spans="1:29">
      <c r="A1501" t="s">
        <v>382</v>
      </c>
      <c r="B1501" t="s">
        <v>440</v>
      </c>
      <c r="C1501" t="s">
        <v>486</v>
      </c>
      <c r="D1501" t="s">
        <v>1011</v>
      </c>
      <c r="E1501" t="s">
        <v>390</v>
      </c>
      <c r="F1501" t="s">
        <v>391</v>
      </c>
      <c r="G1501">
        <v>6103492</v>
      </c>
      <c r="H1501">
        <v>202112</v>
      </c>
      <c r="I1501" s="400">
        <v>44558</v>
      </c>
      <c r="J1501" t="s">
        <v>1016</v>
      </c>
      <c r="K1501" t="s">
        <v>386</v>
      </c>
      <c r="M1501" t="s">
        <v>387</v>
      </c>
      <c r="O1501" t="s">
        <v>1012</v>
      </c>
      <c r="P1501" t="s">
        <v>1013</v>
      </c>
      <c r="Q1501" t="s">
        <v>490</v>
      </c>
      <c r="R1501">
        <v>2069125</v>
      </c>
      <c r="S1501" t="s">
        <v>387</v>
      </c>
      <c r="U1501" t="s">
        <v>2150</v>
      </c>
      <c r="V1501" t="s">
        <v>398</v>
      </c>
      <c r="W1501" s="393">
        <v>2400000</v>
      </c>
      <c r="X1501" s="393">
        <v>681.6</v>
      </c>
      <c r="Y1501" s="393">
        <v>5762.4</v>
      </c>
      <c r="Z1501" s="393">
        <v>2400000</v>
      </c>
      <c r="AA1501">
        <v>0</v>
      </c>
      <c r="AB1501" s="400">
        <v>44567.857607442129</v>
      </c>
      <c r="AC1501" t="s">
        <v>25</v>
      </c>
    </row>
    <row r="1502" spans="1:29">
      <c r="A1502" t="s">
        <v>382</v>
      </c>
      <c r="B1502" t="s">
        <v>440</v>
      </c>
      <c r="C1502" t="s">
        <v>486</v>
      </c>
      <c r="D1502" t="s">
        <v>1011</v>
      </c>
      <c r="E1502" t="s">
        <v>390</v>
      </c>
      <c r="F1502" t="s">
        <v>391</v>
      </c>
      <c r="G1502">
        <v>6103156</v>
      </c>
      <c r="H1502">
        <v>202112</v>
      </c>
      <c r="I1502" s="400">
        <v>44531</v>
      </c>
      <c r="J1502" t="s">
        <v>1016</v>
      </c>
      <c r="K1502" t="s">
        <v>386</v>
      </c>
      <c r="M1502" t="s">
        <v>387</v>
      </c>
      <c r="O1502" t="s">
        <v>1018</v>
      </c>
      <c r="P1502" t="s">
        <v>1019</v>
      </c>
      <c r="Q1502" t="s">
        <v>396</v>
      </c>
      <c r="R1502">
        <v>2069127</v>
      </c>
      <c r="S1502" t="s">
        <v>387</v>
      </c>
      <c r="U1502" t="s">
        <v>2151</v>
      </c>
      <c r="V1502" t="s">
        <v>398</v>
      </c>
      <c r="W1502" s="393">
        <v>68400</v>
      </c>
      <c r="X1502" s="393">
        <v>17.23</v>
      </c>
      <c r="Y1502" s="393">
        <v>149</v>
      </c>
      <c r="Z1502" s="393">
        <v>68400</v>
      </c>
      <c r="AA1502">
        <v>0</v>
      </c>
      <c r="AB1502" s="400">
        <v>44544.705973530094</v>
      </c>
      <c r="AC1502" t="s">
        <v>36</v>
      </c>
    </row>
    <row r="1503" spans="1:29">
      <c r="A1503" t="s">
        <v>382</v>
      </c>
      <c r="B1503" t="s">
        <v>440</v>
      </c>
      <c r="C1503" t="s">
        <v>486</v>
      </c>
      <c r="D1503" t="s">
        <v>1011</v>
      </c>
      <c r="E1503" t="s">
        <v>390</v>
      </c>
      <c r="F1503" t="s">
        <v>391</v>
      </c>
      <c r="G1503">
        <v>6103156</v>
      </c>
      <c r="H1503">
        <v>202112</v>
      </c>
      <c r="I1503" s="400">
        <v>44531</v>
      </c>
      <c r="J1503" t="s">
        <v>1016</v>
      </c>
      <c r="K1503" t="s">
        <v>386</v>
      </c>
      <c r="M1503" t="s">
        <v>387</v>
      </c>
      <c r="O1503" t="s">
        <v>1012</v>
      </c>
      <c r="P1503" t="s">
        <v>1013</v>
      </c>
      <c r="Q1503" t="s">
        <v>396</v>
      </c>
      <c r="R1503">
        <v>2069128</v>
      </c>
      <c r="S1503" t="s">
        <v>387</v>
      </c>
      <c r="U1503" t="s">
        <v>2152</v>
      </c>
      <c r="V1503" t="s">
        <v>398</v>
      </c>
      <c r="W1503" s="393">
        <v>10000000</v>
      </c>
      <c r="X1503" s="393">
        <v>2519.1999999999998</v>
      </c>
      <c r="Y1503" s="393">
        <v>21783.3</v>
      </c>
      <c r="Z1503" s="393">
        <v>10000000</v>
      </c>
      <c r="AA1503">
        <v>0</v>
      </c>
      <c r="AB1503" s="400">
        <v>44544.705973530094</v>
      </c>
      <c r="AC1503" t="s">
        <v>40</v>
      </c>
    </row>
    <row r="1504" spans="1:29">
      <c r="A1504" t="s">
        <v>382</v>
      </c>
      <c r="B1504" t="s">
        <v>440</v>
      </c>
      <c r="C1504" t="s">
        <v>486</v>
      </c>
      <c r="D1504" t="s">
        <v>1011</v>
      </c>
      <c r="E1504" t="s">
        <v>390</v>
      </c>
      <c r="F1504" t="s">
        <v>391</v>
      </c>
      <c r="G1504">
        <v>6103156</v>
      </c>
      <c r="H1504">
        <v>202112</v>
      </c>
      <c r="I1504" s="400">
        <v>44531</v>
      </c>
      <c r="J1504" t="s">
        <v>1016</v>
      </c>
      <c r="K1504" t="s">
        <v>386</v>
      </c>
      <c r="M1504" t="s">
        <v>387</v>
      </c>
      <c r="O1504" t="s">
        <v>1018</v>
      </c>
      <c r="P1504" t="s">
        <v>1019</v>
      </c>
      <c r="Q1504" t="s">
        <v>396</v>
      </c>
      <c r="R1504">
        <v>2069128</v>
      </c>
      <c r="S1504" t="s">
        <v>387</v>
      </c>
      <c r="U1504" t="s">
        <v>2151</v>
      </c>
      <c r="V1504" t="s">
        <v>398</v>
      </c>
      <c r="W1504" s="393">
        <v>114000</v>
      </c>
      <c r="X1504" s="393">
        <v>28.72</v>
      </c>
      <c r="Y1504" s="393">
        <v>248.33</v>
      </c>
      <c r="Z1504" s="393">
        <v>114000</v>
      </c>
      <c r="AA1504">
        <v>0</v>
      </c>
      <c r="AB1504" s="400">
        <v>44544.705973530094</v>
      </c>
      <c r="AC1504" t="s">
        <v>40</v>
      </c>
    </row>
    <row r="1505" spans="1:29">
      <c r="A1505" t="s">
        <v>382</v>
      </c>
      <c r="B1505" t="s">
        <v>440</v>
      </c>
      <c r="C1505" t="s">
        <v>486</v>
      </c>
      <c r="D1505" t="s">
        <v>1011</v>
      </c>
      <c r="E1505" t="s">
        <v>390</v>
      </c>
      <c r="F1505" t="s">
        <v>391</v>
      </c>
      <c r="G1505">
        <v>6103156</v>
      </c>
      <c r="H1505">
        <v>202112</v>
      </c>
      <c r="I1505" s="400">
        <v>44531</v>
      </c>
      <c r="J1505" t="s">
        <v>1016</v>
      </c>
      <c r="K1505" t="s">
        <v>386</v>
      </c>
      <c r="M1505" t="s">
        <v>387</v>
      </c>
      <c r="O1505" t="s">
        <v>1012</v>
      </c>
      <c r="P1505" t="s">
        <v>1013</v>
      </c>
      <c r="Q1505" t="s">
        <v>396</v>
      </c>
      <c r="R1505">
        <v>2069132</v>
      </c>
      <c r="S1505" t="s">
        <v>387</v>
      </c>
      <c r="U1505" t="s">
        <v>2152</v>
      </c>
      <c r="V1505" t="s">
        <v>398</v>
      </c>
      <c r="W1505" s="393">
        <v>7500000</v>
      </c>
      <c r="X1505" s="393">
        <v>1889.4</v>
      </c>
      <c r="Y1505" s="393">
        <v>16337.48</v>
      </c>
      <c r="Z1505" s="393">
        <v>7500000</v>
      </c>
      <c r="AA1505">
        <v>0</v>
      </c>
      <c r="AB1505" s="400">
        <v>44544.705973530094</v>
      </c>
      <c r="AC1505" t="s">
        <v>56</v>
      </c>
    </row>
    <row r="1506" spans="1:29">
      <c r="A1506" t="s">
        <v>382</v>
      </c>
      <c r="B1506" t="s">
        <v>440</v>
      </c>
      <c r="C1506" t="s">
        <v>486</v>
      </c>
      <c r="D1506" t="s">
        <v>1011</v>
      </c>
      <c r="E1506" t="s">
        <v>390</v>
      </c>
      <c r="F1506" t="s">
        <v>391</v>
      </c>
      <c r="G1506">
        <v>6103156</v>
      </c>
      <c r="H1506">
        <v>202112</v>
      </c>
      <c r="I1506" s="400">
        <v>44531</v>
      </c>
      <c r="J1506" t="s">
        <v>1016</v>
      </c>
      <c r="K1506" t="s">
        <v>386</v>
      </c>
      <c r="M1506" t="s">
        <v>387</v>
      </c>
      <c r="O1506" t="s">
        <v>1018</v>
      </c>
      <c r="P1506" t="s">
        <v>1019</v>
      </c>
      <c r="Q1506" t="s">
        <v>396</v>
      </c>
      <c r="R1506">
        <v>2069132</v>
      </c>
      <c r="S1506" t="s">
        <v>387</v>
      </c>
      <c r="U1506" t="s">
        <v>2151</v>
      </c>
      <c r="V1506" t="s">
        <v>398</v>
      </c>
      <c r="W1506" s="393">
        <v>85500</v>
      </c>
      <c r="X1506" s="393">
        <v>21.54</v>
      </c>
      <c r="Y1506" s="393">
        <v>186.25</v>
      </c>
      <c r="Z1506" s="393">
        <v>85500</v>
      </c>
      <c r="AA1506">
        <v>0</v>
      </c>
      <c r="AB1506" s="400">
        <v>44544.705973530094</v>
      </c>
      <c r="AC1506" t="s">
        <v>56</v>
      </c>
    </row>
    <row r="1507" spans="1:29">
      <c r="A1507" t="s">
        <v>382</v>
      </c>
      <c r="B1507" t="s">
        <v>440</v>
      </c>
      <c r="C1507" t="s">
        <v>486</v>
      </c>
      <c r="D1507" t="s">
        <v>1011</v>
      </c>
      <c r="E1507" t="s">
        <v>390</v>
      </c>
      <c r="F1507" t="s">
        <v>391</v>
      </c>
      <c r="G1507">
        <v>6103320</v>
      </c>
      <c r="H1507">
        <v>202112</v>
      </c>
      <c r="I1507" s="400">
        <v>44547</v>
      </c>
      <c r="J1507" t="s">
        <v>1016</v>
      </c>
      <c r="K1507" t="s">
        <v>386</v>
      </c>
      <c r="M1507" t="s">
        <v>387</v>
      </c>
      <c r="O1507" t="s">
        <v>1012</v>
      </c>
      <c r="P1507" t="s">
        <v>1013</v>
      </c>
      <c r="Q1507" t="s">
        <v>396</v>
      </c>
      <c r="R1507">
        <v>2069127</v>
      </c>
      <c r="S1507" t="s">
        <v>387</v>
      </c>
      <c r="U1507" t="s">
        <v>2153</v>
      </c>
      <c r="V1507" t="s">
        <v>398</v>
      </c>
      <c r="W1507" s="393">
        <v>-85000</v>
      </c>
      <c r="X1507" s="393">
        <v>-21.3</v>
      </c>
      <c r="Y1507" s="393">
        <v>-192.11</v>
      </c>
      <c r="Z1507" s="393">
        <v>-85000</v>
      </c>
      <c r="AA1507">
        <v>0</v>
      </c>
      <c r="AB1507" s="400">
        <v>44551.710591319446</v>
      </c>
      <c r="AC1507" t="s">
        <v>36</v>
      </c>
    </row>
    <row r="1508" spans="1:29">
      <c r="A1508" t="s">
        <v>382</v>
      </c>
      <c r="B1508" t="s">
        <v>440</v>
      </c>
      <c r="C1508" t="s">
        <v>486</v>
      </c>
      <c r="D1508" t="s">
        <v>1011</v>
      </c>
      <c r="E1508" t="s">
        <v>390</v>
      </c>
      <c r="F1508" t="s">
        <v>391</v>
      </c>
      <c r="G1508">
        <v>6103156</v>
      </c>
      <c r="H1508">
        <v>202112</v>
      </c>
      <c r="I1508" s="400">
        <v>44531</v>
      </c>
      <c r="J1508" t="s">
        <v>1016</v>
      </c>
      <c r="K1508" t="s">
        <v>386</v>
      </c>
      <c r="M1508" t="s">
        <v>387</v>
      </c>
      <c r="O1508" t="s">
        <v>1012</v>
      </c>
      <c r="P1508" t="s">
        <v>1013</v>
      </c>
      <c r="Q1508" t="s">
        <v>396</v>
      </c>
      <c r="R1508">
        <v>2069127</v>
      </c>
      <c r="S1508" t="s">
        <v>387</v>
      </c>
      <c r="U1508" t="s">
        <v>2152</v>
      </c>
      <c r="V1508" t="s">
        <v>398</v>
      </c>
      <c r="W1508" s="393">
        <v>6000000</v>
      </c>
      <c r="X1508" s="393">
        <v>1511.52</v>
      </c>
      <c r="Y1508" s="393">
        <v>13069.98</v>
      </c>
      <c r="Z1508" s="393">
        <v>6000000</v>
      </c>
      <c r="AA1508">
        <v>0</v>
      </c>
      <c r="AB1508" s="400">
        <v>44544.705973344906</v>
      </c>
      <c r="AC1508" t="s">
        <v>36</v>
      </c>
    </row>
    <row r="1509" spans="1:29">
      <c r="A1509" t="s">
        <v>382</v>
      </c>
      <c r="B1509" t="s">
        <v>440</v>
      </c>
      <c r="C1509" t="s">
        <v>486</v>
      </c>
      <c r="D1509" t="s">
        <v>1011</v>
      </c>
      <c r="E1509" t="s">
        <v>390</v>
      </c>
      <c r="F1509" t="s">
        <v>391</v>
      </c>
      <c r="G1509">
        <v>6103156</v>
      </c>
      <c r="H1509">
        <v>202112</v>
      </c>
      <c r="I1509" s="400">
        <v>44531</v>
      </c>
      <c r="J1509" t="s">
        <v>1016</v>
      </c>
      <c r="K1509" t="s">
        <v>386</v>
      </c>
      <c r="M1509" t="s">
        <v>387</v>
      </c>
      <c r="O1509" t="s">
        <v>1018</v>
      </c>
      <c r="P1509" t="s">
        <v>1019</v>
      </c>
      <c r="Q1509" t="s">
        <v>396</v>
      </c>
      <c r="R1509">
        <v>2069126</v>
      </c>
      <c r="S1509" t="s">
        <v>387</v>
      </c>
      <c r="U1509" t="s">
        <v>2151</v>
      </c>
      <c r="V1509" t="s">
        <v>398</v>
      </c>
      <c r="W1509" s="393">
        <v>102600</v>
      </c>
      <c r="X1509" s="393">
        <v>25.85</v>
      </c>
      <c r="Y1509" s="393">
        <v>223.5</v>
      </c>
      <c r="Z1509" s="393">
        <v>102600</v>
      </c>
      <c r="AA1509">
        <v>0</v>
      </c>
      <c r="AB1509" s="400">
        <v>44544.705973344906</v>
      </c>
      <c r="AC1509" t="s">
        <v>36</v>
      </c>
    </row>
    <row r="1510" spans="1:29">
      <c r="A1510" t="s">
        <v>382</v>
      </c>
      <c r="B1510" t="s">
        <v>440</v>
      </c>
      <c r="C1510" t="s">
        <v>486</v>
      </c>
      <c r="D1510" t="s">
        <v>1011</v>
      </c>
      <c r="E1510" t="s">
        <v>390</v>
      </c>
      <c r="F1510" t="s">
        <v>391</v>
      </c>
      <c r="G1510">
        <v>6103156</v>
      </c>
      <c r="H1510">
        <v>202112</v>
      </c>
      <c r="I1510" s="400">
        <v>44531</v>
      </c>
      <c r="J1510" t="s">
        <v>1016</v>
      </c>
      <c r="K1510" t="s">
        <v>386</v>
      </c>
      <c r="M1510" t="s">
        <v>387</v>
      </c>
      <c r="O1510" t="s">
        <v>1012</v>
      </c>
      <c r="P1510" t="s">
        <v>1013</v>
      </c>
      <c r="Q1510" t="s">
        <v>396</v>
      </c>
      <c r="R1510">
        <v>2069126</v>
      </c>
      <c r="S1510" t="s">
        <v>387</v>
      </c>
      <c r="U1510" t="s">
        <v>2152</v>
      </c>
      <c r="V1510" t="s">
        <v>398</v>
      </c>
      <c r="W1510" s="393">
        <v>9000000</v>
      </c>
      <c r="X1510" s="393">
        <v>2267.2800000000002</v>
      </c>
      <c r="Y1510" s="393">
        <v>19604.97</v>
      </c>
      <c r="Z1510" s="393">
        <v>9000000</v>
      </c>
      <c r="AA1510">
        <v>0</v>
      </c>
      <c r="AB1510" s="400">
        <v>44544.705973344906</v>
      </c>
      <c r="AC1510" t="s">
        <v>36</v>
      </c>
    </row>
    <row r="1511" spans="1:29">
      <c r="A1511" t="s">
        <v>382</v>
      </c>
      <c r="B1511" t="s">
        <v>440</v>
      </c>
      <c r="C1511" t="s">
        <v>486</v>
      </c>
      <c r="D1511" t="s">
        <v>1011</v>
      </c>
      <c r="E1511" t="s">
        <v>390</v>
      </c>
      <c r="F1511" t="s">
        <v>391</v>
      </c>
      <c r="G1511">
        <v>6103469</v>
      </c>
      <c r="H1511">
        <v>202112</v>
      </c>
      <c r="I1511" s="400">
        <v>44559</v>
      </c>
      <c r="J1511" t="s">
        <v>1016</v>
      </c>
      <c r="K1511" t="s">
        <v>386</v>
      </c>
      <c r="M1511" t="s">
        <v>387</v>
      </c>
      <c r="O1511" t="s">
        <v>1012</v>
      </c>
      <c r="P1511" t="s">
        <v>1013</v>
      </c>
      <c r="Q1511" t="s">
        <v>396</v>
      </c>
      <c r="R1511">
        <v>2069128</v>
      </c>
      <c r="S1511" t="s">
        <v>387</v>
      </c>
      <c r="U1511" t="s">
        <v>2154</v>
      </c>
      <c r="V1511" t="s">
        <v>398</v>
      </c>
      <c r="W1511" s="393">
        <v>-6415000</v>
      </c>
      <c r="X1511" s="393">
        <v>-1604.65</v>
      </c>
      <c r="Y1511" s="393">
        <v>-14437.15</v>
      </c>
      <c r="Z1511" s="393">
        <v>-6415000</v>
      </c>
      <c r="AA1511">
        <v>0</v>
      </c>
      <c r="AB1511" s="400">
        <v>44566.748584525463</v>
      </c>
      <c r="AC1511" t="s">
        <v>40</v>
      </c>
    </row>
    <row r="1512" spans="1:29">
      <c r="A1512" t="s">
        <v>382</v>
      </c>
      <c r="B1512" t="s">
        <v>440</v>
      </c>
      <c r="C1512" t="s">
        <v>486</v>
      </c>
      <c r="D1512" t="s">
        <v>1056</v>
      </c>
      <c r="E1512" t="s">
        <v>390</v>
      </c>
      <c r="F1512" t="s">
        <v>391</v>
      </c>
      <c r="G1512">
        <v>6102646</v>
      </c>
      <c r="H1512">
        <v>202110</v>
      </c>
      <c r="I1512" s="400">
        <v>44496</v>
      </c>
      <c r="J1512">
        <v>122536</v>
      </c>
      <c r="K1512" t="s">
        <v>386</v>
      </c>
      <c r="M1512" t="s">
        <v>387</v>
      </c>
      <c r="O1512" t="s">
        <v>2143</v>
      </c>
      <c r="P1512" t="s">
        <v>2144</v>
      </c>
      <c r="Q1512" t="s">
        <v>396</v>
      </c>
      <c r="R1512">
        <v>2069126</v>
      </c>
      <c r="S1512" t="s">
        <v>387</v>
      </c>
      <c r="U1512" t="s">
        <v>2155</v>
      </c>
      <c r="V1512" t="s">
        <v>398</v>
      </c>
      <c r="W1512" s="393">
        <v>15600</v>
      </c>
      <c r="X1512" s="393">
        <v>4.1399999999999997</v>
      </c>
      <c r="Y1512" s="393">
        <v>35.93</v>
      </c>
      <c r="Z1512" s="393">
        <v>15600</v>
      </c>
      <c r="AA1512">
        <v>0</v>
      </c>
      <c r="AB1512" s="400">
        <v>44502.696007407409</v>
      </c>
      <c r="AC1512" t="s">
        <v>36</v>
      </c>
    </row>
    <row r="1513" spans="1:29">
      <c r="A1513" t="s">
        <v>382</v>
      </c>
      <c r="B1513" t="s">
        <v>440</v>
      </c>
      <c r="C1513" t="s">
        <v>486</v>
      </c>
      <c r="D1513" t="s">
        <v>1056</v>
      </c>
      <c r="E1513" t="s">
        <v>390</v>
      </c>
      <c r="F1513" t="s">
        <v>391</v>
      </c>
      <c r="G1513">
        <v>6102646</v>
      </c>
      <c r="H1513">
        <v>202110</v>
      </c>
      <c r="I1513" s="400">
        <v>44496</v>
      </c>
      <c r="J1513">
        <v>122536</v>
      </c>
      <c r="K1513" t="s">
        <v>386</v>
      </c>
      <c r="M1513" t="s">
        <v>387</v>
      </c>
      <c r="O1513" t="s">
        <v>906</v>
      </c>
      <c r="P1513" t="s">
        <v>907</v>
      </c>
      <c r="Q1513" t="s">
        <v>396</v>
      </c>
      <c r="R1513">
        <v>2069126</v>
      </c>
      <c r="S1513" t="s">
        <v>387</v>
      </c>
      <c r="U1513" t="s">
        <v>2156</v>
      </c>
      <c r="V1513" t="s">
        <v>398</v>
      </c>
      <c r="W1513" s="393">
        <v>36000</v>
      </c>
      <c r="X1513" s="393">
        <v>9.5500000000000007</v>
      </c>
      <c r="Y1513" s="393">
        <v>82.93</v>
      </c>
      <c r="Z1513" s="393">
        <v>36000</v>
      </c>
      <c r="AA1513">
        <v>0</v>
      </c>
      <c r="AB1513" s="400">
        <v>44502.696007557868</v>
      </c>
      <c r="AC1513" t="s">
        <v>36</v>
      </c>
    </row>
    <row r="1514" spans="1:29">
      <c r="A1514" t="s">
        <v>382</v>
      </c>
      <c r="B1514" t="s">
        <v>440</v>
      </c>
      <c r="C1514" t="s">
        <v>486</v>
      </c>
      <c r="D1514" t="s">
        <v>1056</v>
      </c>
      <c r="E1514" t="s">
        <v>390</v>
      </c>
      <c r="F1514" t="s">
        <v>391</v>
      </c>
      <c r="G1514">
        <v>6102646</v>
      </c>
      <c r="H1514">
        <v>202110</v>
      </c>
      <c r="I1514" s="400">
        <v>44496</v>
      </c>
      <c r="J1514">
        <v>122536</v>
      </c>
      <c r="K1514" t="s">
        <v>386</v>
      </c>
      <c r="M1514" t="s">
        <v>387</v>
      </c>
      <c r="O1514" t="s">
        <v>593</v>
      </c>
      <c r="P1514" t="s">
        <v>594</v>
      </c>
      <c r="Q1514" t="s">
        <v>396</v>
      </c>
      <c r="R1514">
        <v>2069126</v>
      </c>
      <c r="S1514" t="s">
        <v>387</v>
      </c>
      <c r="U1514" t="s">
        <v>2157</v>
      </c>
      <c r="V1514" t="s">
        <v>398</v>
      </c>
      <c r="W1514" s="393">
        <v>16600</v>
      </c>
      <c r="X1514" s="393">
        <v>4.4000000000000004</v>
      </c>
      <c r="Y1514" s="393">
        <v>38.24</v>
      </c>
      <c r="Z1514" s="393">
        <v>16600</v>
      </c>
      <c r="AA1514">
        <v>0</v>
      </c>
      <c r="AB1514" s="400">
        <v>44502.696007557868</v>
      </c>
      <c r="AC1514" t="s">
        <v>36</v>
      </c>
    </row>
    <row r="1515" spans="1:29">
      <c r="A1515" t="s">
        <v>382</v>
      </c>
      <c r="B1515" t="s">
        <v>440</v>
      </c>
      <c r="C1515" t="s">
        <v>486</v>
      </c>
      <c r="D1515" t="s">
        <v>1056</v>
      </c>
      <c r="E1515" t="s">
        <v>390</v>
      </c>
      <c r="F1515" t="s">
        <v>391</v>
      </c>
      <c r="G1515">
        <v>6102646</v>
      </c>
      <c r="H1515">
        <v>202110</v>
      </c>
      <c r="I1515" s="400">
        <v>44496</v>
      </c>
      <c r="J1515">
        <v>122536</v>
      </c>
      <c r="K1515" t="s">
        <v>386</v>
      </c>
      <c r="M1515" t="s">
        <v>387</v>
      </c>
      <c r="O1515" t="s">
        <v>593</v>
      </c>
      <c r="P1515" t="s">
        <v>594</v>
      </c>
      <c r="Q1515" t="s">
        <v>396</v>
      </c>
      <c r="R1515">
        <v>2069126</v>
      </c>
      <c r="S1515" t="s">
        <v>387</v>
      </c>
      <c r="U1515" t="s">
        <v>2158</v>
      </c>
      <c r="V1515" t="s">
        <v>398</v>
      </c>
      <c r="W1515" s="393">
        <v>2000</v>
      </c>
      <c r="X1515" s="393">
        <v>0.53</v>
      </c>
      <c r="Y1515" s="393">
        <v>4.6100000000000003</v>
      </c>
      <c r="Z1515" s="393">
        <v>2000</v>
      </c>
      <c r="AA1515">
        <v>0</v>
      </c>
      <c r="AB1515" s="400">
        <v>44502.696007557868</v>
      </c>
      <c r="AC1515" t="s">
        <v>36</v>
      </c>
    </row>
    <row r="1516" spans="1:29">
      <c r="A1516" t="s">
        <v>382</v>
      </c>
      <c r="B1516" t="s">
        <v>440</v>
      </c>
      <c r="C1516" t="s">
        <v>486</v>
      </c>
      <c r="D1516" t="s">
        <v>1056</v>
      </c>
      <c r="E1516" t="s">
        <v>390</v>
      </c>
      <c r="F1516" t="s">
        <v>391</v>
      </c>
      <c r="G1516">
        <v>6102646</v>
      </c>
      <c r="H1516">
        <v>202110</v>
      </c>
      <c r="I1516" s="400">
        <v>44496</v>
      </c>
      <c r="J1516">
        <v>122536</v>
      </c>
      <c r="K1516" t="s">
        <v>386</v>
      </c>
      <c r="M1516" t="s">
        <v>387</v>
      </c>
      <c r="O1516" t="s">
        <v>593</v>
      </c>
      <c r="P1516" t="s">
        <v>594</v>
      </c>
      <c r="Q1516" t="s">
        <v>396</v>
      </c>
      <c r="R1516">
        <v>2069126</v>
      </c>
      <c r="S1516" t="s">
        <v>387</v>
      </c>
      <c r="U1516" t="s">
        <v>2158</v>
      </c>
      <c r="V1516" t="s">
        <v>398</v>
      </c>
      <c r="W1516" s="393">
        <v>18500</v>
      </c>
      <c r="X1516" s="393">
        <v>4.91</v>
      </c>
      <c r="Y1516" s="393">
        <v>42.61</v>
      </c>
      <c r="Z1516" s="393">
        <v>18500</v>
      </c>
      <c r="AA1516">
        <v>0</v>
      </c>
      <c r="AB1516" s="400">
        <v>44502.696007557868</v>
      </c>
      <c r="AC1516" t="s">
        <v>36</v>
      </c>
    </row>
    <row r="1517" spans="1:29">
      <c r="A1517" t="s">
        <v>382</v>
      </c>
      <c r="B1517" t="s">
        <v>440</v>
      </c>
      <c r="C1517" t="s">
        <v>486</v>
      </c>
      <c r="D1517" t="s">
        <v>1056</v>
      </c>
      <c r="E1517" t="s">
        <v>390</v>
      </c>
      <c r="F1517" t="s">
        <v>391</v>
      </c>
      <c r="G1517">
        <v>6102464</v>
      </c>
      <c r="H1517">
        <v>202110</v>
      </c>
      <c r="I1517" s="400">
        <v>44491</v>
      </c>
      <c r="J1517">
        <v>124932</v>
      </c>
      <c r="K1517" t="s">
        <v>386</v>
      </c>
      <c r="M1517" t="s">
        <v>387</v>
      </c>
      <c r="O1517" t="s">
        <v>557</v>
      </c>
      <c r="P1517" t="s">
        <v>558</v>
      </c>
      <c r="Q1517" t="s">
        <v>396</v>
      </c>
      <c r="R1517">
        <v>2069127</v>
      </c>
      <c r="S1517" t="s">
        <v>387</v>
      </c>
      <c r="U1517" t="s">
        <v>2159</v>
      </c>
      <c r="V1517" t="s">
        <v>398</v>
      </c>
      <c r="W1517" s="393">
        <v>5200000</v>
      </c>
      <c r="X1517" s="393">
        <v>1379.09</v>
      </c>
      <c r="Y1517" s="393">
        <v>11978.1</v>
      </c>
      <c r="Z1517" s="393">
        <v>5200000</v>
      </c>
      <c r="AA1517">
        <v>318</v>
      </c>
      <c r="AB1517" s="400">
        <v>44497.919761226854</v>
      </c>
      <c r="AC1517" t="s">
        <v>36</v>
      </c>
    </row>
    <row r="1518" spans="1:29">
      <c r="A1518" t="s">
        <v>382</v>
      </c>
      <c r="B1518" t="s">
        <v>440</v>
      </c>
      <c r="C1518" t="s">
        <v>486</v>
      </c>
      <c r="D1518" t="s">
        <v>1056</v>
      </c>
      <c r="E1518" t="s">
        <v>390</v>
      </c>
      <c r="F1518" t="s">
        <v>391</v>
      </c>
      <c r="G1518">
        <v>6102464</v>
      </c>
      <c r="H1518">
        <v>202110</v>
      </c>
      <c r="I1518" s="400">
        <v>44491</v>
      </c>
      <c r="J1518">
        <v>124932</v>
      </c>
      <c r="K1518" t="s">
        <v>386</v>
      </c>
      <c r="M1518" t="s">
        <v>387</v>
      </c>
      <c r="O1518" t="s">
        <v>557</v>
      </c>
      <c r="P1518" t="s">
        <v>558</v>
      </c>
      <c r="Q1518" t="s">
        <v>396</v>
      </c>
      <c r="R1518">
        <v>2069126</v>
      </c>
      <c r="S1518" t="s">
        <v>387</v>
      </c>
      <c r="U1518" t="s">
        <v>2160</v>
      </c>
      <c r="V1518" t="s">
        <v>398</v>
      </c>
      <c r="W1518" s="393">
        <v>6500000</v>
      </c>
      <c r="X1518" s="393">
        <v>1723.87</v>
      </c>
      <c r="Y1518" s="393">
        <v>14972.62</v>
      </c>
      <c r="Z1518" s="393">
        <v>6500000</v>
      </c>
      <c r="AA1518">
        <v>318</v>
      </c>
      <c r="AB1518" s="400">
        <v>44497.919761377314</v>
      </c>
      <c r="AC1518" t="s">
        <v>36</v>
      </c>
    </row>
    <row r="1519" spans="1:29">
      <c r="A1519" t="s">
        <v>382</v>
      </c>
      <c r="B1519" t="s">
        <v>440</v>
      </c>
      <c r="C1519" t="s">
        <v>486</v>
      </c>
      <c r="D1519" t="s">
        <v>1056</v>
      </c>
      <c r="E1519" t="s">
        <v>390</v>
      </c>
      <c r="F1519" t="s">
        <v>391</v>
      </c>
      <c r="G1519">
        <v>6102432</v>
      </c>
      <c r="H1519">
        <v>202110</v>
      </c>
      <c r="I1519" s="400">
        <v>44489</v>
      </c>
      <c r="J1519" t="s">
        <v>1016</v>
      </c>
      <c r="K1519" t="s">
        <v>386</v>
      </c>
      <c r="M1519" t="s">
        <v>387</v>
      </c>
      <c r="O1519" t="s">
        <v>535</v>
      </c>
      <c r="P1519" t="s">
        <v>536</v>
      </c>
      <c r="Q1519" t="s">
        <v>396</v>
      </c>
      <c r="R1519">
        <v>2069132</v>
      </c>
      <c r="S1519" t="s">
        <v>387</v>
      </c>
      <c r="U1519" t="s">
        <v>2161</v>
      </c>
      <c r="V1519" t="s">
        <v>398</v>
      </c>
      <c r="W1519" s="393">
        <v>304000</v>
      </c>
      <c r="X1519" s="393">
        <v>80.25</v>
      </c>
      <c r="Y1519" s="393">
        <v>689.92</v>
      </c>
      <c r="Z1519" s="393">
        <v>304000</v>
      </c>
      <c r="AA1519">
        <v>318</v>
      </c>
      <c r="AB1519" s="400">
        <v>44490.717552511574</v>
      </c>
      <c r="AC1519" t="s">
        <v>56</v>
      </c>
    </row>
    <row r="1520" spans="1:29">
      <c r="A1520" t="s">
        <v>382</v>
      </c>
      <c r="B1520" t="s">
        <v>440</v>
      </c>
      <c r="C1520" t="s">
        <v>486</v>
      </c>
      <c r="D1520" t="s">
        <v>1056</v>
      </c>
      <c r="E1520" t="s">
        <v>390</v>
      </c>
      <c r="F1520" t="s">
        <v>391</v>
      </c>
      <c r="G1520">
        <v>6102646</v>
      </c>
      <c r="H1520">
        <v>202110</v>
      </c>
      <c r="I1520" s="400">
        <v>44496</v>
      </c>
      <c r="J1520">
        <v>122536</v>
      </c>
      <c r="K1520" t="s">
        <v>386</v>
      </c>
      <c r="M1520" t="s">
        <v>387</v>
      </c>
      <c r="O1520" t="s">
        <v>2070</v>
      </c>
      <c r="P1520" t="s">
        <v>2071</v>
      </c>
      <c r="Q1520" t="s">
        <v>396</v>
      </c>
      <c r="R1520">
        <v>2069126</v>
      </c>
      <c r="S1520" t="s">
        <v>387</v>
      </c>
      <c r="U1520" t="s">
        <v>2162</v>
      </c>
      <c r="V1520" t="s">
        <v>398</v>
      </c>
      <c r="W1520" s="393">
        <v>31500</v>
      </c>
      <c r="X1520" s="393">
        <v>8.35</v>
      </c>
      <c r="Y1520" s="393">
        <v>72.56</v>
      </c>
      <c r="Z1520" s="393">
        <v>31500</v>
      </c>
      <c r="AA1520">
        <v>0</v>
      </c>
      <c r="AB1520" s="400">
        <v>44502.696007407409</v>
      </c>
      <c r="AC1520" t="s">
        <v>36</v>
      </c>
    </row>
    <row r="1521" spans="1:29">
      <c r="A1521" t="s">
        <v>382</v>
      </c>
      <c r="B1521" t="s">
        <v>440</v>
      </c>
      <c r="C1521" t="s">
        <v>486</v>
      </c>
      <c r="D1521" t="s">
        <v>1056</v>
      </c>
      <c r="E1521" t="s">
        <v>390</v>
      </c>
      <c r="F1521" t="s">
        <v>391</v>
      </c>
      <c r="G1521">
        <v>6102646</v>
      </c>
      <c r="H1521">
        <v>202110</v>
      </c>
      <c r="I1521" s="400">
        <v>44496</v>
      </c>
      <c r="J1521">
        <v>122536</v>
      </c>
      <c r="K1521" t="s">
        <v>386</v>
      </c>
      <c r="M1521" t="s">
        <v>387</v>
      </c>
      <c r="O1521" t="s">
        <v>2079</v>
      </c>
      <c r="P1521" t="s">
        <v>2080</v>
      </c>
      <c r="Q1521" t="s">
        <v>396</v>
      </c>
      <c r="R1521">
        <v>2069126</v>
      </c>
      <c r="S1521" t="s">
        <v>387</v>
      </c>
      <c r="U1521" t="s">
        <v>2163</v>
      </c>
      <c r="V1521" t="s">
        <v>398</v>
      </c>
      <c r="W1521" s="393">
        <v>13100</v>
      </c>
      <c r="X1521" s="393">
        <v>3.47</v>
      </c>
      <c r="Y1521" s="393">
        <v>30.18</v>
      </c>
      <c r="Z1521" s="393">
        <v>13100</v>
      </c>
      <c r="AA1521">
        <v>0</v>
      </c>
      <c r="AB1521" s="400">
        <v>44502.696007407409</v>
      </c>
      <c r="AC1521" t="s">
        <v>36</v>
      </c>
    </row>
    <row r="1522" spans="1:29">
      <c r="A1522" t="s">
        <v>382</v>
      </c>
      <c r="B1522" t="s">
        <v>440</v>
      </c>
      <c r="C1522" t="s">
        <v>486</v>
      </c>
      <c r="D1522" t="s">
        <v>1056</v>
      </c>
      <c r="E1522" t="s">
        <v>390</v>
      </c>
      <c r="F1522" t="s">
        <v>391</v>
      </c>
      <c r="G1522">
        <v>6102646</v>
      </c>
      <c r="H1522">
        <v>202110</v>
      </c>
      <c r="I1522" s="400">
        <v>44496</v>
      </c>
      <c r="J1522">
        <v>122536</v>
      </c>
      <c r="K1522" t="s">
        <v>386</v>
      </c>
      <c r="M1522" t="s">
        <v>387</v>
      </c>
      <c r="O1522" t="s">
        <v>2070</v>
      </c>
      <c r="P1522" t="s">
        <v>2071</v>
      </c>
      <c r="Q1522" t="s">
        <v>396</v>
      </c>
      <c r="R1522">
        <v>2069126</v>
      </c>
      <c r="S1522" t="s">
        <v>387</v>
      </c>
      <c r="U1522" t="s">
        <v>2164</v>
      </c>
      <c r="V1522" t="s">
        <v>398</v>
      </c>
      <c r="W1522" s="393">
        <v>31500</v>
      </c>
      <c r="X1522" s="393">
        <v>8.35</v>
      </c>
      <c r="Y1522" s="393">
        <v>72.56</v>
      </c>
      <c r="Z1522" s="393">
        <v>31500</v>
      </c>
      <c r="AA1522">
        <v>0</v>
      </c>
      <c r="AB1522" s="400">
        <v>44502.696007407409</v>
      </c>
      <c r="AC1522" t="s">
        <v>36</v>
      </c>
    </row>
    <row r="1523" spans="1:29">
      <c r="A1523" t="s">
        <v>382</v>
      </c>
      <c r="B1523" t="s">
        <v>440</v>
      </c>
      <c r="C1523" t="s">
        <v>486</v>
      </c>
      <c r="D1523" t="s">
        <v>1056</v>
      </c>
      <c r="E1523" t="s">
        <v>390</v>
      </c>
      <c r="F1523" t="s">
        <v>391</v>
      </c>
      <c r="G1523">
        <v>6102646</v>
      </c>
      <c r="H1523">
        <v>202110</v>
      </c>
      <c r="I1523" s="400">
        <v>44496</v>
      </c>
      <c r="J1523">
        <v>122536</v>
      </c>
      <c r="K1523" t="s">
        <v>386</v>
      </c>
      <c r="M1523" t="s">
        <v>387</v>
      </c>
      <c r="O1523" t="s">
        <v>593</v>
      </c>
      <c r="P1523" t="s">
        <v>594</v>
      </c>
      <c r="Q1523" t="s">
        <v>396</v>
      </c>
      <c r="R1523">
        <v>2069126</v>
      </c>
      <c r="S1523" t="s">
        <v>387</v>
      </c>
      <c r="U1523" t="s">
        <v>2165</v>
      </c>
      <c r="V1523" t="s">
        <v>398</v>
      </c>
      <c r="W1523" s="393">
        <v>12000</v>
      </c>
      <c r="X1523" s="393">
        <v>3.18</v>
      </c>
      <c r="Y1523" s="393">
        <v>27.64</v>
      </c>
      <c r="Z1523" s="393">
        <v>12000</v>
      </c>
      <c r="AA1523">
        <v>0</v>
      </c>
      <c r="AB1523" s="400">
        <v>44502.696007407409</v>
      </c>
      <c r="AC1523" t="s">
        <v>36</v>
      </c>
    </row>
    <row r="1524" spans="1:29">
      <c r="A1524" t="s">
        <v>382</v>
      </c>
      <c r="B1524" t="s">
        <v>440</v>
      </c>
      <c r="C1524" t="s">
        <v>486</v>
      </c>
      <c r="D1524" t="s">
        <v>1056</v>
      </c>
      <c r="E1524" t="s">
        <v>390</v>
      </c>
      <c r="F1524" t="s">
        <v>391</v>
      </c>
      <c r="G1524">
        <v>6102646</v>
      </c>
      <c r="H1524">
        <v>202110</v>
      </c>
      <c r="I1524" s="400">
        <v>44496</v>
      </c>
      <c r="J1524">
        <v>122536</v>
      </c>
      <c r="K1524" t="s">
        <v>386</v>
      </c>
      <c r="M1524" t="s">
        <v>387</v>
      </c>
      <c r="O1524" t="s">
        <v>2166</v>
      </c>
      <c r="P1524" t="s">
        <v>2167</v>
      </c>
      <c r="Q1524" t="s">
        <v>396</v>
      </c>
      <c r="R1524">
        <v>2069126</v>
      </c>
      <c r="S1524" t="s">
        <v>387</v>
      </c>
      <c r="U1524" t="s">
        <v>2168</v>
      </c>
      <c r="V1524" t="s">
        <v>398</v>
      </c>
      <c r="W1524" s="393">
        <v>30000</v>
      </c>
      <c r="X1524" s="393">
        <v>7.96</v>
      </c>
      <c r="Y1524" s="393">
        <v>69.099999999999994</v>
      </c>
      <c r="Z1524" s="393">
        <v>30000</v>
      </c>
      <c r="AA1524">
        <v>0</v>
      </c>
      <c r="AB1524" s="400">
        <v>44502.696007407409</v>
      </c>
      <c r="AC1524" t="s">
        <v>36</v>
      </c>
    </row>
    <row r="1525" spans="1:29">
      <c r="A1525" t="s">
        <v>382</v>
      </c>
      <c r="B1525" t="s">
        <v>440</v>
      </c>
      <c r="C1525" t="s">
        <v>486</v>
      </c>
      <c r="D1525" t="s">
        <v>1056</v>
      </c>
      <c r="E1525" t="s">
        <v>390</v>
      </c>
      <c r="F1525" t="s">
        <v>391</v>
      </c>
      <c r="G1525">
        <v>6102646</v>
      </c>
      <c r="H1525">
        <v>202110</v>
      </c>
      <c r="I1525" s="400">
        <v>44496</v>
      </c>
      <c r="J1525">
        <v>122536</v>
      </c>
      <c r="K1525" t="s">
        <v>386</v>
      </c>
      <c r="M1525" t="s">
        <v>387</v>
      </c>
      <c r="O1525" t="s">
        <v>2169</v>
      </c>
      <c r="P1525" t="s">
        <v>2170</v>
      </c>
      <c r="Q1525" t="s">
        <v>396</v>
      </c>
      <c r="R1525">
        <v>2069126</v>
      </c>
      <c r="S1525" t="s">
        <v>387</v>
      </c>
      <c r="U1525" t="s">
        <v>2171</v>
      </c>
      <c r="V1525" t="s">
        <v>398</v>
      </c>
      <c r="W1525" s="393">
        <v>14500</v>
      </c>
      <c r="X1525" s="393">
        <v>3.85</v>
      </c>
      <c r="Y1525" s="393">
        <v>33.4</v>
      </c>
      <c r="Z1525" s="393">
        <v>14500</v>
      </c>
      <c r="AA1525">
        <v>0</v>
      </c>
      <c r="AB1525" s="400">
        <v>44502.696007407409</v>
      </c>
      <c r="AC1525" t="s">
        <v>36</v>
      </c>
    </row>
    <row r="1526" spans="1:29">
      <c r="A1526" t="s">
        <v>382</v>
      </c>
      <c r="B1526" t="s">
        <v>440</v>
      </c>
      <c r="C1526" t="s">
        <v>486</v>
      </c>
      <c r="D1526" t="s">
        <v>1056</v>
      </c>
      <c r="E1526" t="s">
        <v>390</v>
      </c>
      <c r="F1526" t="s">
        <v>391</v>
      </c>
      <c r="G1526">
        <v>6102646</v>
      </c>
      <c r="H1526">
        <v>202110</v>
      </c>
      <c r="I1526" s="400">
        <v>44496</v>
      </c>
      <c r="J1526">
        <v>122536</v>
      </c>
      <c r="K1526" t="s">
        <v>386</v>
      </c>
      <c r="M1526" t="s">
        <v>387</v>
      </c>
      <c r="O1526" t="s">
        <v>997</v>
      </c>
      <c r="P1526" t="s">
        <v>998</v>
      </c>
      <c r="Q1526" t="s">
        <v>396</v>
      </c>
      <c r="R1526">
        <v>2069126</v>
      </c>
      <c r="S1526" t="s">
        <v>387</v>
      </c>
      <c r="U1526" t="s">
        <v>2172</v>
      </c>
      <c r="V1526" t="s">
        <v>398</v>
      </c>
      <c r="W1526" s="393">
        <v>35000</v>
      </c>
      <c r="X1526" s="393">
        <v>9.2799999999999994</v>
      </c>
      <c r="Y1526" s="393">
        <v>80.62</v>
      </c>
      <c r="Z1526" s="393">
        <v>35000</v>
      </c>
      <c r="AA1526">
        <v>0</v>
      </c>
      <c r="AB1526" s="400">
        <v>44502.696007407409</v>
      </c>
      <c r="AC1526" t="s">
        <v>36</v>
      </c>
    </row>
    <row r="1527" spans="1:29">
      <c r="A1527" t="s">
        <v>382</v>
      </c>
      <c r="B1527" t="s">
        <v>440</v>
      </c>
      <c r="C1527" t="s">
        <v>486</v>
      </c>
      <c r="D1527" t="s">
        <v>1056</v>
      </c>
      <c r="E1527" t="s">
        <v>390</v>
      </c>
      <c r="F1527" t="s">
        <v>391</v>
      </c>
      <c r="G1527">
        <v>6102646</v>
      </c>
      <c r="H1527">
        <v>202110</v>
      </c>
      <c r="I1527" s="400">
        <v>44496</v>
      </c>
      <c r="J1527">
        <v>122536</v>
      </c>
      <c r="K1527" t="s">
        <v>386</v>
      </c>
      <c r="M1527" t="s">
        <v>387</v>
      </c>
      <c r="O1527" t="s">
        <v>966</v>
      </c>
      <c r="P1527" t="s">
        <v>967</v>
      </c>
      <c r="Q1527" t="s">
        <v>396</v>
      </c>
      <c r="R1527">
        <v>2069126</v>
      </c>
      <c r="S1527" t="s">
        <v>387</v>
      </c>
      <c r="U1527" t="s">
        <v>2173</v>
      </c>
      <c r="V1527" t="s">
        <v>398</v>
      </c>
      <c r="W1527" s="393">
        <v>25000</v>
      </c>
      <c r="X1527" s="393">
        <v>6.63</v>
      </c>
      <c r="Y1527" s="393">
        <v>57.59</v>
      </c>
      <c r="Z1527" s="393">
        <v>25000</v>
      </c>
      <c r="AA1527">
        <v>0</v>
      </c>
      <c r="AB1527" s="400">
        <v>44502.696007407409</v>
      </c>
      <c r="AC1527" t="s">
        <v>36</v>
      </c>
    </row>
    <row r="1528" spans="1:29">
      <c r="A1528" t="s">
        <v>382</v>
      </c>
      <c r="B1528" t="s">
        <v>440</v>
      </c>
      <c r="C1528" t="s">
        <v>486</v>
      </c>
      <c r="D1528" t="s">
        <v>1056</v>
      </c>
      <c r="E1528" t="s">
        <v>390</v>
      </c>
      <c r="F1528" t="s">
        <v>391</v>
      </c>
      <c r="G1528">
        <v>6102646</v>
      </c>
      <c r="H1528">
        <v>202110</v>
      </c>
      <c r="I1528" s="400">
        <v>44496</v>
      </c>
      <c r="J1528">
        <v>122536</v>
      </c>
      <c r="K1528" t="s">
        <v>386</v>
      </c>
      <c r="M1528" t="s">
        <v>387</v>
      </c>
      <c r="O1528" t="s">
        <v>2174</v>
      </c>
      <c r="P1528" t="s">
        <v>2175</v>
      </c>
      <c r="Q1528" t="s">
        <v>396</v>
      </c>
      <c r="R1528">
        <v>2069126</v>
      </c>
      <c r="S1528" t="s">
        <v>387</v>
      </c>
      <c r="U1528" t="s">
        <v>2176</v>
      </c>
      <c r="V1528" t="s">
        <v>398</v>
      </c>
      <c r="W1528" s="393">
        <v>136000</v>
      </c>
      <c r="X1528" s="393">
        <v>36.07</v>
      </c>
      <c r="Y1528" s="393">
        <v>313.27</v>
      </c>
      <c r="Z1528" s="393">
        <v>136000</v>
      </c>
      <c r="AA1528">
        <v>0</v>
      </c>
      <c r="AB1528" s="400">
        <v>44502.696007407409</v>
      </c>
      <c r="AC1528" t="s">
        <v>36</v>
      </c>
    </row>
    <row r="1529" spans="1:29">
      <c r="A1529" t="s">
        <v>382</v>
      </c>
      <c r="B1529" t="s">
        <v>440</v>
      </c>
      <c r="C1529" t="s">
        <v>486</v>
      </c>
      <c r="D1529" t="s">
        <v>1056</v>
      </c>
      <c r="E1529" t="s">
        <v>390</v>
      </c>
      <c r="F1529" t="s">
        <v>391</v>
      </c>
      <c r="G1529">
        <v>6102646</v>
      </c>
      <c r="H1529">
        <v>202110</v>
      </c>
      <c r="I1529" s="400">
        <v>44496</v>
      </c>
      <c r="J1529">
        <v>122536</v>
      </c>
      <c r="K1529" t="s">
        <v>386</v>
      </c>
      <c r="M1529" t="s">
        <v>387</v>
      </c>
      <c r="O1529" t="s">
        <v>587</v>
      </c>
      <c r="P1529" t="s">
        <v>588</v>
      </c>
      <c r="Q1529" t="s">
        <v>396</v>
      </c>
      <c r="R1529">
        <v>2069126</v>
      </c>
      <c r="S1529" t="s">
        <v>387</v>
      </c>
      <c r="U1529" t="s">
        <v>2177</v>
      </c>
      <c r="V1529" t="s">
        <v>398</v>
      </c>
      <c r="W1529" s="393">
        <v>12000</v>
      </c>
      <c r="X1529" s="393">
        <v>3.18</v>
      </c>
      <c r="Y1529" s="393">
        <v>27.64</v>
      </c>
      <c r="Z1529" s="393">
        <v>12000</v>
      </c>
      <c r="AA1529">
        <v>0</v>
      </c>
      <c r="AB1529" s="400">
        <v>44502.696007407409</v>
      </c>
      <c r="AC1529" t="s">
        <v>36</v>
      </c>
    </row>
    <row r="1530" spans="1:29">
      <c r="A1530" t="s">
        <v>382</v>
      </c>
      <c r="B1530" t="s">
        <v>440</v>
      </c>
      <c r="C1530" t="s">
        <v>486</v>
      </c>
      <c r="D1530" t="s">
        <v>1056</v>
      </c>
      <c r="E1530" t="s">
        <v>390</v>
      </c>
      <c r="F1530" t="s">
        <v>391</v>
      </c>
      <c r="G1530">
        <v>6102646</v>
      </c>
      <c r="H1530">
        <v>202110</v>
      </c>
      <c r="I1530" s="400">
        <v>44496</v>
      </c>
      <c r="J1530">
        <v>122536</v>
      </c>
      <c r="K1530" t="s">
        <v>386</v>
      </c>
      <c r="M1530" t="s">
        <v>387</v>
      </c>
      <c r="O1530" t="s">
        <v>2178</v>
      </c>
      <c r="P1530" t="s">
        <v>2179</v>
      </c>
      <c r="Q1530" t="s">
        <v>396</v>
      </c>
      <c r="R1530">
        <v>2069126</v>
      </c>
      <c r="S1530" t="s">
        <v>387</v>
      </c>
      <c r="U1530" t="s">
        <v>2180</v>
      </c>
      <c r="V1530" t="s">
        <v>398</v>
      </c>
      <c r="W1530" s="393">
        <v>16000</v>
      </c>
      <c r="X1530" s="393">
        <v>4.24</v>
      </c>
      <c r="Y1530" s="393">
        <v>36.86</v>
      </c>
      <c r="Z1530" s="393">
        <v>16000</v>
      </c>
      <c r="AA1530">
        <v>0</v>
      </c>
      <c r="AB1530" s="400">
        <v>44502.696007407409</v>
      </c>
      <c r="AC1530" t="s">
        <v>36</v>
      </c>
    </row>
    <row r="1531" spans="1:29">
      <c r="A1531" t="s">
        <v>382</v>
      </c>
      <c r="B1531" t="s">
        <v>440</v>
      </c>
      <c r="C1531" t="s">
        <v>486</v>
      </c>
      <c r="D1531" t="s">
        <v>1056</v>
      </c>
      <c r="E1531" t="s">
        <v>390</v>
      </c>
      <c r="F1531" t="s">
        <v>391</v>
      </c>
      <c r="G1531">
        <v>6102968</v>
      </c>
      <c r="H1531">
        <v>202111</v>
      </c>
      <c r="I1531" s="400">
        <v>44529</v>
      </c>
      <c r="J1531">
        <v>122536</v>
      </c>
      <c r="K1531" t="s">
        <v>386</v>
      </c>
      <c r="M1531" t="s">
        <v>387</v>
      </c>
      <c r="O1531" t="s">
        <v>593</v>
      </c>
      <c r="P1531" t="s">
        <v>594</v>
      </c>
      <c r="Q1531" t="s">
        <v>396</v>
      </c>
      <c r="R1531">
        <v>2069126</v>
      </c>
      <c r="S1531" t="s">
        <v>387</v>
      </c>
      <c r="U1531" t="s">
        <v>2181</v>
      </c>
      <c r="V1531" t="s">
        <v>398</v>
      </c>
      <c r="W1531" s="393">
        <v>-2000</v>
      </c>
      <c r="X1531" s="393">
        <v>-0.53</v>
      </c>
      <c r="Y1531" s="393">
        <v>-4.6100000000000003</v>
      </c>
      <c r="Z1531" s="393">
        <v>-2000</v>
      </c>
      <c r="AA1531">
        <v>0</v>
      </c>
      <c r="AB1531" s="400">
        <v>44529.888869097224</v>
      </c>
      <c r="AC1531" t="s">
        <v>36</v>
      </c>
    </row>
    <row r="1532" spans="1:29">
      <c r="A1532" t="s">
        <v>382</v>
      </c>
      <c r="B1532" t="s">
        <v>440</v>
      </c>
      <c r="C1532" t="s">
        <v>486</v>
      </c>
      <c r="D1532" t="s">
        <v>1056</v>
      </c>
      <c r="E1532" t="s">
        <v>390</v>
      </c>
      <c r="F1532" t="s">
        <v>391</v>
      </c>
      <c r="G1532">
        <v>6102968</v>
      </c>
      <c r="H1532">
        <v>202111</v>
      </c>
      <c r="I1532" s="400">
        <v>44529</v>
      </c>
      <c r="J1532">
        <v>122536</v>
      </c>
      <c r="K1532" t="s">
        <v>386</v>
      </c>
      <c r="M1532" t="s">
        <v>387</v>
      </c>
      <c r="O1532" t="s">
        <v>593</v>
      </c>
      <c r="P1532" t="s">
        <v>594</v>
      </c>
      <c r="Q1532" t="s">
        <v>396</v>
      </c>
      <c r="R1532">
        <v>2069126</v>
      </c>
      <c r="S1532" t="s">
        <v>387</v>
      </c>
      <c r="U1532" t="s">
        <v>2182</v>
      </c>
      <c r="V1532" t="s">
        <v>398</v>
      </c>
      <c r="W1532" s="393">
        <v>-16600</v>
      </c>
      <c r="X1532" s="393">
        <v>-4.4000000000000004</v>
      </c>
      <c r="Y1532" s="393">
        <v>-38.24</v>
      </c>
      <c r="Z1532" s="393">
        <v>-16600</v>
      </c>
      <c r="AA1532">
        <v>0</v>
      </c>
      <c r="AB1532" s="400">
        <v>44529.888869097224</v>
      </c>
      <c r="AC1532" t="s">
        <v>36</v>
      </c>
    </row>
    <row r="1533" spans="1:29">
      <c r="A1533" t="s">
        <v>382</v>
      </c>
      <c r="B1533" t="s">
        <v>440</v>
      </c>
      <c r="C1533" t="s">
        <v>486</v>
      </c>
      <c r="D1533" t="s">
        <v>1056</v>
      </c>
      <c r="E1533" t="s">
        <v>390</v>
      </c>
      <c r="F1533" t="s">
        <v>391</v>
      </c>
      <c r="G1533">
        <v>6102968</v>
      </c>
      <c r="H1533">
        <v>202111</v>
      </c>
      <c r="I1533" s="400">
        <v>44529</v>
      </c>
      <c r="J1533">
        <v>122536</v>
      </c>
      <c r="K1533" t="s">
        <v>386</v>
      </c>
      <c r="M1533" t="s">
        <v>387</v>
      </c>
      <c r="O1533" t="s">
        <v>906</v>
      </c>
      <c r="P1533" t="s">
        <v>907</v>
      </c>
      <c r="Q1533" t="s">
        <v>396</v>
      </c>
      <c r="R1533">
        <v>2069126</v>
      </c>
      <c r="S1533" t="s">
        <v>387</v>
      </c>
      <c r="U1533" t="s">
        <v>2183</v>
      </c>
      <c r="V1533" t="s">
        <v>398</v>
      </c>
      <c r="W1533" s="393">
        <v>-36000</v>
      </c>
      <c r="X1533" s="393">
        <v>-9.5500000000000007</v>
      </c>
      <c r="Y1533" s="393">
        <v>-82.93</v>
      </c>
      <c r="Z1533" s="393">
        <v>-36000</v>
      </c>
      <c r="AA1533">
        <v>0</v>
      </c>
      <c r="AB1533" s="400">
        <v>44529.888869097224</v>
      </c>
      <c r="AC1533" t="s">
        <v>36</v>
      </c>
    </row>
    <row r="1534" spans="1:29">
      <c r="A1534" t="s">
        <v>382</v>
      </c>
      <c r="B1534" t="s">
        <v>440</v>
      </c>
      <c r="C1534" t="s">
        <v>486</v>
      </c>
      <c r="D1534" t="s">
        <v>1056</v>
      </c>
      <c r="E1534" t="s">
        <v>390</v>
      </c>
      <c r="F1534" t="s">
        <v>391</v>
      </c>
      <c r="G1534">
        <v>6102968</v>
      </c>
      <c r="H1534">
        <v>202111</v>
      </c>
      <c r="I1534" s="400">
        <v>44529</v>
      </c>
      <c r="J1534">
        <v>122536</v>
      </c>
      <c r="K1534" t="s">
        <v>386</v>
      </c>
      <c r="M1534" t="s">
        <v>387</v>
      </c>
      <c r="O1534" t="s">
        <v>2143</v>
      </c>
      <c r="P1534" t="s">
        <v>2144</v>
      </c>
      <c r="Q1534" t="s">
        <v>396</v>
      </c>
      <c r="R1534">
        <v>2069126</v>
      </c>
      <c r="S1534" t="s">
        <v>387</v>
      </c>
      <c r="U1534" t="s">
        <v>2184</v>
      </c>
      <c r="V1534" t="s">
        <v>398</v>
      </c>
      <c r="W1534" s="393">
        <v>-15600</v>
      </c>
      <c r="X1534" s="393">
        <v>-4.1399999999999997</v>
      </c>
      <c r="Y1534" s="393">
        <v>-35.93</v>
      </c>
      <c r="Z1534" s="393">
        <v>-15600</v>
      </c>
      <c r="AA1534">
        <v>0</v>
      </c>
      <c r="AB1534" s="400">
        <v>44529.888869097224</v>
      </c>
      <c r="AC1534" t="s">
        <v>36</v>
      </c>
    </row>
    <row r="1535" spans="1:29">
      <c r="A1535" t="s">
        <v>382</v>
      </c>
      <c r="B1535" t="s">
        <v>440</v>
      </c>
      <c r="C1535" t="s">
        <v>486</v>
      </c>
      <c r="D1535" t="s">
        <v>1056</v>
      </c>
      <c r="E1535" t="s">
        <v>390</v>
      </c>
      <c r="F1535" t="s">
        <v>391</v>
      </c>
      <c r="G1535">
        <v>6102968</v>
      </c>
      <c r="H1535">
        <v>202111</v>
      </c>
      <c r="I1535" s="400">
        <v>44529</v>
      </c>
      <c r="J1535">
        <v>122536</v>
      </c>
      <c r="K1535" t="s">
        <v>386</v>
      </c>
      <c r="M1535" t="s">
        <v>387</v>
      </c>
      <c r="O1535" t="s">
        <v>2178</v>
      </c>
      <c r="P1535" t="s">
        <v>2179</v>
      </c>
      <c r="Q1535" t="s">
        <v>396</v>
      </c>
      <c r="R1535">
        <v>2069126</v>
      </c>
      <c r="S1535" t="s">
        <v>387</v>
      </c>
      <c r="U1535" t="s">
        <v>2185</v>
      </c>
      <c r="V1535" t="s">
        <v>398</v>
      </c>
      <c r="W1535" s="393">
        <v>-16000</v>
      </c>
      <c r="X1535" s="393">
        <v>-4.24</v>
      </c>
      <c r="Y1535" s="393">
        <v>-36.86</v>
      </c>
      <c r="Z1535" s="393">
        <v>-16000</v>
      </c>
      <c r="AA1535">
        <v>0</v>
      </c>
      <c r="AB1535" s="400">
        <v>44529.888869097224</v>
      </c>
      <c r="AC1535" t="s">
        <v>36</v>
      </c>
    </row>
    <row r="1536" spans="1:29">
      <c r="A1536" t="s">
        <v>382</v>
      </c>
      <c r="B1536" t="s">
        <v>440</v>
      </c>
      <c r="C1536" t="s">
        <v>486</v>
      </c>
      <c r="D1536" t="s">
        <v>1056</v>
      </c>
      <c r="E1536" t="s">
        <v>390</v>
      </c>
      <c r="F1536" t="s">
        <v>391</v>
      </c>
      <c r="G1536">
        <v>6102968</v>
      </c>
      <c r="H1536">
        <v>202111</v>
      </c>
      <c r="I1536" s="400">
        <v>44529</v>
      </c>
      <c r="J1536">
        <v>122536</v>
      </c>
      <c r="K1536" t="s">
        <v>386</v>
      </c>
      <c r="M1536" t="s">
        <v>387</v>
      </c>
      <c r="O1536" t="s">
        <v>2070</v>
      </c>
      <c r="P1536" t="s">
        <v>2071</v>
      </c>
      <c r="Q1536" t="s">
        <v>396</v>
      </c>
      <c r="R1536">
        <v>2069126</v>
      </c>
      <c r="S1536" t="s">
        <v>387</v>
      </c>
      <c r="U1536" t="s">
        <v>2186</v>
      </c>
      <c r="V1536" t="s">
        <v>398</v>
      </c>
      <c r="W1536" s="393">
        <v>-31500</v>
      </c>
      <c r="X1536" s="393">
        <v>-8.35</v>
      </c>
      <c r="Y1536" s="393">
        <v>-72.56</v>
      </c>
      <c r="Z1536" s="393">
        <v>-31500</v>
      </c>
      <c r="AA1536">
        <v>0</v>
      </c>
      <c r="AB1536" s="400">
        <v>44529.888869097224</v>
      </c>
      <c r="AC1536" t="s">
        <v>36</v>
      </c>
    </row>
    <row r="1537" spans="1:29">
      <c r="A1537" t="s">
        <v>382</v>
      </c>
      <c r="B1537" t="s">
        <v>440</v>
      </c>
      <c r="C1537" t="s">
        <v>486</v>
      </c>
      <c r="D1537" t="s">
        <v>1056</v>
      </c>
      <c r="E1537" t="s">
        <v>390</v>
      </c>
      <c r="F1537" t="s">
        <v>391</v>
      </c>
      <c r="G1537">
        <v>6102968</v>
      </c>
      <c r="H1537">
        <v>202111</v>
      </c>
      <c r="I1537" s="400">
        <v>44529</v>
      </c>
      <c r="J1537">
        <v>122536</v>
      </c>
      <c r="K1537" t="s">
        <v>386</v>
      </c>
      <c r="M1537" t="s">
        <v>387</v>
      </c>
      <c r="O1537" t="s">
        <v>2079</v>
      </c>
      <c r="P1537" t="s">
        <v>2080</v>
      </c>
      <c r="Q1537" t="s">
        <v>396</v>
      </c>
      <c r="R1537">
        <v>2069126</v>
      </c>
      <c r="S1537" t="s">
        <v>387</v>
      </c>
      <c r="U1537" t="s">
        <v>2187</v>
      </c>
      <c r="V1537" t="s">
        <v>398</v>
      </c>
      <c r="W1537" s="393">
        <v>-13100</v>
      </c>
      <c r="X1537" s="393">
        <v>-3.47</v>
      </c>
      <c r="Y1537" s="393">
        <v>-30.18</v>
      </c>
      <c r="Z1537" s="393">
        <v>-13100</v>
      </c>
      <c r="AA1537">
        <v>0</v>
      </c>
      <c r="AB1537" s="400">
        <v>44529.888869097224</v>
      </c>
      <c r="AC1537" t="s">
        <v>36</v>
      </c>
    </row>
    <row r="1538" spans="1:29">
      <c r="A1538" t="s">
        <v>382</v>
      </c>
      <c r="B1538" t="s">
        <v>440</v>
      </c>
      <c r="C1538" t="s">
        <v>486</v>
      </c>
      <c r="D1538" t="s">
        <v>1056</v>
      </c>
      <c r="E1538" t="s">
        <v>390</v>
      </c>
      <c r="F1538" t="s">
        <v>391</v>
      </c>
      <c r="G1538">
        <v>6102968</v>
      </c>
      <c r="H1538">
        <v>202111</v>
      </c>
      <c r="I1538" s="400">
        <v>44529</v>
      </c>
      <c r="J1538">
        <v>122536</v>
      </c>
      <c r="K1538" t="s">
        <v>386</v>
      </c>
      <c r="M1538" t="s">
        <v>387</v>
      </c>
      <c r="O1538" t="s">
        <v>2070</v>
      </c>
      <c r="P1538" t="s">
        <v>2071</v>
      </c>
      <c r="Q1538" t="s">
        <v>396</v>
      </c>
      <c r="R1538">
        <v>2069126</v>
      </c>
      <c r="S1538" t="s">
        <v>387</v>
      </c>
      <c r="U1538" t="s">
        <v>2188</v>
      </c>
      <c r="V1538" t="s">
        <v>398</v>
      </c>
      <c r="W1538" s="393">
        <v>-31500</v>
      </c>
      <c r="X1538" s="393">
        <v>-8.35</v>
      </c>
      <c r="Y1538" s="393">
        <v>-72.56</v>
      </c>
      <c r="Z1538" s="393">
        <v>-31500</v>
      </c>
      <c r="AA1538">
        <v>0</v>
      </c>
      <c r="AB1538" s="400">
        <v>44529.888869097224</v>
      </c>
      <c r="AC1538" t="s">
        <v>36</v>
      </c>
    </row>
    <row r="1539" spans="1:29">
      <c r="A1539" t="s">
        <v>382</v>
      </c>
      <c r="B1539" t="s">
        <v>440</v>
      </c>
      <c r="C1539" t="s">
        <v>486</v>
      </c>
      <c r="D1539" t="s">
        <v>1056</v>
      </c>
      <c r="E1539" t="s">
        <v>390</v>
      </c>
      <c r="F1539" t="s">
        <v>391</v>
      </c>
      <c r="G1539">
        <v>6102968</v>
      </c>
      <c r="H1539">
        <v>202111</v>
      </c>
      <c r="I1539" s="400">
        <v>44529</v>
      </c>
      <c r="J1539">
        <v>122536</v>
      </c>
      <c r="K1539" t="s">
        <v>386</v>
      </c>
      <c r="M1539" t="s">
        <v>387</v>
      </c>
      <c r="O1539" t="s">
        <v>593</v>
      </c>
      <c r="P1539" t="s">
        <v>594</v>
      </c>
      <c r="Q1539" t="s">
        <v>396</v>
      </c>
      <c r="R1539">
        <v>2069126</v>
      </c>
      <c r="S1539" t="s">
        <v>387</v>
      </c>
      <c r="U1539" t="s">
        <v>2189</v>
      </c>
      <c r="V1539" t="s">
        <v>398</v>
      </c>
      <c r="W1539" s="393">
        <v>-12000</v>
      </c>
      <c r="X1539" s="393">
        <v>-3.18</v>
      </c>
      <c r="Y1539" s="393">
        <v>-27.64</v>
      </c>
      <c r="Z1539" s="393">
        <v>-12000</v>
      </c>
      <c r="AA1539">
        <v>0</v>
      </c>
      <c r="AB1539" s="400">
        <v>44529.888869097224</v>
      </c>
      <c r="AC1539" t="s">
        <v>36</v>
      </c>
    </row>
    <row r="1540" spans="1:29">
      <c r="A1540" t="s">
        <v>382</v>
      </c>
      <c r="B1540" t="s">
        <v>440</v>
      </c>
      <c r="C1540" t="s">
        <v>486</v>
      </c>
      <c r="D1540" t="s">
        <v>1056</v>
      </c>
      <c r="E1540" t="s">
        <v>390</v>
      </c>
      <c r="F1540" t="s">
        <v>391</v>
      </c>
      <c r="G1540">
        <v>6102968</v>
      </c>
      <c r="H1540">
        <v>202111</v>
      </c>
      <c r="I1540" s="400">
        <v>44529</v>
      </c>
      <c r="J1540">
        <v>122536</v>
      </c>
      <c r="K1540" t="s">
        <v>386</v>
      </c>
      <c r="M1540" t="s">
        <v>387</v>
      </c>
      <c r="O1540" t="s">
        <v>2166</v>
      </c>
      <c r="P1540" t="s">
        <v>2167</v>
      </c>
      <c r="Q1540" t="s">
        <v>396</v>
      </c>
      <c r="R1540">
        <v>2069126</v>
      </c>
      <c r="S1540" t="s">
        <v>387</v>
      </c>
      <c r="U1540" t="s">
        <v>2190</v>
      </c>
      <c r="V1540" t="s">
        <v>398</v>
      </c>
      <c r="W1540" s="393">
        <v>-30000</v>
      </c>
      <c r="X1540" s="393">
        <v>-7.96</v>
      </c>
      <c r="Y1540" s="393">
        <v>-69.099999999999994</v>
      </c>
      <c r="Z1540" s="393">
        <v>-30000</v>
      </c>
      <c r="AA1540">
        <v>0</v>
      </c>
      <c r="AB1540" s="400">
        <v>44529.888869097224</v>
      </c>
      <c r="AC1540" t="s">
        <v>36</v>
      </c>
    </row>
    <row r="1541" spans="1:29">
      <c r="A1541" t="s">
        <v>382</v>
      </c>
      <c r="B1541" t="s">
        <v>440</v>
      </c>
      <c r="C1541" t="s">
        <v>486</v>
      </c>
      <c r="D1541" t="s">
        <v>1056</v>
      </c>
      <c r="E1541" t="s">
        <v>390</v>
      </c>
      <c r="F1541" t="s">
        <v>391</v>
      </c>
      <c r="G1541">
        <v>6102968</v>
      </c>
      <c r="H1541">
        <v>202111</v>
      </c>
      <c r="I1541" s="400">
        <v>44529</v>
      </c>
      <c r="J1541">
        <v>122536</v>
      </c>
      <c r="K1541" t="s">
        <v>386</v>
      </c>
      <c r="M1541" t="s">
        <v>387</v>
      </c>
      <c r="O1541" t="s">
        <v>2169</v>
      </c>
      <c r="P1541" t="s">
        <v>2170</v>
      </c>
      <c r="Q1541" t="s">
        <v>396</v>
      </c>
      <c r="R1541">
        <v>2069126</v>
      </c>
      <c r="S1541" t="s">
        <v>387</v>
      </c>
      <c r="U1541" t="s">
        <v>2191</v>
      </c>
      <c r="V1541" t="s">
        <v>398</v>
      </c>
      <c r="W1541" s="393">
        <v>-14500</v>
      </c>
      <c r="X1541" s="393">
        <v>-3.85</v>
      </c>
      <c r="Y1541" s="393">
        <v>-33.4</v>
      </c>
      <c r="Z1541" s="393">
        <v>-14500</v>
      </c>
      <c r="AA1541">
        <v>0</v>
      </c>
      <c r="AB1541" s="400">
        <v>44529.888869097224</v>
      </c>
      <c r="AC1541" t="s">
        <v>36</v>
      </c>
    </row>
    <row r="1542" spans="1:29">
      <c r="A1542" t="s">
        <v>382</v>
      </c>
      <c r="B1542" t="s">
        <v>440</v>
      </c>
      <c r="C1542" t="s">
        <v>486</v>
      </c>
      <c r="D1542" t="s">
        <v>1056</v>
      </c>
      <c r="E1542" t="s">
        <v>390</v>
      </c>
      <c r="F1542" t="s">
        <v>391</v>
      </c>
      <c r="G1542">
        <v>6102968</v>
      </c>
      <c r="H1542">
        <v>202111</v>
      </c>
      <c r="I1542" s="400">
        <v>44529</v>
      </c>
      <c r="J1542">
        <v>122536</v>
      </c>
      <c r="K1542" t="s">
        <v>386</v>
      </c>
      <c r="M1542" t="s">
        <v>387</v>
      </c>
      <c r="O1542" t="s">
        <v>997</v>
      </c>
      <c r="P1542" t="s">
        <v>998</v>
      </c>
      <c r="Q1542" t="s">
        <v>396</v>
      </c>
      <c r="R1542">
        <v>2069126</v>
      </c>
      <c r="S1542" t="s">
        <v>387</v>
      </c>
      <c r="U1542" t="s">
        <v>2192</v>
      </c>
      <c r="V1542" t="s">
        <v>398</v>
      </c>
      <c r="W1542" s="393">
        <v>-35000</v>
      </c>
      <c r="X1542" s="393">
        <v>-9.2799999999999994</v>
      </c>
      <c r="Y1542" s="393">
        <v>-80.62</v>
      </c>
      <c r="Z1542" s="393">
        <v>-35000</v>
      </c>
      <c r="AA1542">
        <v>0</v>
      </c>
      <c r="AB1542" s="400">
        <v>44529.888869097224</v>
      </c>
      <c r="AC1542" t="s">
        <v>36</v>
      </c>
    </row>
    <row r="1543" spans="1:29">
      <c r="A1543" t="s">
        <v>382</v>
      </c>
      <c r="B1543" t="s">
        <v>440</v>
      </c>
      <c r="C1543" t="s">
        <v>486</v>
      </c>
      <c r="D1543" t="s">
        <v>1056</v>
      </c>
      <c r="E1543" t="s">
        <v>390</v>
      </c>
      <c r="F1543" t="s">
        <v>391</v>
      </c>
      <c r="G1543">
        <v>6102968</v>
      </c>
      <c r="H1543">
        <v>202111</v>
      </c>
      <c r="I1543" s="400">
        <v>44529</v>
      </c>
      <c r="J1543">
        <v>122536</v>
      </c>
      <c r="K1543" t="s">
        <v>386</v>
      </c>
      <c r="M1543" t="s">
        <v>387</v>
      </c>
      <c r="O1543" t="s">
        <v>966</v>
      </c>
      <c r="P1543" t="s">
        <v>967</v>
      </c>
      <c r="Q1543" t="s">
        <v>396</v>
      </c>
      <c r="R1543">
        <v>2069126</v>
      </c>
      <c r="S1543" t="s">
        <v>387</v>
      </c>
      <c r="U1543" t="s">
        <v>2193</v>
      </c>
      <c r="V1543" t="s">
        <v>398</v>
      </c>
      <c r="W1543" s="393">
        <v>-25000</v>
      </c>
      <c r="X1543" s="393">
        <v>-6.63</v>
      </c>
      <c r="Y1543" s="393">
        <v>-57.59</v>
      </c>
      <c r="Z1543" s="393">
        <v>-25000</v>
      </c>
      <c r="AA1543">
        <v>0</v>
      </c>
      <c r="AB1543" s="400">
        <v>44529.888869097224</v>
      </c>
      <c r="AC1543" t="s">
        <v>36</v>
      </c>
    </row>
    <row r="1544" spans="1:29">
      <c r="A1544" t="s">
        <v>382</v>
      </c>
      <c r="B1544" t="s">
        <v>440</v>
      </c>
      <c r="C1544" t="s">
        <v>486</v>
      </c>
      <c r="D1544" t="s">
        <v>1056</v>
      </c>
      <c r="E1544" t="s">
        <v>390</v>
      </c>
      <c r="F1544" t="s">
        <v>391</v>
      </c>
      <c r="G1544">
        <v>6102968</v>
      </c>
      <c r="H1544">
        <v>202111</v>
      </c>
      <c r="I1544" s="400">
        <v>44529</v>
      </c>
      <c r="J1544">
        <v>122536</v>
      </c>
      <c r="K1544" t="s">
        <v>386</v>
      </c>
      <c r="M1544" t="s">
        <v>387</v>
      </c>
      <c r="O1544" t="s">
        <v>2174</v>
      </c>
      <c r="P1544" t="s">
        <v>2175</v>
      </c>
      <c r="Q1544" t="s">
        <v>396</v>
      </c>
      <c r="R1544">
        <v>2069126</v>
      </c>
      <c r="S1544" t="s">
        <v>387</v>
      </c>
      <c r="U1544" t="s">
        <v>2194</v>
      </c>
      <c r="V1544" t="s">
        <v>398</v>
      </c>
      <c r="W1544" s="393">
        <v>-136000</v>
      </c>
      <c r="X1544" s="393">
        <v>-36.07</v>
      </c>
      <c r="Y1544" s="393">
        <v>-313.27</v>
      </c>
      <c r="Z1544" s="393">
        <v>-136000</v>
      </c>
      <c r="AA1544">
        <v>0</v>
      </c>
      <c r="AB1544" s="400">
        <v>44529.888869097224</v>
      </c>
      <c r="AC1544" t="s">
        <v>36</v>
      </c>
    </row>
    <row r="1545" spans="1:29">
      <c r="A1545" t="s">
        <v>382</v>
      </c>
      <c r="B1545" t="s">
        <v>440</v>
      </c>
      <c r="C1545" t="s">
        <v>486</v>
      </c>
      <c r="D1545" t="s">
        <v>1056</v>
      </c>
      <c r="E1545" t="s">
        <v>390</v>
      </c>
      <c r="F1545" t="s">
        <v>391</v>
      </c>
      <c r="G1545">
        <v>6102968</v>
      </c>
      <c r="H1545">
        <v>202111</v>
      </c>
      <c r="I1545" s="400">
        <v>44529</v>
      </c>
      <c r="J1545">
        <v>122536</v>
      </c>
      <c r="K1545" t="s">
        <v>386</v>
      </c>
      <c r="M1545" t="s">
        <v>387</v>
      </c>
      <c r="O1545" t="s">
        <v>587</v>
      </c>
      <c r="P1545" t="s">
        <v>588</v>
      </c>
      <c r="Q1545" t="s">
        <v>396</v>
      </c>
      <c r="R1545">
        <v>2069126</v>
      </c>
      <c r="S1545" t="s">
        <v>387</v>
      </c>
      <c r="U1545" t="s">
        <v>2195</v>
      </c>
      <c r="V1545" t="s">
        <v>398</v>
      </c>
      <c r="W1545" s="393">
        <v>-12000</v>
      </c>
      <c r="X1545" s="393">
        <v>-3.18</v>
      </c>
      <c r="Y1545" s="393">
        <v>-27.64</v>
      </c>
      <c r="Z1545" s="393">
        <v>-12000</v>
      </c>
      <c r="AA1545">
        <v>0</v>
      </c>
      <c r="AB1545" s="400">
        <v>44529.888869097224</v>
      </c>
      <c r="AC1545" t="s">
        <v>36</v>
      </c>
    </row>
    <row r="1546" spans="1:29">
      <c r="A1546" t="s">
        <v>382</v>
      </c>
      <c r="B1546" t="s">
        <v>440</v>
      </c>
      <c r="C1546" t="s">
        <v>486</v>
      </c>
      <c r="D1546" t="s">
        <v>1056</v>
      </c>
      <c r="E1546" t="s">
        <v>390</v>
      </c>
      <c r="F1546" t="s">
        <v>391</v>
      </c>
      <c r="G1546">
        <v>6102743</v>
      </c>
      <c r="H1546">
        <v>202111</v>
      </c>
      <c r="I1546" s="400">
        <v>44509</v>
      </c>
      <c r="J1546">
        <v>122536</v>
      </c>
      <c r="K1546" t="s">
        <v>386</v>
      </c>
      <c r="M1546" t="s">
        <v>387</v>
      </c>
      <c r="O1546" t="s">
        <v>557</v>
      </c>
      <c r="P1546" t="s">
        <v>558</v>
      </c>
      <c r="Q1546" t="s">
        <v>396</v>
      </c>
      <c r="R1546">
        <v>2069127</v>
      </c>
      <c r="S1546" t="s">
        <v>387</v>
      </c>
      <c r="U1546" t="s">
        <v>2196</v>
      </c>
      <c r="V1546" t="s">
        <v>398</v>
      </c>
      <c r="W1546" s="393">
        <v>2480000</v>
      </c>
      <c r="X1546" s="393">
        <v>646.19000000000005</v>
      </c>
      <c r="Y1546" s="393">
        <v>5500.42</v>
      </c>
      <c r="Z1546" s="393">
        <v>2480000</v>
      </c>
      <c r="AA1546">
        <v>318</v>
      </c>
      <c r="AB1546" s="400">
        <v>44518.896630520831</v>
      </c>
      <c r="AC1546" t="s">
        <v>36</v>
      </c>
    </row>
    <row r="1547" spans="1:29">
      <c r="A1547" t="s">
        <v>382</v>
      </c>
      <c r="B1547" t="s">
        <v>440</v>
      </c>
      <c r="C1547" t="s">
        <v>486</v>
      </c>
      <c r="D1547" t="s">
        <v>1056</v>
      </c>
      <c r="E1547" t="s">
        <v>390</v>
      </c>
      <c r="F1547" t="s">
        <v>391</v>
      </c>
      <c r="G1547">
        <v>6102743</v>
      </c>
      <c r="H1547">
        <v>202111</v>
      </c>
      <c r="I1547" s="400">
        <v>44509</v>
      </c>
      <c r="J1547">
        <v>122536</v>
      </c>
      <c r="K1547" t="s">
        <v>386</v>
      </c>
      <c r="M1547" t="s">
        <v>387</v>
      </c>
      <c r="O1547" t="s">
        <v>557</v>
      </c>
      <c r="P1547" t="s">
        <v>558</v>
      </c>
      <c r="Q1547" t="s">
        <v>396</v>
      </c>
      <c r="R1547">
        <v>2069126</v>
      </c>
      <c r="S1547" t="s">
        <v>387</v>
      </c>
      <c r="U1547" t="s">
        <v>2197</v>
      </c>
      <c r="V1547" t="s">
        <v>398</v>
      </c>
      <c r="W1547" s="393">
        <v>6500000</v>
      </c>
      <c r="X1547" s="393">
        <v>1693.64</v>
      </c>
      <c r="Y1547" s="393">
        <v>14416.42</v>
      </c>
      <c r="Z1547" s="393">
        <v>6500000</v>
      </c>
      <c r="AA1547">
        <v>318</v>
      </c>
      <c r="AB1547" s="400">
        <v>44518.896630520831</v>
      </c>
      <c r="AC1547" t="s">
        <v>36</v>
      </c>
    </row>
    <row r="1548" spans="1:29">
      <c r="A1548" t="s">
        <v>382</v>
      </c>
      <c r="B1548" t="s">
        <v>440</v>
      </c>
      <c r="C1548" t="s">
        <v>486</v>
      </c>
      <c r="D1548" t="s">
        <v>1056</v>
      </c>
      <c r="E1548" t="s">
        <v>390</v>
      </c>
      <c r="F1548" t="s">
        <v>391</v>
      </c>
      <c r="G1548">
        <v>6102743</v>
      </c>
      <c r="H1548">
        <v>202111</v>
      </c>
      <c r="I1548" s="400">
        <v>44509</v>
      </c>
      <c r="J1548">
        <v>122536</v>
      </c>
      <c r="K1548" t="s">
        <v>386</v>
      </c>
      <c r="M1548" t="s">
        <v>387</v>
      </c>
      <c r="O1548" t="s">
        <v>565</v>
      </c>
      <c r="P1548" t="s">
        <v>566</v>
      </c>
      <c r="Q1548" t="s">
        <v>396</v>
      </c>
      <c r="R1548">
        <v>2069126</v>
      </c>
      <c r="S1548" t="s">
        <v>387</v>
      </c>
      <c r="U1548" t="s">
        <v>2198</v>
      </c>
      <c r="V1548" t="s">
        <v>398</v>
      </c>
      <c r="W1548" s="393">
        <v>6500000</v>
      </c>
      <c r="X1548" s="393">
        <v>1693.64</v>
      </c>
      <c r="Y1548" s="393">
        <v>14416.42</v>
      </c>
      <c r="Z1548" s="393">
        <v>6500000</v>
      </c>
      <c r="AA1548">
        <v>318</v>
      </c>
      <c r="AB1548" s="400">
        <v>44518.896630902775</v>
      </c>
      <c r="AC1548" t="s">
        <v>36</v>
      </c>
    </row>
    <row r="1549" spans="1:29">
      <c r="A1549" t="s">
        <v>382</v>
      </c>
      <c r="B1549" t="s">
        <v>440</v>
      </c>
      <c r="C1549" t="s">
        <v>486</v>
      </c>
      <c r="D1549" t="s">
        <v>1056</v>
      </c>
      <c r="E1549" t="s">
        <v>390</v>
      </c>
      <c r="F1549" t="s">
        <v>391</v>
      </c>
      <c r="G1549">
        <v>6102909</v>
      </c>
      <c r="H1549">
        <v>202111</v>
      </c>
      <c r="I1549" s="400">
        <v>44520</v>
      </c>
      <c r="J1549" t="s">
        <v>1016</v>
      </c>
      <c r="K1549" t="s">
        <v>386</v>
      </c>
      <c r="M1549" t="s">
        <v>387</v>
      </c>
      <c r="O1549" t="s">
        <v>1311</v>
      </c>
      <c r="P1549" t="s">
        <v>1312</v>
      </c>
      <c r="Q1549" t="s">
        <v>450</v>
      </c>
      <c r="R1549">
        <v>2069102</v>
      </c>
      <c r="S1549" t="s">
        <v>387</v>
      </c>
      <c r="U1549" t="s">
        <v>2199</v>
      </c>
      <c r="V1549" t="s">
        <v>398</v>
      </c>
      <c r="W1549" s="393">
        <v>-361473</v>
      </c>
      <c r="X1549" s="393">
        <v>-92.5</v>
      </c>
      <c r="Y1549" s="393">
        <v>-793.19</v>
      </c>
      <c r="Z1549" s="393">
        <v>-361473</v>
      </c>
      <c r="AA1549">
        <v>0</v>
      </c>
      <c r="AB1549" s="400">
        <v>44524.172015972224</v>
      </c>
      <c r="AC1549" t="s">
        <v>324</v>
      </c>
    </row>
    <row r="1550" spans="1:29">
      <c r="A1550" t="s">
        <v>382</v>
      </c>
      <c r="B1550" t="s">
        <v>440</v>
      </c>
      <c r="C1550" t="s">
        <v>486</v>
      </c>
      <c r="D1550" t="s">
        <v>1056</v>
      </c>
      <c r="E1550" t="s">
        <v>390</v>
      </c>
      <c r="F1550" t="s">
        <v>391</v>
      </c>
      <c r="G1550">
        <v>6102909</v>
      </c>
      <c r="H1550">
        <v>202111</v>
      </c>
      <c r="I1550" s="400">
        <v>44520</v>
      </c>
      <c r="J1550" t="s">
        <v>1016</v>
      </c>
      <c r="K1550" t="s">
        <v>386</v>
      </c>
      <c r="M1550" t="s">
        <v>387</v>
      </c>
      <c r="O1550" t="s">
        <v>2200</v>
      </c>
      <c r="P1550" t="s">
        <v>2201</v>
      </c>
      <c r="Q1550" t="s">
        <v>450</v>
      </c>
      <c r="R1550">
        <v>2069102</v>
      </c>
      <c r="S1550" t="s">
        <v>387</v>
      </c>
      <c r="U1550" t="s">
        <v>2202</v>
      </c>
      <c r="V1550" t="s">
        <v>398</v>
      </c>
      <c r="W1550" s="393">
        <v>-35905</v>
      </c>
      <c r="X1550" s="393">
        <v>-9.19</v>
      </c>
      <c r="Y1550" s="393">
        <v>-78.790000000000006</v>
      </c>
      <c r="Z1550" s="393">
        <v>-35905</v>
      </c>
      <c r="AA1550">
        <v>0</v>
      </c>
      <c r="AB1550" s="400">
        <v>44524.172016516204</v>
      </c>
      <c r="AC1550" t="s">
        <v>324</v>
      </c>
    </row>
    <row r="1551" spans="1:29">
      <c r="A1551" t="s">
        <v>382</v>
      </c>
      <c r="B1551" t="s">
        <v>440</v>
      </c>
      <c r="C1551" t="s">
        <v>486</v>
      </c>
      <c r="D1551" t="s">
        <v>1056</v>
      </c>
      <c r="E1551" t="s">
        <v>390</v>
      </c>
      <c r="F1551" t="s">
        <v>391</v>
      </c>
      <c r="G1551">
        <v>6102863</v>
      </c>
      <c r="H1551">
        <v>202111</v>
      </c>
      <c r="I1551" s="400">
        <v>44519</v>
      </c>
      <c r="J1551">
        <v>122536</v>
      </c>
      <c r="K1551" t="s">
        <v>386</v>
      </c>
      <c r="M1551" t="s">
        <v>387</v>
      </c>
      <c r="O1551" t="s">
        <v>557</v>
      </c>
      <c r="P1551" t="s">
        <v>558</v>
      </c>
      <c r="Q1551" t="s">
        <v>396</v>
      </c>
      <c r="R1551">
        <v>2069126</v>
      </c>
      <c r="S1551" t="s">
        <v>387</v>
      </c>
      <c r="U1551" t="s">
        <v>2203</v>
      </c>
      <c r="V1551" t="s">
        <v>398</v>
      </c>
      <c r="W1551" s="393">
        <v>6500000</v>
      </c>
      <c r="X1551" s="393">
        <v>1663.29</v>
      </c>
      <c r="Y1551" s="393">
        <v>14263.15</v>
      </c>
      <c r="Z1551" s="393">
        <v>6500000</v>
      </c>
      <c r="AA1551">
        <v>315</v>
      </c>
      <c r="AB1551" s="400">
        <v>44521.726549074076</v>
      </c>
      <c r="AC1551" t="s">
        <v>36</v>
      </c>
    </row>
    <row r="1552" spans="1:29">
      <c r="A1552" t="s">
        <v>382</v>
      </c>
      <c r="B1552" t="s">
        <v>440</v>
      </c>
      <c r="C1552" t="s">
        <v>486</v>
      </c>
      <c r="D1552" t="s">
        <v>1056</v>
      </c>
      <c r="E1552" t="s">
        <v>390</v>
      </c>
      <c r="F1552" t="s">
        <v>391</v>
      </c>
      <c r="G1552">
        <v>6102984</v>
      </c>
      <c r="H1552">
        <v>202111</v>
      </c>
      <c r="I1552" s="400">
        <v>44526</v>
      </c>
      <c r="J1552">
        <v>122536</v>
      </c>
      <c r="K1552" t="s">
        <v>386</v>
      </c>
      <c r="M1552" t="s">
        <v>387</v>
      </c>
      <c r="O1552" t="s">
        <v>557</v>
      </c>
      <c r="P1552" t="s">
        <v>558</v>
      </c>
      <c r="Q1552" t="s">
        <v>396</v>
      </c>
      <c r="R1552">
        <v>2069128</v>
      </c>
      <c r="S1552" t="s">
        <v>387</v>
      </c>
      <c r="U1552" t="s">
        <v>2204</v>
      </c>
      <c r="V1552" t="s">
        <v>398</v>
      </c>
      <c r="W1552" s="393">
        <v>3000000</v>
      </c>
      <c r="X1552" s="393">
        <v>755.76</v>
      </c>
      <c r="Y1552" s="393">
        <v>6534.99</v>
      </c>
      <c r="Z1552" s="393">
        <v>3000000</v>
      </c>
      <c r="AA1552">
        <v>318</v>
      </c>
      <c r="AB1552" s="400">
        <v>44530.757913969908</v>
      </c>
      <c r="AC1552" t="s">
        <v>40</v>
      </c>
    </row>
    <row r="1553" spans="1:29">
      <c r="A1553" t="s">
        <v>382</v>
      </c>
      <c r="B1553" t="s">
        <v>440</v>
      </c>
      <c r="C1553" t="s">
        <v>486</v>
      </c>
      <c r="D1553" t="s">
        <v>1056</v>
      </c>
      <c r="E1553" t="s">
        <v>390</v>
      </c>
      <c r="F1553" t="s">
        <v>391</v>
      </c>
      <c r="G1553">
        <v>6102984</v>
      </c>
      <c r="H1553">
        <v>202111</v>
      </c>
      <c r="I1553" s="400">
        <v>44526</v>
      </c>
      <c r="J1553">
        <v>122536</v>
      </c>
      <c r="K1553" t="s">
        <v>386</v>
      </c>
      <c r="M1553" t="s">
        <v>387</v>
      </c>
      <c r="O1553" t="s">
        <v>557</v>
      </c>
      <c r="P1553" t="s">
        <v>558</v>
      </c>
      <c r="Q1553" t="s">
        <v>396</v>
      </c>
      <c r="R1553">
        <v>2069128</v>
      </c>
      <c r="S1553" t="s">
        <v>387</v>
      </c>
      <c r="U1553" t="s">
        <v>2205</v>
      </c>
      <c r="V1553" t="s">
        <v>398</v>
      </c>
      <c r="W1553" s="393">
        <v>3000000</v>
      </c>
      <c r="X1553" s="393">
        <v>755.76</v>
      </c>
      <c r="Y1553" s="393">
        <v>6534.99</v>
      </c>
      <c r="Z1553" s="393">
        <v>3000000</v>
      </c>
      <c r="AA1553">
        <v>318</v>
      </c>
      <c r="AB1553" s="400">
        <v>44530.757913773145</v>
      </c>
      <c r="AC1553" t="s">
        <v>40</v>
      </c>
    </row>
    <row r="1554" spans="1:29">
      <c r="A1554" t="s">
        <v>382</v>
      </c>
      <c r="B1554" t="s">
        <v>440</v>
      </c>
      <c r="C1554" t="s">
        <v>486</v>
      </c>
      <c r="D1554" t="s">
        <v>1056</v>
      </c>
      <c r="E1554" t="s">
        <v>390</v>
      </c>
      <c r="F1554" t="s">
        <v>391</v>
      </c>
      <c r="G1554">
        <v>6102968</v>
      </c>
      <c r="H1554">
        <v>202111</v>
      </c>
      <c r="I1554" s="400">
        <v>44529</v>
      </c>
      <c r="J1554">
        <v>122536</v>
      </c>
      <c r="K1554" t="s">
        <v>386</v>
      </c>
      <c r="M1554" t="s">
        <v>387</v>
      </c>
      <c r="O1554" t="s">
        <v>593</v>
      </c>
      <c r="P1554" t="s">
        <v>594</v>
      </c>
      <c r="Q1554" t="s">
        <v>396</v>
      </c>
      <c r="R1554">
        <v>2069126</v>
      </c>
      <c r="S1554" t="s">
        <v>387</v>
      </c>
      <c r="U1554" t="s">
        <v>2181</v>
      </c>
      <c r="V1554" t="s">
        <v>398</v>
      </c>
      <c r="W1554" s="393">
        <v>-18500</v>
      </c>
      <c r="X1554" s="393">
        <v>-4.91</v>
      </c>
      <c r="Y1554" s="393">
        <v>-42.61</v>
      </c>
      <c r="Z1554" s="393">
        <v>-18500</v>
      </c>
      <c r="AA1554">
        <v>0</v>
      </c>
      <c r="AB1554" s="400">
        <v>44529.888869097224</v>
      </c>
      <c r="AC1554" t="s">
        <v>36</v>
      </c>
    </row>
    <row r="1555" spans="1:29">
      <c r="A1555" t="s">
        <v>382</v>
      </c>
      <c r="B1555" t="s">
        <v>440</v>
      </c>
      <c r="C1555" t="s">
        <v>486</v>
      </c>
      <c r="D1555" t="s">
        <v>1056</v>
      </c>
      <c r="E1555" t="s">
        <v>390</v>
      </c>
      <c r="F1555" t="s">
        <v>391</v>
      </c>
      <c r="G1555">
        <v>6102860</v>
      </c>
      <c r="H1555">
        <v>202111</v>
      </c>
      <c r="I1555" s="400">
        <v>44517</v>
      </c>
      <c r="J1555">
        <v>122536</v>
      </c>
      <c r="K1555" t="s">
        <v>386</v>
      </c>
      <c r="M1555" t="s">
        <v>387</v>
      </c>
      <c r="O1555" t="s">
        <v>849</v>
      </c>
      <c r="P1555" t="s">
        <v>850</v>
      </c>
      <c r="Q1555" t="s">
        <v>396</v>
      </c>
      <c r="R1555">
        <v>2069132</v>
      </c>
      <c r="S1555" t="s">
        <v>387</v>
      </c>
      <c r="U1555" t="s">
        <v>2206</v>
      </c>
      <c r="V1555" t="s">
        <v>398</v>
      </c>
      <c r="W1555" s="393">
        <v>214000</v>
      </c>
      <c r="X1555" s="393">
        <v>55.22</v>
      </c>
      <c r="Y1555" s="393">
        <v>469.36</v>
      </c>
      <c r="Z1555" s="393">
        <v>214000</v>
      </c>
      <c r="AA1555">
        <v>315</v>
      </c>
      <c r="AB1555" s="400">
        <v>44521.691480937501</v>
      </c>
      <c r="AC1555" t="s">
        <v>56</v>
      </c>
    </row>
    <row r="1556" spans="1:29">
      <c r="A1556" t="s">
        <v>382</v>
      </c>
      <c r="B1556" t="s">
        <v>440</v>
      </c>
      <c r="C1556" t="s">
        <v>486</v>
      </c>
      <c r="D1556" t="s">
        <v>1056</v>
      </c>
      <c r="E1556" t="s">
        <v>390</v>
      </c>
      <c r="F1556" t="s">
        <v>391</v>
      </c>
      <c r="G1556">
        <v>6103011</v>
      </c>
      <c r="H1556">
        <v>202111</v>
      </c>
      <c r="I1556" s="400">
        <v>44529</v>
      </c>
      <c r="J1556">
        <v>122536</v>
      </c>
      <c r="K1556" t="s">
        <v>386</v>
      </c>
      <c r="M1556" t="s">
        <v>387</v>
      </c>
      <c r="O1556" t="s">
        <v>557</v>
      </c>
      <c r="P1556" t="s">
        <v>558</v>
      </c>
      <c r="Q1556" t="s">
        <v>396</v>
      </c>
      <c r="R1556">
        <v>2069128</v>
      </c>
      <c r="S1556" t="s">
        <v>387</v>
      </c>
      <c r="U1556" t="s">
        <v>2207</v>
      </c>
      <c r="V1556" t="s">
        <v>398</v>
      </c>
      <c r="W1556" s="393">
        <v>3000000</v>
      </c>
      <c r="X1556" s="393">
        <v>755.76</v>
      </c>
      <c r="Y1556" s="393">
        <v>6534.99</v>
      </c>
      <c r="Z1556" s="393">
        <v>3000000</v>
      </c>
      <c r="AA1556">
        <v>318</v>
      </c>
      <c r="AB1556" s="400">
        <v>44531.687543402775</v>
      </c>
      <c r="AC1556" t="s">
        <v>40</v>
      </c>
    </row>
    <row r="1557" spans="1:29">
      <c r="A1557" t="s">
        <v>382</v>
      </c>
      <c r="B1557" t="s">
        <v>440</v>
      </c>
      <c r="C1557" t="s">
        <v>486</v>
      </c>
      <c r="D1557" t="s">
        <v>1056</v>
      </c>
      <c r="E1557" t="s">
        <v>390</v>
      </c>
      <c r="F1557" t="s">
        <v>391</v>
      </c>
      <c r="G1557">
        <v>6103011</v>
      </c>
      <c r="H1557">
        <v>202111</v>
      </c>
      <c r="I1557" s="400">
        <v>44529</v>
      </c>
      <c r="J1557">
        <v>122536</v>
      </c>
      <c r="K1557" t="s">
        <v>386</v>
      </c>
      <c r="M1557" t="s">
        <v>387</v>
      </c>
      <c r="O1557" t="s">
        <v>551</v>
      </c>
      <c r="P1557" t="s">
        <v>552</v>
      </c>
      <c r="Q1557" t="s">
        <v>396</v>
      </c>
      <c r="R1557">
        <v>2069128</v>
      </c>
      <c r="S1557" t="s">
        <v>387</v>
      </c>
      <c r="U1557" t="s">
        <v>2208</v>
      </c>
      <c r="V1557" t="s">
        <v>398</v>
      </c>
      <c r="W1557" s="393">
        <v>8700000</v>
      </c>
      <c r="X1557" s="393">
        <v>2191.6999999999998</v>
      </c>
      <c r="Y1557" s="393">
        <v>18951.47</v>
      </c>
      <c r="Z1557" s="393">
        <v>8700000</v>
      </c>
      <c r="AA1557">
        <v>318</v>
      </c>
      <c r="AB1557" s="400">
        <v>44531.687543553242</v>
      </c>
      <c r="AC1557" t="s">
        <v>40</v>
      </c>
    </row>
    <row r="1558" spans="1:29">
      <c r="A1558" t="s">
        <v>382</v>
      </c>
      <c r="B1558" t="s">
        <v>440</v>
      </c>
      <c r="C1558" t="s">
        <v>486</v>
      </c>
      <c r="D1558" t="s">
        <v>1056</v>
      </c>
      <c r="E1558" t="s">
        <v>390</v>
      </c>
      <c r="F1558" t="s">
        <v>391</v>
      </c>
      <c r="G1558">
        <v>6103011</v>
      </c>
      <c r="H1558">
        <v>202111</v>
      </c>
      <c r="I1558" s="400">
        <v>44529</v>
      </c>
      <c r="J1558">
        <v>122536</v>
      </c>
      <c r="K1558" t="s">
        <v>386</v>
      </c>
      <c r="M1558" t="s">
        <v>387</v>
      </c>
      <c r="O1558" t="s">
        <v>551</v>
      </c>
      <c r="P1558" t="s">
        <v>552</v>
      </c>
      <c r="Q1558" t="s">
        <v>396</v>
      </c>
      <c r="R1558">
        <v>2069128</v>
      </c>
      <c r="S1558" t="s">
        <v>387</v>
      </c>
      <c r="U1558" t="s">
        <v>2209</v>
      </c>
      <c r="V1558" t="s">
        <v>398</v>
      </c>
      <c r="W1558" s="393">
        <v>540000</v>
      </c>
      <c r="X1558" s="393">
        <v>136.04</v>
      </c>
      <c r="Y1558" s="393">
        <v>1176.3</v>
      </c>
      <c r="Z1558" s="393">
        <v>540000</v>
      </c>
      <c r="AA1558">
        <v>307</v>
      </c>
      <c r="AB1558" s="400">
        <v>44531.687543553242</v>
      </c>
      <c r="AC1558" t="s">
        <v>40</v>
      </c>
    </row>
    <row r="1559" spans="1:29">
      <c r="A1559" t="s">
        <v>382</v>
      </c>
      <c r="B1559" t="s">
        <v>440</v>
      </c>
      <c r="C1559" t="s">
        <v>486</v>
      </c>
      <c r="D1559" t="s">
        <v>1056</v>
      </c>
      <c r="E1559" t="s">
        <v>390</v>
      </c>
      <c r="F1559" t="s">
        <v>391</v>
      </c>
      <c r="G1559">
        <v>6102901</v>
      </c>
      <c r="H1559">
        <v>202111</v>
      </c>
      <c r="I1559" s="400">
        <v>44517</v>
      </c>
      <c r="J1559" t="s">
        <v>1016</v>
      </c>
      <c r="K1559" t="s">
        <v>386</v>
      </c>
      <c r="M1559" t="s">
        <v>387</v>
      </c>
      <c r="O1559" t="s">
        <v>1311</v>
      </c>
      <c r="P1559" t="s">
        <v>1312</v>
      </c>
      <c r="Q1559" t="s">
        <v>450</v>
      </c>
      <c r="R1559">
        <v>2069102</v>
      </c>
      <c r="S1559" t="s">
        <v>387</v>
      </c>
      <c r="U1559" t="s">
        <v>2210</v>
      </c>
      <c r="V1559" t="s">
        <v>398</v>
      </c>
      <c r="W1559" s="393">
        <v>361473</v>
      </c>
      <c r="X1559" s="393">
        <v>93.27</v>
      </c>
      <c r="Y1559" s="393">
        <v>792.8</v>
      </c>
      <c r="Z1559" s="393">
        <v>361473</v>
      </c>
      <c r="AA1559">
        <v>194</v>
      </c>
      <c r="AB1559" s="400">
        <v>44523.661689664354</v>
      </c>
      <c r="AC1559" t="s">
        <v>324</v>
      </c>
    </row>
    <row r="1560" spans="1:29">
      <c r="A1560" t="s">
        <v>382</v>
      </c>
      <c r="B1560" t="s">
        <v>440</v>
      </c>
      <c r="C1560" t="s">
        <v>486</v>
      </c>
      <c r="D1560" t="s">
        <v>1056</v>
      </c>
      <c r="E1560" t="s">
        <v>390</v>
      </c>
      <c r="F1560" t="s">
        <v>391</v>
      </c>
      <c r="G1560">
        <v>6102901</v>
      </c>
      <c r="H1560">
        <v>202111</v>
      </c>
      <c r="I1560" s="400">
        <v>44517</v>
      </c>
      <c r="J1560" t="s">
        <v>1016</v>
      </c>
      <c r="K1560" t="s">
        <v>386</v>
      </c>
      <c r="M1560" t="s">
        <v>387</v>
      </c>
      <c r="O1560" t="s">
        <v>2200</v>
      </c>
      <c r="P1560" t="s">
        <v>2201</v>
      </c>
      <c r="Q1560" t="s">
        <v>450</v>
      </c>
      <c r="R1560">
        <v>2069102</v>
      </c>
      <c r="S1560" t="s">
        <v>387</v>
      </c>
      <c r="U1560" t="s">
        <v>2211</v>
      </c>
      <c r="V1560" t="s">
        <v>398</v>
      </c>
      <c r="W1560" s="393">
        <v>35905</v>
      </c>
      <c r="X1560" s="393">
        <v>9.26</v>
      </c>
      <c r="Y1560" s="393">
        <v>78.75</v>
      </c>
      <c r="Z1560" s="393">
        <v>35905</v>
      </c>
      <c r="AA1560">
        <v>194</v>
      </c>
      <c r="AB1560" s="400">
        <v>44523.661689664354</v>
      </c>
      <c r="AC1560" t="s">
        <v>324</v>
      </c>
    </row>
    <row r="1561" spans="1:29">
      <c r="A1561" t="s">
        <v>382</v>
      </c>
      <c r="B1561" t="s">
        <v>440</v>
      </c>
      <c r="C1561" t="s">
        <v>486</v>
      </c>
      <c r="D1561" t="s">
        <v>1056</v>
      </c>
      <c r="E1561" t="s">
        <v>390</v>
      </c>
      <c r="F1561" t="s">
        <v>391</v>
      </c>
      <c r="G1561">
        <v>6102863</v>
      </c>
      <c r="H1561">
        <v>202111</v>
      </c>
      <c r="I1561" s="400">
        <v>44519</v>
      </c>
      <c r="J1561">
        <v>122536</v>
      </c>
      <c r="K1561" t="s">
        <v>386</v>
      </c>
      <c r="M1561" t="s">
        <v>387</v>
      </c>
      <c r="O1561" t="s">
        <v>557</v>
      </c>
      <c r="P1561" t="s">
        <v>558</v>
      </c>
      <c r="Q1561" t="s">
        <v>396</v>
      </c>
      <c r="R1561">
        <v>2069127</v>
      </c>
      <c r="S1561" t="s">
        <v>387</v>
      </c>
      <c r="U1561" t="s">
        <v>2212</v>
      </c>
      <c r="V1561" t="s">
        <v>398</v>
      </c>
      <c r="W1561" s="393">
        <v>5200000</v>
      </c>
      <c r="X1561" s="393">
        <v>1330.63</v>
      </c>
      <c r="Y1561" s="393">
        <v>11410.52</v>
      </c>
      <c r="Z1561" s="393">
        <v>5200000</v>
      </c>
      <c r="AA1561">
        <v>315</v>
      </c>
      <c r="AB1561" s="400">
        <v>44521.726548877312</v>
      </c>
      <c r="AC1561" t="s">
        <v>36</v>
      </c>
    </row>
    <row r="1562" spans="1:29">
      <c r="A1562" t="s">
        <v>382</v>
      </c>
      <c r="B1562" t="s">
        <v>440</v>
      </c>
      <c r="C1562" t="s">
        <v>486</v>
      </c>
      <c r="D1562" t="s">
        <v>1056</v>
      </c>
      <c r="E1562" t="s">
        <v>390</v>
      </c>
      <c r="F1562" t="s">
        <v>391</v>
      </c>
      <c r="G1562">
        <v>6103191</v>
      </c>
      <c r="H1562">
        <v>202112</v>
      </c>
      <c r="I1562" s="400">
        <v>44544</v>
      </c>
      <c r="J1562">
        <v>122536</v>
      </c>
      <c r="K1562" t="s">
        <v>386</v>
      </c>
      <c r="M1562" t="s">
        <v>387</v>
      </c>
      <c r="O1562" t="s">
        <v>1071</v>
      </c>
      <c r="P1562" t="s">
        <v>1072</v>
      </c>
      <c r="Q1562" t="s">
        <v>396</v>
      </c>
      <c r="R1562">
        <v>2069128</v>
      </c>
      <c r="S1562" t="s">
        <v>387</v>
      </c>
      <c r="U1562" t="s">
        <v>2213</v>
      </c>
      <c r="V1562" t="s">
        <v>398</v>
      </c>
      <c r="W1562" s="393">
        <v>2900000</v>
      </c>
      <c r="X1562" s="393">
        <v>742.43</v>
      </c>
      <c r="Y1562" s="393">
        <v>6691.66</v>
      </c>
      <c r="Z1562" s="393">
        <v>2900000</v>
      </c>
      <c r="AA1562">
        <v>318</v>
      </c>
      <c r="AB1562" s="400">
        <v>44546.705520636577</v>
      </c>
      <c r="AC1562" t="s">
        <v>40</v>
      </c>
    </row>
    <row r="1563" spans="1:29">
      <c r="A1563" t="s">
        <v>382</v>
      </c>
      <c r="B1563" t="s">
        <v>440</v>
      </c>
      <c r="C1563" t="s">
        <v>486</v>
      </c>
      <c r="D1563" t="s">
        <v>1056</v>
      </c>
      <c r="E1563" t="s">
        <v>390</v>
      </c>
      <c r="F1563" t="s">
        <v>391</v>
      </c>
      <c r="G1563">
        <v>6103191</v>
      </c>
      <c r="H1563">
        <v>202112</v>
      </c>
      <c r="I1563" s="400">
        <v>44544</v>
      </c>
      <c r="J1563">
        <v>122536</v>
      </c>
      <c r="K1563" t="s">
        <v>386</v>
      </c>
      <c r="M1563" t="s">
        <v>387</v>
      </c>
      <c r="O1563" t="s">
        <v>1071</v>
      </c>
      <c r="P1563" t="s">
        <v>1072</v>
      </c>
      <c r="Q1563" t="s">
        <v>396</v>
      </c>
      <c r="R1563">
        <v>2069126</v>
      </c>
      <c r="S1563" t="s">
        <v>387</v>
      </c>
      <c r="U1563" t="s">
        <v>2214</v>
      </c>
      <c r="V1563" t="s">
        <v>398</v>
      </c>
      <c r="W1563" s="393">
        <v>6300000</v>
      </c>
      <c r="X1563" s="393">
        <v>1612.86</v>
      </c>
      <c r="Y1563" s="393">
        <v>14537.06</v>
      </c>
      <c r="Z1563" s="393">
        <v>6300000</v>
      </c>
      <c r="AA1563">
        <v>318</v>
      </c>
      <c r="AB1563" s="400">
        <v>44546.70552048611</v>
      </c>
      <c r="AC1563" t="s">
        <v>36</v>
      </c>
    </row>
    <row r="1564" spans="1:29">
      <c r="A1564" t="s">
        <v>382</v>
      </c>
      <c r="B1564" t="s">
        <v>440</v>
      </c>
      <c r="C1564" t="s">
        <v>486</v>
      </c>
      <c r="D1564" t="s">
        <v>1056</v>
      </c>
      <c r="E1564" t="s">
        <v>390</v>
      </c>
      <c r="F1564" t="s">
        <v>391</v>
      </c>
      <c r="G1564">
        <v>6103191</v>
      </c>
      <c r="H1564">
        <v>202112</v>
      </c>
      <c r="I1564" s="400">
        <v>44544</v>
      </c>
      <c r="J1564">
        <v>122536</v>
      </c>
      <c r="K1564" t="s">
        <v>386</v>
      </c>
      <c r="M1564" t="s">
        <v>387</v>
      </c>
      <c r="O1564" t="s">
        <v>1071</v>
      </c>
      <c r="P1564" t="s">
        <v>1072</v>
      </c>
      <c r="Q1564" t="s">
        <v>396</v>
      </c>
      <c r="R1564">
        <v>2069127</v>
      </c>
      <c r="S1564" t="s">
        <v>387</v>
      </c>
      <c r="U1564" t="s">
        <v>2215</v>
      </c>
      <c r="V1564" t="s">
        <v>398</v>
      </c>
      <c r="W1564" s="393">
        <v>5040000</v>
      </c>
      <c r="X1564" s="393">
        <v>1290.29</v>
      </c>
      <c r="Y1564" s="393">
        <v>11629.65</v>
      </c>
      <c r="Z1564" s="393">
        <v>5040000</v>
      </c>
      <c r="AA1564">
        <v>318</v>
      </c>
      <c r="AB1564" s="400">
        <v>44546.705520636577</v>
      </c>
      <c r="AC1564" t="s">
        <v>36</v>
      </c>
    </row>
    <row r="1565" spans="1:29">
      <c r="A1565" t="s">
        <v>382</v>
      </c>
      <c r="B1565" t="s">
        <v>440</v>
      </c>
      <c r="C1565" t="s">
        <v>486</v>
      </c>
      <c r="D1565" t="s">
        <v>1056</v>
      </c>
      <c r="E1565" t="s">
        <v>390</v>
      </c>
      <c r="F1565" t="s">
        <v>391</v>
      </c>
      <c r="G1565">
        <v>6103285</v>
      </c>
      <c r="H1565">
        <v>202112</v>
      </c>
      <c r="I1565" s="400">
        <v>44547</v>
      </c>
      <c r="J1565">
        <v>122536</v>
      </c>
      <c r="K1565" t="s">
        <v>386</v>
      </c>
      <c r="M1565" t="s">
        <v>387</v>
      </c>
      <c r="O1565" t="s">
        <v>1071</v>
      </c>
      <c r="P1565" t="s">
        <v>1072</v>
      </c>
      <c r="Q1565" t="s">
        <v>396</v>
      </c>
      <c r="R1565">
        <v>2069132</v>
      </c>
      <c r="S1565" t="s">
        <v>387</v>
      </c>
      <c r="U1565" t="s">
        <v>2216</v>
      </c>
      <c r="V1565" t="s">
        <v>398</v>
      </c>
      <c r="W1565" s="393">
        <v>4140000</v>
      </c>
      <c r="X1565" s="393">
        <v>1037.53</v>
      </c>
      <c r="Y1565" s="393">
        <v>9356.94</v>
      </c>
      <c r="Z1565" s="393">
        <v>4140000</v>
      </c>
      <c r="AA1565">
        <v>318</v>
      </c>
      <c r="AB1565" s="400">
        <v>44550.84569652778</v>
      </c>
      <c r="AC1565" t="s">
        <v>56</v>
      </c>
    </row>
    <row r="1566" spans="1:29">
      <c r="A1566" t="s">
        <v>382</v>
      </c>
      <c r="B1566" t="s">
        <v>440</v>
      </c>
      <c r="C1566" t="s">
        <v>486</v>
      </c>
      <c r="D1566" t="s">
        <v>1056</v>
      </c>
      <c r="E1566" t="s">
        <v>390</v>
      </c>
      <c r="F1566" t="s">
        <v>391</v>
      </c>
      <c r="G1566">
        <v>6103394</v>
      </c>
      <c r="H1566">
        <v>202112</v>
      </c>
      <c r="I1566" s="400">
        <v>44557</v>
      </c>
      <c r="J1566">
        <v>122536</v>
      </c>
      <c r="K1566" t="s">
        <v>386</v>
      </c>
      <c r="M1566" t="s">
        <v>387</v>
      </c>
      <c r="O1566" t="s">
        <v>1364</v>
      </c>
      <c r="P1566" t="s">
        <v>1365</v>
      </c>
      <c r="Q1566" t="s">
        <v>396</v>
      </c>
      <c r="R1566">
        <v>2069130</v>
      </c>
      <c r="S1566" t="s">
        <v>387</v>
      </c>
      <c r="U1566" t="s">
        <v>2217</v>
      </c>
      <c r="V1566" t="s">
        <v>398</v>
      </c>
      <c r="W1566" s="393">
        <v>1791000</v>
      </c>
      <c r="X1566" s="393">
        <v>448</v>
      </c>
      <c r="Y1566" s="393">
        <v>4030.7</v>
      </c>
      <c r="Z1566" s="393">
        <v>1791000</v>
      </c>
      <c r="AA1566">
        <v>318</v>
      </c>
      <c r="AB1566" s="400">
        <v>44559.756356168982</v>
      </c>
      <c r="AC1566" t="s">
        <v>52</v>
      </c>
    </row>
    <row r="1567" spans="1:29">
      <c r="A1567" t="s">
        <v>382</v>
      </c>
      <c r="B1567" t="s">
        <v>440</v>
      </c>
      <c r="C1567" t="s">
        <v>486</v>
      </c>
      <c r="D1567" t="s">
        <v>1056</v>
      </c>
      <c r="E1567" t="s">
        <v>390</v>
      </c>
      <c r="F1567" t="s">
        <v>391</v>
      </c>
      <c r="G1567">
        <v>6103392</v>
      </c>
      <c r="H1567">
        <v>202112</v>
      </c>
      <c r="I1567" s="400">
        <v>44552</v>
      </c>
      <c r="J1567">
        <v>122536</v>
      </c>
      <c r="K1567" t="s">
        <v>386</v>
      </c>
      <c r="M1567" t="s">
        <v>387</v>
      </c>
      <c r="O1567" t="s">
        <v>565</v>
      </c>
      <c r="P1567" t="s">
        <v>566</v>
      </c>
      <c r="Q1567" t="s">
        <v>396</v>
      </c>
      <c r="R1567">
        <v>2069128</v>
      </c>
      <c r="S1567" t="s">
        <v>387</v>
      </c>
      <c r="U1567" t="s">
        <v>2218</v>
      </c>
      <c r="V1567" t="s">
        <v>398</v>
      </c>
      <c r="W1567" s="393">
        <v>3000000</v>
      </c>
      <c r="X1567" s="393">
        <v>751.83</v>
      </c>
      <c r="Y1567" s="393">
        <v>6780.39</v>
      </c>
      <c r="Z1567" s="393">
        <v>3000000</v>
      </c>
      <c r="AA1567">
        <v>318</v>
      </c>
      <c r="AB1567" s="400">
        <v>44559.728658715278</v>
      </c>
      <c r="AC1567" t="s">
        <v>40</v>
      </c>
    </row>
    <row r="1568" spans="1:29">
      <c r="A1568" t="s">
        <v>382</v>
      </c>
      <c r="B1568" t="s">
        <v>440</v>
      </c>
      <c r="C1568" t="s">
        <v>486</v>
      </c>
      <c r="D1568" t="s">
        <v>1056</v>
      </c>
      <c r="E1568" t="s">
        <v>390</v>
      </c>
      <c r="F1568" t="s">
        <v>391</v>
      </c>
      <c r="G1568">
        <v>6103285</v>
      </c>
      <c r="H1568">
        <v>202112</v>
      </c>
      <c r="I1568" s="400">
        <v>44547</v>
      </c>
      <c r="J1568">
        <v>122536</v>
      </c>
      <c r="K1568" t="s">
        <v>386</v>
      </c>
      <c r="M1568" t="s">
        <v>387</v>
      </c>
      <c r="O1568" t="s">
        <v>1071</v>
      </c>
      <c r="P1568" t="s">
        <v>1072</v>
      </c>
      <c r="Q1568" t="s">
        <v>396</v>
      </c>
      <c r="R1568">
        <v>2069128</v>
      </c>
      <c r="S1568" t="s">
        <v>387</v>
      </c>
      <c r="U1568" t="s">
        <v>2219</v>
      </c>
      <c r="V1568" t="s">
        <v>398</v>
      </c>
      <c r="W1568" s="393">
        <v>3000000</v>
      </c>
      <c r="X1568" s="393">
        <v>751.83</v>
      </c>
      <c r="Y1568" s="393">
        <v>6780.39</v>
      </c>
      <c r="Z1568" s="393">
        <v>3000000</v>
      </c>
      <c r="AA1568">
        <v>318</v>
      </c>
      <c r="AB1568" s="400">
        <v>44550.845696180557</v>
      </c>
      <c r="AC1568" t="s">
        <v>40</v>
      </c>
    </row>
    <row r="1569" spans="1:29">
      <c r="A1569" t="s">
        <v>382</v>
      </c>
      <c r="B1569" t="s">
        <v>440</v>
      </c>
      <c r="C1569" t="s">
        <v>486</v>
      </c>
      <c r="D1569" t="s">
        <v>1056</v>
      </c>
      <c r="E1569" t="s">
        <v>390</v>
      </c>
      <c r="F1569" t="s">
        <v>391</v>
      </c>
      <c r="G1569">
        <v>6103392</v>
      </c>
      <c r="H1569">
        <v>202112</v>
      </c>
      <c r="I1569" s="400">
        <v>44552</v>
      </c>
      <c r="J1569">
        <v>122536</v>
      </c>
      <c r="K1569" t="s">
        <v>386</v>
      </c>
      <c r="M1569" t="s">
        <v>387</v>
      </c>
      <c r="O1569" t="s">
        <v>565</v>
      </c>
      <c r="P1569" t="s">
        <v>566</v>
      </c>
      <c r="Q1569" t="s">
        <v>396</v>
      </c>
      <c r="R1569">
        <v>2069126</v>
      </c>
      <c r="S1569" t="s">
        <v>387</v>
      </c>
      <c r="U1569" t="s">
        <v>2220</v>
      </c>
      <c r="V1569" t="s">
        <v>398</v>
      </c>
      <c r="W1569" s="393">
        <v>5400000</v>
      </c>
      <c r="X1569" s="393">
        <v>1353.29</v>
      </c>
      <c r="Y1569" s="393">
        <v>12204.7</v>
      </c>
      <c r="Z1569" s="393">
        <v>5400000</v>
      </c>
      <c r="AA1569">
        <v>318</v>
      </c>
      <c r="AB1569" s="400">
        <v>44559.728658912034</v>
      </c>
      <c r="AC1569" t="s">
        <v>36</v>
      </c>
    </row>
    <row r="1570" spans="1:29">
      <c r="A1570" t="s">
        <v>382</v>
      </c>
      <c r="B1570" t="s">
        <v>440</v>
      </c>
      <c r="C1570" t="s">
        <v>486</v>
      </c>
      <c r="D1570" t="s">
        <v>1056</v>
      </c>
      <c r="E1570" t="s">
        <v>390</v>
      </c>
      <c r="F1570" t="s">
        <v>391</v>
      </c>
      <c r="G1570">
        <v>6103270</v>
      </c>
      <c r="H1570">
        <v>202112</v>
      </c>
      <c r="I1570" s="400">
        <v>44546</v>
      </c>
      <c r="J1570">
        <v>122536</v>
      </c>
      <c r="K1570" t="s">
        <v>386</v>
      </c>
      <c r="M1570" t="s">
        <v>387</v>
      </c>
      <c r="O1570" t="s">
        <v>1997</v>
      </c>
      <c r="P1570" t="s">
        <v>1998</v>
      </c>
      <c r="Q1570" t="s">
        <v>396</v>
      </c>
      <c r="R1570">
        <v>2069127</v>
      </c>
      <c r="S1570" t="s">
        <v>387</v>
      </c>
      <c r="U1570" t="s">
        <v>2221</v>
      </c>
      <c r="V1570" t="s">
        <v>398</v>
      </c>
      <c r="W1570" s="393">
        <v>5120000</v>
      </c>
      <c r="X1570" s="393">
        <v>1283.1199999999999</v>
      </c>
      <c r="Y1570" s="393">
        <v>11571.87</v>
      </c>
      <c r="Z1570" s="393">
        <v>5120000</v>
      </c>
      <c r="AA1570">
        <v>318</v>
      </c>
      <c r="AB1570" s="400">
        <v>44550.674272766206</v>
      </c>
      <c r="AC1570" t="s">
        <v>36</v>
      </c>
    </row>
    <row r="1571" spans="1:29">
      <c r="A1571" t="s">
        <v>382</v>
      </c>
      <c r="B1571" t="s">
        <v>440</v>
      </c>
      <c r="C1571" t="s">
        <v>486</v>
      </c>
      <c r="D1571" t="s">
        <v>1056</v>
      </c>
      <c r="E1571" t="s">
        <v>390</v>
      </c>
      <c r="F1571" t="s">
        <v>391</v>
      </c>
      <c r="G1571">
        <v>6103270</v>
      </c>
      <c r="H1571">
        <v>202112</v>
      </c>
      <c r="I1571" s="400">
        <v>44546</v>
      </c>
      <c r="J1571">
        <v>122536</v>
      </c>
      <c r="K1571" t="s">
        <v>386</v>
      </c>
      <c r="M1571" t="s">
        <v>387</v>
      </c>
      <c r="O1571" t="s">
        <v>1997</v>
      </c>
      <c r="P1571" t="s">
        <v>1998</v>
      </c>
      <c r="Q1571" t="s">
        <v>396</v>
      </c>
      <c r="R1571">
        <v>2069126</v>
      </c>
      <c r="S1571" t="s">
        <v>387</v>
      </c>
      <c r="U1571" t="s">
        <v>2222</v>
      </c>
      <c r="V1571" t="s">
        <v>398</v>
      </c>
      <c r="W1571" s="393">
        <v>6400000</v>
      </c>
      <c r="X1571" s="393">
        <v>1603.9</v>
      </c>
      <c r="Y1571" s="393">
        <v>14464.83</v>
      </c>
      <c r="Z1571" s="393">
        <v>6400000</v>
      </c>
      <c r="AA1571">
        <v>318</v>
      </c>
      <c r="AB1571" s="400">
        <v>44550.674272951386</v>
      </c>
      <c r="AC1571" t="s">
        <v>36</v>
      </c>
    </row>
    <row r="1572" spans="1:29">
      <c r="A1572" t="s">
        <v>382</v>
      </c>
      <c r="B1572" t="s">
        <v>440</v>
      </c>
      <c r="C1572" t="s">
        <v>486</v>
      </c>
      <c r="D1572" t="s">
        <v>1088</v>
      </c>
      <c r="E1572" t="s">
        <v>390</v>
      </c>
      <c r="F1572" t="s">
        <v>391</v>
      </c>
      <c r="G1572">
        <v>6102643</v>
      </c>
      <c r="H1572">
        <v>202110</v>
      </c>
      <c r="I1572" s="400">
        <v>44498</v>
      </c>
      <c r="J1572">
        <v>122536</v>
      </c>
      <c r="K1572" t="s">
        <v>386</v>
      </c>
      <c r="M1572" t="s">
        <v>387</v>
      </c>
      <c r="O1572" t="s">
        <v>1959</v>
      </c>
      <c r="P1572" t="s">
        <v>1960</v>
      </c>
      <c r="Q1572" t="s">
        <v>396</v>
      </c>
      <c r="R1572">
        <v>2069127</v>
      </c>
      <c r="S1572" t="s">
        <v>387</v>
      </c>
      <c r="U1572" t="s">
        <v>2223</v>
      </c>
      <c r="V1572" t="s">
        <v>398</v>
      </c>
      <c r="W1572" s="393">
        <v>2000000</v>
      </c>
      <c r="X1572" s="393">
        <v>531.74</v>
      </c>
      <c r="Y1572" s="393">
        <v>4533.66</v>
      </c>
      <c r="Z1572" s="393">
        <v>2000000</v>
      </c>
      <c r="AA1572">
        <v>301</v>
      </c>
      <c r="AB1572" s="400">
        <v>44502.637408136572</v>
      </c>
      <c r="AC1572" t="s">
        <v>36</v>
      </c>
    </row>
    <row r="1573" spans="1:29">
      <c r="A1573" t="s">
        <v>382</v>
      </c>
      <c r="B1573" t="s">
        <v>440</v>
      </c>
      <c r="C1573" t="s">
        <v>486</v>
      </c>
      <c r="D1573" t="s">
        <v>1088</v>
      </c>
      <c r="E1573" t="s">
        <v>390</v>
      </c>
      <c r="F1573" t="s">
        <v>391</v>
      </c>
      <c r="G1573">
        <v>6102643</v>
      </c>
      <c r="H1573">
        <v>202110</v>
      </c>
      <c r="I1573" s="400">
        <v>44498</v>
      </c>
      <c r="J1573">
        <v>122536</v>
      </c>
      <c r="K1573" t="s">
        <v>386</v>
      </c>
      <c r="M1573" t="s">
        <v>387</v>
      </c>
      <c r="O1573" t="s">
        <v>1956</v>
      </c>
      <c r="P1573" t="s">
        <v>1957</v>
      </c>
      <c r="Q1573" t="s">
        <v>396</v>
      </c>
      <c r="R1573">
        <v>2069127</v>
      </c>
      <c r="S1573" t="s">
        <v>387</v>
      </c>
      <c r="U1573" t="s">
        <v>2224</v>
      </c>
      <c r="V1573" t="s">
        <v>398</v>
      </c>
      <c r="W1573" s="393">
        <v>2200000</v>
      </c>
      <c r="X1573" s="393">
        <v>584.91</v>
      </c>
      <c r="Y1573" s="393">
        <v>4987.03</v>
      </c>
      <c r="Z1573" s="393">
        <v>2200000</v>
      </c>
      <c r="AA1573">
        <v>301</v>
      </c>
      <c r="AB1573" s="400">
        <v>44502.637408136572</v>
      </c>
      <c r="AC1573" t="s">
        <v>36</v>
      </c>
    </row>
    <row r="1574" spans="1:29">
      <c r="A1574" t="s">
        <v>382</v>
      </c>
      <c r="B1574" t="s">
        <v>440</v>
      </c>
      <c r="C1574" t="s">
        <v>486</v>
      </c>
      <c r="D1574" t="s">
        <v>1088</v>
      </c>
      <c r="E1574" t="s">
        <v>390</v>
      </c>
      <c r="F1574" t="s">
        <v>391</v>
      </c>
      <c r="G1574">
        <v>6102320</v>
      </c>
      <c r="H1574">
        <v>202110</v>
      </c>
      <c r="I1574" s="400">
        <v>44481</v>
      </c>
      <c r="J1574">
        <v>122536</v>
      </c>
      <c r="K1574" t="s">
        <v>386</v>
      </c>
      <c r="M1574" t="s">
        <v>387</v>
      </c>
      <c r="O1574" t="s">
        <v>906</v>
      </c>
      <c r="P1574" t="s">
        <v>907</v>
      </c>
      <c r="Q1574" t="s">
        <v>396</v>
      </c>
      <c r="R1574">
        <v>2069132</v>
      </c>
      <c r="S1574" t="s">
        <v>387</v>
      </c>
      <c r="U1574" t="s">
        <v>2225</v>
      </c>
      <c r="V1574" t="s">
        <v>398</v>
      </c>
      <c r="W1574" s="393">
        <v>31000</v>
      </c>
      <c r="X1574" s="393">
        <v>8.08</v>
      </c>
      <c r="Y1574" s="393">
        <v>70.290000000000006</v>
      </c>
      <c r="Z1574" s="393">
        <v>31000</v>
      </c>
      <c r="AA1574">
        <v>0</v>
      </c>
      <c r="AB1574" s="400">
        <v>44483.167652928241</v>
      </c>
      <c r="AC1574" t="s">
        <v>56</v>
      </c>
    </row>
    <row r="1575" spans="1:29">
      <c r="A1575" t="s">
        <v>382</v>
      </c>
      <c r="B1575" t="s">
        <v>440</v>
      </c>
      <c r="C1575" t="s">
        <v>486</v>
      </c>
      <c r="D1575" t="s">
        <v>1088</v>
      </c>
      <c r="E1575" t="s">
        <v>390</v>
      </c>
      <c r="F1575" t="s">
        <v>391</v>
      </c>
      <c r="G1575">
        <v>6102373</v>
      </c>
      <c r="H1575">
        <v>202110</v>
      </c>
      <c r="I1575" s="400">
        <v>44483</v>
      </c>
      <c r="J1575">
        <v>124932</v>
      </c>
      <c r="K1575" t="s">
        <v>386</v>
      </c>
      <c r="M1575" t="s">
        <v>387</v>
      </c>
      <c r="O1575" t="s">
        <v>1971</v>
      </c>
      <c r="P1575" t="s">
        <v>1972</v>
      </c>
      <c r="Q1575" t="s">
        <v>396</v>
      </c>
      <c r="R1575">
        <v>2069126</v>
      </c>
      <c r="S1575" t="s">
        <v>387</v>
      </c>
      <c r="U1575" t="s">
        <v>2226</v>
      </c>
      <c r="V1575" t="s">
        <v>398</v>
      </c>
      <c r="W1575" s="393">
        <v>600000</v>
      </c>
      <c r="X1575" s="393">
        <v>158.38999999999999</v>
      </c>
      <c r="Y1575" s="393">
        <v>1361.68</v>
      </c>
      <c r="Z1575" s="393">
        <v>600000</v>
      </c>
      <c r="AA1575">
        <v>301</v>
      </c>
      <c r="AB1575" s="400">
        <v>44488.917233946762</v>
      </c>
      <c r="AC1575" t="s">
        <v>36</v>
      </c>
    </row>
    <row r="1576" spans="1:29">
      <c r="A1576" t="s">
        <v>382</v>
      </c>
      <c r="B1576" t="s">
        <v>440</v>
      </c>
      <c r="C1576" t="s">
        <v>486</v>
      </c>
      <c r="D1576" t="s">
        <v>1088</v>
      </c>
      <c r="E1576" t="s">
        <v>390</v>
      </c>
      <c r="F1576" t="s">
        <v>391</v>
      </c>
      <c r="G1576">
        <v>6102437</v>
      </c>
      <c r="H1576">
        <v>202110</v>
      </c>
      <c r="I1576" s="400">
        <v>44489</v>
      </c>
      <c r="J1576">
        <v>124932</v>
      </c>
      <c r="K1576" t="s">
        <v>386</v>
      </c>
      <c r="M1576" t="s">
        <v>387</v>
      </c>
      <c r="O1576" t="s">
        <v>1971</v>
      </c>
      <c r="P1576" t="s">
        <v>1972</v>
      </c>
      <c r="Q1576" t="s">
        <v>396</v>
      </c>
      <c r="R1576">
        <v>2069126</v>
      </c>
      <c r="S1576" t="s">
        <v>387</v>
      </c>
      <c r="U1576" t="s">
        <v>2227</v>
      </c>
      <c r="V1576" t="s">
        <v>398</v>
      </c>
      <c r="W1576" s="393">
        <v>600000</v>
      </c>
      <c r="X1576" s="393">
        <v>158.38999999999999</v>
      </c>
      <c r="Y1576" s="393">
        <v>1361.68</v>
      </c>
      <c r="Z1576" s="393">
        <v>600000</v>
      </c>
      <c r="AA1576">
        <v>301</v>
      </c>
      <c r="AB1576" s="400">
        <v>44490.823351932871</v>
      </c>
      <c r="AC1576" t="s">
        <v>36</v>
      </c>
    </row>
    <row r="1577" spans="1:29">
      <c r="A1577" t="s">
        <v>382</v>
      </c>
      <c r="B1577" t="s">
        <v>440</v>
      </c>
      <c r="C1577" t="s">
        <v>486</v>
      </c>
      <c r="D1577" t="s">
        <v>1088</v>
      </c>
      <c r="E1577" t="s">
        <v>390</v>
      </c>
      <c r="F1577" t="s">
        <v>391</v>
      </c>
      <c r="G1577">
        <v>6102643</v>
      </c>
      <c r="H1577">
        <v>202110</v>
      </c>
      <c r="I1577" s="400">
        <v>44498</v>
      </c>
      <c r="J1577">
        <v>122536</v>
      </c>
      <c r="K1577" t="s">
        <v>386</v>
      </c>
      <c r="M1577" t="s">
        <v>387</v>
      </c>
      <c r="O1577" t="s">
        <v>1977</v>
      </c>
      <c r="P1577" t="s">
        <v>1978</v>
      </c>
      <c r="Q1577" t="s">
        <v>396</v>
      </c>
      <c r="R1577">
        <v>2069126</v>
      </c>
      <c r="S1577" t="s">
        <v>387</v>
      </c>
      <c r="U1577" t="s">
        <v>2228</v>
      </c>
      <c r="V1577" t="s">
        <v>398</v>
      </c>
      <c r="W1577" s="393">
        <v>2000000</v>
      </c>
      <c r="X1577" s="393">
        <v>531.74</v>
      </c>
      <c r="Y1577" s="393">
        <v>4533.66</v>
      </c>
      <c r="Z1577" s="393">
        <v>2000000</v>
      </c>
      <c r="AA1577">
        <v>301</v>
      </c>
      <c r="AB1577" s="400">
        <v>44502.637408136572</v>
      </c>
      <c r="AC1577" t="s">
        <v>36</v>
      </c>
    </row>
    <row r="1578" spans="1:29">
      <c r="A1578" t="s">
        <v>382</v>
      </c>
      <c r="B1578" t="s">
        <v>440</v>
      </c>
      <c r="C1578" t="s">
        <v>2229</v>
      </c>
      <c r="D1578" t="s">
        <v>2230</v>
      </c>
      <c r="E1578" t="s">
        <v>390</v>
      </c>
      <c r="F1578" t="s">
        <v>391</v>
      </c>
      <c r="G1578">
        <v>6103531</v>
      </c>
      <c r="H1578">
        <v>202112</v>
      </c>
      <c r="I1578" s="400">
        <v>44561</v>
      </c>
      <c r="J1578">
        <v>119010</v>
      </c>
      <c r="K1578" t="s">
        <v>386</v>
      </c>
      <c r="M1578" t="s">
        <v>387</v>
      </c>
      <c r="O1578" t="s">
        <v>2231</v>
      </c>
      <c r="P1578" t="s">
        <v>2232</v>
      </c>
      <c r="Q1578" t="s">
        <v>396</v>
      </c>
      <c r="R1578">
        <v>2461635</v>
      </c>
      <c r="S1578" t="s">
        <v>387</v>
      </c>
      <c r="U1578" t="s">
        <v>2233</v>
      </c>
      <c r="V1578" t="s">
        <v>398</v>
      </c>
      <c r="W1578" s="393">
        <v>1500000</v>
      </c>
      <c r="X1578" s="393">
        <v>400.5</v>
      </c>
      <c r="Y1578" s="393">
        <v>3288</v>
      </c>
      <c r="Z1578" s="393">
        <v>1500000</v>
      </c>
      <c r="AA1578">
        <v>177</v>
      </c>
      <c r="AB1578" s="400">
        <v>44575.987570173609</v>
      </c>
      <c r="AC1578" t="s">
        <v>326</v>
      </c>
    </row>
    <row r="1579" spans="1:29">
      <c r="A1579" t="s">
        <v>382</v>
      </c>
      <c r="B1579" t="s">
        <v>440</v>
      </c>
      <c r="C1579" t="s">
        <v>2229</v>
      </c>
      <c r="D1579" t="s">
        <v>2230</v>
      </c>
      <c r="E1579" t="s">
        <v>390</v>
      </c>
      <c r="F1579" t="s">
        <v>391</v>
      </c>
      <c r="G1579">
        <v>6103531</v>
      </c>
      <c r="H1579">
        <v>202112</v>
      </c>
      <c r="I1579" s="400">
        <v>44561</v>
      </c>
      <c r="J1579">
        <v>119010</v>
      </c>
      <c r="K1579" t="s">
        <v>386</v>
      </c>
      <c r="M1579" t="s">
        <v>387</v>
      </c>
      <c r="O1579" t="s">
        <v>2231</v>
      </c>
      <c r="P1579" t="s">
        <v>2232</v>
      </c>
      <c r="Q1579" t="s">
        <v>396</v>
      </c>
      <c r="R1579">
        <v>2461635</v>
      </c>
      <c r="S1579" t="s">
        <v>387</v>
      </c>
      <c r="U1579" t="s">
        <v>2234</v>
      </c>
      <c r="V1579" t="s">
        <v>398</v>
      </c>
      <c r="W1579" s="393">
        <v>1487500</v>
      </c>
      <c r="X1579" s="393">
        <v>401.63</v>
      </c>
      <c r="Y1579" s="393">
        <v>3327.54</v>
      </c>
      <c r="Z1579" s="393">
        <v>1487500</v>
      </c>
      <c r="AA1579">
        <v>0</v>
      </c>
      <c r="AB1579" s="400">
        <v>44575.987570173609</v>
      </c>
      <c r="AC1579" t="s">
        <v>326</v>
      </c>
    </row>
    <row r="1580" spans="1:29">
      <c r="A1580" t="s">
        <v>382</v>
      </c>
      <c r="B1580" t="s">
        <v>440</v>
      </c>
      <c r="C1580" t="s">
        <v>2229</v>
      </c>
      <c r="D1580" t="s">
        <v>2235</v>
      </c>
      <c r="E1580" t="s">
        <v>390</v>
      </c>
      <c r="F1580" t="s">
        <v>391</v>
      </c>
      <c r="G1580">
        <v>6103348</v>
      </c>
      <c r="H1580">
        <v>202112</v>
      </c>
      <c r="I1580" s="400">
        <v>44547</v>
      </c>
      <c r="J1580" t="s">
        <v>452</v>
      </c>
      <c r="K1580" t="s">
        <v>386</v>
      </c>
      <c r="M1580" t="s">
        <v>387</v>
      </c>
      <c r="O1580" t="s">
        <v>2236</v>
      </c>
      <c r="P1580" t="s">
        <v>2237</v>
      </c>
      <c r="Q1580" t="s">
        <v>396</v>
      </c>
      <c r="R1580">
        <v>2461635</v>
      </c>
      <c r="S1580" t="s">
        <v>2238</v>
      </c>
      <c r="U1580" t="s">
        <v>2239</v>
      </c>
      <c r="V1580" t="s">
        <v>398</v>
      </c>
      <c r="W1580" s="393">
        <v>1830000</v>
      </c>
      <c r="X1580" s="393">
        <v>458.62</v>
      </c>
      <c r="Y1580" s="393">
        <v>4136.04</v>
      </c>
      <c r="Z1580" s="393">
        <v>1830000</v>
      </c>
      <c r="AA1580">
        <v>0</v>
      </c>
      <c r="AB1580" s="400">
        <v>44552.111659374998</v>
      </c>
      <c r="AC1580" t="s">
        <v>326</v>
      </c>
    </row>
    <row r="1581" spans="1:29">
      <c r="A1581" t="s">
        <v>382</v>
      </c>
      <c r="B1581" t="s">
        <v>440</v>
      </c>
      <c r="C1581" t="s">
        <v>1143</v>
      </c>
      <c r="D1581" t="s">
        <v>1144</v>
      </c>
      <c r="E1581" t="s">
        <v>390</v>
      </c>
      <c r="F1581" t="s">
        <v>391</v>
      </c>
      <c r="G1581">
        <v>6103279</v>
      </c>
      <c r="H1581">
        <v>202112</v>
      </c>
      <c r="I1581" s="400">
        <v>44545</v>
      </c>
      <c r="J1581" t="s">
        <v>452</v>
      </c>
      <c r="K1581" t="s">
        <v>386</v>
      </c>
      <c r="M1581" t="s">
        <v>387</v>
      </c>
      <c r="O1581" t="s">
        <v>1145</v>
      </c>
      <c r="P1581" t="s">
        <v>1146</v>
      </c>
      <c r="Q1581" t="s">
        <v>450</v>
      </c>
      <c r="R1581">
        <v>2069118</v>
      </c>
      <c r="S1581" t="s">
        <v>387</v>
      </c>
      <c r="U1581" t="s">
        <v>2240</v>
      </c>
      <c r="V1581" t="s">
        <v>398</v>
      </c>
      <c r="W1581" s="393">
        <v>128900</v>
      </c>
      <c r="X1581" s="393">
        <v>33</v>
      </c>
      <c r="Y1581" s="393">
        <v>297.43</v>
      </c>
      <c r="Z1581" s="393">
        <v>128900</v>
      </c>
      <c r="AA1581">
        <v>310</v>
      </c>
      <c r="AB1581" s="400">
        <v>44550.743253321758</v>
      </c>
      <c r="AC1581" t="s">
        <v>324</v>
      </c>
    </row>
    <row r="1582" spans="1:29">
      <c r="A1582" t="s">
        <v>382</v>
      </c>
      <c r="B1582" t="s">
        <v>1157</v>
      </c>
      <c r="C1582" t="s">
        <v>1150</v>
      </c>
      <c r="D1582" t="s">
        <v>1151</v>
      </c>
      <c r="E1582" t="s">
        <v>427</v>
      </c>
      <c r="F1582" t="s">
        <v>428</v>
      </c>
      <c r="G1582">
        <v>1101649</v>
      </c>
      <c r="H1582">
        <v>202110</v>
      </c>
      <c r="I1582" s="400">
        <v>44499</v>
      </c>
      <c r="J1582" t="s">
        <v>1152</v>
      </c>
      <c r="K1582" t="s">
        <v>386</v>
      </c>
      <c r="L1582">
        <v>119010</v>
      </c>
      <c r="M1582" t="s">
        <v>1158</v>
      </c>
      <c r="O1582" t="s">
        <v>1159</v>
      </c>
      <c r="P1582" t="s">
        <v>1160</v>
      </c>
      <c r="Q1582" t="s">
        <v>450</v>
      </c>
      <c r="R1582">
        <v>2069162</v>
      </c>
      <c r="S1582" t="s">
        <v>2241</v>
      </c>
      <c r="U1582" t="s">
        <v>2241</v>
      </c>
      <c r="V1582" t="s">
        <v>398</v>
      </c>
      <c r="W1582" s="393">
        <v>5440483</v>
      </c>
      <c r="X1582" s="393">
        <v>1446.46</v>
      </c>
      <c r="Y1582" s="393">
        <v>12332.65</v>
      </c>
      <c r="Z1582" s="393">
        <v>5440483</v>
      </c>
      <c r="AA1582">
        <v>0</v>
      </c>
      <c r="AB1582" s="400">
        <v>44510.050588738428</v>
      </c>
      <c r="AC1582" t="s">
        <v>321</v>
      </c>
    </row>
    <row r="1583" spans="1:29">
      <c r="A1583" t="s">
        <v>382</v>
      </c>
      <c r="B1583" t="s">
        <v>440</v>
      </c>
      <c r="C1583" t="s">
        <v>1150</v>
      </c>
      <c r="D1583" t="s">
        <v>1151</v>
      </c>
      <c r="E1583" t="s">
        <v>427</v>
      </c>
      <c r="F1583" t="s">
        <v>428</v>
      </c>
      <c r="G1583">
        <v>1101649</v>
      </c>
      <c r="H1583">
        <v>202110</v>
      </c>
      <c r="I1583" s="400">
        <v>44499</v>
      </c>
      <c r="J1583" t="s">
        <v>1152</v>
      </c>
      <c r="K1583" t="s">
        <v>386</v>
      </c>
      <c r="L1583">
        <v>122377</v>
      </c>
      <c r="M1583" t="s">
        <v>1228</v>
      </c>
      <c r="O1583" t="s">
        <v>1229</v>
      </c>
      <c r="P1583" t="s">
        <v>1230</v>
      </c>
      <c r="Q1583" t="s">
        <v>450</v>
      </c>
      <c r="R1583">
        <v>2069155</v>
      </c>
      <c r="S1583" t="s">
        <v>2241</v>
      </c>
      <c r="U1583" t="s">
        <v>2241</v>
      </c>
      <c r="V1583" t="s">
        <v>398</v>
      </c>
      <c r="W1583" s="393">
        <v>3239826</v>
      </c>
      <c r="X1583" s="393">
        <v>861.37</v>
      </c>
      <c r="Y1583" s="393">
        <v>7344.13</v>
      </c>
      <c r="Z1583" s="393">
        <v>3239826</v>
      </c>
      <c r="AA1583">
        <v>0</v>
      </c>
      <c r="AB1583" s="400">
        <v>44510.050588738428</v>
      </c>
      <c r="AC1583" t="s">
        <v>321</v>
      </c>
    </row>
    <row r="1584" spans="1:29">
      <c r="A1584" t="s">
        <v>382</v>
      </c>
      <c r="B1584" t="s">
        <v>440</v>
      </c>
      <c r="C1584" t="s">
        <v>1150</v>
      </c>
      <c r="D1584" t="s">
        <v>1151</v>
      </c>
      <c r="E1584" t="s">
        <v>427</v>
      </c>
      <c r="F1584" t="s">
        <v>428</v>
      </c>
      <c r="G1584">
        <v>1101649</v>
      </c>
      <c r="H1584">
        <v>202110</v>
      </c>
      <c r="I1584" s="400">
        <v>44499</v>
      </c>
      <c r="J1584" t="s">
        <v>1152</v>
      </c>
      <c r="K1584" t="s">
        <v>386</v>
      </c>
      <c r="L1584">
        <v>123780</v>
      </c>
      <c r="M1584" t="s">
        <v>1153</v>
      </c>
      <c r="O1584" t="s">
        <v>1154</v>
      </c>
      <c r="P1584" t="s">
        <v>1155</v>
      </c>
      <c r="Q1584" t="s">
        <v>396</v>
      </c>
      <c r="R1584">
        <v>2069199</v>
      </c>
      <c r="S1584" t="s">
        <v>2241</v>
      </c>
      <c r="U1584" t="s">
        <v>2241</v>
      </c>
      <c r="V1584" t="s">
        <v>398</v>
      </c>
      <c r="W1584" s="393">
        <v>4288663</v>
      </c>
      <c r="X1584" s="393">
        <v>1140.23</v>
      </c>
      <c r="Y1584" s="393">
        <v>9721.67</v>
      </c>
      <c r="Z1584" s="393">
        <v>4288663</v>
      </c>
      <c r="AA1584">
        <v>0</v>
      </c>
      <c r="AB1584" s="400">
        <v>44510.050588738428</v>
      </c>
      <c r="AC1584" t="s">
        <v>19</v>
      </c>
    </row>
    <row r="1585" spans="1:29">
      <c r="A1585" t="s">
        <v>382</v>
      </c>
      <c r="B1585" t="s">
        <v>440</v>
      </c>
      <c r="C1585" t="s">
        <v>1150</v>
      </c>
      <c r="D1585" t="s">
        <v>1151</v>
      </c>
      <c r="E1585" t="s">
        <v>427</v>
      </c>
      <c r="F1585" t="s">
        <v>428</v>
      </c>
      <c r="G1585">
        <v>1101649</v>
      </c>
      <c r="H1585">
        <v>202110</v>
      </c>
      <c r="I1585" s="400">
        <v>44499</v>
      </c>
      <c r="J1585" t="s">
        <v>1152</v>
      </c>
      <c r="K1585" t="s">
        <v>386</v>
      </c>
      <c r="L1585">
        <v>124124</v>
      </c>
      <c r="M1585" t="s">
        <v>1205</v>
      </c>
      <c r="O1585" t="s">
        <v>1206</v>
      </c>
      <c r="P1585" t="s">
        <v>1207</v>
      </c>
      <c r="Q1585" t="s">
        <v>450</v>
      </c>
      <c r="R1585">
        <v>2069183</v>
      </c>
      <c r="S1585" t="s">
        <v>2241</v>
      </c>
      <c r="U1585" t="s">
        <v>2241</v>
      </c>
      <c r="V1585" t="s">
        <v>398</v>
      </c>
      <c r="W1585" s="393">
        <v>3054630.5</v>
      </c>
      <c r="X1585" s="393">
        <v>812.13</v>
      </c>
      <c r="Y1585" s="393">
        <v>6924.33</v>
      </c>
      <c r="Z1585" s="393">
        <v>3054630.5</v>
      </c>
      <c r="AA1585">
        <v>0</v>
      </c>
      <c r="AB1585" s="400">
        <v>44510.050588738428</v>
      </c>
      <c r="AC1585" t="s">
        <v>321</v>
      </c>
    </row>
    <row r="1586" spans="1:29">
      <c r="A1586" t="s">
        <v>382</v>
      </c>
      <c r="B1586" t="s">
        <v>440</v>
      </c>
      <c r="C1586" t="s">
        <v>1150</v>
      </c>
      <c r="D1586" t="s">
        <v>1151</v>
      </c>
      <c r="E1586" t="s">
        <v>427</v>
      </c>
      <c r="F1586" t="s">
        <v>428</v>
      </c>
      <c r="G1586">
        <v>1101649</v>
      </c>
      <c r="H1586">
        <v>202110</v>
      </c>
      <c r="I1586" s="400">
        <v>44499</v>
      </c>
      <c r="J1586" t="s">
        <v>1152</v>
      </c>
      <c r="K1586" t="s">
        <v>386</v>
      </c>
      <c r="L1586">
        <v>124474</v>
      </c>
      <c r="M1586" t="s">
        <v>1165</v>
      </c>
      <c r="O1586" t="s">
        <v>1166</v>
      </c>
      <c r="P1586" t="s">
        <v>1167</v>
      </c>
      <c r="Q1586" t="s">
        <v>396</v>
      </c>
      <c r="R1586">
        <v>2069151</v>
      </c>
      <c r="S1586" t="s">
        <v>2241</v>
      </c>
      <c r="U1586" t="s">
        <v>2241</v>
      </c>
      <c r="V1586" t="s">
        <v>398</v>
      </c>
      <c r="W1586" s="393">
        <v>4265448</v>
      </c>
      <c r="X1586" s="393">
        <v>1134.05</v>
      </c>
      <c r="Y1586" s="393">
        <v>9669.0499999999993</v>
      </c>
      <c r="Z1586" s="393">
        <v>4265448</v>
      </c>
      <c r="AA1586">
        <v>0</v>
      </c>
      <c r="AB1586" s="400">
        <v>44510.050588738428</v>
      </c>
      <c r="AC1586" t="s">
        <v>321</v>
      </c>
    </row>
    <row r="1587" spans="1:29">
      <c r="A1587" t="s">
        <v>382</v>
      </c>
      <c r="B1587" t="s">
        <v>440</v>
      </c>
      <c r="C1587" t="s">
        <v>1150</v>
      </c>
      <c r="D1587" t="s">
        <v>1151</v>
      </c>
      <c r="E1587" t="s">
        <v>427</v>
      </c>
      <c r="F1587" t="s">
        <v>428</v>
      </c>
      <c r="G1587">
        <v>1101649</v>
      </c>
      <c r="H1587">
        <v>202110</v>
      </c>
      <c r="I1587" s="400">
        <v>44499</v>
      </c>
      <c r="J1587" t="s">
        <v>1152</v>
      </c>
      <c r="K1587" t="s">
        <v>386</v>
      </c>
      <c r="L1587">
        <v>124475</v>
      </c>
      <c r="M1587" t="s">
        <v>1208</v>
      </c>
      <c r="O1587" t="s">
        <v>1209</v>
      </c>
      <c r="P1587" t="s">
        <v>1210</v>
      </c>
      <c r="Q1587" t="s">
        <v>450</v>
      </c>
      <c r="R1587">
        <v>2069171</v>
      </c>
      <c r="S1587" t="s">
        <v>2241</v>
      </c>
      <c r="U1587" t="s">
        <v>2241</v>
      </c>
      <c r="V1587" t="s">
        <v>398</v>
      </c>
      <c r="W1587" s="393">
        <v>1712340</v>
      </c>
      <c r="X1587" s="393">
        <v>455.26</v>
      </c>
      <c r="Y1587" s="393">
        <v>3881.58</v>
      </c>
      <c r="Z1587" s="393">
        <v>1712340</v>
      </c>
      <c r="AA1587">
        <v>0</v>
      </c>
      <c r="AB1587" s="400">
        <v>44510.050588738428</v>
      </c>
      <c r="AC1587" t="s">
        <v>321</v>
      </c>
    </row>
    <row r="1588" spans="1:29">
      <c r="A1588" t="s">
        <v>382</v>
      </c>
      <c r="B1588" t="s">
        <v>440</v>
      </c>
      <c r="C1588" t="s">
        <v>1150</v>
      </c>
      <c r="D1588" t="s">
        <v>1151</v>
      </c>
      <c r="E1588" t="s">
        <v>427</v>
      </c>
      <c r="F1588" t="s">
        <v>428</v>
      </c>
      <c r="G1588">
        <v>1101649</v>
      </c>
      <c r="H1588">
        <v>202110</v>
      </c>
      <c r="I1588" s="400">
        <v>44499</v>
      </c>
      <c r="J1588" t="s">
        <v>1152</v>
      </c>
      <c r="K1588" t="s">
        <v>386</v>
      </c>
      <c r="L1588">
        <v>124932</v>
      </c>
      <c r="M1588" t="s">
        <v>2242</v>
      </c>
      <c r="O1588" t="s">
        <v>2243</v>
      </c>
      <c r="P1588" t="s">
        <v>2244</v>
      </c>
      <c r="Q1588" t="s">
        <v>450</v>
      </c>
      <c r="R1588">
        <v>2069195</v>
      </c>
      <c r="S1588" t="s">
        <v>2241</v>
      </c>
      <c r="U1588" t="s">
        <v>2241</v>
      </c>
      <c r="V1588" t="s">
        <v>398</v>
      </c>
      <c r="W1588" s="393">
        <v>4274106</v>
      </c>
      <c r="X1588" s="393">
        <v>1136.3599999999999</v>
      </c>
      <c r="Y1588" s="393">
        <v>9688.67</v>
      </c>
      <c r="Z1588" s="393">
        <v>4274106</v>
      </c>
      <c r="AA1588">
        <v>0</v>
      </c>
      <c r="AB1588" s="400">
        <v>44510.050588738428</v>
      </c>
      <c r="AC1588" t="s">
        <v>321</v>
      </c>
    </row>
    <row r="1589" spans="1:29">
      <c r="A1589" t="s">
        <v>382</v>
      </c>
      <c r="B1589" t="s">
        <v>440</v>
      </c>
      <c r="C1589" t="s">
        <v>1150</v>
      </c>
      <c r="D1589" t="s">
        <v>1151</v>
      </c>
      <c r="E1589" t="s">
        <v>427</v>
      </c>
      <c r="F1589" t="s">
        <v>428</v>
      </c>
      <c r="G1589">
        <v>1101649</v>
      </c>
      <c r="H1589">
        <v>202110</v>
      </c>
      <c r="I1589" s="400">
        <v>44499</v>
      </c>
      <c r="J1589" t="s">
        <v>1152</v>
      </c>
      <c r="K1589" t="s">
        <v>386</v>
      </c>
      <c r="L1589">
        <v>125062</v>
      </c>
      <c r="M1589" t="s">
        <v>1243</v>
      </c>
      <c r="O1589" t="s">
        <v>1244</v>
      </c>
      <c r="P1589" t="s">
        <v>1245</v>
      </c>
      <c r="Q1589" t="s">
        <v>450</v>
      </c>
      <c r="R1589">
        <v>2450060</v>
      </c>
      <c r="S1589" t="s">
        <v>2241</v>
      </c>
      <c r="U1589" t="s">
        <v>2241</v>
      </c>
      <c r="V1589" t="s">
        <v>398</v>
      </c>
      <c r="W1589" s="393">
        <v>3474003</v>
      </c>
      <c r="X1589" s="393">
        <v>923.63</v>
      </c>
      <c r="Y1589" s="393">
        <v>7874.97</v>
      </c>
      <c r="Z1589" s="393">
        <v>3474003</v>
      </c>
      <c r="AA1589">
        <v>0</v>
      </c>
      <c r="AB1589" s="400">
        <v>44510.050588738428</v>
      </c>
      <c r="AC1589" t="s">
        <v>321</v>
      </c>
    </row>
    <row r="1590" spans="1:29">
      <c r="A1590" t="s">
        <v>382</v>
      </c>
      <c r="B1590" t="s">
        <v>1157</v>
      </c>
      <c r="C1590" t="s">
        <v>1150</v>
      </c>
      <c r="D1590" t="s">
        <v>1151</v>
      </c>
      <c r="E1590" t="s">
        <v>427</v>
      </c>
      <c r="F1590" t="s">
        <v>428</v>
      </c>
      <c r="G1590">
        <v>1101649</v>
      </c>
      <c r="H1590">
        <v>202110</v>
      </c>
      <c r="I1590" s="400">
        <v>44499</v>
      </c>
      <c r="J1590" t="s">
        <v>1152</v>
      </c>
      <c r="K1590" t="s">
        <v>386</v>
      </c>
      <c r="L1590" t="s">
        <v>1175</v>
      </c>
      <c r="M1590" t="s">
        <v>1176</v>
      </c>
      <c r="O1590" t="s">
        <v>1177</v>
      </c>
      <c r="P1590" t="s">
        <v>1178</v>
      </c>
      <c r="Q1590" t="s">
        <v>450</v>
      </c>
      <c r="R1590">
        <v>2069175</v>
      </c>
      <c r="S1590" t="s">
        <v>2241</v>
      </c>
      <c r="U1590" t="s">
        <v>2241</v>
      </c>
      <c r="V1590" t="s">
        <v>398</v>
      </c>
      <c r="W1590" s="393">
        <v>4035442</v>
      </c>
      <c r="X1590" s="393">
        <v>1072.9000000000001</v>
      </c>
      <c r="Y1590" s="393">
        <v>9147.66</v>
      </c>
      <c r="Z1590" s="393">
        <v>4035442</v>
      </c>
      <c r="AA1590">
        <v>0</v>
      </c>
      <c r="AB1590" s="400">
        <v>44510.050588738428</v>
      </c>
      <c r="AC1590" t="s">
        <v>321</v>
      </c>
    </row>
    <row r="1591" spans="1:29">
      <c r="A1591" t="s">
        <v>382</v>
      </c>
      <c r="B1591" t="s">
        <v>440</v>
      </c>
      <c r="C1591" t="s">
        <v>1150</v>
      </c>
      <c r="D1591" t="s">
        <v>1151</v>
      </c>
      <c r="E1591" t="s">
        <v>427</v>
      </c>
      <c r="F1591" t="s">
        <v>428</v>
      </c>
      <c r="G1591">
        <v>1101650</v>
      </c>
      <c r="H1591">
        <v>202110</v>
      </c>
      <c r="I1591" s="400">
        <v>44499</v>
      </c>
      <c r="J1591" t="s">
        <v>1152</v>
      </c>
      <c r="K1591" t="s">
        <v>386</v>
      </c>
      <c r="L1591" t="s">
        <v>1392</v>
      </c>
      <c r="M1591" t="s">
        <v>1393</v>
      </c>
      <c r="O1591" t="s">
        <v>2245</v>
      </c>
      <c r="P1591" t="s">
        <v>2246</v>
      </c>
      <c r="Q1591" t="s">
        <v>450</v>
      </c>
      <c r="R1591">
        <v>2069191</v>
      </c>
      <c r="S1591" t="s">
        <v>2241</v>
      </c>
      <c r="U1591" t="s">
        <v>2241</v>
      </c>
      <c r="V1591" t="s">
        <v>398</v>
      </c>
      <c r="W1591" s="393">
        <v>1645841</v>
      </c>
      <c r="X1591" s="393">
        <v>437.58</v>
      </c>
      <c r="Y1591" s="393">
        <v>3730.84</v>
      </c>
      <c r="Z1591" s="393">
        <v>1645841</v>
      </c>
      <c r="AA1591">
        <v>0</v>
      </c>
      <c r="AB1591" s="400">
        <v>44510.051529745368</v>
      </c>
      <c r="AC1591" t="s">
        <v>321</v>
      </c>
    </row>
    <row r="1592" spans="1:29">
      <c r="A1592" t="s">
        <v>382</v>
      </c>
      <c r="B1592" t="s">
        <v>440</v>
      </c>
      <c r="C1592" t="s">
        <v>1150</v>
      </c>
      <c r="D1592" t="s">
        <v>1151</v>
      </c>
      <c r="E1592" t="s">
        <v>427</v>
      </c>
      <c r="F1592" t="s">
        <v>428</v>
      </c>
      <c r="G1592">
        <v>1101650</v>
      </c>
      <c r="H1592">
        <v>202110</v>
      </c>
      <c r="I1592" s="400">
        <v>44499</v>
      </c>
      <c r="J1592" t="s">
        <v>1152</v>
      </c>
      <c r="K1592" t="s">
        <v>386</v>
      </c>
      <c r="L1592" t="s">
        <v>1179</v>
      </c>
      <c r="M1592" t="s">
        <v>1180</v>
      </c>
      <c r="O1592" t="s">
        <v>1181</v>
      </c>
      <c r="P1592" t="s">
        <v>1182</v>
      </c>
      <c r="Q1592" t="s">
        <v>450</v>
      </c>
      <c r="R1592">
        <v>2069170</v>
      </c>
      <c r="S1592" t="s">
        <v>2241</v>
      </c>
      <c r="U1592" t="s">
        <v>2241</v>
      </c>
      <c r="V1592" t="s">
        <v>398</v>
      </c>
      <c r="W1592" s="393">
        <v>4258053</v>
      </c>
      <c r="X1592" s="393">
        <v>1132.0899999999999</v>
      </c>
      <c r="Y1592" s="393">
        <v>9652.2800000000007</v>
      </c>
      <c r="Z1592" s="393">
        <v>4258053</v>
      </c>
      <c r="AA1592">
        <v>0</v>
      </c>
      <c r="AB1592" s="400">
        <v>44510.051529745368</v>
      </c>
      <c r="AC1592" t="s">
        <v>321</v>
      </c>
    </row>
    <row r="1593" spans="1:29">
      <c r="A1593" t="s">
        <v>382</v>
      </c>
      <c r="B1593" t="s">
        <v>440</v>
      </c>
      <c r="C1593" t="s">
        <v>1150</v>
      </c>
      <c r="D1593" t="s">
        <v>1151</v>
      </c>
      <c r="E1593" t="s">
        <v>427</v>
      </c>
      <c r="F1593" t="s">
        <v>428</v>
      </c>
      <c r="G1593">
        <v>1101650</v>
      </c>
      <c r="H1593">
        <v>202110</v>
      </c>
      <c r="I1593" s="400">
        <v>44499</v>
      </c>
      <c r="J1593" t="s">
        <v>1152</v>
      </c>
      <c r="K1593" t="s">
        <v>386</v>
      </c>
      <c r="L1593" t="s">
        <v>1162</v>
      </c>
      <c r="M1593" t="s">
        <v>1163</v>
      </c>
      <c r="O1593" t="s">
        <v>722</v>
      </c>
      <c r="P1593" t="s">
        <v>723</v>
      </c>
      <c r="Q1593" t="s">
        <v>396</v>
      </c>
      <c r="R1593">
        <v>2069201</v>
      </c>
      <c r="S1593" t="s">
        <v>2241</v>
      </c>
      <c r="U1593" t="s">
        <v>2241</v>
      </c>
      <c r="V1593" t="s">
        <v>398</v>
      </c>
      <c r="W1593" s="393">
        <v>8306803</v>
      </c>
      <c r="X1593" s="393">
        <v>2208.5300000000002</v>
      </c>
      <c r="Y1593" s="393">
        <v>18830.11</v>
      </c>
      <c r="Z1593" s="393">
        <v>8306803</v>
      </c>
      <c r="AA1593">
        <v>0</v>
      </c>
      <c r="AB1593" s="400">
        <v>44510.051529745368</v>
      </c>
      <c r="AC1593" t="s">
        <v>19</v>
      </c>
    </row>
    <row r="1594" spans="1:29">
      <c r="A1594" t="s">
        <v>382</v>
      </c>
      <c r="B1594" t="s">
        <v>440</v>
      </c>
      <c r="C1594" t="s">
        <v>1150</v>
      </c>
      <c r="D1594" t="s">
        <v>1151</v>
      </c>
      <c r="E1594" t="s">
        <v>427</v>
      </c>
      <c r="F1594" t="s">
        <v>428</v>
      </c>
      <c r="G1594">
        <v>1101650</v>
      </c>
      <c r="H1594">
        <v>202110</v>
      </c>
      <c r="I1594" s="400">
        <v>44499</v>
      </c>
      <c r="J1594" t="s">
        <v>1152</v>
      </c>
      <c r="K1594" t="s">
        <v>386</v>
      </c>
      <c r="L1594" t="s">
        <v>1247</v>
      </c>
      <c r="M1594" t="s">
        <v>1248</v>
      </c>
      <c r="O1594" t="s">
        <v>1249</v>
      </c>
      <c r="P1594" t="s">
        <v>1250</v>
      </c>
      <c r="Q1594" t="s">
        <v>450</v>
      </c>
      <c r="R1594">
        <v>2069193</v>
      </c>
      <c r="S1594" t="s">
        <v>2241</v>
      </c>
      <c r="U1594" t="s">
        <v>2241</v>
      </c>
      <c r="V1594" t="s">
        <v>398</v>
      </c>
      <c r="W1594" s="393">
        <v>3234873.6</v>
      </c>
      <c r="X1594" s="393">
        <v>860.06</v>
      </c>
      <c r="Y1594" s="393">
        <v>7332.91</v>
      </c>
      <c r="Z1594" s="393">
        <v>3234873.6</v>
      </c>
      <c r="AA1594">
        <v>0</v>
      </c>
      <c r="AB1594" s="400">
        <v>44510.051529745368</v>
      </c>
      <c r="AC1594" t="s">
        <v>321</v>
      </c>
    </row>
    <row r="1595" spans="1:29">
      <c r="A1595" t="s">
        <v>382</v>
      </c>
      <c r="B1595" t="s">
        <v>440</v>
      </c>
      <c r="C1595" t="s">
        <v>1150</v>
      </c>
      <c r="D1595" t="s">
        <v>1151</v>
      </c>
      <c r="E1595" t="s">
        <v>427</v>
      </c>
      <c r="F1595" t="s">
        <v>428</v>
      </c>
      <c r="G1595">
        <v>1101650</v>
      </c>
      <c r="H1595">
        <v>202110</v>
      </c>
      <c r="I1595" s="400">
        <v>44499</v>
      </c>
      <c r="J1595" t="s">
        <v>1152</v>
      </c>
      <c r="K1595" t="s">
        <v>386</v>
      </c>
      <c r="L1595" t="s">
        <v>1183</v>
      </c>
      <c r="M1595" t="s">
        <v>1184</v>
      </c>
      <c r="O1595" t="s">
        <v>1185</v>
      </c>
      <c r="P1595" t="s">
        <v>1186</v>
      </c>
      <c r="Q1595" t="s">
        <v>450</v>
      </c>
      <c r="R1595">
        <v>2069194</v>
      </c>
      <c r="S1595" t="s">
        <v>2241</v>
      </c>
      <c r="U1595" t="s">
        <v>2241</v>
      </c>
      <c r="V1595" t="s">
        <v>398</v>
      </c>
      <c r="W1595" s="393">
        <v>3248847.5</v>
      </c>
      <c r="X1595" s="393">
        <v>863.77</v>
      </c>
      <c r="Y1595" s="393">
        <v>7364.58</v>
      </c>
      <c r="Z1595" s="393">
        <v>3248847.5</v>
      </c>
      <c r="AA1595">
        <v>0</v>
      </c>
      <c r="AB1595" s="400">
        <v>44510.051529745368</v>
      </c>
      <c r="AC1595" t="s">
        <v>321</v>
      </c>
    </row>
    <row r="1596" spans="1:29">
      <c r="A1596" t="s">
        <v>382</v>
      </c>
      <c r="B1596" t="s">
        <v>440</v>
      </c>
      <c r="C1596" t="s">
        <v>1150</v>
      </c>
      <c r="D1596" t="s">
        <v>1151</v>
      </c>
      <c r="E1596" t="s">
        <v>427</v>
      </c>
      <c r="F1596" t="s">
        <v>428</v>
      </c>
      <c r="G1596">
        <v>1101650</v>
      </c>
      <c r="H1596">
        <v>202110</v>
      </c>
      <c r="I1596" s="400">
        <v>44499</v>
      </c>
      <c r="J1596" t="s">
        <v>1152</v>
      </c>
      <c r="K1596" t="s">
        <v>386</v>
      </c>
      <c r="L1596" t="s">
        <v>1191</v>
      </c>
      <c r="M1596" t="s">
        <v>1192</v>
      </c>
      <c r="O1596" t="s">
        <v>1193</v>
      </c>
      <c r="P1596" t="s">
        <v>1194</v>
      </c>
      <c r="Q1596" t="s">
        <v>450</v>
      </c>
      <c r="R1596">
        <v>2069166</v>
      </c>
      <c r="S1596" t="s">
        <v>2241</v>
      </c>
      <c r="U1596" t="s">
        <v>2241</v>
      </c>
      <c r="V1596" t="s">
        <v>398</v>
      </c>
      <c r="W1596" s="393">
        <v>7444562.4000000004</v>
      </c>
      <c r="X1596" s="393">
        <v>1979.29</v>
      </c>
      <c r="Y1596" s="393">
        <v>16875.560000000001</v>
      </c>
      <c r="Z1596" s="393">
        <v>7444562.4000000004</v>
      </c>
      <c r="AA1596">
        <v>0</v>
      </c>
      <c r="AB1596" s="400">
        <v>44510.051529745368</v>
      </c>
      <c r="AC1596" t="s">
        <v>321</v>
      </c>
    </row>
    <row r="1597" spans="1:29">
      <c r="A1597" t="s">
        <v>382</v>
      </c>
      <c r="B1597" t="s">
        <v>440</v>
      </c>
      <c r="C1597" t="s">
        <v>1150</v>
      </c>
      <c r="D1597" t="s">
        <v>1151</v>
      </c>
      <c r="E1597" t="s">
        <v>427</v>
      </c>
      <c r="F1597" t="s">
        <v>428</v>
      </c>
      <c r="G1597">
        <v>1101650</v>
      </c>
      <c r="H1597">
        <v>202110</v>
      </c>
      <c r="I1597" s="400">
        <v>44499</v>
      </c>
      <c r="J1597" t="s">
        <v>1152</v>
      </c>
      <c r="K1597" t="s">
        <v>386</v>
      </c>
      <c r="L1597" t="s">
        <v>1195</v>
      </c>
      <c r="M1597" t="s">
        <v>1196</v>
      </c>
      <c r="O1597" t="s">
        <v>1197</v>
      </c>
      <c r="P1597" t="s">
        <v>1198</v>
      </c>
      <c r="Q1597" t="s">
        <v>450</v>
      </c>
      <c r="R1597">
        <v>2069187</v>
      </c>
      <c r="S1597" t="s">
        <v>2241</v>
      </c>
      <c r="U1597" t="s">
        <v>2241</v>
      </c>
      <c r="V1597" t="s">
        <v>398</v>
      </c>
      <c r="W1597" s="393">
        <v>4388439</v>
      </c>
      <c r="X1597" s="393">
        <v>1166.75</v>
      </c>
      <c r="Y1597" s="393">
        <v>9947.85</v>
      </c>
      <c r="Z1597" s="393">
        <v>4388439</v>
      </c>
      <c r="AA1597">
        <v>0</v>
      </c>
      <c r="AB1597" s="400">
        <v>44510.051529745368</v>
      </c>
      <c r="AC1597" t="s">
        <v>321</v>
      </c>
    </row>
    <row r="1598" spans="1:29">
      <c r="A1598" t="s">
        <v>382</v>
      </c>
      <c r="B1598" t="s">
        <v>440</v>
      </c>
      <c r="C1598" t="s">
        <v>1150</v>
      </c>
      <c r="D1598" t="s">
        <v>1151</v>
      </c>
      <c r="E1598" t="s">
        <v>427</v>
      </c>
      <c r="F1598" t="s">
        <v>428</v>
      </c>
      <c r="G1598">
        <v>1101650</v>
      </c>
      <c r="H1598">
        <v>202110</v>
      </c>
      <c r="I1598" s="400">
        <v>44499</v>
      </c>
      <c r="J1598" t="s">
        <v>1152</v>
      </c>
      <c r="K1598" t="s">
        <v>386</v>
      </c>
      <c r="L1598" t="s">
        <v>1170</v>
      </c>
      <c r="M1598" t="s">
        <v>1171</v>
      </c>
      <c r="O1598" t="s">
        <v>1172</v>
      </c>
      <c r="P1598" t="s">
        <v>1173</v>
      </c>
      <c r="Q1598" t="s">
        <v>450</v>
      </c>
      <c r="R1598">
        <v>2069177</v>
      </c>
      <c r="S1598" t="s">
        <v>2241</v>
      </c>
      <c r="U1598" t="s">
        <v>2241</v>
      </c>
      <c r="V1598" t="s">
        <v>398</v>
      </c>
      <c r="W1598" s="393">
        <v>3154633</v>
      </c>
      <c r="X1598" s="393">
        <v>838.72</v>
      </c>
      <c r="Y1598" s="393">
        <v>7151.02</v>
      </c>
      <c r="Z1598" s="393">
        <v>3154633</v>
      </c>
      <c r="AA1598">
        <v>0</v>
      </c>
      <c r="AB1598" s="400">
        <v>44510.051529745368</v>
      </c>
      <c r="AC1598" t="s">
        <v>321</v>
      </c>
    </row>
    <row r="1599" spans="1:29">
      <c r="A1599" t="s">
        <v>382</v>
      </c>
      <c r="B1599" t="s">
        <v>1157</v>
      </c>
      <c r="C1599" t="s">
        <v>1150</v>
      </c>
      <c r="D1599" t="s">
        <v>1151</v>
      </c>
      <c r="E1599" t="s">
        <v>427</v>
      </c>
      <c r="F1599" t="s">
        <v>428</v>
      </c>
      <c r="G1599">
        <v>1101650</v>
      </c>
      <c r="H1599">
        <v>202110</v>
      </c>
      <c r="I1599" s="400">
        <v>44499</v>
      </c>
      <c r="J1599" t="s">
        <v>1152</v>
      </c>
      <c r="K1599" t="s">
        <v>386</v>
      </c>
      <c r="L1599" t="s">
        <v>1219</v>
      </c>
      <c r="M1599" t="s">
        <v>1220</v>
      </c>
      <c r="O1599" t="s">
        <v>1221</v>
      </c>
      <c r="P1599" t="s">
        <v>1222</v>
      </c>
      <c r="Q1599" t="s">
        <v>396</v>
      </c>
      <c r="R1599">
        <v>2069151</v>
      </c>
      <c r="S1599" t="s">
        <v>2241</v>
      </c>
      <c r="U1599" t="s">
        <v>2241</v>
      </c>
      <c r="V1599" t="s">
        <v>398</v>
      </c>
      <c r="W1599" s="393">
        <v>4425363</v>
      </c>
      <c r="X1599" s="393">
        <v>1176.57</v>
      </c>
      <c r="Y1599" s="393">
        <v>10031.549999999999</v>
      </c>
      <c r="Z1599" s="393">
        <v>4425363</v>
      </c>
      <c r="AA1599">
        <v>0</v>
      </c>
      <c r="AB1599" s="400">
        <v>44510.051529745368</v>
      </c>
      <c r="AC1599" t="s">
        <v>321</v>
      </c>
    </row>
    <row r="1600" spans="1:29">
      <c r="A1600" t="s">
        <v>382</v>
      </c>
      <c r="B1600" t="s">
        <v>1157</v>
      </c>
      <c r="C1600" t="s">
        <v>1150</v>
      </c>
      <c r="D1600" t="s">
        <v>1151</v>
      </c>
      <c r="E1600" t="s">
        <v>427</v>
      </c>
      <c r="F1600" t="s">
        <v>428</v>
      </c>
      <c r="G1600">
        <v>1101871</v>
      </c>
      <c r="H1600">
        <v>202111</v>
      </c>
      <c r="I1600" s="400">
        <v>44530</v>
      </c>
      <c r="J1600" t="s">
        <v>1152</v>
      </c>
      <c r="K1600" t="s">
        <v>386</v>
      </c>
      <c r="L1600">
        <v>119010</v>
      </c>
      <c r="M1600" t="s">
        <v>1158</v>
      </c>
      <c r="O1600" t="s">
        <v>1159</v>
      </c>
      <c r="P1600" t="s">
        <v>1160</v>
      </c>
      <c r="Q1600" t="s">
        <v>450</v>
      </c>
      <c r="R1600">
        <v>2069162</v>
      </c>
      <c r="S1600" t="s">
        <v>2247</v>
      </c>
      <c r="U1600" t="s">
        <v>2247</v>
      </c>
      <c r="V1600" t="s">
        <v>398</v>
      </c>
      <c r="W1600" s="393">
        <v>6209571.96</v>
      </c>
      <c r="X1600" s="393">
        <v>1564.32</v>
      </c>
      <c r="Y1600" s="393">
        <v>13526.5</v>
      </c>
      <c r="Z1600" s="393">
        <v>6209571.96</v>
      </c>
      <c r="AA1600">
        <v>0</v>
      </c>
      <c r="AB1600" s="400">
        <v>44540.778360995369</v>
      </c>
      <c r="AC1600" t="s">
        <v>321</v>
      </c>
    </row>
    <row r="1601" spans="1:29">
      <c r="A1601" t="s">
        <v>382</v>
      </c>
      <c r="B1601" t="s">
        <v>440</v>
      </c>
      <c r="C1601" t="s">
        <v>1150</v>
      </c>
      <c r="D1601" t="s">
        <v>1151</v>
      </c>
      <c r="E1601" t="s">
        <v>427</v>
      </c>
      <c r="F1601" t="s">
        <v>428</v>
      </c>
      <c r="G1601">
        <v>1101871</v>
      </c>
      <c r="H1601">
        <v>202111</v>
      </c>
      <c r="I1601" s="400">
        <v>44530</v>
      </c>
      <c r="J1601" t="s">
        <v>1152</v>
      </c>
      <c r="K1601" t="s">
        <v>386</v>
      </c>
      <c r="L1601">
        <v>123780</v>
      </c>
      <c r="M1601" t="s">
        <v>1153</v>
      </c>
      <c r="O1601" t="s">
        <v>1154</v>
      </c>
      <c r="P1601" t="s">
        <v>1155</v>
      </c>
      <c r="Q1601" t="s">
        <v>396</v>
      </c>
      <c r="R1601">
        <v>2069199</v>
      </c>
      <c r="S1601" t="s">
        <v>2247</v>
      </c>
      <c r="U1601" t="s">
        <v>2247</v>
      </c>
      <c r="V1601" t="s">
        <v>398</v>
      </c>
      <c r="W1601" s="393">
        <v>4371766.96</v>
      </c>
      <c r="X1601" s="393">
        <v>1101.3399999999999</v>
      </c>
      <c r="Y1601" s="393">
        <v>9523.15</v>
      </c>
      <c r="Z1601" s="393">
        <v>4371766.96</v>
      </c>
      <c r="AA1601">
        <v>0</v>
      </c>
      <c r="AB1601" s="400">
        <v>44540.778360995369</v>
      </c>
      <c r="AC1601" t="s">
        <v>19</v>
      </c>
    </row>
    <row r="1602" spans="1:29">
      <c r="A1602" t="s">
        <v>382</v>
      </c>
      <c r="B1602" t="s">
        <v>440</v>
      </c>
      <c r="C1602" t="s">
        <v>1150</v>
      </c>
      <c r="D1602" t="s">
        <v>1151</v>
      </c>
      <c r="E1602" t="s">
        <v>427</v>
      </c>
      <c r="F1602" t="s">
        <v>428</v>
      </c>
      <c r="G1602">
        <v>1101871</v>
      </c>
      <c r="H1602">
        <v>202111</v>
      </c>
      <c r="I1602" s="400">
        <v>44530</v>
      </c>
      <c r="J1602" t="s">
        <v>1152</v>
      </c>
      <c r="K1602" t="s">
        <v>386</v>
      </c>
      <c r="L1602">
        <v>124124</v>
      </c>
      <c r="M1602" t="s">
        <v>1205</v>
      </c>
      <c r="O1602" t="s">
        <v>1206</v>
      </c>
      <c r="P1602" t="s">
        <v>1207</v>
      </c>
      <c r="Q1602" t="s">
        <v>450</v>
      </c>
      <c r="R1602">
        <v>2069183</v>
      </c>
      <c r="S1602" t="s">
        <v>2247</v>
      </c>
      <c r="U1602" t="s">
        <v>2247</v>
      </c>
      <c r="V1602" t="s">
        <v>398</v>
      </c>
      <c r="W1602" s="393">
        <v>1238418.5900000001</v>
      </c>
      <c r="X1602" s="393">
        <v>311.98</v>
      </c>
      <c r="Y1602" s="393">
        <v>2697.68</v>
      </c>
      <c r="Z1602" s="393">
        <v>1238418.5900000001</v>
      </c>
      <c r="AA1602">
        <v>0</v>
      </c>
      <c r="AB1602" s="400">
        <v>44540.778360995369</v>
      </c>
      <c r="AC1602" t="s">
        <v>321</v>
      </c>
    </row>
    <row r="1603" spans="1:29">
      <c r="A1603" t="s">
        <v>382</v>
      </c>
      <c r="B1603" t="s">
        <v>440</v>
      </c>
      <c r="C1603" t="s">
        <v>1150</v>
      </c>
      <c r="D1603" t="s">
        <v>1151</v>
      </c>
      <c r="E1603" t="s">
        <v>427</v>
      </c>
      <c r="F1603" t="s">
        <v>428</v>
      </c>
      <c r="G1603">
        <v>1101871</v>
      </c>
      <c r="H1603">
        <v>202111</v>
      </c>
      <c r="I1603" s="400">
        <v>44530</v>
      </c>
      <c r="J1603" t="s">
        <v>1152</v>
      </c>
      <c r="K1603" t="s">
        <v>386</v>
      </c>
      <c r="L1603">
        <v>124474</v>
      </c>
      <c r="M1603" t="s">
        <v>1165</v>
      </c>
      <c r="O1603" t="s">
        <v>1166</v>
      </c>
      <c r="P1603" t="s">
        <v>1167</v>
      </c>
      <c r="Q1603" t="s">
        <v>396</v>
      </c>
      <c r="R1603">
        <v>2069151</v>
      </c>
      <c r="S1603" t="s">
        <v>2247</v>
      </c>
      <c r="U1603" t="s">
        <v>2247</v>
      </c>
      <c r="V1603" t="s">
        <v>398</v>
      </c>
      <c r="W1603" s="393">
        <v>4362111.96</v>
      </c>
      <c r="X1603" s="393">
        <v>1098.9000000000001</v>
      </c>
      <c r="Y1603" s="393">
        <v>9502.1200000000008</v>
      </c>
      <c r="Z1603" s="393">
        <v>4362111.96</v>
      </c>
      <c r="AA1603">
        <v>0</v>
      </c>
      <c r="AB1603" s="400">
        <v>44540.778360995369</v>
      </c>
      <c r="AC1603" t="s">
        <v>321</v>
      </c>
    </row>
    <row r="1604" spans="1:29">
      <c r="A1604" t="s">
        <v>382</v>
      </c>
      <c r="B1604" t="s">
        <v>440</v>
      </c>
      <c r="C1604" t="s">
        <v>1150</v>
      </c>
      <c r="D1604" t="s">
        <v>1151</v>
      </c>
      <c r="E1604" t="s">
        <v>427</v>
      </c>
      <c r="F1604" t="s">
        <v>428</v>
      </c>
      <c r="G1604">
        <v>1101871</v>
      </c>
      <c r="H1604">
        <v>202111</v>
      </c>
      <c r="I1604" s="400">
        <v>44530</v>
      </c>
      <c r="J1604" t="s">
        <v>1152</v>
      </c>
      <c r="K1604" t="s">
        <v>386</v>
      </c>
      <c r="L1604">
        <v>124932</v>
      </c>
      <c r="M1604" t="s">
        <v>2242</v>
      </c>
      <c r="O1604" t="s">
        <v>2243</v>
      </c>
      <c r="P1604" t="s">
        <v>2244</v>
      </c>
      <c r="Q1604" t="s">
        <v>450</v>
      </c>
      <c r="R1604">
        <v>2069164</v>
      </c>
      <c r="S1604" t="s">
        <v>2247</v>
      </c>
      <c r="U1604" t="s">
        <v>2247</v>
      </c>
      <c r="V1604" t="s">
        <v>398</v>
      </c>
      <c r="W1604" s="393">
        <v>4357209.96</v>
      </c>
      <c r="X1604" s="393">
        <v>1097.67</v>
      </c>
      <c r="Y1604" s="393">
        <v>9491.44</v>
      </c>
      <c r="Z1604" s="393">
        <v>4357209.96</v>
      </c>
      <c r="AA1604">
        <v>0</v>
      </c>
      <c r="AB1604" s="400">
        <v>44540.778360995369</v>
      </c>
      <c r="AC1604" t="s">
        <v>321</v>
      </c>
    </row>
    <row r="1605" spans="1:29">
      <c r="A1605" t="s">
        <v>382</v>
      </c>
      <c r="B1605" t="s">
        <v>440</v>
      </c>
      <c r="C1605" t="s">
        <v>1150</v>
      </c>
      <c r="D1605" t="s">
        <v>1151</v>
      </c>
      <c r="E1605" t="s">
        <v>427</v>
      </c>
      <c r="F1605" t="s">
        <v>428</v>
      </c>
      <c r="G1605">
        <v>1101871</v>
      </c>
      <c r="H1605">
        <v>202111</v>
      </c>
      <c r="I1605" s="400">
        <v>44530</v>
      </c>
      <c r="J1605" t="s">
        <v>1152</v>
      </c>
      <c r="K1605" t="s">
        <v>386</v>
      </c>
      <c r="L1605">
        <v>125062</v>
      </c>
      <c r="M1605" t="s">
        <v>1243</v>
      </c>
      <c r="O1605" t="s">
        <v>1244</v>
      </c>
      <c r="P1605" t="s">
        <v>1245</v>
      </c>
      <c r="Q1605" t="s">
        <v>450</v>
      </c>
      <c r="R1605">
        <v>2450060</v>
      </c>
      <c r="S1605" t="s">
        <v>2247</v>
      </c>
      <c r="U1605" t="s">
        <v>2247</v>
      </c>
      <c r="V1605" t="s">
        <v>398</v>
      </c>
      <c r="W1605" s="393">
        <v>3556076.96</v>
      </c>
      <c r="X1605" s="393">
        <v>895.85</v>
      </c>
      <c r="Y1605" s="393">
        <v>7746.31</v>
      </c>
      <c r="Z1605" s="393">
        <v>3556076.96</v>
      </c>
      <c r="AA1605">
        <v>0</v>
      </c>
      <c r="AB1605" s="400">
        <v>44540.778360995369</v>
      </c>
      <c r="AC1605" t="s">
        <v>321</v>
      </c>
    </row>
    <row r="1606" spans="1:29">
      <c r="A1606" t="s">
        <v>382</v>
      </c>
      <c r="B1606" t="s">
        <v>1157</v>
      </c>
      <c r="C1606" t="s">
        <v>1150</v>
      </c>
      <c r="D1606" t="s">
        <v>1151</v>
      </c>
      <c r="E1606" t="s">
        <v>427</v>
      </c>
      <c r="F1606" t="s">
        <v>428</v>
      </c>
      <c r="G1606">
        <v>1101871</v>
      </c>
      <c r="H1606">
        <v>202111</v>
      </c>
      <c r="I1606" s="400">
        <v>44530</v>
      </c>
      <c r="J1606" t="s">
        <v>1152</v>
      </c>
      <c r="K1606" t="s">
        <v>386</v>
      </c>
      <c r="L1606" t="s">
        <v>1175</v>
      </c>
      <c r="M1606" t="s">
        <v>1176</v>
      </c>
      <c r="O1606" t="s">
        <v>1177</v>
      </c>
      <c r="P1606" t="s">
        <v>1178</v>
      </c>
      <c r="Q1606" t="s">
        <v>450</v>
      </c>
      <c r="R1606">
        <v>2069175</v>
      </c>
      <c r="S1606" t="s">
        <v>2247</v>
      </c>
      <c r="U1606" t="s">
        <v>2247</v>
      </c>
      <c r="V1606" t="s">
        <v>398</v>
      </c>
      <c r="W1606" s="393">
        <v>5653611.5700000003</v>
      </c>
      <c r="X1606" s="393">
        <v>1424.26</v>
      </c>
      <c r="Y1606" s="393">
        <v>12315.43</v>
      </c>
      <c r="Z1606" s="393">
        <v>5653611.5700000003</v>
      </c>
      <c r="AA1606">
        <v>0</v>
      </c>
      <c r="AB1606" s="400">
        <v>44540.778360995369</v>
      </c>
      <c r="AC1606" t="s">
        <v>321</v>
      </c>
    </row>
    <row r="1607" spans="1:29">
      <c r="A1607" t="s">
        <v>382</v>
      </c>
      <c r="B1607" t="s">
        <v>440</v>
      </c>
      <c r="C1607" t="s">
        <v>1150</v>
      </c>
      <c r="D1607" t="s">
        <v>1151</v>
      </c>
      <c r="E1607" t="s">
        <v>427</v>
      </c>
      <c r="F1607" t="s">
        <v>428</v>
      </c>
      <c r="G1607">
        <v>1101872</v>
      </c>
      <c r="H1607">
        <v>202111</v>
      </c>
      <c r="I1607" s="400">
        <v>44530</v>
      </c>
      <c r="J1607" t="s">
        <v>1152</v>
      </c>
      <c r="K1607" t="s">
        <v>386</v>
      </c>
      <c r="L1607" t="s">
        <v>1179</v>
      </c>
      <c r="M1607" t="s">
        <v>1180</v>
      </c>
      <c r="O1607" t="s">
        <v>1181</v>
      </c>
      <c r="P1607" t="s">
        <v>1182</v>
      </c>
      <c r="Q1607" t="s">
        <v>450</v>
      </c>
      <c r="R1607">
        <v>2069170</v>
      </c>
      <c r="S1607" t="s">
        <v>2247</v>
      </c>
      <c r="U1607" t="s">
        <v>2247</v>
      </c>
      <c r="V1607" t="s">
        <v>398</v>
      </c>
      <c r="W1607" s="393">
        <v>5160610.7699999996</v>
      </c>
      <c r="X1607" s="393">
        <v>1300.06</v>
      </c>
      <c r="Y1607" s="393">
        <v>11241.51</v>
      </c>
      <c r="Z1607" s="393">
        <v>5160610.7699999996</v>
      </c>
      <c r="AA1607">
        <v>0</v>
      </c>
      <c r="AB1607" s="400">
        <v>44540.779168483794</v>
      </c>
      <c r="AC1607" t="s">
        <v>321</v>
      </c>
    </row>
    <row r="1608" spans="1:29">
      <c r="A1608" t="s">
        <v>382</v>
      </c>
      <c r="B1608" t="s">
        <v>440</v>
      </c>
      <c r="C1608" t="s">
        <v>1150</v>
      </c>
      <c r="D1608" t="s">
        <v>1151</v>
      </c>
      <c r="E1608" t="s">
        <v>427</v>
      </c>
      <c r="F1608" t="s">
        <v>428</v>
      </c>
      <c r="G1608">
        <v>1101872</v>
      </c>
      <c r="H1608">
        <v>202111</v>
      </c>
      <c r="I1608" s="400">
        <v>44530</v>
      </c>
      <c r="J1608" t="s">
        <v>1152</v>
      </c>
      <c r="K1608" t="s">
        <v>386</v>
      </c>
      <c r="L1608" t="s">
        <v>1162</v>
      </c>
      <c r="M1608" t="s">
        <v>1163</v>
      </c>
      <c r="O1608" t="s">
        <v>722</v>
      </c>
      <c r="P1608" t="s">
        <v>723</v>
      </c>
      <c r="Q1608" t="s">
        <v>396</v>
      </c>
      <c r="R1608">
        <v>2069201</v>
      </c>
      <c r="S1608" t="s">
        <v>2247</v>
      </c>
      <c r="U1608" t="s">
        <v>2247</v>
      </c>
      <c r="V1608" t="s">
        <v>398</v>
      </c>
      <c r="W1608" s="393">
        <v>5342546.97</v>
      </c>
      <c r="X1608" s="393">
        <v>1345.89</v>
      </c>
      <c r="Y1608" s="393">
        <v>11637.83</v>
      </c>
      <c r="Z1608" s="393">
        <v>5342546.97</v>
      </c>
      <c r="AA1608">
        <v>0</v>
      </c>
      <c r="AB1608" s="400">
        <v>44540.779168483794</v>
      </c>
      <c r="AC1608" t="s">
        <v>19</v>
      </c>
    </row>
    <row r="1609" spans="1:29">
      <c r="A1609" t="s">
        <v>382</v>
      </c>
      <c r="B1609" t="s">
        <v>440</v>
      </c>
      <c r="C1609" t="s">
        <v>1150</v>
      </c>
      <c r="D1609" t="s">
        <v>1151</v>
      </c>
      <c r="E1609" t="s">
        <v>427</v>
      </c>
      <c r="F1609" t="s">
        <v>428</v>
      </c>
      <c r="G1609">
        <v>1101872</v>
      </c>
      <c r="H1609">
        <v>202111</v>
      </c>
      <c r="I1609" s="400">
        <v>44530</v>
      </c>
      <c r="J1609" t="s">
        <v>1152</v>
      </c>
      <c r="K1609" t="s">
        <v>386</v>
      </c>
      <c r="L1609" t="s">
        <v>1247</v>
      </c>
      <c r="M1609" t="s">
        <v>1248</v>
      </c>
      <c r="O1609" t="s">
        <v>1249</v>
      </c>
      <c r="P1609" t="s">
        <v>1250</v>
      </c>
      <c r="Q1609" t="s">
        <v>450</v>
      </c>
      <c r="R1609">
        <v>2069193</v>
      </c>
      <c r="S1609" t="s">
        <v>2247</v>
      </c>
      <c r="U1609" t="s">
        <v>2247</v>
      </c>
      <c r="V1609" t="s">
        <v>398</v>
      </c>
      <c r="W1609" s="393">
        <v>4039148.98</v>
      </c>
      <c r="X1609" s="393">
        <v>1017.54</v>
      </c>
      <c r="Y1609" s="393">
        <v>8798.6</v>
      </c>
      <c r="Z1609" s="393">
        <v>4039148.98</v>
      </c>
      <c r="AA1609">
        <v>0</v>
      </c>
      <c r="AB1609" s="400">
        <v>44540.779168483794</v>
      </c>
      <c r="AC1609" t="s">
        <v>321</v>
      </c>
    </row>
    <row r="1610" spans="1:29">
      <c r="A1610" t="s">
        <v>382</v>
      </c>
      <c r="B1610" t="s">
        <v>440</v>
      </c>
      <c r="C1610" t="s">
        <v>1150</v>
      </c>
      <c r="D1610" t="s">
        <v>1151</v>
      </c>
      <c r="E1610" t="s">
        <v>427</v>
      </c>
      <c r="F1610" t="s">
        <v>428</v>
      </c>
      <c r="G1610">
        <v>1101872</v>
      </c>
      <c r="H1610">
        <v>202111</v>
      </c>
      <c r="I1610" s="400">
        <v>44530</v>
      </c>
      <c r="J1610" t="s">
        <v>1152</v>
      </c>
      <c r="K1610" t="s">
        <v>386</v>
      </c>
      <c r="L1610" t="s">
        <v>1183</v>
      </c>
      <c r="M1610" t="s">
        <v>1184</v>
      </c>
      <c r="O1610" t="s">
        <v>1185</v>
      </c>
      <c r="P1610" t="s">
        <v>1186</v>
      </c>
      <c r="Q1610" t="s">
        <v>450</v>
      </c>
      <c r="R1610">
        <v>2069194</v>
      </c>
      <c r="S1610" t="s">
        <v>2247</v>
      </c>
      <c r="U1610" t="s">
        <v>2247</v>
      </c>
      <c r="V1610" t="s">
        <v>398</v>
      </c>
      <c r="W1610" s="393">
        <v>4607564.47</v>
      </c>
      <c r="X1610" s="393">
        <v>1160.74</v>
      </c>
      <c r="Y1610" s="393">
        <v>10036.799999999999</v>
      </c>
      <c r="Z1610" s="393">
        <v>4607564.47</v>
      </c>
      <c r="AA1610">
        <v>0</v>
      </c>
      <c r="AB1610" s="400">
        <v>44540.779168483794</v>
      </c>
      <c r="AC1610" t="s">
        <v>321</v>
      </c>
    </row>
    <row r="1611" spans="1:29">
      <c r="A1611" t="s">
        <v>382</v>
      </c>
      <c r="B1611" t="s">
        <v>440</v>
      </c>
      <c r="C1611" t="s">
        <v>1150</v>
      </c>
      <c r="D1611" t="s">
        <v>1151</v>
      </c>
      <c r="E1611" t="s">
        <v>427</v>
      </c>
      <c r="F1611" t="s">
        <v>428</v>
      </c>
      <c r="G1611">
        <v>1101872</v>
      </c>
      <c r="H1611">
        <v>202111</v>
      </c>
      <c r="I1611" s="400">
        <v>44530</v>
      </c>
      <c r="J1611" t="s">
        <v>1152</v>
      </c>
      <c r="K1611" t="s">
        <v>386</v>
      </c>
      <c r="L1611" t="s">
        <v>1195</v>
      </c>
      <c r="M1611" t="s">
        <v>1196</v>
      </c>
      <c r="O1611" t="s">
        <v>1197</v>
      </c>
      <c r="P1611" t="s">
        <v>1198</v>
      </c>
      <c r="Q1611" t="s">
        <v>450</v>
      </c>
      <c r="R1611">
        <v>2069187</v>
      </c>
      <c r="S1611" t="s">
        <v>2247</v>
      </c>
      <c r="U1611" t="s">
        <v>2247</v>
      </c>
      <c r="V1611" t="s">
        <v>398</v>
      </c>
      <c r="W1611" s="393">
        <v>4925351.6500000004</v>
      </c>
      <c r="X1611" s="393">
        <v>1240.79</v>
      </c>
      <c r="Y1611" s="393">
        <v>10729.04</v>
      </c>
      <c r="Z1611" s="393">
        <v>4925351.6500000004</v>
      </c>
      <c r="AA1611">
        <v>0</v>
      </c>
      <c r="AB1611" s="400">
        <v>44540.779168483794</v>
      </c>
      <c r="AC1611" t="s">
        <v>321</v>
      </c>
    </row>
    <row r="1612" spans="1:29">
      <c r="A1612" t="s">
        <v>382</v>
      </c>
      <c r="B1612" t="s">
        <v>440</v>
      </c>
      <c r="C1612" t="s">
        <v>1150</v>
      </c>
      <c r="D1612" t="s">
        <v>1151</v>
      </c>
      <c r="E1612" t="s">
        <v>427</v>
      </c>
      <c r="F1612" t="s">
        <v>428</v>
      </c>
      <c r="G1612">
        <v>1101872</v>
      </c>
      <c r="H1612">
        <v>202111</v>
      </c>
      <c r="I1612" s="400">
        <v>44530</v>
      </c>
      <c r="J1612" t="s">
        <v>1152</v>
      </c>
      <c r="K1612" t="s">
        <v>386</v>
      </c>
      <c r="L1612" t="s">
        <v>1170</v>
      </c>
      <c r="M1612" t="s">
        <v>1171</v>
      </c>
      <c r="O1612" t="s">
        <v>1172</v>
      </c>
      <c r="P1612" t="s">
        <v>1173</v>
      </c>
      <c r="Q1612" t="s">
        <v>450</v>
      </c>
      <c r="R1612">
        <v>2069177</v>
      </c>
      <c r="S1612" t="s">
        <v>2247</v>
      </c>
      <c r="U1612" t="s">
        <v>2247</v>
      </c>
      <c r="V1612" t="s">
        <v>398</v>
      </c>
      <c r="W1612" s="393">
        <v>2737037.98</v>
      </c>
      <c r="X1612" s="393">
        <v>689.51</v>
      </c>
      <c r="Y1612" s="393">
        <v>5962.17</v>
      </c>
      <c r="Z1612" s="393">
        <v>2737037.98</v>
      </c>
      <c r="AA1612">
        <v>0</v>
      </c>
      <c r="AB1612" s="400">
        <v>44540.779168483794</v>
      </c>
      <c r="AC1612" t="s">
        <v>321</v>
      </c>
    </row>
    <row r="1613" spans="1:29">
      <c r="A1613" t="s">
        <v>382</v>
      </c>
      <c r="B1613" t="s">
        <v>1157</v>
      </c>
      <c r="C1613" t="s">
        <v>1150</v>
      </c>
      <c r="D1613" t="s">
        <v>1151</v>
      </c>
      <c r="E1613" t="s">
        <v>427</v>
      </c>
      <c r="F1613" t="s">
        <v>428</v>
      </c>
      <c r="G1613">
        <v>1102090</v>
      </c>
      <c r="H1613">
        <v>202112</v>
      </c>
      <c r="I1613" s="400">
        <v>44560</v>
      </c>
      <c r="J1613" t="s">
        <v>1152</v>
      </c>
      <c r="K1613" t="s">
        <v>386</v>
      </c>
      <c r="L1613">
        <v>119010</v>
      </c>
      <c r="M1613" t="s">
        <v>1158</v>
      </c>
      <c r="O1613" t="s">
        <v>1159</v>
      </c>
      <c r="P1613" t="s">
        <v>1160</v>
      </c>
      <c r="Q1613" t="s">
        <v>450</v>
      </c>
      <c r="R1613">
        <v>2069162</v>
      </c>
      <c r="S1613" t="s">
        <v>2248</v>
      </c>
      <c r="U1613" t="s">
        <v>2248</v>
      </c>
      <c r="V1613" t="s">
        <v>398</v>
      </c>
      <c r="W1613" s="393">
        <v>6182661.46</v>
      </c>
      <c r="X1613" s="393">
        <v>1536.58</v>
      </c>
      <c r="Y1613" s="393">
        <v>13824.74</v>
      </c>
      <c r="Z1613" s="393">
        <v>6182661.46</v>
      </c>
      <c r="AA1613">
        <v>0</v>
      </c>
      <c r="AB1613" s="400">
        <v>44574.080035451392</v>
      </c>
      <c r="AC1613" t="s">
        <v>321</v>
      </c>
    </row>
    <row r="1614" spans="1:29">
      <c r="A1614" t="s">
        <v>382</v>
      </c>
      <c r="B1614" t="s">
        <v>440</v>
      </c>
      <c r="C1614" t="s">
        <v>1150</v>
      </c>
      <c r="D1614" t="s">
        <v>1151</v>
      </c>
      <c r="E1614" t="s">
        <v>427</v>
      </c>
      <c r="F1614" t="s">
        <v>428</v>
      </c>
      <c r="G1614">
        <v>1102090</v>
      </c>
      <c r="H1614">
        <v>202112</v>
      </c>
      <c r="I1614" s="400">
        <v>44560</v>
      </c>
      <c r="J1614" t="s">
        <v>1152</v>
      </c>
      <c r="K1614" t="s">
        <v>386</v>
      </c>
      <c r="L1614">
        <v>122377</v>
      </c>
      <c r="M1614" t="s">
        <v>1228</v>
      </c>
      <c r="O1614" t="s">
        <v>1229</v>
      </c>
      <c r="P1614" t="s">
        <v>1230</v>
      </c>
      <c r="Q1614" t="s">
        <v>450</v>
      </c>
      <c r="R1614">
        <v>2069155</v>
      </c>
      <c r="S1614" t="s">
        <v>2248</v>
      </c>
      <c r="U1614" t="s">
        <v>2248</v>
      </c>
      <c r="V1614" t="s">
        <v>398</v>
      </c>
      <c r="W1614" s="393">
        <v>3700988.23</v>
      </c>
      <c r="X1614" s="393">
        <v>919.81</v>
      </c>
      <c r="Y1614" s="393">
        <v>8275.59</v>
      </c>
      <c r="Z1614" s="393">
        <v>3700988.23</v>
      </c>
      <c r="AA1614">
        <v>0</v>
      </c>
      <c r="AB1614" s="400">
        <v>44574.080035451392</v>
      </c>
      <c r="AC1614" t="s">
        <v>321</v>
      </c>
    </row>
    <row r="1615" spans="1:29">
      <c r="A1615" t="s">
        <v>382</v>
      </c>
      <c r="B1615" t="s">
        <v>440</v>
      </c>
      <c r="C1615" t="s">
        <v>1150</v>
      </c>
      <c r="D1615" t="s">
        <v>1151</v>
      </c>
      <c r="E1615" t="s">
        <v>427</v>
      </c>
      <c r="F1615" t="s">
        <v>428</v>
      </c>
      <c r="G1615">
        <v>1102090</v>
      </c>
      <c r="H1615">
        <v>202112</v>
      </c>
      <c r="I1615" s="400">
        <v>44560</v>
      </c>
      <c r="J1615" t="s">
        <v>1152</v>
      </c>
      <c r="K1615" t="s">
        <v>386</v>
      </c>
      <c r="L1615">
        <v>123780</v>
      </c>
      <c r="M1615" t="s">
        <v>1153</v>
      </c>
      <c r="O1615" t="s">
        <v>1154</v>
      </c>
      <c r="P1615" t="s">
        <v>1155</v>
      </c>
      <c r="Q1615" t="s">
        <v>396</v>
      </c>
      <c r="R1615">
        <v>2069199</v>
      </c>
      <c r="S1615" t="s">
        <v>2248</v>
      </c>
      <c r="U1615" t="s">
        <v>2248</v>
      </c>
      <c r="V1615" t="s">
        <v>398</v>
      </c>
      <c r="W1615" s="393">
        <v>4076977.46</v>
      </c>
      <c r="X1615" s="393">
        <v>1013.25</v>
      </c>
      <c r="Y1615" s="393">
        <v>9116.33</v>
      </c>
      <c r="Z1615" s="393">
        <v>4076977.46</v>
      </c>
      <c r="AA1615">
        <v>0</v>
      </c>
      <c r="AB1615" s="400">
        <v>44574.080035451392</v>
      </c>
      <c r="AC1615" t="s">
        <v>19</v>
      </c>
    </row>
    <row r="1616" spans="1:29">
      <c r="A1616" t="s">
        <v>382</v>
      </c>
      <c r="B1616" t="s">
        <v>440</v>
      </c>
      <c r="C1616" t="s">
        <v>1150</v>
      </c>
      <c r="D1616" t="s">
        <v>1151</v>
      </c>
      <c r="E1616" t="s">
        <v>427</v>
      </c>
      <c r="F1616" t="s">
        <v>428</v>
      </c>
      <c r="G1616">
        <v>1102090</v>
      </c>
      <c r="H1616">
        <v>202112</v>
      </c>
      <c r="I1616" s="400">
        <v>44560</v>
      </c>
      <c r="J1616" t="s">
        <v>1152</v>
      </c>
      <c r="K1616" t="s">
        <v>386</v>
      </c>
      <c r="L1616">
        <v>124124</v>
      </c>
      <c r="M1616" t="s">
        <v>1205</v>
      </c>
      <c r="O1616" t="s">
        <v>1206</v>
      </c>
      <c r="P1616" t="s">
        <v>1207</v>
      </c>
      <c r="Q1616" t="s">
        <v>450</v>
      </c>
      <c r="R1616">
        <v>2069183</v>
      </c>
      <c r="S1616" t="s">
        <v>2248</v>
      </c>
      <c r="U1616" t="s">
        <v>2248</v>
      </c>
      <c r="V1616" t="s">
        <v>398</v>
      </c>
      <c r="W1616" s="393">
        <v>3098096.73</v>
      </c>
      <c r="X1616" s="393">
        <v>769.97</v>
      </c>
      <c r="Y1616" s="393">
        <v>6927.5</v>
      </c>
      <c r="Z1616" s="393">
        <v>3098096.73</v>
      </c>
      <c r="AA1616">
        <v>0</v>
      </c>
      <c r="AB1616" s="400">
        <v>44574.080035451392</v>
      </c>
      <c r="AC1616" t="s">
        <v>321</v>
      </c>
    </row>
    <row r="1617" spans="1:29">
      <c r="A1617" t="s">
        <v>382</v>
      </c>
      <c r="B1617" t="s">
        <v>440</v>
      </c>
      <c r="C1617" t="s">
        <v>1150</v>
      </c>
      <c r="D1617" t="s">
        <v>1151</v>
      </c>
      <c r="E1617" t="s">
        <v>427</v>
      </c>
      <c r="F1617" t="s">
        <v>428</v>
      </c>
      <c r="G1617">
        <v>1102090</v>
      </c>
      <c r="H1617">
        <v>202112</v>
      </c>
      <c r="I1617" s="400">
        <v>44560</v>
      </c>
      <c r="J1617" t="s">
        <v>1152</v>
      </c>
      <c r="K1617" t="s">
        <v>386</v>
      </c>
      <c r="L1617">
        <v>124474</v>
      </c>
      <c r="M1617" t="s">
        <v>1165</v>
      </c>
      <c r="O1617" t="s">
        <v>1166</v>
      </c>
      <c r="P1617" t="s">
        <v>1167</v>
      </c>
      <c r="Q1617" t="s">
        <v>396</v>
      </c>
      <c r="R1617">
        <v>2069151</v>
      </c>
      <c r="S1617" t="s">
        <v>2248</v>
      </c>
      <c r="U1617" t="s">
        <v>2248</v>
      </c>
      <c r="V1617" t="s">
        <v>398</v>
      </c>
      <c r="W1617" s="393">
        <v>3696073.46</v>
      </c>
      <c r="X1617" s="393">
        <v>918.59</v>
      </c>
      <c r="Y1617" s="393">
        <v>8264.61</v>
      </c>
      <c r="Z1617" s="393">
        <v>3696073.46</v>
      </c>
      <c r="AA1617">
        <v>0</v>
      </c>
      <c r="AB1617" s="400">
        <v>44574.080035451392</v>
      </c>
      <c r="AC1617" t="s">
        <v>321</v>
      </c>
    </row>
    <row r="1618" spans="1:29">
      <c r="A1618" t="s">
        <v>382</v>
      </c>
      <c r="B1618" t="s">
        <v>440</v>
      </c>
      <c r="C1618" t="s">
        <v>1150</v>
      </c>
      <c r="D1618" t="s">
        <v>1151</v>
      </c>
      <c r="E1618" t="s">
        <v>427</v>
      </c>
      <c r="F1618" t="s">
        <v>428</v>
      </c>
      <c r="G1618">
        <v>1102090</v>
      </c>
      <c r="H1618">
        <v>202112</v>
      </c>
      <c r="I1618" s="400">
        <v>44560</v>
      </c>
      <c r="J1618" t="s">
        <v>1152</v>
      </c>
      <c r="K1618" t="s">
        <v>386</v>
      </c>
      <c r="L1618">
        <v>124475</v>
      </c>
      <c r="M1618" t="s">
        <v>1208</v>
      </c>
      <c r="O1618" t="s">
        <v>1209</v>
      </c>
      <c r="P1618" t="s">
        <v>1210</v>
      </c>
      <c r="Q1618" t="s">
        <v>450</v>
      </c>
      <c r="R1618">
        <v>2069171</v>
      </c>
      <c r="S1618" t="s">
        <v>2248</v>
      </c>
      <c r="U1618" t="s">
        <v>2248</v>
      </c>
      <c r="V1618" t="s">
        <v>398</v>
      </c>
      <c r="W1618" s="393">
        <v>1346908.68</v>
      </c>
      <c r="X1618" s="393">
        <v>334.75</v>
      </c>
      <c r="Y1618" s="393">
        <v>3011.76</v>
      </c>
      <c r="Z1618" s="393">
        <v>1346908.68</v>
      </c>
      <c r="AA1618">
        <v>0</v>
      </c>
      <c r="AB1618" s="400">
        <v>44574.080035451392</v>
      </c>
      <c r="AC1618" t="s">
        <v>321</v>
      </c>
    </row>
    <row r="1619" spans="1:29">
      <c r="A1619" t="s">
        <v>382</v>
      </c>
      <c r="B1619" t="s">
        <v>440</v>
      </c>
      <c r="C1619" t="s">
        <v>1150</v>
      </c>
      <c r="D1619" t="s">
        <v>1151</v>
      </c>
      <c r="E1619" t="s">
        <v>427</v>
      </c>
      <c r="F1619" t="s">
        <v>428</v>
      </c>
      <c r="G1619">
        <v>1102090</v>
      </c>
      <c r="H1619">
        <v>202112</v>
      </c>
      <c r="I1619" s="400">
        <v>44560</v>
      </c>
      <c r="J1619" t="s">
        <v>1152</v>
      </c>
      <c r="K1619" t="s">
        <v>386</v>
      </c>
      <c r="L1619">
        <v>124932</v>
      </c>
      <c r="M1619" t="s">
        <v>2242</v>
      </c>
      <c r="O1619" t="s">
        <v>2243</v>
      </c>
      <c r="P1619" t="s">
        <v>2244</v>
      </c>
      <c r="Q1619" t="s">
        <v>450</v>
      </c>
      <c r="R1619">
        <v>2069195</v>
      </c>
      <c r="S1619" t="s">
        <v>2248</v>
      </c>
      <c r="U1619" t="s">
        <v>2248</v>
      </c>
      <c r="V1619" t="s">
        <v>398</v>
      </c>
      <c r="W1619" s="393">
        <v>4358044.46</v>
      </c>
      <c r="X1619" s="393">
        <v>1083.0999999999999</v>
      </c>
      <c r="Y1619" s="393">
        <v>9744.81</v>
      </c>
      <c r="Z1619" s="393">
        <v>4358044.46</v>
      </c>
      <c r="AA1619">
        <v>0</v>
      </c>
      <c r="AB1619" s="400">
        <v>44574.080035451392</v>
      </c>
      <c r="AC1619" t="s">
        <v>321</v>
      </c>
    </row>
    <row r="1620" spans="1:29">
      <c r="A1620" t="s">
        <v>382</v>
      </c>
      <c r="B1620" t="s">
        <v>440</v>
      </c>
      <c r="C1620" t="s">
        <v>1150</v>
      </c>
      <c r="D1620" t="s">
        <v>1151</v>
      </c>
      <c r="E1620" t="s">
        <v>427</v>
      </c>
      <c r="F1620" t="s">
        <v>428</v>
      </c>
      <c r="G1620">
        <v>1102090</v>
      </c>
      <c r="H1620">
        <v>202112</v>
      </c>
      <c r="I1620" s="400">
        <v>44560</v>
      </c>
      <c r="J1620" t="s">
        <v>1152</v>
      </c>
      <c r="K1620" t="s">
        <v>386</v>
      </c>
      <c r="L1620">
        <v>126111</v>
      </c>
      <c r="M1620" t="s">
        <v>1231</v>
      </c>
      <c r="O1620" t="s">
        <v>1232</v>
      </c>
      <c r="P1620" t="s">
        <v>1233</v>
      </c>
      <c r="Q1620" t="s">
        <v>450</v>
      </c>
      <c r="R1620">
        <v>2069179</v>
      </c>
      <c r="S1620" t="s">
        <v>2248</v>
      </c>
      <c r="U1620" t="s">
        <v>2248</v>
      </c>
      <c r="V1620" t="s">
        <v>398</v>
      </c>
      <c r="W1620" s="393">
        <v>3548449.46</v>
      </c>
      <c r="X1620" s="393">
        <v>881.9</v>
      </c>
      <c r="Y1620" s="393">
        <v>7934.51</v>
      </c>
      <c r="Z1620" s="393">
        <v>3548449.46</v>
      </c>
      <c r="AA1620">
        <v>0</v>
      </c>
      <c r="AB1620" s="400">
        <v>44574.080035451392</v>
      </c>
      <c r="AC1620" t="s">
        <v>321</v>
      </c>
    </row>
    <row r="1621" spans="1:29">
      <c r="A1621" t="s">
        <v>382</v>
      </c>
      <c r="B1621" t="s">
        <v>440</v>
      </c>
      <c r="C1621" t="s">
        <v>1150</v>
      </c>
      <c r="D1621" t="s">
        <v>1151</v>
      </c>
      <c r="E1621" t="s">
        <v>427</v>
      </c>
      <c r="F1621" t="s">
        <v>428</v>
      </c>
      <c r="G1621">
        <v>1102090</v>
      </c>
      <c r="H1621">
        <v>202112</v>
      </c>
      <c r="I1621" s="400">
        <v>44560</v>
      </c>
      <c r="J1621" t="s">
        <v>1152</v>
      </c>
      <c r="K1621" t="s">
        <v>386</v>
      </c>
      <c r="L1621">
        <v>127949</v>
      </c>
      <c r="M1621" t="s">
        <v>2249</v>
      </c>
      <c r="O1621" t="s">
        <v>2250</v>
      </c>
      <c r="P1621" t="s">
        <v>2251</v>
      </c>
      <c r="Q1621" t="s">
        <v>450</v>
      </c>
      <c r="R1621">
        <v>2450060</v>
      </c>
      <c r="S1621" t="s">
        <v>2248</v>
      </c>
      <c r="U1621" t="s">
        <v>2248</v>
      </c>
      <c r="V1621" t="s">
        <v>398</v>
      </c>
      <c r="W1621" s="393">
        <v>3533624.46</v>
      </c>
      <c r="X1621" s="393">
        <v>878.21</v>
      </c>
      <c r="Y1621" s="393">
        <v>7901.36</v>
      </c>
      <c r="Z1621" s="393">
        <v>3533624.46</v>
      </c>
      <c r="AA1621">
        <v>0</v>
      </c>
      <c r="AB1621" s="400">
        <v>44574.080035451392</v>
      </c>
      <c r="AC1621" t="s">
        <v>321</v>
      </c>
    </row>
    <row r="1622" spans="1:29">
      <c r="A1622" t="s">
        <v>382</v>
      </c>
      <c r="B1622" t="s">
        <v>1157</v>
      </c>
      <c r="C1622" t="s">
        <v>1150</v>
      </c>
      <c r="D1622" t="s">
        <v>1151</v>
      </c>
      <c r="E1622" t="s">
        <v>427</v>
      </c>
      <c r="F1622" t="s">
        <v>428</v>
      </c>
      <c r="G1622">
        <v>1102090</v>
      </c>
      <c r="H1622">
        <v>202112</v>
      </c>
      <c r="I1622" s="400">
        <v>44560</v>
      </c>
      <c r="J1622" t="s">
        <v>1152</v>
      </c>
      <c r="K1622" t="s">
        <v>386</v>
      </c>
      <c r="L1622" t="s">
        <v>1175</v>
      </c>
      <c r="M1622" t="s">
        <v>1176</v>
      </c>
      <c r="O1622" t="s">
        <v>1177</v>
      </c>
      <c r="P1622" t="s">
        <v>1178</v>
      </c>
      <c r="Q1622" t="s">
        <v>450</v>
      </c>
      <c r="R1622">
        <v>2069175</v>
      </c>
      <c r="S1622" t="s">
        <v>2248</v>
      </c>
      <c r="U1622" t="s">
        <v>2248</v>
      </c>
      <c r="V1622" t="s">
        <v>398</v>
      </c>
      <c r="W1622" s="393">
        <v>5658159.8200000003</v>
      </c>
      <c r="X1622" s="393">
        <v>1406.22</v>
      </c>
      <c r="Y1622" s="393">
        <v>12651.93</v>
      </c>
      <c r="Z1622" s="393">
        <v>5658159.8200000003</v>
      </c>
      <c r="AA1622">
        <v>0</v>
      </c>
      <c r="AB1622" s="400">
        <v>44574.080035451392</v>
      </c>
      <c r="AC1622" t="s">
        <v>321</v>
      </c>
    </row>
    <row r="1623" spans="1:29">
      <c r="A1623" t="s">
        <v>382</v>
      </c>
      <c r="B1623" t="s">
        <v>440</v>
      </c>
      <c r="C1623" t="s">
        <v>1150</v>
      </c>
      <c r="D1623" t="s">
        <v>1151</v>
      </c>
      <c r="E1623" t="s">
        <v>427</v>
      </c>
      <c r="F1623" t="s">
        <v>428</v>
      </c>
      <c r="G1623">
        <v>1102091</v>
      </c>
      <c r="H1623">
        <v>202112</v>
      </c>
      <c r="I1623" s="400">
        <v>44560</v>
      </c>
      <c r="J1623" t="s">
        <v>1152</v>
      </c>
      <c r="K1623" t="s">
        <v>386</v>
      </c>
      <c r="L1623" t="s">
        <v>1162</v>
      </c>
      <c r="M1623" t="s">
        <v>1163</v>
      </c>
      <c r="O1623" t="s">
        <v>722</v>
      </c>
      <c r="P1623" t="s">
        <v>723</v>
      </c>
      <c r="Q1623" t="s">
        <v>396</v>
      </c>
      <c r="R1623">
        <v>2069201</v>
      </c>
      <c r="S1623" t="s">
        <v>2248</v>
      </c>
      <c r="U1623" t="s">
        <v>2248</v>
      </c>
      <c r="V1623" t="s">
        <v>398</v>
      </c>
      <c r="W1623" s="393">
        <v>3835969.23</v>
      </c>
      <c r="X1623" s="393">
        <v>953.35</v>
      </c>
      <c r="Y1623" s="393">
        <v>8577.42</v>
      </c>
      <c r="Z1623" s="393">
        <v>3835969.23</v>
      </c>
      <c r="AA1623">
        <v>0</v>
      </c>
      <c r="AB1623" s="400">
        <v>44574.09174059028</v>
      </c>
      <c r="AC1623" t="s">
        <v>19</v>
      </c>
    </row>
    <row r="1624" spans="1:29">
      <c r="A1624" t="s">
        <v>382</v>
      </c>
      <c r="B1624" t="s">
        <v>440</v>
      </c>
      <c r="C1624" t="s">
        <v>1150</v>
      </c>
      <c r="D1624" t="s">
        <v>1151</v>
      </c>
      <c r="E1624" t="s">
        <v>427</v>
      </c>
      <c r="F1624" t="s">
        <v>428</v>
      </c>
      <c r="G1624">
        <v>1102091</v>
      </c>
      <c r="H1624">
        <v>202112</v>
      </c>
      <c r="I1624" s="400">
        <v>44560</v>
      </c>
      <c r="J1624" t="s">
        <v>1152</v>
      </c>
      <c r="K1624" t="s">
        <v>386</v>
      </c>
      <c r="L1624" t="s">
        <v>1247</v>
      </c>
      <c r="M1624" t="s">
        <v>1248</v>
      </c>
      <c r="O1624" t="s">
        <v>1249</v>
      </c>
      <c r="P1624" t="s">
        <v>1250</v>
      </c>
      <c r="Q1624" t="s">
        <v>450</v>
      </c>
      <c r="R1624">
        <v>2069193</v>
      </c>
      <c r="S1624" t="s">
        <v>2248</v>
      </c>
      <c r="U1624" t="s">
        <v>2248</v>
      </c>
      <c r="V1624" t="s">
        <v>398</v>
      </c>
      <c r="W1624" s="393">
        <v>4040687.73</v>
      </c>
      <c r="X1624" s="393">
        <v>1004.23</v>
      </c>
      <c r="Y1624" s="393">
        <v>9035.18</v>
      </c>
      <c r="Z1624" s="393">
        <v>4040687.73</v>
      </c>
      <c r="AA1624">
        <v>0</v>
      </c>
      <c r="AB1624" s="400">
        <v>44574.09174059028</v>
      </c>
      <c r="AC1624" t="s">
        <v>321</v>
      </c>
    </row>
    <row r="1625" spans="1:29">
      <c r="A1625" t="s">
        <v>382</v>
      </c>
      <c r="B1625" t="s">
        <v>440</v>
      </c>
      <c r="C1625" t="s">
        <v>1150</v>
      </c>
      <c r="D1625" t="s">
        <v>1151</v>
      </c>
      <c r="E1625" t="s">
        <v>427</v>
      </c>
      <c r="F1625" t="s">
        <v>428</v>
      </c>
      <c r="G1625">
        <v>1102091</v>
      </c>
      <c r="H1625">
        <v>202112</v>
      </c>
      <c r="I1625" s="400">
        <v>44560</v>
      </c>
      <c r="J1625" t="s">
        <v>1152</v>
      </c>
      <c r="K1625" t="s">
        <v>386</v>
      </c>
      <c r="L1625" t="s">
        <v>1183</v>
      </c>
      <c r="M1625" t="s">
        <v>1184</v>
      </c>
      <c r="O1625" t="s">
        <v>1185</v>
      </c>
      <c r="P1625" t="s">
        <v>1186</v>
      </c>
      <c r="Q1625" t="s">
        <v>450</v>
      </c>
      <c r="R1625">
        <v>2069194</v>
      </c>
      <c r="S1625" t="s">
        <v>2248</v>
      </c>
      <c r="U1625" t="s">
        <v>2248</v>
      </c>
      <c r="V1625" t="s">
        <v>398</v>
      </c>
      <c r="W1625" s="393">
        <v>4672338.62</v>
      </c>
      <c r="X1625" s="393">
        <v>1161.22</v>
      </c>
      <c r="Y1625" s="393">
        <v>10447.58</v>
      </c>
      <c r="Z1625" s="393">
        <v>4672338.62</v>
      </c>
      <c r="AA1625">
        <v>0</v>
      </c>
      <c r="AB1625" s="400">
        <v>44574.09174059028</v>
      </c>
      <c r="AC1625" t="s">
        <v>321</v>
      </c>
    </row>
    <row r="1626" spans="1:29">
      <c r="A1626" t="s">
        <v>382</v>
      </c>
      <c r="B1626" t="s">
        <v>1214</v>
      </c>
      <c r="C1626" t="s">
        <v>1150</v>
      </c>
      <c r="D1626" t="s">
        <v>1151</v>
      </c>
      <c r="E1626" t="s">
        <v>427</v>
      </c>
      <c r="F1626" t="s">
        <v>428</v>
      </c>
      <c r="G1626">
        <v>1102091</v>
      </c>
      <c r="H1626">
        <v>202112</v>
      </c>
      <c r="I1626" s="400">
        <v>44560</v>
      </c>
      <c r="J1626" t="s">
        <v>1152</v>
      </c>
      <c r="K1626" t="s">
        <v>386</v>
      </c>
      <c r="L1626" t="s">
        <v>1215</v>
      </c>
      <c r="M1626" t="s">
        <v>1216</v>
      </c>
      <c r="O1626" t="s">
        <v>1217</v>
      </c>
      <c r="P1626" t="s">
        <v>1218</v>
      </c>
      <c r="Q1626" t="s">
        <v>450</v>
      </c>
      <c r="R1626">
        <v>2069189</v>
      </c>
      <c r="S1626" t="s">
        <v>2248</v>
      </c>
      <c r="U1626" t="s">
        <v>2248</v>
      </c>
      <c r="V1626" t="s">
        <v>398</v>
      </c>
      <c r="W1626" s="393">
        <v>5888732.7300000004</v>
      </c>
      <c r="X1626" s="393">
        <v>1463.53</v>
      </c>
      <c r="Y1626" s="393">
        <v>13167.5</v>
      </c>
      <c r="Z1626" s="393">
        <v>5888732.7300000004</v>
      </c>
      <c r="AA1626">
        <v>0</v>
      </c>
      <c r="AB1626" s="400">
        <v>44574.09174059028</v>
      </c>
      <c r="AC1626" t="s">
        <v>321</v>
      </c>
    </row>
    <row r="1627" spans="1:29">
      <c r="A1627" t="s">
        <v>382</v>
      </c>
      <c r="B1627" t="s">
        <v>440</v>
      </c>
      <c r="C1627" t="s">
        <v>1150</v>
      </c>
      <c r="D1627" t="s">
        <v>1151</v>
      </c>
      <c r="E1627" t="s">
        <v>427</v>
      </c>
      <c r="F1627" t="s">
        <v>428</v>
      </c>
      <c r="G1627">
        <v>1102091</v>
      </c>
      <c r="H1627">
        <v>202112</v>
      </c>
      <c r="I1627" s="400">
        <v>44560</v>
      </c>
      <c r="J1627" t="s">
        <v>1152</v>
      </c>
      <c r="K1627" t="s">
        <v>386</v>
      </c>
      <c r="L1627" t="s">
        <v>1195</v>
      </c>
      <c r="M1627" t="s">
        <v>1196</v>
      </c>
      <c r="O1627" t="s">
        <v>1197</v>
      </c>
      <c r="P1627" t="s">
        <v>1198</v>
      </c>
      <c r="Q1627" t="s">
        <v>450</v>
      </c>
      <c r="R1627">
        <v>2069187</v>
      </c>
      <c r="S1627" t="s">
        <v>2248</v>
      </c>
      <c r="U1627" t="s">
        <v>2248</v>
      </c>
      <c r="V1627" t="s">
        <v>398</v>
      </c>
      <c r="W1627" s="393">
        <v>5034408.87</v>
      </c>
      <c r="X1627" s="393">
        <v>1251.2</v>
      </c>
      <c r="Y1627" s="393">
        <v>11257.19</v>
      </c>
      <c r="Z1627" s="393">
        <v>5034408.87</v>
      </c>
      <c r="AA1627">
        <v>0</v>
      </c>
      <c r="AB1627" s="400">
        <v>44574.09174059028</v>
      </c>
      <c r="AC1627" t="s">
        <v>321</v>
      </c>
    </row>
    <row r="1628" spans="1:29">
      <c r="A1628" t="s">
        <v>382</v>
      </c>
      <c r="B1628" t="s">
        <v>440</v>
      </c>
      <c r="C1628" t="s">
        <v>1150</v>
      </c>
      <c r="D1628" t="s">
        <v>1151</v>
      </c>
      <c r="E1628" t="s">
        <v>427</v>
      </c>
      <c r="F1628" t="s">
        <v>428</v>
      </c>
      <c r="G1628">
        <v>1102091</v>
      </c>
      <c r="H1628">
        <v>202112</v>
      </c>
      <c r="I1628" s="400">
        <v>44560</v>
      </c>
      <c r="J1628" t="s">
        <v>1152</v>
      </c>
      <c r="K1628" t="s">
        <v>386</v>
      </c>
      <c r="L1628" t="s">
        <v>1199</v>
      </c>
      <c r="M1628" t="s">
        <v>1200</v>
      </c>
      <c r="O1628" t="s">
        <v>1201</v>
      </c>
      <c r="P1628" t="s">
        <v>1202</v>
      </c>
      <c r="Q1628" t="s">
        <v>450</v>
      </c>
      <c r="R1628">
        <v>2069156</v>
      </c>
      <c r="S1628" t="s">
        <v>2248</v>
      </c>
      <c r="U1628" t="s">
        <v>2248</v>
      </c>
      <c r="V1628" t="s">
        <v>398</v>
      </c>
      <c r="W1628" s="393">
        <v>1588232.33</v>
      </c>
      <c r="X1628" s="393">
        <v>394.72</v>
      </c>
      <c r="Y1628" s="393">
        <v>3551.37</v>
      </c>
      <c r="Z1628" s="393">
        <v>1588232.33</v>
      </c>
      <c r="AA1628">
        <v>0</v>
      </c>
      <c r="AB1628" s="400">
        <v>44574.09174059028</v>
      </c>
      <c r="AC1628" t="s">
        <v>321</v>
      </c>
    </row>
    <row r="1629" spans="1:29">
      <c r="A1629" t="s">
        <v>382</v>
      </c>
      <c r="B1629" t="s">
        <v>440</v>
      </c>
      <c r="C1629" t="s">
        <v>2252</v>
      </c>
      <c r="D1629" t="s">
        <v>2253</v>
      </c>
      <c r="E1629" t="s">
        <v>390</v>
      </c>
      <c r="F1629" t="s">
        <v>391</v>
      </c>
      <c r="G1629">
        <v>6102324</v>
      </c>
      <c r="H1629">
        <v>202110</v>
      </c>
      <c r="I1629" s="400">
        <v>44473</v>
      </c>
      <c r="J1629">
        <v>125062</v>
      </c>
      <c r="K1629" t="s">
        <v>386</v>
      </c>
      <c r="M1629" t="s">
        <v>387</v>
      </c>
      <c r="O1629" t="s">
        <v>2254</v>
      </c>
      <c r="P1629" t="s">
        <v>2255</v>
      </c>
      <c r="Q1629" t="s">
        <v>450</v>
      </c>
      <c r="R1629">
        <v>2069116</v>
      </c>
      <c r="S1629" t="s">
        <v>387</v>
      </c>
      <c r="U1629" t="s">
        <v>2256</v>
      </c>
      <c r="V1629" t="s">
        <v>398</v>
      </c>
      <c r="W1629" s="393">
        <v>4859972</v>
      </c>
      <c r="X1629" s="393">
        <v>1267.3800000000001</v>
      </c>
      <c r="Y1629" s="393">
        <v>11020.28</v>
      </c>
      <c r="Z1629" s="393">
        <v>4859972</v>
      </c>
      <c r="AA1629">
        <v>312</v>
      </c>
      <c r="AB1629" s="400">
        <v>44483.802827581021</v>
      </c>
      <c r="AC1629" t="s">
        <v>324</v>
      </c>
    </row>
    <row r="1630" spans="1:29">
      <c r="A1630" t="s">
        <v>382</v>
      </c>
      <c r="B1630" t="s">
        <v>440</v>
      </c>
      <c r="C1630" t="s">
        <v>2252</v>
      </c>
      <c r="D1630" t="s">
        <v>2253</v>
      </c>
      <c r="E1630" t="s">
        <v>390</v>
      </c>
      <c r="F1630" t="s">
        <v>391</v>
      </c>
      <c r="G1630">
        <v>6102848</v>
      </c>
      <c r="H1630">
        <v>202111</v>
      </c>
      <c r="I1630" s="400">
        <v>44505</v>
      </c>
      <c r="J1630">
        <v>125062</v>
      </c>
      <c r="K1630" t="s">
        <v>386</v>
      </c>
      <c r="M1630" t="s">
        <v>387</v>
      </c>
      <c r="O1630" t="s">
        <v>2257</v>
      </c>
      <c r="P1630" t="s">
        <v>2258</v>
      </c>
      <c r="Q1630" t="s">
        <v>450</v>
      </c>
      <c r="R1630">
        <v>2069116</v>
      </c>
      <c r="S1630" t="s">
        <v>387</v>
      </c>
      <c r="U1630" t="s">
        <v>2259</v>
      </c>
      <c r="V1630" t="s">
        <v>398</v>
      </c>
      <c r="W1630" s="393">
        <v>1950000</v>
      </c>
      <c r="X1630" s="393">
        <v>508.09</v>
      </c>
      <c r="Y1630" s="393">
        <v>4324.92</v>
      </c>
      <c r="Z1630" s="393">
        <v>1950000</v>
      </c>
      <c r="AA1630">
        <v>312</v>
      </c>
      <c r="AB1630" s="400">
        <v>44521.575288738422</v>
      </c>
      <c r="AC1630" t="s">
        <v>324</v>
      </c>
    </row>
    <row r="1631" spans="1:29">
      <c r="A1631" t="s">
        <v>382</v>
      </c>
      <c r="B1631" t="s">
        <v>440</v>
      </c>
      <c r="C1631" t="s">
        <v>2252</v>
      </c>
      <c r="D1631" t="s">
        <v>2253</v>
      </c>
      <c r="E1631" t="s">
        <v>390</v>
      </c>
      <c r="F1631" t="s">
        <v>391</v>
      </c>
      <c r="G1631">
        <v>6102846</v>
      </c>
      <c r="H1631">
        <v>202111</v>
      </c>
      <c r="I1631" s="400">
        <v>44504</v>
      </c>
      <c r="J1631">
        <v>125062</v>
      </c>
      <c r="K1631" t="s">
        <v>386</v>
      </c>
      <c r="M1631" t="s">
        <v>387</v>
      </c>
      <c r="O1631" t="s">
        <v>2254</v>
      </c>
      <c r="P1631" t="s">
        <v>2255</v>
      </c>
      <c r="Q1631" t="s">
        <v>450</v>
      </c>
      <c r="R1631">
        <v>2069116</v>
      </c>
      <c r="S1631" t="s">
        <v>387</v>
      </c>
      <c r="U1631" t="s">
        <v>2260</v>
      </c>
      <c r="V1631" t="s">
        <v>398</v>
      </c>
      <c r="W1631" s="393">
        <v>1950000</v>
      </c>
      <c r="X1631" s="393">
        <v>508.09</v>
      </c>
      <c r="Y1631" s="393">
        <v>4324.92</v>
      </c>
      <c r="Z1631" s="393">
        <v>1950000</v>
      </c>
      <c r="AA1631">
        <v>312</v>
      </c>
      <c r="AB1631" s="400">
        <v>44521.565929201388</v>
      </c>
      <c r="AC1631" t="s">
        <v>324</v>
      </c>
    </row>
    <row r="1632" spans="1:29">
      <c r="A1632" t="s">
        <v>382</v>
      </c>
      <c r="B1632" t="s">
        <v>440</v>
      </c>
      <c r="C1632" t="s">
        <v>2252</v>
      </c>
      <c r="D1632" t="s">
        <v>2253</v>
      </c>
      <c r="E1632" t="s">
        <v>390</v>
      </c>
      <c r="F1632" t="s">
        <v>391</v>
      </c>
      <c r="G1632">
        <v>6103192</v>
      </c>
      <c r="H1632">
        <v>202112</v>
      </c>
      <c r="I1632" s="400">
        <v>44533</v>
      </c>
      <c r="J1632">
        <v>124932</v>
      </c>
      <c r="K1632" t="s">
        <v>386</v>
      </c>
      <c r="M1632" t="s">
        <v>387</v>
      </c>
      <c r="O1632" t="s">
        <v>2254</v>
      </c>
      <c r="P1632" t="s">
        <v>2255</v>
      </c>
      <c r="Q1632" t="s">
        <v>450</v>
      </c>
      <c r="R1632">
        <v>2069116</v>
      </c>
      <c r="S1632" t="s">
        <v>387</v>
      </c>
      <c r="U1632" t="s">
        <v>2261</v>
      </c>
      <c r="V1632" t="s">
        <v>398</v>
      </c>
      <c r="W1632" s="393">
        <v>1950000</v>
      </c>
      <c r="X1632" s="393">
        <v>493.27</v>
      </c>
      <c r="Y1632" s="393">
        <v>4377.5</v>
      </c>
      <c r="Z1632" s="393">
        <v>1950000</v>
      </c>
      <c r="AA1632">
        <v>312</v>
      </c>
      <c r="AB1632" s="400">
        <v>44546.716735335649</v>
      </c>
      <c r="AC1632" t="s">
        <v>324</v>
      </c>
    </row>
    <row r="1633" spans="1:29">
      <c r="A1633" t="s">
        <v>382</v>
      </c>
      <c r="B1633" t="s">
        <v>440</v>
      </c>
      <c r="C1633" t="s">
        <v>2252</v>
      </c>
      <c r="D1633" t="s">
        <v>2253</v>
      </c>
      <c r="E1633" t="s">
        <v>390</v>
      </c>
      <c r="F1633" t="s">
        <v>391</v>
      </c>
      <c r="G1633">
        <v>6103190</v>
      </c>
      <c r="H1633">
        <v>202112</v>
      </c>
      <c r="I1633" s="400">
        <v>44533</v>
      </c>
      <c r="J1633">
        <v>124932</v>
      </c>
      <c r="K1633" t="s">
        <v>386</v>
      </c>
      <c r="M1633" t="s">
        <v>387</v>
      </c>
      <c r="O1633" t="s">
        <v>2257</v>
      </c>
      <c r="P1633" t="s">
        <v>2258</v>
      </c>
      <c r="Q1633" t="s">
        <v>450</v>
      </c>
      <c r="R1633">
        <v>2069116</v>
      </c>
      <c r="S1633" t="s">
        <v>387</v>
      </c>
      <c r="U1633" t="s">
        <v>2262</v>
      </c>
      <c r="V1633" t="s">
        <v>398</v>
      </c>
      <c r="W1633" s="393">
        <v>1950000</v>
      </c>
      <c r="X1633" s="393">
        <v>493.27</v>
      </c>
      <c r="Y1633" s="393">
        <v>4377.5</v>
      </c>
      <c r="Z1633" s="393">
        <v>1950000</v>
      </c>
      <c r="AA1633">
        <v>312</v>
      </c>
      <c r="AB1633" s="400">
        <v>44546.695701851851</v>
      </c>
      <c r="AC1633" t="s">
        <v>324</v>
      </c>
    </row>
    <row r="1634" spans="1:29">
      <c r="A1634" t="s">
        <v>382</v>
      </c>
      <c r="B1634" t="s">
        <v>440</v>
      </c>
      <c r="C1634" t="s">
        <v>2263</v>
      </c>
      <c r="D1634" t="s">
        <v>2264</v>
      </c>
      <c r="E1634" t="s">
        <v>390</v>
      </c>
      <c r="F1634" t="s">
        <v>391</v>
      </c>
      <c r="G1634">
        <v>6102485</v>
      </c>
      <c r="H1634">
        <v>202110</v>
      </c>
      <c r="I1634" s="400">
        <v>44490</v>
      </c>
      <c r="J1634">
        <v>125062</v>
      </c>
      <c r="K1634" t="s">
        <v>386</v>
      </c>
      <c r="M1634" t="s">
        <v>387</v>
      </c>
      <c r="O1634" t="s">
        <v>2265</v>
      </c>
      <c r="P1634" t="s">
        <v>2266</v>
      </c>
      <c r="Q1634" t="s">
        <v>450</v>
      </c>
      <c r="R1634">
        <v>2069113</v>
      </c>
      <c r="S1634" t="s">
        <v>387</v>
      </c>
      <c r="U1634" t="s">
        <v>2267</v>
      </c>
      <c r="V1634" t="s">
        <v>398</v>
      </c>
      <c r="W1634" s="393">
        <v>65849</v>
      </c>
      <c r="X1634" s="393">
        <v>17.46</v>
      </c>
      <c r="Y1634" s="393">
        <v>151.68</v>
      </c>
      <c r="Z1634" s="393">
        <v>65849</v>
      </c>
      <c r="AA1634">
        <v>0</v>
      </c>
      <c r="AB1634" s="400">
        <v>44499.654435729164</v>
      </c>
      <c r="AC1634" t="s">
        <v>324</v>
      </c>
    </row>
    <row r="1635" spans="1:29">
      <c r="A1635" t="s">
        <v>382</v>
      </c>
      <c r="B1635" t="s">
        <v>440</v>
      </c>
      <c r="C1635" t="s">
        <v>2263</v>
      </c>
      <c r="D1635" t="s">
        <v>2264</v>
      </c>
      <c r="E1635" t="s">
        <v>390</v>
      </c>
      <c r="F1635" t="s">
        <v>391</v>
      </c>
      <c r="G1635">
        <v>6102932</v>
      </c>
      <c r="H1635">
        <v>202111</v>
      </c>
      <c r="I1635" s="400">
        <v>44523</v>
      </c>
      <c r="J1635">
        <v>125062</v>
      </c>
      <c r="K1635" t="s">
        <v>386</v>
      </c>
      <c r="M1635" t="s">
        <v>387</v>
      </c>
      <c r="O1635" t="s">
        <v>2265</v>
      </c>
      <c r="P1635" t="s">
        <v>2266</v>
      </c>
      <c r="Q1635" t="s">
        <v>450</v>
      </c>
      <c r="R1635">
        <v>2069113</v>
      </c>
      <c r="S1635" t="s">
        <v>387</v>
      </c>
      <c r="U1635" t="s">
        <v>2268</v>
      </c>
      <c r="V1635" t="s">
        <v>398</v>
      </c>
      <c r="W1635" s="393">
        <v>66095</v>
      </c>
      <c r="X1635" s="393">
        <v>16.91</v>
      </c>
      <c r="Y1635" s="393">
        <v>145.03</v>
      </c>
      <c r="Z1635" s="393">
        <v>66095</v>
      </c>
      <c r="AA1635">
        <v>0</v>
      </c>
      <c r="AB1635" s="400">
        <v>44527.760778784723</v>
      </c>
      <c r="AC1635" t="s">
        <v>324</v>
      </c>
    </row>
    <row r="1636" spans="1:29">
      <c r="A1636" t="s">
        <v>382</v>
      </c>
      <c r="B1636" t="s">
        <v>440</v>
      </c>
      <c r="C1636" t="s">
        <v>2263</v>
      </c>
      <c r="D1636" t="s">
        <v>2264</v>
      </c>
      <c r="E1636" t="s">
        <v>390</v>
      </c>
      <c r="F1636" t="s">
        <v>391</v>
      </c>
      <c r="G1636">
        <v>6103296</v>
      </c>
      <c r="H1636">
        <v>202112</v>
      </c>
      <c r="I1636" s="400">
        <v>44547</v>
      </c>
      <c r="J1636">
        <v>124932</v>
      </c>
      <c r="K1636" t="s">
        <v>386</v>
      </c>
      <c r="M1636" t="s">
        <v>387</v>
      </c>
      <c r="O1636" t="s">
        <v>2265</v>
      </c>
      <c r="P1636" t="s">
        <v>2266</v>
      </c>
      <c r="Q1636" t="s">
        <v>450</v>
      </c>
      <c r="R1636">
        <v>2069113</v>
      </c>
      <c r="S1636" t="s">
        <v>387</v>
      </c>
      <c r="U1636" t="s">
        <v>2269</v>
      </c>
      <c r="V1636" t="s">
        <v>398</v>
      </c>
      <c r="W1636" s="393">
        <v>63238</v>
      </c>
      <c r="X1636" s="393">
        <v>15.85</v>
      </c>
      <c r="Y1636" s="393">
        <v>142.93</v>
      </c>
      <c r="Z1636" s="393">
        <v>63238</v>
      </c>
      <c r="AA1636">
        <v>0</v>
      </c>
      <c r="AB1636" s="400">
        <v>44550.912524270832</v>
      </c>
      <c r="AC1636" t="s">
        <v>324</v>
      </c>
    </row>
    <row r="1637" spans="1:29">
      <c r="A1637" t="s">
        <v>382</v>
      </c>
      <c r="B1637" t="s">
        <v>440</v>
      </c>
      <c r="C1637" t="s">
        <v>2270</v>
      </c>
      <c r="D1637" t="s">
        <v>2271</v>
      </c>
      <c r="E1637" t="s">
        <v>390</v>
      </c>
      <c r="F1637" t="s">
        <v>391</v>
      </c>
      <c r="G1637">
        <v>6102485</v>
      </c>
      <c r="H1637">
        <v>202110</v>
      </c>
      <c r="I1637" s="400">
        <v>44490</v>
      </c>
      <c r="J1637">
        <v>125062</v>
      </c>
      <c r="K1637" t="s">
        <v>386</v>
      </c>
      <c r="M1637" t="s">
        <v>387</v>
      </c>
      <c r="O1637" t="s">
        <v>2265</v>
      </c>
      <c r="P1637" t="s">
        <v>2266</v>
      </c>
      <c r="Q1637" t="s">
        <v>450</v>
      </c>
      <c r="R1637">
        <v>2069111</v>
      </c>
      <c r="S1637" t="s">
        <v>387</v>
      </c>
      <c r="U1637" t="s">
        <v>2267</v>
      </c>
      <c r="V1637" t="s">
        <v>398</v>
      </c>
      <c r="W1637" s="393">
        <v>67614</v>
      </c>
      <c r="X1637" s="393">
        <v>17.93</v>
      </c>
      <c r="Y1637" s="393">
        <v>155.75</v>
      </c>
      <c r="Z1637" s="393">
        <v>67614</v>
      </c>
      <c r="AA1637">
        <v>0</v>
      </c>
      <c r="AB1637" s="400">
        <v>44499.654435729164</v>
      </c>
      <c r="AC1637" t="s">
        <v>324</v>
      </c>
    </row>
    <row r="1638" spans="1:29">
      <c r="A1638" t="s">
        <v>382</v>
      </c>
      <c r="B1638" t="s">
        <v>440</v>
      </c>
      <c r="C1638" t="s">
        <v>2270</v>
      </c>
      <c r="D1638" t="s">
        <v>2271</v>
      </c>
      <c r="E1638" t="s">
        <v>390</v>
      </c>
      <c r="F1638" t="s">
        <v>391</v>
      </c>
      <c r="G1638">
        <v>6102932</v>
      </c>
      <c r="H1638">
        <v>202111</v>
      </c>
      <c r="I1638" s="400">
        <v>44523</v>
      </c>
      <c r="J1638">
        <v>125062</v>
      </c>
      <c r="K1638" t="s">
        <v>386</v>
      </c>
      <c r="M1638" t="s">
        <v>387</v>
      </c>
      <c r="O1638" t="s">
        <v>2265</v>
      </c>
      <c r="P1638" t="s">
        <v>2266</v>
      </c>
      <c r="Q1638" t="s">
        <v>450</v>
      </c>
      <c r="R1638">
        <v>2069111</v>
      </c>
      <c r="S1638" t="s">
        <v>387</v>
      </c>
      <c r="U1638" t="s">
        <v>2272</v>
      </c>
      <c r="V1638" t="s">
        <v>398</v>
      </c>
      <c r="W1638" s="393">
        <v>124459</v>
      </c>
      <c r="X1638" s="393">
        <v>31.85</v>
      </c>
      <c r="Y1638" s="393">
        <v>273.10000000000002</v>
      </c>
      <c r="Z1638" s="393">
        <v>124459</v>
      </c>
      <c r="AA1638">
        <v>0</v>
      </c>
      <c r="AB1638" s="400">
        <v>44527.760778784723</v>
      </c>
      <c r="AC1638" t="s">
        <v>324</v>
      </c>
    </row>
    <row r="1639" spans="1:29">
      <c r="A1639" t="s">
        <v>382</v>
      </c>
      <c r="B1639" t="s">
        <v>440</v>
      </c>
      <c r="C1639" t="s">
        <v>2270</v>
      </c>
      <c r="D1639" t="s">
        <v>2271</v>
      </c>
      <c r="E1639" t="s">
        <v>390</v>
      </c>
      <c r="F1639" t="s">
        <v>391</v>
      </c>
      <c r="G1639">
        <v>6103296</v>
      </c>
      <c r="H1639">
        <v>202112</v>
      </c>
      <c r="I1639" s="400">
        <v>44547</v>
      </c>
      <c r="J1639">
        <v>124932</v>
      </c>
      <c r="K1639" t="s">
        <v>386</v>
      </c>
      <c r="M1639" t="s">
        <v>387</v>
      </c>
      <c r="O1639" t="s">
        <v>2265</v>
      </c>
      <c r="P1639" t="s">
        <v>2266</v>
      </c>
      <c r="Q1639" t="s">
        <v>450</v>
      </c>
      <c r="R1639">
        <v>2069111</v>
      </c>
      <c r="S1639" t="s">
        <v>387</v>
      </c>
      <c r="U1639" t="s">
        <v>2273</v>
      </c>
      <c r="V1639" t="s">
        <v>398</v>
      </c>
      <c r="W1639" s="393">
        <v>168853</v>
      </c>
      <c r="X1639" s="393">
        <v>42.32</v>
      </c>
      <c r="Y1639" s="393">
        <v>381.63</v>
      </c>
      <c r="Z1639" s="393">
        <v>168853</v>
      </c>
      <c r="AA1639">
        <v>0</v>
      </c>
      <c r="AB1639" s="400">
        <v>44550.912524270832</v>
      </c>
      <c r="AC1639" t="s">
        <v>324</v>
      </c>
    </row>
    <row r="1640" spans="1:29">
      <c r="A1640" t="s">
        <v>382</v>
      </c>
      <c r="B1640" t="s">
        <v>440</v>
      </c>
      <c r="C1640" t="s">
        <v>2274</v>
      </c>
      <c r="D1640" t="s">
        <v>2275</v>
      </c>
      <c r="E1640" t="s">
        <v>390</v>
      </c>
      <c r="F1640" t="s">
        <v>391</v>
      </c>
      <c r="G1640">
        <v>6102325</v>
      </c>
      <c r="H1640">
        <v>202110</v>
      </c>
      <c r="I1640" s="400">
        <v>44477</v>
      </c>
      <c r="J1640">
        <v>125062</v>
      </c>
      <c r="K1640" t="s">
        <v>386</v>
      </c>
      <c r="M1640" t="s">
        <v>387</v>
      </c>
      <c r="O1640" t="s">
        <v>2276</v>
      </c>
      <c r="P1640" t="s">
        <v>2277</v>
      </c>
      <c r="Q1640" t="s">
        <v>450</v>
      </c>
      <c r="R1640">
        <v>2426426</v>
      </c>
      <c r="S1640" t="s">
        <v>387</v>
      </c>
      <c r="U1640" t="s">
        <v>2278</v>
      </c>
      <c r="V1640" t="s">
        <v>398</v>
      </c>
      <c r="W1640" s="393">
        <v>3192</v>
      </c>
      <c r="X1640" s="393">
        <v>0.84</v>
      </c>
      <c r="Y1640" s="393">
        <v>7.29</v>
      </c>
      <c r="Z1640" s="393">
        <v>3192</v>
      </c>
      <c r="AA1640">
        <v>0</v>
      </c>
      <c r="AB1640" s="400">
        <v>44483.831649074076</v>
      </c>
      <c r="AC1640" t="s">
        <v>324</v>
      </c>
    </row>
    <row r="1641" spans="1:29">
      <c r="A1641" t="s">
        <v>382</v>
      </c>
      <c r="B1641" t="s">
        <v>440</v>
      </c>
      <c r="C1641" t="s">
        <v>2274</v>
      </c>
      <c r="D1641" t="s">
        <v>2275</v>
      </c>
      <c r="E1641" t="s">
        <v>390</v>
      </c>
      <c r="F1641" t="s">
        <v>391</v>
      </c>
      <c r="G1641">
        <v>6102921</v>
      </c>
      <c r="H1641">
        <v>202111</v>
      </c>
      <c r="I1641" s="400">
        <v>44520</v>
      </c>
      <c r="J1641">
        <v>125062</v>
      </c>
      <c r="K1641" t="s">
        <v>386</v>
      </c>
      <c r="M1641" t="s">
        <v>387</v>
      </c>
      <c r="O1641" t="s">
        <v>2276</v>
      </c>
      <c r="P1641" t="s">
        <v>2277</v>
      </c>
      <c r="Q1641" t="s">
        <v>450</v>
      </c>
      <c r="R1641">
        <v>2426426</v>
      </c>
      <c r="S1641" t="s">
        <v>387</v>
      </c>
      <c r="U1641" t="s">
        <v>2279</v>
      </c>
      <c r="V1641" t="s">
        <v>398</v>
      </c>
      <c r="W1641" s="393">
        <v>3192</v>
      </c>
      <c r="X1641" s="393">
        <v>0.82</v>
      </c>
      <c r="Y1641" s="393">
        <v>7</v>
      </c>
      <c r="Z1641" s="393">
        <v>3192</v>
      </c>
      <c r="AA1641">
        <v>0</v>
      </c>
      <c r="AB1641" s="400">
        <v>44525.588574270834</v>
      </c>
      <c r="AC1641" t="s">
        <v>324</v>
      </c>
    </row>
    <row r="1642" spans="1:29">
      <c r="A1642" t="s">
        <v>382</v>
      </c>
      <c r="B1642" t="s">
        <v>1214</v>
      </c>
      <c r="C1642" t="s">
        <v>2274</v>
      </c>
      <c r="D1642" t="s">
        <v>2275</v>
      </c>
      <c r="E1642" t="s">
        <v>390</v>
      </c>
      <c r="F1642" t="s">
        <v>391</v>
      </c>
      <c r="G1642">
        <v>6103531</v>
      </c>
      <c r="H1642">
        <v>202112</v>
      </c>
      <c r="I1642" s="400">
        <v>44561</v>
      </c>
      <c r="J1642">
        <v>119010</v>
      </c>
      <c r="K1642" t="s">
        <v>386</v>
      </c>
      <c r="M1642" t="s">
        <v>387</v>
      </c>
      <c r="O1642" t="s">
        <v>2280</v>
      </c>
      <c r="P1642" t="s">
        <v>2281</v>
      </c>
      <c r="Q1642" t="s">
        <v>450</v>
      </c>
      <c r="R1642">
        <v>2426426</v>
      </c>
      <c r="S1642" t="s">
        <v>387</v>
      </c>
      <c r="U1642" t="s">
        <v>2282</v>
      </c>
      <c r="V1642" t="s">
        <v>398</v>
      </c>
      <c r="W1642" s="393">
        <v>2679000</v>
      </c>
      <c r="X1642" s="393">
        <v>677.68</v>
      </c>
      <c r="Y1642" s="393">
        <v>6014.01</v>
      </c>
      <c r="Z1642" s="393">
        <v>2679000</v>
      </c>
      <c r="AA1642">
        <v>0</v>
      </c>
      <c r="AB1642" s="400">
        <v>44575.987570173609</v>
      </c>
      <c r="AC1642" t="s">
        <v>324</v>
      </c>
    </row>
    <row r="1643" spans="1:29">
      <c r="A1643" t="s">
        <v>382</v>
      </c>
      <c r="B1643" t="s">
        <v>1214</v>
      </c>
      <c r="C1643" t="s">
        <v>2274</v>
      </c>
      <c r="D1643" t="s">
        <v>2275</v>
      </c>
      <c r="E1643" t="s">
        <v>390</v>
      </c>
      <c r="F1643" t="s">
        <v>391</v>
      </c>
      <c r="G1643">
        <v>6103531</v>
      </c>
      <c r="H1643">
        <v>202112</v>
      </c>
      <c r="I1643" s="400">
        <v>44561</v>
      </c>
      <c r="J1643">
        <v>119010</v>
      </c>
      <c r="K1643" t="s">
        <v>386</v>
      </c>
      <c r="M1643" t="s">
        <v>387</v>
      </c>
      <c r="O1643" t="s">
        <v>2280</v>
      </c>
      <c r="P1643" t="s">
        <v>2281</v>
      </c>
      <c r="Q1643" t="s">
        <v>450</v>
      </c>
      <c r="R1643">
        <v>2426426</v>
      </c>
      <c r="S1643" t="s">
        <v>387</v>
      </c>
      <c r="U1643" t="s">
        <v>2283</v>
      </c>
      <c r="V1643" t="s">
        <v>398</v>
      </c>
      <c r="W1643" s="393">
        <v>1806919</v>
      </c>
      <c r="X1643" s="393">
        <v>457.08</v>
      </c>
      <c r="Y1643" s="393">
        <v>4056.3</v>
      </c>
      <c r="Z1643" s="393">
        <v>1806919</v>
      </c>
      <c r="AA1643">
        <v>0</v>
      </c>
      <c r="AB1643" s="400">
        <v>44575.987570173609</v>
      </c>
      <c r="AC1643" t="s">
        <v>324</v>
      </c>
    </row>
    <row r="1644" spans="1:29">
      <c r="A1644" t="s">
        <v>382</v>
      </c>
      <c r="B1644" t="s">
        <v>440</v>
      </c>
      <c r="C1644" t="s">
        <v>2274</v>
      </c>
      <c r="D1644" t="s">
        <v>2275</v>
      </c>
      <c r="E1644" t="s">
        <v>390</v>
      </c>
      <c r="F1644" t="s">
        <v>391</v>
      </c>
      <c r="G1644">
        <v>6103428</v>
      </c>
      <c r="H1644">
        <v>202112</v>
      </c>
      <c r="I1644" s="400">
        <v>44553</v>
      </c>
      <c r="J1644">
        <v>124932</v>
      </c>
      <c r="K1644" t="s">
        <v>386</v>
      </c>
      <c r="M1644" t="s">
        <v>387</v>
      </c>
      <c r="O1644" t="s">
        <v>2276</v>
      </c>
      <c r="P1644" t="s">
        <v>2277</v>
      </c>
      <c r="Q1644" t="s">
        <v>450</v>
      </c>
      <c r="R1644">
        <v>2426426</v>
      </c>
      <c r="S1644" t="s">
        <v>387</v>
      </c>
      <c r="U1644" t="s">
        <v>2284</v>
      </c>
      <c r="V1644" t="s">
        <v>398</v>
      </c>
      <c r="W1644" s="393">
        <v>3192</v>
      </c>
      <c r="X1644" s="393">
        <v>0.8</v>
      </c>
      <c r="Y1644" s="393">
        <v>7.18</v>
      </c>
      <c r="Z1644" s="393">
        <v>3192</v>
      </c>
      <c r="AA1644">
        <v>0</v>
      </c>
      <c r="AB1644" s="400">
        <v>44564.818108761574</v>
      </c>
      <c r="AC1644" t="s">
        <v>324</v>
      </c>
    </row>
    <row r="1645" spans="1:29">
      <c r="A1645" t="s">
        <v>382</v>
      </c>
      <c r="B1645" t="s">
        <v>440</v>
      </c>
      <c r="C1645" t="s">
        <v>2274</v>
      </c>
      <c r="D1645" t="s">
        <v>2275</v>
      </c>
      <c r="E1645" t="s">
        <v>390</v>
      </c>
      <c r="F1645" t="s">
        <v>391</v>
      </c>
      <c r="G1645">
        <v>6103475</v>
      </c>
      <c r="H1645">
        <v>202112</v>
      </c>
      <c r="I1645" s="400">
        <v>44553</v>
      </c>
      <c r="J1645">
        <v>124932</v>
      </c>
      <c r="K1645" t="s">
        <v>386</v>
      </c>
      <c r="M1645" t="s">
        <v>387</v>
      </c>
      <c r="O1645" t="s">
        <v>2276</v>
      </c>
      <c r="P1645" t="s">
        <v>2277</v>
      </c>
      <c r="Q1645" t="s">
        <v>450</v>
      </c>
      <c r="R1645">
        <v>2426426</v>
      </c>
      <c r="S1645" t="s">
        <v>387</v>
      </c>
      <c r="U1645" t="s">
        <v>2285</v>
      </c>
      <c r="V1645" t="s">
        <v>398</v>
      </c>
      <c r="W1645" s="393">
        <v>-3192</v>
      </c>
      <c r="X1645" s="393">
        <v>-0.8</v>
      </c>
      <c r="Y1645" s="393">
        <v>-7.18</v>
      </c>
      <c r="Z1645" s="393">
        <v>-3192</v>
      </c>
      <c r="AA1645">
        <v>0</v>
      </c>
      <c r="AB1645" s="400">
        <v>44566.872969328702</v>
      </c>
      <c r="AC1645" t="s">
        <v>324</v>
      </c>
    </row>
    <row r="1646" spans="1:29">
      <c r="A1646" t="s">
        <v>382</v>
      </c>
      <c r="B1646" t="s">
        <v>440</v>
      </c>
      <c r="C1646" t="s">
        <v>2274</v>
      </c>
      <c r="D1646" t="s">
        <v>2286</v>
      </c>
      <c r="E1646" t="s">
        <v>390</v>
      </c>
      <c r="F1646" t="s">
        <v>391</v>
      </c>
      <c r="G1646">
        <v>6102682</v>
      </c>
      <c r="H1646">
        <v>202110</v>
      </c>
      <c r="I1646" s="400">
        <v>44495</v>
      </c>
      <c r="J1646">
        <v>122536</v>
      </c>
      <c r="K1646" t="s">
        <v>386</v>
      </c>
      <c r="M1646" t="s">
        <v>387</v>
      </c>
      <c r="O1646" t="s">
        <v>2287</v>
      </c>
      <c r="P1646" t="s">
        <v>2288</v>
      </c>
      <c r="Q1646" t="s">
        <v>450</v>
      </c>
      <c r="R1646">
        <v>2426426</v>
      </c>
      <c r="S1646" t="s">
        <v>387</v>
      </c>
      <c r="U1646" t="s">
        <v>2289</v>
      </c>
      <c r="V1646" t="s">
        <v>398</v>
      </c>
      <c r="W1646" s="393">
        <v>335833</v>
      </c>
      <c r="X1646" s="393">
        <v>89.07</v>
      </c>
      <c r="Y1646" s="393">
        <v>773.58</v>
      </c>
      <c r="Z1646" s="393">
        <v>335833</v>
      </c>
      <c r="AA1646">
        <v>0</v>
      </c>
      <c r="AB1646" s="400">
        <v>44503.036685497682</v>
      </c>
      <c r="AC1646" t="s">
        <v>324</v>
      </c>
    </row>
    <row r="1647" spans="1:29">
      <c r="A1647" t="s">
        <v>382</v>
      </c>
      <c r="B1647" t="s">
        <v>440</v>
      </c>
      <c r="C1647" t="s">
        <v>2274</v>
      </c>
      <c r="D1647" t="s">
        <v>2290</v>
      </c>
      <c r="E1647" t="s">
        <v>390</v>
      </c>
      <c r="F1647" t="s">
        <v>391</v>
      </c>
      <c r="G1647">
        <v>6102325</v>
      </c>
      <c r="H1647">
        <v>202110</v>
      </c>
      <c r="I1647" s="400">
        <v>44477</v>
      </c>
      <c r="J1647">
        <v>125062</v>
      </c>
      <c r="K1647" t="s">
        <v>386</v>
      </c>
      <c r="M1647" t="s">
        <v>387</v>
      </c>
      <c r="O1647" t="s">
        <v>2276</v>
      </c>
      <c r="P1647" t="s">
        <v>2277</v>
      </c>
      <c r="Q1647" t="s">
        <v>450</v>
      </c>
      <c r="R1647">
        <v>2426426</v>
      </c>
      <c r="S1647" t="s">
        <v>387</v>
      </c>
      <c r="U1647" t="s">
        <v>2278</v>
      </c>
      <c r="V1647" t="s">
        <v>398</v>
      </c>
      <c r="W1647" s="393">
        <v>28000</v>
      </c>
      <c r="X1647" s="393">
        <v>7.39</v>
      </c>
      <c r="Y1647" s="393">
        <v>63.93</v>
      </c>
      <c r="Z1647" s="393">
        <v>28000</v>
      </c>
      <c r="AA1647">
        <v>183</v>
      </c>
      <c r="AB1647" s="400">
        <v>44483.831648877313</v>
      </c>
      <c r="AC1647" t="s">
        <v>324</v>
      </c>
    </row>
    <row r="1648" spans="1:29">
      <c r="A1648" t="s">
        <v>382</v>
      </c>
      <c r="B1648" t="s">
        <v>440</v>
      </c>
      <c r="C1648" t="s">
        <v>2274</v>
      </c>
      <c r="D1648" t="s">
        <v>2290</v>
      </c>
      <c r="E1648" t="s">
        <v>390</v>
      </c>
      <c r="F1648" t="s">
        <v>391</v>
      </c>
      <c r="G1648">
        <v>6102921</v>
      </c>
      <c r="H1648">
        <v>202111</v>
      </c>
      <c r="I1648" s="400">
        <v>44520</v>
      </c>
      <c r="J1648">
        <v>125062</v>
      </c>
      <c r="K1648" t="s">
        <v>386</v>
      </c>
      <c r="M1648" t="s">
        <v>387</v>
      </c>
      <c r="O1648" t="s">
        <v>2276</v>
      </c>
      <c r="P1648" t="s">
        <v>2277</v>
      </c>
      <c r="Q1648" t="s">
        <v>450</v>
      </c>
      <c r="R1648">
        <v>2426426</v>
      </c>
      <c r="S1648" t="s">
        <v>387</v>
      </c>
      <c r="U1648" t="s">
        <v>2279</v>
      </c>
      <c r="V1648" t="s">
        <v>398</v>
      </c>
      <c r="W1648" s="393">
        <v>28000</v>
      </c>
      <c r="X1648" s="393">
        <v>7.16</v>
      </c>
      <c r="Y1648" s="393">
        <v>61.44</v>
      </c>
      <c r="Z1648" s="393">
        <v>28000</v>
      </c>
      <c r="AA1648">
        <v>183</v>
      </c>
      <c r="AB1648" s="400">
        <v>44525.58857407407</v>
      </c>
      <c r="AC1648" t="s">
        <v>324</v>
      </c>
    </row>
    <row r="1649" spans="1:29">
      <c r="A1649" t="s">
        <v>382</v>
      </c>
      <c r="B1649" t="s">
        <v>1214</v>
      </c>
      <c r="C1649" t="s">
        <v>2274</v>
      </c>
      <c r="D1649" t="s">
        <v>2290</v>
      </c>
      <c r="E1649" t="s">
        <v>390</v>
      </c>
      <c r="F1649" t="s">
        <v>391</v>
      </c>
      <c r="G1649">
        <v>6103531</v>
      </c>
      <c r="H1649">
        <v>202112</v>
      </c>
      <c r="I1649" s="400">
        <v>44561</v>
      </c>
      <c r="J1649">
        <v>119010</v>
      </c>
      <c r="K1649" t="s">
        <v>386</v>
      </c>
      <c r="M1649" t="s">
        <v>387</v>
      </c>
      <c r="O1649" t="s">
        <v>2280</v>
      </c>
      <c r="P1649" t="s">
        <v>2281</v>
      </c>
      <c r="Q1649" t="s">
        <v>450</v>
      </c>
      <c r="R1649">
        <v>2426426</v>
      </c>
      <c r="S1649" t="s">
        <v>387</v>
      </c>
      <c r="U1649" t="s">
        <v>2282</v>
      </c>
      <c r="V1649" t="s">
        <v>398</v>
      </c>
      <c r="W1649" s="393">
        <v>1</v>
      </c>
      <c r="X1649" s="393">
        <v>0</v>
      </c>
      <c r="Y1649" s="393">
        <v>0</v>
      </c>
      <c r="Z1649" s="393">
        <v>1</v>
      </c>
      <c r="AA1649">
        <v>34</v>
      </c>
      <c r="AB1649" s="400">
        <v>44575.987570173609</v>
      </c>
      <c r="AC1649" t="s">
        <v>324</v>
      </c>
    </row>
    <row r="1650" spans="1:29">
      <c r="A1650" t="s">
        <v>382</v>
      </c>
      <c r="B1650" t="s">
        <v>1214</v>
      </c>
      <c r="C1650" t="s">
        <v>2274</v>
      </c>
      <c r="D1650" t="s">
        <v>2290</v>
      </c>
      <c r="E1650" t="s">
        <v>390</v>
      </c>
      <c r="F1650" t="s">
        <v>391</v>
      </c>
      <c r="G1650">
        <v>6103531</v>
      </c>
      <c r="H1650">
        <v>202112</v>
      </c>
      <c r="I1650" s="400">
        <v>44561</v>
      </c>
      <c r="J1650">
        <v>119010</v>
      </c>
      <c r="K1650" t="s">
        <v>386</v>
      </c>
      <c r="M1650" t="s">
        <v>387</v>
      </c>
      <c r="O1650" t="s">
        <v>2280</v>
      </c>
      <c r="P1650" t="s">
        <v>2281</v>
      </c>
      <c r="Q1650" t="s">
        <v>450</v>
      </c>
      <c r="R1650">
        <v>2426426</v>
      </c>
      <c r="S1650" t="s">
        <v>387</v>
      </c>
      <c r="U1650" t="s">
        <v>2282</v>
      </c>
      <c r="V1650" t="s">
        <v>398</v>
      </c>
      <c r="W1650" s="393">
        <v>14100000</v>
      </c>
      <c r="X1650" s="393">
        <v>3566.74</v>
      </c>
      <c r="Y1650" s="393">
        <v>31652.67</v>
      </c>
      <c r="Z1650" s="393">
        <v>14100000</v>
      </c>
      <c r="AA1650">
        <v>34</v>
      </c>
      <c r="AB1650" s="400">
        <v>44575.987570173609</v>
      </c>
      <c r="AC1650" t="s">
        <v>324</v>
      </c>
    </row>
    <row r="1651" spans="1:29">
      <c r="A1651" t="s">
        <v>382</v>
      </c>
      <c r="B1651" t="s">
        <v>1214</v>
      </c>
      <c r="C1651" t="s">
        <v>2274</v>
      </c>
      <c r="D1651" t="s">
        <v>2290</v>
      </c>
      <c r="E1651" t="s">
        <v>390</v>
      </c>
      <c r="F1651" t="s">
        <v>391</v>
      </c>
      <c r="G1651">
        <v>6103531</v>
      </c>
      <c r="H1651">
        <v>202112</v>
      </c>
      <c r="I1651" s="400">
        <v>44561</v>
      </c>
      <c r="J1651">
        <v>119010</v>
      </c>
      <c r="K1651" t="s">
        <v>386</v>
      </c>
      <c r="M1651" t="s">
        <v>387</v>
      </c>
      <c r="O1651" t="s">
        <v>2280</v>
      </c>
      <c r="P1651" t="s">
        <v>2281</v>
      </c>
      <c r="Q1651" t="s">
        <v>450</v>
      </c>
      <c r="R1651">
        <v>2426426</v>
      </c>
      <c r="S1651" t="s">
        <v>387</v>
      </c>
      <c r="U1651" t="s">
        <v>2283</v>
      </c>
      <c r="V1651" t="s">
        <v>398</v>
      </c>
      <c r="W1651" s="393">
        <v>9510100</v>
      </c>
      <c r="X1651" s="393">
        <v>2405.67</v>
      </c>
      <c r="Y1651" s="393">
        <v>21348.94</v>
      </c>
      <c r="Z1651" s="393">
        <v>9510100</v>
      </c>
      <c r="AA1651">
        <v>254</v>
      </c>
      <c r="AB1651" s="400">
        <v>44575.987570173609</v>
      </c>
      <c r="AC1651" t="s">
        <v>324</v>
      </c>
    </row>
    <row r="1652" spans="1:29">
      <c r="A1652" t="s">
        <v>382</v>
      </c>
      <c r="B1652" t="s">
        <v>440</v>
      </c>
      <c r="C1652" t="s">
        <v>2274</v>
      </c>
      <c r="D1652" t="s">
        <v>2290</v>
      </c>
      <c r="E1652" t="s">
        <v>390</v>
      </c>
      <c r="F1652" t="s">
        <v>391</v>
      </c>
      <c r="G1652">
        <v>6103428</v>
      </c>
      <c r="H1652">
        <v>202112</v>
      </c>
      <c r="I1652" s="400">
        <v>44553</v>
      </c>
      <c r="J1652">
        <v>124932</v>
      </c>
      <c r="K1652" t="s">
        <v>386</v>
      </c>
      <c r="M1652" t="s">
        <v>387</v>
      </c>
      <c r="O1652" t="s">
        <v>2276</v>
      </c>
      <c r="P1652" t="s">
        <v>2277</v>
      </c>
      <c r="Q1652" t="s">
        <v>450</v>
      </c>
      <c r="R1652">
        <v>2426426</v>
      </c>
      <c r="S1652" t="s">
        <v>387</v>
      </c>
      <c r="U1652" t="s">
        <v>2284</v>
      </c>
      <c r="V1652" t="s">
        <v>398</v>
      </c>
      <c r="W1652" s="393">
        <v>28000</v>
      </c>
      <c r="X1652" s="393">
        <v>7</v>
      </c>
      <c r="Y1652" s="393">
        <v>63.01</v>
      </c>
      <c r="Z1652" s="393">
        <v>28000</v>
      </c>
      <c r="AA1652">
        <v>183</v>
      </c>
      <c r="AB1652" s="400">
        <v>44564.818108564818</v>
      </c>
      <c r="AC1652" t="s">
        <v>324</v>
      </c>
    </row>
    <row r="1653" spans="1:29">
      <c r="A1653" t="s">
        <v>382</v>
      </c>
      <c r="B1653" t="s">
        <v>440</v>
      </c>
      <c r="C1653" t="s">
        <v>2274</v>
      </c>
      <c r="D1653" t="s">
        <v>2290</v>
      </c>
      <c r="E1653" t="s">
        <v>390</v>
      </c>
      <c r="F1653" t="s">
        <v>391</v>
      </c>
      <c r="G1653">
        <v>6103475</v>
      </c>
      <c r="H1653">
        <v>202112</v>
      </c>
      <c r="I1653" s="400">
        <v>44553</v>
      </c>
      <c r="J1653">
        <v>124932</v>
      </c>
      <c r="K1653" t="s">
        <v>386</v>
      </c>
      <c r="M1653" t="s">
        <v>387</v>
      </c>
      <c r="O1653" t="s">
        <v>2276</v>
      </c>
      <c r="P1653" t="s">
        <v>2277</v>
      </c>
      <c r="Q1653" t="s">
        <v>450</v>
      </c>
      <c r="R1653">
        <v>2426426</v>
      </c>
      <c r="S1653" t="s">
        <v>387</v>
      </c>
      <c r="U1653" t="s">
        <v>2285</v>
      </c>
      <c r="V1653" t="s">
        <v>398</v>
      </c>
      <c r="W1653" s="393">
        <v>-28000</v>
      </c>
      <c r="X1653" s="393">
        <v>-7</v>
      </c>
      <c r="Y1653" s="393">
        <v>-63.01</v>
      </c>
      <c r="Z1653" s="393">
        <v>-28000</v>
      </c>
      <c r="AA1653">
        <v>183</v>
      </c>
      <c r="AB1653" s="400">
        <v>44566.872969131946</v>
      </c>
      <c r="AC1653" t="s">
        <v>324</v>
      </c>
    </row>
    <row r="1654" spans="1:29">
      <c r="A1654" t="s">
        <v>2291</v>
      </c>
      <c r="B1654" t="s">
        <v>440</v>
      </c>
      <c r="C1654" t="s">
        <v>2274</v>
      </c>
      <c r="D1654" t="s">
        <v>2274</v>
      </c>
      <c r="E1654" t="s">
        <v>2292</v>
      </c>
      <c r="F1654" t="s">
        <v>2293</v>
      </c>
      <c r="G1654">
        <v>9102361</v>
      </c>
      <c r="H1654">
        <v>202112</v>
      </c>
      <c r="I1654" s="400">
        <v>44560</v>
      </c>
      <c r="J1654" t="s">
        <v>2294</v>
      </c>
      <c r="K1654" t="s">
        <v>386</v>
      </c>
      <c r="M1654" t="s">
        <v>387</v>
      </c>
      <c r="O1654" t="s">
        <v>387</v>
      </c>
      <c r="P1654" t="s">
        <v>387</v>
      </c>
      <c r="Q1654" t="s">
        <v>450</v>
      </c>
      <c r="R1654">
        <v>2426426</v>
      </c>
      <c r="S1654" t="s">
        <v>2295</v>
      </c>
      <c r="U1654" t="s">
        <v>2296</v>
      </c>
      <c r="V1654" t="s">
        <v>375</v>
      </c>
      <c r="W1654" s="393">
        <v>525</v>
      </c>
      <c r="X1654" s="393">
        <v>525</v>
      </c>
      <c r="Y1654" s="393">
        <v>4723.4799999999996</v>
      </c>
      <c r="Z1654" s="393">
        <v>0</v>
      </c>
      <c r="AA1654">
        <v>0</v>
      </c>
      <c r="AB1654" s="400">
        <v>44572.817503703707</v>
      </c>
      <c r="AC1654" t="s">
        <v>324</v>
      </c>
    </row>
    <row r="1655" spans="1:29">
      <c r="A1655" t="s">
        <v>382</v>
      </c>
      <c r="B1655" t="s">
        <v>440</v>
      </c>
      <c r="C1655" t="s">
        <v>1252</v>
      </c>
      <c r="D1655" t="s">
        <v>1253</v>
      </c>
      <c r="E1655" t="s">
        <v>390</v>
      </c>
      <c r="F1655" t="s">
        <v>391</v>
      </c>
      <c r="G1655">
        <v>6103033</v>
      </c>
      <c r="H1655">
        <v>202111</v>
      </c>
      <c r="I1655" s="400">
        <v>44530</v>
      </c>
      <c r="J1655" t="s">
        <v>452</v>
      </c>
      <c r="K1655" t="s">
        <v>386</v>
      </c>
      <c r="M1655" t="s">
        <v>387</v>
      </c>
      <c r="O1655" t="s">
        <v>448</v>
      </c>
      <c r="P1655" t="s">
        <v>449</v>
      </c>
      <c r="Q1655" t="s">
        <v>450</v>
      </c>
      <c r="R1655">
        <v>2069109</v>
      </c>
      <c r="S1655" t="s">
        <v>387</v>
      </c>
      <c r="U1655" t="s">
        <v>2297</v>
      </c>
      <c r="V1655" t="s">
        <v>398</v>
      </c>
      <c r="W1655" s="393">
        <v>570000</v>
      </c>
      <c r="X1655" s="393">
        <v>143.59</v>
      </c>
      <c r="Y1655" s="393">
        <v>1241.6500000000001</v>
      </c>
      <c r="Z1655" s="393">
        <v>570000</v>
      </c>
      <c r="AA1655">
        <v>0</v>
      </c>
      <c r="AB1655" s="400">
        <v>44531.985123726852</v>
      </c>
      <c r="AC1655" t="s">
        <v>324</v>
      </c>
    </row>
    <row r="1656" spans="1:29">
      <c r="A1656" t="s">
        <v>382</v>
      </c>
      <c r="B1656" t="s">
        <v>440</v>
      </c>
      <c r="C1656" t="s">
        <v>1252</v>
      </c>
      <c r="D1656" t="s">
        <v>1253</v>
      </c>
      <c r="E1656" t="s">
        <v>390</v>
      </c>
      <c r="F1656" t="s">
        <v>391</v>
      </c>
      <c r="G1656">
        <v>6103410</v>
      </c>
      <c r="H1656">
        <v>202112</v>
      </c>
      <c r="I1656" s="400">
        <v>44560</v>
      </c>
      <c r="J1656" t="s">
        <v>452</v>
      </c>
      <c r="K1656" t="s">
        <v>386</v>
      </c>
      <c r="M1656" t="s">
        <v>387</v>
      </c>
      <c r="O1656" t="s">
        <v>2298</v>
      </c>
      <c r="P1656" t="s">
        <v>2299</v>
      </c>
      <c r="Q1656" t="s">
        <v>450</v>
      </c>
      <c r="R1656">
        <v>2069109</v>
      </c>
      <c r="S1656" t="s">
        <v>387</v>
      </c>
      <c r="U1656" t="s">
        <v>2300</v>
      </c>
      <c r="V1656" t="s">
        <v>398</v>
      </c>
      <c r="W1656" s="393">
        <v>15966</v>
      </c>
      <c r="X1656" s="393">
        <v>3.99</v>
      </c>
      <c r="Y1656" s="393">
        <v>35.93</v>
      </c>
      <c r="Z1656" s="393">
        <v>15966</v>
      </c>
      <c r="AA1656">
        <v>0</v>
      </c>
      <c r="AB1656" s="400">
        <v>44560.724799421296</v>
      </c>
      <c r="AC1656" t="s">
        <v>324</v>
      </c>
    </row>
    <row r="1657" spans="1:29">
      <c r="A1657" t="s">
        <v>382</v>
      </c>
      <c r="B1657" t="s">
        <v>440</v>
      </c>
      <c r="C1657" t="s">
        <v>1252</v>
      </c>
      <c r="D1657" t="s">
        <v>1271</v>
      </c>
      <c r="E1657" t="s">
        <v>390</v>
      </c>
      <c r="F1657" t="s">
        <v>391</v>
      </c>
      <c r="G1657">
        <v>6103033</v>
      </c>
      <c r="H1657">
        <v>202111</v>
      </c>
      <c r="I1657" s="400">
        <v>44530</v>
      </c>
      <c r="J1657" t="s">
        <v>452</v>
      </c>
      <c r="K1657" t="s">
        <v>386</v>
      </c>
      <c r="M1657" t="s">
        <v>387</v>
      </c>
      <c r="O1657" t="s">
        <v>448</v>
      </c>
      <c r="P1657" t="s">
        <v>449</v>
      </c>
      <c r="Q1657" t="s">
        <v>450</v>
      </c>
      <c r="R1657">
        <v>2069109</v>
      </c>
      <c r="S1657" t="s">
        <v>387</v>
      </c>
      <c r="U1657" t="s">
        <v>2297</v>
      </c>
      <c r="V1657" t="s">
        <v>398</v>
      </c>
      <c r="W1657" s="393">
        <v>3000000</v>
      </c>
      <c r="X1657" s="393">
        <v>755.76</v>
      </c>
      <c r="Y1657" s="393">
        <v>6534.99</v>
      </c>
      <c r="Z1657" s="393">
        <v>3000000</v>
      </c>
      <c r="AA1657">
        <v>37</v>
      </c>
      <c r="AB1657" s="400">
        <v>44531.985122488426</v>
      </c>
      <c r="AC1657" t="s">
        <v>324</v>
      </c>
    </row>
    <row r="1658" spans="1:29">
      <c r="A1658" t="s">
        <v>382</v>
      </c>
      <c r="B1658" t="s">
        <v>440</v>
      </c>
      <c r="C1658" t="s">
        <v>1252</v>
      </c>
      <c r="D1658" t="s">
        <v>1271</v>
      </c>
      <c r="E1658" t="s">
        <v>390</v>
      </c>
      <c r="F1658" t="s">
        <v>391</v>
      </c>
      <c r="G1658">
        <v>6103410</v>
      </c>
      <c r="H1658">
        <v>202112</v>
      </c>
      <c r="I1658" s="400">
        <v>44560</v>
      </c>
      <c r="J1658" t="s">
        <v>452</v>
      </c>
      <c r="K1658" t="s">
        <v>386</v>
      </c>
      <c r="M1658" t="s">
        <v>387</v>
      </c>
      <c r="O1658" t="s">
        <v>2298</v>
      </c>
      <c r="P1658" t="s">
        <v>2299</v>
      </c>
      <c r="Q1658" t="s">
        <v>450</v>
      </c>
      <c r="R1658">
        <v>2069109</v>
      </c>
      <c r="S1658" t="s">
        <v>387</v>
      </c>
      <c r="U1658" t="s">
        <v>2300</v>
      </c>
      <c r="V1658" t="s">
        <v>398</v>
      </c>
      <c r="W1658" s="393">
        <v>84034</v>
      </c>
      <c r="X1658" s="393">
        <v>21.02</v>
      </c>
      <c r="Y1658" s="393">
        <v>189.12</v>
      </c>
      <c r="Z1658" s="393">
        <v>84034</v>
      </c>
      <c r="AA1658">
        <v>185</v>
      </c>
      <c r="AB1658" s="400">
        <v>44560.724799074073</v>
      </c>
      <c r="AC1658" t="s">
        <v>324</v>
      </c>
    </row>
    <row r="1659" spans="1:29">
      <c r="A1659" t="s">
        <v>381</v>
      </c>
      <c r="B1659" t="s">
        <v>382</v>
      </c>
      <c r="C1659" t="s">
        <v>1252</v>
      </c>
      <c r="D1659" t="s">
        <v>1252</v>
      </c>
      <c r="E1659" t="s">
        <v>383</v>
      </c>
      <c r="F1659" t="s">
        <v>384</v>
      </c>
      <c r="G1659">
        <v>11020296</v>
      </c>
      <c r="H1659">
        <v>202112</v>
      </c>
      <c r="I1659" s="400">
        <v>44560</v>
      </c>
      <c r="J1659">
        <v>122537</v>
      </c>
      <c r="K1659" t="s">
        <v>386</v>
      </c>
      <c r="M1659" t="s">
        <v>387</v>
      </c>
      <c r="O1659" t="s">
        <v>387</v>
      </c>
      <c r="P1659" t="s">
        <v>387</v>
      </c>
      <c r="Q1659" t="s">
        <v>450</v>
      </c>
      <c r="R1659">
        <v>2069109</v>
      </c>
      <c r="S1659" t="s">
        <v>2301</v>
      </c>
      <c r="U1659" t="s">
        <v>2302</v>
      </c>
      <c r="V1659" t="s">
        <v>376</v>
      </c>
      <c r="W1659" s="393">
        <v>18220.64</v>
      </c>
      <c r="X1659" s="393">
        <v>2065.04</v>
      </c>
      <c r="Y1659" s="393">
        <v>18220.64</v>
      </c>
      <c r="Z1659" s="393">
        <v>1824.11</v>
      </c>
      <c r="AA1659">
        <v>0</v>
      </c>
      <c r="AB1659" s="400">
        <v>44578.689560335646</v>
      </c>
      <c r="AC1659" t="s">
        <v>324</v>
      </c>
    </row>
    <row r="1660" spans="1:29">
      <c r="A1660" t="s">
        <v>382</v>
      </c>
      <c r="B1660" t="s">
        <v>440</v>
      </c>
      <c r="C1660" t="s">
        <v>1272</v>
      </c>
      <c r="D1660" t="s">
        <v>1280</v>
      </c>
      <c r="E1660" t="s">
        <v>390</v>
      </c>
      <c r="F1660" t="s">
        <v>391</v>
      </c>
      <c r="G1660">
        <v>6103299</v>
      </c>
      <c r="H1660">
        <v>202112</v>
      </c>
      <c r="I1660" s="400">
        <v>44547</v>
      </c>
      <c r="J1660" t="s">
        <v>452</v>
      </c>
      <c r="K1660" t="s">
        <v>386</v>
      </c>
      <c r="M1660" t="s">
        <v>387</v>
      </c>
      <c r="O1660" t="s">
        <v>1281</v>
      </c>
      <c r="P1660" t="s">
        <v>1282</v>
      </c>
      <c r="Q1660" t="s">
        <v>450</v>
      </c>
      <c r="R1660">
        <v>2069107</v>
      </c>
      <c r="S1660" t="s">
        <v>387</v>
      </c>
      <c r="U1660" t="s">
        <v>2303</v>
      </c>
      <c r="V1660" t="s">
        <v>398</v>
      </c>
      <c r="W1660" s="393">
        <v>3130650</v>
      </c>
      <c r="X1660" s="393">
        <v>784.57</v>
      </c>
      <c r="Y1660" s="393">
        <v>7075.68</v>
      </c>
      <c r="Z1660" s="393">
        <v>3130650</v>
      </c>
      <c r="AA1660">
        <v>0</v>
      </c>
      <c r="AB1660" s="400">
        <v>44550.938186030093</v>
      </c>
      <c r="AC1660" t="s">
        <v>324</v>
      </c>
    </row>
    <row r="1661" spans="1:29">
      <c r="A1661" t="s">
        <v>382</v>
      </c>
      <c r="B1661" t="s">
        <v>440</v>
      </c>
      <c r="C1661" t="s">
        <v>1272</v>
      </c>
      <c r="D1661" t="s">
        <v>1280</v>
      </c>
      <c r="E1661" t="s">
        <v>390</v>
      </c>
      <c r="F1661" t="s">
        <v>391</v>
      </c>
      <c r="G1661">
        <v>6103299</v>
      </c>
      <c r="H1661">
        <v>202112</v>
      </c>
      <c r="I1661" s="400">
        <v>44547</v>
      </c>
      <c r="J1661" t="s">
        <v>452</v>
      </c>
      <c r="K1661" t="s">
        <v>386</v>
      </c>
      <c r="M1661" t="s">
        <v>387</v>
      </c>
      <c r="O1661" t="s">
        <v>1281</v>
      </c>
      <c r="P1661" t="s">
        <v>1282</v>
      </c>
      <c r="Q1661" t="s">
        <v>450</v>
      </c>
      <c r="R1661">
        <v>2069107</v>
      </c>
      <c r="S1661" t="s">
        <v>387</v>
      </c>
      <c r="U1661" t="s">
        <v>2304</v>
      </c>
      <c r="V1661" t="s">
        <v>398</v>
      </c>
      <c r="W1661" s="393">
        <v>626130</v>
      </c>
      <c r="X1661" s="393">
        <v>156.91</v>
      </c>
      <c r="Y1661" s="393">
        <v>1415.14</v>
      </c>
      <c r="Z1661" s="393">
        <v>626130</v>
      </c>
      <c r="AA1661">
        <v>317</v>
      </c>
      <c r="AB1661" s="400">
        <v>44550.938186192128</v>
      </c>
      <c r="AC1661" t="s">
        <v>324</v>
      </c>
    </row>
    <row r="1662" spans="1:29">
      <c r="A1662" t="s">
        <v>382</v>
      </c>
      <c r="B1662" t="s">
        <v>440</v>
      </c>
      <c r="C1662" t="s">
        <v>1272</v>
      </c>
      <c r="D1662" t="s">
        <v>1280</v>
      </c>
      <c r="E1662" t="s">
        <v>390</v>
      </c>
      <c r="F1662" t="s">
        <v>391</v>
      </c>
      <c r="G1662">
        <v>6103299</v>
      </c>
      <c r="H1662">
        <v>202112</v>
      </c>
      <c r="I1662" s="400">
        <v>44547</v>
      </c>
      <c r="J1662" t="s">
        <v>452</v>
      </c>
      <c r="K1662" t="s">
        <v>386</v>
      </c>
      <c r="M1662" t="s">
        <v>387</v>
      </c>
      <c r="O1662" t="s">
        <v>1281</v>
      </c>
      <c r="P1662" t="s">
        <v>1282</v>
      </c>
      <c r="Q1662" t="s">
        <v>450</v>
      </c>
      <c r="R1662">
        <v>2069107</v>
      </c>
      <c r="S1662" t="s">
        <v>387</v>
      </c>
      <c r="U1662" t="s">
        <v>2305</v>
      </c>
      <c r="V1662" t="s">
        <v>398</v>
      </c>
      <c r="W1662" s="393">
        <v>600000</v>
      </c>
      <c r="X1662" s="393">
        <v>150.37</v>
      </c>
      <c r="Y1662" s="393">
        <v>1356.08</v>
      </c>
      <c r="Z1662" s="393">
        <v>600000</v>
      </c>
      <c r="AA1662">
        <v>317</v>
      </c>
      <c r="AB1662" s="400">
        <v>44550.938186192128</v>
      </c>
      <c r="AC1662" t="s">
        <v>324</v>
      </c>
    </row>
    <row r="1663" spans="1:29">
      <c r="A1663" t="s">
        <v>382</v>
      </c>
      <c r="B1663" t="s">
        <v>440</v>
      </c>
      <c r="C1663" t="s">
        <v>1272</v>
      </c>
      <c r="D1663" t="s">
        <v>1280</v>
      </c>
      <c r="E1663" t="s">
        <v>390</v>
      </c>
      <c r="F1663" t="s">
        <v>391</v>
      </c>
      <c r="G1663">
        <v>6103299</v>
      </c>
      <c r="H1663">
        <v>202112</v>
      </c>
      <c r="I1663" s="400">
        <v>44547</v>
      </c>
      <c r="J1663" t="s">
        <v>452</v>
      </c>
      <c r="K1663" t="s">
        <v>386</v>
      </c>
      <c r="M1663" t="s">
        <v>387</v>
      </c>
      <c r="O1663" t="s">
        <v>1281</v>
      </c>
      <c r="P1663" t="s">
        <v>1282</v>
      </c>
      <c r="Q1663" t="s">
        <v>450</v>
      </c>
      <c r="R1663">
        <v>2069107</v>
      </c>
      <c r="S1663" t="s">
        <v>387</v>
      </c>
      <c r="U1663" t="s">
        <v>2306</v>
      </c>
      <c r="V1663" t="s">
        <v>398</v>
      </c>
      <c r="W1663" s="393">
        <v>2400000</v>
      </c>
      <c r="X1663" s="393">
        <v>601.46</v>
      </c>
      <c r="Y1663" s="393">
        <v>5424.31</v>
      </c>
      <c r="Z1663" s="393">
        <v>2400000</v>
      </c>
      <c r="AA1663">
        <v>0</v>
      </c>
      <c r="AB1663" s="400">
        <v>44550.938186192128</v>
      </c>
      <c r="AC1663" t="s">
        <v>324</v>
      </c>
    </row>
    <row r="1664" spans="1:29">
      <c r="A1664" t="s">
        <v>382</v>
      </c>
      <c r="B1664" t="s">
        <v>382</v>
      </c>
      <c r="C1664" t="s">
        <v>2307</v>
      </c>
      <c r="D1664" t="s">
        <v>2308</v>
      </c>
      <c r="E1664" t="s">
        <v>427</v>
      </c>
      <c r="F1664" t="s">
        <v>428</v>
      </c>
      <c r="G1664">
        <v>1101989</v>
      </c>
      <c r="H1664">
        <v>202112</v>
      </c>
      <c r="I1664" s="400">
        <v>44559</v>
      </c>
      <c r="J1664">
        <v>126834</v>
      </c>
      <c r="K1664" t="s">
        <v>386</v>
      </c>
      <c r="M1664" t="s">
        <v>387</v>
      </c>
      <c r="O1664" t="s">
        <v>2309</v>
      </c>
      <c r="P1664" t="s">
        <v>2310</v>
      </c>
      <c r="Q1664" t="s">
        <v>450</v>
      </c>
      <c r="R1664">
        <v>2457084</v>
      </c>
      <c r="S1664" t="s">
        <v>387</v>
      </c>
      <c r="U1664" t="s">
        <v>2311</v>
      </c>
      <c r="V1664" t="s">
        <v>398</v>
      </c>
      <c r="W1664" s="393">
        <v>12915673.109999999</v>
      </c>
      <c r="X1664" s="393">
        <v>3230.73</v>
      </c>
      <c r="Y1664" s="393">
        <v>29067.11</v>
      </c>
      <c r="Z1664" s="393">
        <v>12915673.109999999</v>
      </c>
      <c r="AA1664">
        <v>39</v>
      </c>
      <c r="AB1664" s="400">
        <v>44565.949013043981</v>
      </c>
      <c r="AC1664" t="s">
        <v>324</v>
      </c>
    </row>
    <row r="1665" spans="1:29">
      <c r="A1665" t="s">
        <v>382</v>
      </c>
      <c r="B1665" t="s">
        <v>382</v>
      </c>
      <c r="C1665" t="s">
        <v>2307</v>
      </c>
      <c r="D1665" t="s">
        <v>2308</v>
      </c>
      <c r="E1665" t="s">
        <v>427</v>
      </c>
      <c r="F1665" t="s">
        <v>428</v>
      </c>
      <c r="G1665">
        <v>1101991</v>
      </c>
      <c r="H1665">
        <v>202112</v>
      </c>
      <c r="I1665" s="400">
        <v>44546</v>
      </c>
      <c r="J1665">
        <v>126834</v>
      </c>
      <c r="K1665" t="s">
        <v>386</v>
      </c>
      <c r="M1665" t="s">
        <v>387</v>
      </c>
      <c r="O1665" t="s">
        <v>2309</v>
      </c>
      <c r="P1665" t="s">
        <v>2310</v>
      </c>
      <c r="Q1665" t="s">
        <v>450</v>
      </c>
      <c r="R1665">
        <v>2457084</v>
      </c>
      <c r="S1665" t="s">
        <v>387</v>
      </c>
      <c r="U1665" t="s">
        <v>2312</v>
      </c>
      <c r="V1665" t="s">
        <v>398</v>
      </c>
      <c r="W1665" s="393">
        <v>12915673.109999999</v>
      </c>
      <c r="X1665" s="393">
        <v>3236.8</v>
      </c>
      <c r="Y1665" s="393">
        <v>29191.1</v>
      </c>
      <c r="Z1665" s="393">
        <v>12915673.109999999</v>
      </c>
      <c r="AA1665">
        <v>39</v>
      </c>
      <c r="AB1665" s="400">
        <v>44565.97024829861</v>
      </c>
      <c r="AC1665" t="s">
        <v>324</v>
      </c>
    </row>
    <row r="1666" spans="1:29">
      <c r="A1666" t="s">
        <v>382</v>
      </c>
      <c r="B1666" t="s">
        <v>382</v>
      </c>
      <c r="C1666" t="s">
        <v>2307</v>
      </c>
      <c r="D1666" t="s">
        <v>2308</v>
      </c>
      <c r="E1666" t="s">
        <v>427</v>
      </c>
      <c r="F1666" t="s">
        <v>428</v>
      </c>
      <c r="G1666">
        <v>1102088</v>
      </c>
      <c r="H1666">
        <v>202112</v>
      </c>
      <c r="I1666" s="400">
        <v>44546</v>
      </c>
      <c r="J1666">
        <v>126834</v>
      </c>
      <c r="K1666" t="s">
        <v>386</v>
      </c>
      <c r="M1666" t="s">
        <v>387</v>
      </c>
      <c r="O1666" t="s">
        <v>2309</v>
      </c>
      <c r="P1666" t="s">
        <v>2310</v>
      </c>
      <c r="Q1666" t="s">
        <v>450</v>
      </c>
      <c r="R1666">
        <v>2457084</v>
      </c>
      <c r="S1666" t="s">
        <v>387</v>
      </c>
      <c r="U1666" t="s">
        <v>2312</v>
      </c>
      <c r="V1666" t="s">
        <v>398</v>
      </c>
      <c r="W1666" s="393">
        <v>12915673.119999999</v>
      </c>
      <c r="X1666" s="393">
        <v>3236.8</v>
      </c>
      <c r="Y1666" s="393">
        <v>29191.1</v>
      </c>
      <c r="Z1666" s="393">
        <v>12915673.119999999</v>
      </c>
      <c r="AA1666">
        <v>39</v>
      </c>
      <c r="AB1666" s="400">
        <v>44574.015278900464</v>
      </c>
      <c r="AC1666" t="s">
        <v>324</v>
      </c>
    </row>
    <row r="1667" spans="1:29">
      <c r="A1667" t="s">
        <v>382</v>
      </c>
      <c r="B1667" t="s">
        <v>382</v>
      </c>
      <c r="C1667" t="s">
        <v>2307</v>
      </c>
      <c r="D1667" t="s">
        <v>2308</v>
      </c>
      <c r="E1667" t="s">
        <v>427</v>
      </c>
      <c r="F1667" t="s">
        <v>428</v>
      </c>
      <c r="G1667">
        <v>1102034</v>
      </c>
      <c r="H1667">
        <v>202112</v>
      </c>
      <c r="I1667" s="400">
        <v>44546</v>
      </c>
      <c r="J1667">
        <v>126834</v>
      </c>
      <c r="K1667" t="s">
        <v>386</v>
      </c>
      <c r="M1667" t="s">
        <v>387</v>
      </c>
      <c r="O1667" t="s">
        <v>2309</v>
      </c>
      <c r="P1667" t="s">
        <v>2310</v>
      </c>
      <c r="Q1667" t="s">
        <v>450</v>
      </c>
      <c r="R1667">
        <v>2457084</v>
      </c>
      <c r="S1667" t="s">
        <v>387</v>
      </c>
      <c r="U1667" t="s">
        <v>2313</v>
      </c>
      <c r="V1667" t="s">
        <v>398</v>
      </c>
      <c r="W1667" s="393">
        <v>-12915673.109999999</v>
      </c>
      <c r="X1667" s="393">
        <v>-3236.8</v>
      </c>
      <c r="Y1667" s="393">
        <v>-29191.1</v>
      </c>
      <c r="Z1667" s="393">
        <v>-12915673.109999999</v>
      </c>
      <c r="AA1667">
        <v>39</v>
      </c>
      <c r="AB1667" s="400">
        <v>44568.74479355324</v>
      </c>
      <c r="AC1667" t="s">
        <v>324</v>
      </c>
    </row>
    <row r="1668" spans="1:29">
      <c r="A1668" t="s">
        <v>382</v>
      </c>
      <c r="B1668" t="s">
        <v>382</v>
      </c>
      <c r="C1668" t="s">
        <v>2307</v>
      </c>
      <c r="D1668" t="s">
        <v>2314</v>
      </c>
      <c r="E1668" t="s">
        <v>427</v>
      </c>
      <c r="F1668" t="s">
        <v>428</v>
      </c>
      <c r="G1668">
        <v>1101989</v>
      </c>
      <c r="H1668">
        <v>202112</v>
      </c>
      <c r="I1668" s="400">
        <v>44559</v>
      </c>
      <c r="J1668">
        <v>126834</v>
      </c>
      <c r="K1668" t="s">
        <v>386</v>
      </c>
      <c r="M1668" t="s">
        <v>387</v>
      </c>
      <c r="O1668" t="s">
        <v>2309</v>
      </c>
      <c r="P1668" t="s">
        <v>2310</v>
      </c>
      <c r="Q1668" t="s">
        <v>450</v>
      </c>
      <c r="R1668">
        <v>2457084</v>
      </c>
      <c r="S1668" t="s">
        <v>387</v>
      </c>
      <c r="U1668" t="s">
        <v>2311</v>
      </c>
      <c r="V1668" t="s">
        <v>398</v>
      </c>
      <c r="W1668" s="393">
        <v>2453978</v>
      </c>
      <c r="X1668" s="393">
        <v>613.84</v>
      </c>
      <c r="Y1668" s="393">
        <v>5522.75</v>
      </c>
      <c r="Z1668" s="393">
        <v>2453978</v>
      </c>
      <c r="AA1668">
        <v>0</v>
      </c>
      <c r="AB1668" s="400">
        <v>44565.949014664351</v>
      </c>
      <c r="AC1668" t="s">
        <v>324</v>
      </c>
    </row>
    <row r="1669" spans="1:29">
      <c r="A1669" t="s">
        <v>382</v>
      </c>
      <c r="B1669" t="s">
        <v>382</v>
      </c>
      <c r="C1669" t="s">
        <v>2307</v>
      </c>
      <c r="D1669" t="s">
        <v>2314</v>
      </c>
      <c r="E1669" t="s">
        <v>427</v>
      </c>
      <c r="F1669" t="s">
        <v>428</v>
      </c>
      <c r="G1669">
        <v>1102088</v>
      </c>
      <c r="H1669">
        <v>202112</v>
      </c>
      <c r="I1669" s="400">
        <v>44546</v>
      </c>
      <c r="J1669">
        <v>126834</v>
      </c>
      <c r="K1669" t="s">
        <v>386</v>
      </c>
      <c r="M1669" t="s">
        <v>387</v>
      </c>
      <c r="O1669" t="s">
        <v>2309</v>
      </c>
      <c r="P1669" t="s">
        <v>2310</v>
      </c>
      <c r="Q1669" t="s">
        <v>450</v>
      </c>
      <c r="R1669">
        <v>2457084</v>
      </c>
      <c r="S1669" t="s">
        <v>387</v>
      </c>
      <c r="U1669" t="s">
        <v>2312</v>
      </c>
      <c r="V1669" t="s">
        <v>398</v>
      </c>
      <c r="W1669" s="393">
        <v>2453978</v>
      </c>
      <c r="X1669" s="393">
        <v>614.99</v>
      </c>
      <c r="Y1669" s="393">
        <v>5546.31</v>
      </c>
      <c r="Z1669" s="393">
        <v>2453978</v>
      </c>
      <c r="AA1669">
        <v>0</v>
      </c>
      <c r="AB1669" s="400">
        <v>44574.015279826388</v>
      </c>
      <c r="AC1669" t="s">
        <v>324</v>
      </c>
    </row>
    <row r="1670" spans="1:29">
      <c r="A1670" t="s">
        <v>382</v>
      </c>
      <c r="B1670" t="s">
        <v>382</v>
      </c>
      <c r="C1670" t="s">
        <v>2307</v>
      </c>
      <c r="D1670" t="s">
        <v>2314</v>
      </c>
      <c r="E1670" t="s">
        <v>427</v>
      </c>
      <c r="F1670" t="s">
        <v>428</v>
      </c>
      <c r="G1670">
        <v>1102034</v>
      </c>
      <c r="H1670">
        <v>202112</v>
      </c>
      <c r="I1670" s="400">
        <v>44546</v>
      </c>
      <c r="J1670">
        <v>126834</v>
      </c>
      <c r="K1670" t="s">
        <v>386</v>
      </c>
      <c r="M1670" t="s">
        <v>387</v>
      </c>
      <c r="O1670" t="s">
        <v>2309</v>
      </c>
      <c r="P1670" t="s">
        <v>2310</v>
      </c>
      <c r="Q1670" t="s">
        <v>450</v>
      </c>
      <c r="R1670">
        <v>2457084</v>
      </c>
      <c r="S1670" t="s">
        <v>387</v>
      </c>
      <c r="U1670" t="s">
        <v>2313</v>
      </c>
      <c r="V1670" t="s">
        <v>398</v>
      </c>
      <c r="W1670" s="393">
        <v>-2453978</v>
      </c>
      <c r="X1670" s="393">
        <v>-614.99</v>
      </c>
      <c r="Y1670" s="393">
        <v>-5546.31</v>
      </c>
      <c r="Z1670" s="393">
        <v>-2453978</v>
      </c>
      <c r="AA1670">
        <v>0</v>
      </c>
      <c r="AB1670" s="400">
        <v>44568.744794247687</v>
      </c>
      <c r="AC1670" t="s">
        <v>324</v>
      </c>
    </row>
    <row r="1671" spans="1:29">
      <c r="A1671" t="s">
        <v>382</v>
      </c>
      <c r="B1671" t="s">
        <v>382</v>
      </c>
      <c r="C1671" t="s">
        <v>2307</v>
      </c>
      <c r="D1671" t="s">
        <v>2314</v>
      </c>
      <c r="E1671" t="s">
        <v>427</v>
      </c>
      <c r="F1671" t="s">
        <v>428</v>
      </c>
      <c r="G1671">
        <v>1101991</v>
      </c>
      <c r="H1671">
        <v>202112</v>
      </c>
      <c r="I1671" s="400">
        <v>44546</v>
      </c>
      <c r="J1671">
        <v>126834</v>
      </c>
      <c r="K1671" t="s">
        <v>386</v>
      </c>
      <c r="M1671" t="s">
        <v>387</v>
      </c>
      <c r="O1671" t="s">
        <v>2309</v>
      </c>
      <c r="P1671" t="s">
        <v>2310</v>
      </c>
      <c r="Q1671" t="s">
        <v>450</v>
      </c>
      <c r="R1671">
        <v>2457084</v>
      </c>
      <c r="S1671" t="s">
        <v>387</v>
      </c>
      <c r="U1671" t="s">
        <v>2312</v>
      </c>
      <c r="V1671" t="s">
        <v>398</v>
      </c>
      <c r="W1671" s="393">
        <v>2453978</v>
      </c>
      <c r="X1671" s="393">
        <v>614.99</v>
      </c>
      <c r="Y1671" s="393">
        <v>5546.31</v>
      </c>
      <c r="Z1671" s="393">
        <v>2453978</v>
      </c>
      <c r="AA1671">
        <v>0</v>
      </c>
      <c r="AB1671" s="400">
        <v>44565.970248692131</v>
      </c>
      <c r="AC1671" t="s">
        <v>324</v>
      </c>
    </row>
    <row r="1672" spans="1:29">
      <c r="A1672" t="s">
        <v>382</v>
      </c>
      <c r="B1672" t="s">
        <v>1251</v>
      </c>
      <c r="C1672" t="s">
        <v>2315</v>
      </c>
      <c r="D1672" t="s">
        <v>2316</v>
      </c>
      <c r="E1672" t="s">
        <v>390</v>
      </c>
      <c r="F1672" t="s">
        <v>391</v>
      </c>
      <c r="G1672">
        <v>6103531</v>
      </c>
      <c r="H1672">
        <v>202112</v>
      </c>
      <c r="I1672" s="400">
        <v>44561</v>
      </c>
      <c r="J1672">
        <v>119010</v>
      </c>
      <c r="K1672" t="s">
        <v>386</v>
      </c>
      <c r="M1672" t="s">
        <v>387</v>
      </c>
      <c r="O1672" t="s">
        <v>2317</v>
      </c>
      <c r="P1672" t="s">
        <v>2318</v>
      </c>
      <c r="Q1672" t="s">
        <v>450</v>
      </c>
      <c r="R1672">
        <v>2551527</v>
      </c>
      <c r="S1672" t="s">
        <v>387</v>
      </c>
      <c r="U1672" t="s">
        <v>2319</v>
      </c>
      <c r="V1672" t="s">
        <v>398</v>
      </c>
      <c r="W1672" s="393">
        <v>10800000</v>
      </c>
      <c r="X1672" s="393">
        <v>2720.74</v>
      </c>
      <c r="Y1672" s="393">
        <v>23525.96</v>
      </c>
      <c r="Z1672" s="393">
        <v>10800000</v>
      </c>
      <c r="AA1672">
        <v>191</v>
      </c>
      <c r="AB1672" s="400">
        <v>44575.987570173609</v>
      </c>
      <c r="AC1672" t="s">
        <v>324</v>
      </c>
    </row>
    <row r="1673" spans="1:29">
      <c r="A1673" t="s">
        <v>382</v>
      </c>
      <c r="B1673" t="s">
        <v>440</v>
      </c>
      <c r="C1673" t="s">
        <v>2315</v>
      </c>
      <c r="D1673" t="s">
        <v>2316</v>
      </c>
      <c r="E1673" t="s">
        <v>390</v>
      </c>
      <c r="F1673" t="s">
        <v>391</v>
      </c>
      <c r="G1673">
        <v>6103531</v>
      </c>
      <c r="H1673">
        <v>202112</v>
      </c>
      <c r="I1673" s="400">
        <v>44561</v>
      </c>
      <c r="J1673">
        <v>119010</v>
      </c>
      <c r="K1673" t="s">
        <v>386</v>
      </c>
      <c r="M1673" t="s">
        <v>387</v>
      </c>
      <c r="O1673" t="s">
        <v>2317</v>
      </c>
      <c r="P1673" t="s">
        <v>2318</v>
      </c>
      <c r="Q1673" t="s">
        <v>450</v>
      </c>
      <c r="R1673">
        <v>2551527</v>
      </c>
      <c r="S1673" t="s">
        <v>387</v>
      </c>
      <c r="U1673" t="s">
        <v>2320</v>
      </c>
      <c r="V1673" t="s">
        <v>398</v>
      </c>
      <c r="W1673" s="393">
        <v>14000000</v>
      </c>
      <c r="X1673" s="393">
        <v>3650.92</v>
      </c>
      <c r="Y1673" s="393">
        <v>31745.84</v>
      </c>
      <c r="Z1673" s="393">
        <v>14000000</v>
      </c>
      <c r="AA1673">
        <v>191</v>
      </c>
      <c r="AB1673" s="400">
        <v>44575.987570173609</v>
      </c>
      <c r="AC1673" t="s">
        <v>324</v>
      </c>
    </row>
    <row r="1674" spans="1:29">
      <c r="A1674" t="s">
        <v>382</v>
      </c>
      <c r="B1674" t="s">
        <v>440</v>
      </c>
      <c r="C1674" t="s">
        <v>2315</v>
      </c>
      <c r="D1674" t="s">
        <v>2316</v>
      </c>
      <c r="E1674" t="s">
        <v>390</v>
      </c>
      <c r="F1674" t="s">
        <v>391</v>
      </c>
      <c r="G1674">
        <v>6103531</v>
      </c>
      <c r="H1674">
        <v>202112</v>
      </c>
      <c r="I1674" s="400">
        <v>44561</v>
      </c>
      <c r="J1674">
        <v>119010</v>
      </c>
      <c r="K1674" t="s">
        <v>386</v>
      </c>
      <c r="M1674" t="s">
        <v>387</v>
      </c>
      <c r="O1674" t="s">
        <v>2321</v>
      </c>
      <c r="P1674" t="s">
        <v>2322</v>
      </c>
      <c r="Q1674" t="s">
        <v>450</v>
      </c>
      <c r="R1674">
        <v>2551527</v>
      </c>
      <c r="S1674" t="s">
        <v>2323</v>
      </c>
      <c r="U1674" t="s">
        <v>2324</v>
      </c>
      <c r="V1674" t="s">
        <v>398</v>
      </c>
      <c r="W1674" s="393">
        <v>20000000</v>
      </c>
      <c r="X1674" s="393">
        <v>4970.6000000000004</v>
      </c>
      <c r="Y1674" s="393">
        <v>44721</v>
      </c>
      <c r="Z1674" s="393">
        <v>20000000</v>
      </c>
      <c r="AA1674">
        <v>191</v>
      </c>
      <c r="AB1674" s="400">
        <v>44575.987570173609</v>
      </c>
      <c r="AC1674" t="s">
        <v>324</v>
      </c>
    </row>
    <row r="1675" spans="1:29">
      <c r="A1675" t="s">
        <v>382</v>
      </c>
      <c r="B1675" t="s">
        <v>440</v>
      </c>
      <c r="C1675" t="s">
        <v>2315</v>
      </c>
      <c r="D1675" t="s">
        <v>2325</v>
      </c>
      <c r="E1675" t="s">
        <v>390</v>
      </c>
      <c r="F1675" t="s">
        <v>391</v>
      </c>
      <c r="G1675">
        <v>6103531</v>
      </c>
      <c r="H1675">
        <v>202112</v>
      </c>
      <c r="I1675" s="400">
        <v>44561</v>
      </c>
      <c r="J1675">
        <v>119010</v>
      </c>
      <c r="K1675" t="s">
        <v>386</v>
      </c>
      <c r="M1675" t="s">
        <v>387</v>
      </c>
      <c r="O1675" t="s">
        <v>2321</v>
      </c>
      <c r="P1675" t="s">
        <v>2322</v>
      </c>
      <c r="Q1675" t="s">
        <v>450</v>
      </c>
      <c r="R1675">
        <v>2551527</v>
      </c>
      <c r="S1675" t="s">
        <v>2323</v>
      </c>
      <c r="U1675" t="s">
        <v>2324</v>
      </c>
      <c r="V1675" t="s">
        <v>398</v>
      </c>
      <c r="W1675" s="393">
        <v>3800000</v>
      </c>
      <c r="X1675" s="393">
        <v>944.41</v>
      </c>
      <c r="Y1675" s="393">
        <v>8496.99</v>
      </c>
      <c r="Z1675" s="393">
        <v>3800000</v>
      </c>
      <c r="AA1675">
        <v>0</v>
      </c>
      <c r="AB1675" s="400">
        <v>44575.987570173609</v>
      </c>
      <c r="AC1675" t="s">
        <v>324</v>
      </c>
    </row>
    <row r="1676" spans="1:29">
      <c r="A1676" t="s">
        <v>382</v>
      </c>
      <c r="B1676" t="s">
        <v>440</v>
      </c>
      <c r="C1676" t="s">
        <v>2315</v>
      </c>
      <c r="D1676" t="s">
        <v>2325</v>
      </c>
      <c r="E1676" t="s">
        <v>390</v>
      </c>
      <c r="F1676" t="s">
        <v>391</v>
      </c>
      <c r="G1676">
        <v>6103531</v>
      </c>
      <c r="H1676">
        <v>202112</v>
      </c>
      <c r="I1676" s="400">
        <v>44561</v>
      </c>
      <c r="J1676">
        <v>119010</v>
      </c>
      <c r="K1676" t="s">
        <v>386</v>
      </c>
      <c r="M1676" t="s">
        <v>387</v>
      </c>
      <c r="O1676" t="s">
        <v>2317</v>
      </c>
      <c r="P1676" t="s">
        <v>2318</v>
      </c>
      <c r="Q1676" t="s">
        <v>450</v>
      </c>
      <c r="R1676">
        <v>2551527</v>
      </c>
      <c r="S1676" t="s">
        <v>387</v>
      </c>
      <c r="U1676" t="s">
        <v>2326</v>
      </c>
      <c r="V1676" t="s">
        <v>398</v>
      </c>
      <c r="W1676" s="393">
        <v>410400</v>
      </c>
      <c r="X1676" s="393">
        <v>102.66</v>
      </c>
      <c r="Y1676" s="393">
        <v>923.62</v>
      </c>
      <c r="Z1676" s="393">
        <v>410400</v>
      </c>
      <c r="AA1676">
        <v>0</v>
      </c>
      <c r="AB1676" s="400">
        <v>44575.987570173609</v>
      </c>
      <c r="AC1676" t="s">
        <v>324</v>
      </c>
    </row>
    <row r="1677" spans="1:29">
      <c r="A1677" t="s">
        <v>382</v>
      </c>
      <c r="B1677" t="s">
        <v>440</v>
      </c>
      <c r="C1677" t="s">
        <v>2315</v>
      </c>
      <c r="D1677" t="s">
        <v>2325</v>
      </c>
      <c r="E1677" t="s">
        <v>390</v>
      </c>
      <c r="F1677" t="s">
        <v>391</v>
      </c>
      <c r="G1677">
        <v>6103531</v>
      </c>
      <c r="H1677">
        <v>202112</v>
      </c>
      <c r="I1677" s="400">
        <v>44561</v>
      </c>
      <c r="J1677">
        <v>119010</v>
      </c>
      <c r="K1677" t="s">
        <v>386</v>
      </c>
      <c r="M1677" t="s">
        <v>387</v>
      </c>
      <c r="O1677" t="s">
        <v>2317</v>
      </c>
      <c r="P1677" t="s">
        <v>2318</v>
      </c>
      <c r="Q1677" t="s">
        <v>450</v>
      </c>
      <c r="R1677">
        <v>2551527</v>
      </c>
      <c r="S1677" t="s">
        <v>387</v>
      </c>
      <c r="U1677" t="s">
        <v>2326</v>
      </c>
      <c r="V1677" t="s">
        <v>398</v>
      </c>
      <c r="W1677" s="393">
        <v>2160000</v>
      </c>
      <c r="X1677" s="393">
        <v>540.29999999999995</v>
      </c>
      <c r="Y1677" s="393">
        <v>4861.1400000000003</v>
      </c>
      <c r="Z1677" s="393">
        <v>2160000</v>
      </c>
      <c r="AA1677">
        <v>191</v>
      </c>
      <c r="AB1677" s="400">
        <v>44575.987570173609</v>
      </c>
      <c r="AC1677" t="s">
        <v>324</v>
      </c>
    </row>
    <row r="1678" spans="1:29">
      <c r="A1678" t="s">
        <v>382</v>
      </c>
      <c r="B1678" t="s">
        <v>1251</v>
      </c>
      <c r="C1678" t="s">
        <v>2315</v>
      </c>
      <c r="D1678" t="s">
        <v>2325</v>
      </c>
      <c r="E1678" t="s">
        <v>390</v>
      </c>
      <c r="F1678" t="s">
        <v>391</v>
      </c>
      <c r="G1678">
        <v>6103531</v>
      </c>
      <c r="H1678">
        <v>202112</v>
      </c>
      <c r="I1678" s="400">
        <v>44561</v>
      </c>
      <c r="J1678">
        <v>119010</v>
      </c>
      <c r="K1678" t="s">
        <v>386</v>
      </c>
      <c r="M1678" t="s">
        <v>387</v>
      </c>
      <c r="O1678" t="s">
        <v>2317</v>
      </c>
      <c r="P1678" t="s">
        <v>2318</v>
      </c>
      <c r="Q1678" t="s">
        <v>450</v>
      </c>
      <c r="R1678">
        <v>2551527</v>
      </c>
      <c r="S1678" t="s">
        <v>387</v>
      </c>
      <c r="U1678" t="s">
        <v>2319</v>
      </c>
      <c r="V1678" t="s">
        <v>398</v>
      </c>
      <c r="W1678" s="393">
        <v>2052000</v>
      </c>
      <c r="X1678" s="393">
        <v>516.94000000000005</v>
      </c>
      <c r="Y1678" s="393">
        <v>4469.93</v>
      </c>
      <c r="Z1678" s="393">
        <v>2052000</v>
      </c>
      <c r="AA1678">
        <v>0</v>
      </c>
      <c r="AB1678" s="400">
        <v>44575.987570173609</v>
      </c>
      <c r="AC1678" t="s">
        <v>324</v>
      </c>
    </row>
    <row r="1679" spans="1:29">
      <c r="A1679" t="s">
        <v>382</v>
      </c>
      <c r="B1679" t="s">
        <v>440</v>
      </c>
      <c r="C1679" t="s">
        <v>2315</v>
      </c>
      <c r="D1679" t="s">
        <v>2325</v>
      </c>
      <c r="E1679" t="s">
        <v>390</v>
      </c>
      <c r="F1679" t="s">
        <v>391</v>
      </c>
      <c r="G1679">
        <v>6103531</v>
      </c>
      <c r="H1679">
        <v>202112</v>
      </c>
      <c r="I1679" s="400">
        <v>44561</v>
      </c>
      <c r="J1679">
        <v>119010</v>
      </c>
      <c r="K1679" t="s">
        <v>386</v>
      </c>
      <c r="M1679" t="s">
        <v>387</v>
      </c>
      <c r="O1679" t="s">
        <v>2317</v>
      </c>
      <c r="P1679" t="s">
        <v>2318</v>
      </c>
      <c r="Q1679" t="s">
        <v>450</v>
      </c>
      <c r="R1679">
        <v>2551527</v>
      </c>
      <c r="S1679" t="s">
        <v>387</v>
      </c>
      <c r="U1679" t="s">
        <v>2320</v>
      </c>
      <c r="V1679" t="s">
        <v>398</v>
      </c>
      <c r="W1679" s="393">
        <v>2660000</v>
      </c>
      <c r="X1679" s="393">
        <v>693.67</v>
      </c>
      <c r="Y1679" s="393">
        <v>6031.71</v>
      </c>
      <c r="Z1679" s="393">
        <v>2660000</v>
      </c>
      <c r="AA1679">
        <v>0</v>
      </c>
      <c r="AB1679" s="400">
        <v>44575.987570173609</v>
      </c>
      <c r="AC1679" t="s">
        <v>324</v>
      </c>
    </row>
    <row r="1680" spans="1:29">
      <c r="A1680" t="s">
        <v>382</v>
      </c>
      <c r="B1680" t="s">
        <v>440</v>
      </c>
      <c r="C1680" t="s">
        <v>1284</v>
      </c>
      <c r="D1680" t="s">
        <v>1285</v>
      </c>
      <c r="E1680" t="s">
        <v>390</v>
      </c>
      <c r="F1680" t="s">
        <v>391</v>
      </c>
      <c r="G1680">
        <v>6102998</v>
      </c>
      <c r="H1680">
        <v>202111</v>
      </c>
      <c r="I1680" s="400">
        <v>44530</v>
      </c>
      <c r="J1680" t="s">
        <v>452</v>
      </c>
      <c r="K1680" t="s">
        <v>386</v>
      </c>
      <c r="M1680" t="s">
        <v>387</v>
      </c>
      <c r="O1680" t="s">
        <v>544</v>
      </c>
      <c r="P1680" t="s">
        <v>545</v>
      </c>
      <c r="Q1680" t="s">
        <v>450</v>
      </c>
      <c r="R1680">
        <v>2069104</v>
      </c>
      <c r="S1680" t="s">
        <v>387</v>
      </c>
      <c r="U1680" t="s">
        <v>2327</v>
      </c>
      <c r="V1680" t="s">
        <v>398</v>
      </c>
      <c r="W1680" s="393">
        <v>147078</v>
      </c>
      <c r="X1680" s="393">
        <v>37.049999999999997</v>
      </c>
      <c r="Y1680" s="393">
        <v>320.38</v>
      </c>
      <c r="Z1680" s="393">
        <v>147078</v>
      </c>
      <c r="AA1680">
        <v>0</v>
      </c>
      <c r="AB1680" s="400">
        <v>44530.950489236115</v>
      </c>
      <c r="AC1680" t="s">
        <v>324</v>
      </c>
    </row>
    <row r="1681" spans="1:29">
      <c r="A1681" t="s">
        <v>382</v>
      </c>
      <c r="B1681" t="s">
        <v>440</v>
      </c>
      <c r="C1681" t="s">
        <v>1284</v>
      </c>
      <c r="D1681" t="s">
        <v>1285</v>
      </c>
      <c r="E1681" t="s">
        <v>390</v>
      </c>
      <c r="F1681" t="s">
        <v>391</v>
      </c>
      <c r="G1681">
        <v>6103531</v>
      </c>
      <c r="H1681">
        <v>202112</v>
      </c>
      <c r="I1681" s="400">
        <v>44561</v>
      </c>
      <c r="J1681">
        <v>119010</v>
      </c>
      <c r="K1681" t="s">
        <v>386</v>
      </c>
      <c r="M1681" t="s">
        <v>387</v>
      </c>
      <c r="O1681" t="s">
        <v>2328</v>
      </c>
      <c r="P1681" t="s">
        <v>2329</v>
      </c>
      <c r="Q1681" t="s">
        <v>450</v>
      </c>
      <c r="R1681">
        <v>2069104</v>
      </c>
      <c r="S1681" t="s">
        <v>387</v>
      </c>
      <c r="U1681" t="s">
        <v>2330</v>
      </c>
      <c r="V1681" t="s">
        <v>398</v>
      </c>
      <c r="W1681" s="393">
        <v>112100</v>
      </c>
      <c r="X1681" s="393">
        <v>29.37</v>
      </c>
      <c r="Y1681" s="393">
        <v>255.91</v>
      </c>
      <c r="Z1681" s="393">
        <v>112100</v>
      </c>
      <c r="AA1681">
        <v>0</v>
      </c>
      <c r="AB1681" s="400">
        <v>44575.987570173609</v>
      </c>
      <c r="AC1681" t="s">
        <v>324</v>
      </c>
    </row>
    <row r="1682" spans="1:29">
      <c r="A1682" t="s">
        <v>382</v>
      </c>
      <c r="B1682" t="s">
        <v>440</v>
      </c>
      <c r="C1682" t="s">
        <v>1284</v>
      </c>
      <c r="D1682" t="s">
        <v>1285</v>
      </c>
      <c r="E1682" t="s">
        <v>390</v>
      </c>
      <c r="F1682" t="s">
        <v>391</v>
      </c>
      <c r="G1682">
        <v>6103531</v>
      </c>
      <c r="H1682">
        <v>202112</v>
      </c>
      <c r="I1682" s="400">
        <v>44561</v>
      </c>
      <c r="J1682">
        <v>119010</v>
      </c>
      <c r="K1682" t="s">
        <v>386</v>
      </c>
      <c r="M1682" t="s">
        <v>387</v>
      </c>
      <c r="O1682" t="s">
        <v>544</v>
      </c>
      <c r="P1682" t="s">
        <v>545</v>
      </c>
      <c r="Q1682" t="s">
        <v>450</v>
      </c>
      <c r="R1682">
        <v>2069104</v>
      </c>
      <c r="S1682" t="s">
        <v>387</v>
      </c>
      <c r="U1682" t="s">
        <v>2331</v>
      </c>
      <c r="V1682" t="s">
        <v>398</v>
      </c>
      <c r="W1682" s="393">
        <v>221309</v>
      </c>
      <c r="X1682" s="393">
        <v>56.66</v>
      </c>
      <c r="Y1682" s="393">
        <v>510.66</v>
      </c>
      <c r="Z1682" s="393">
        <v>221309</v>
      </c>
      <c r="AA1682">
        <v>0</v>
      </c>
      <c r="AB1682" s="400">
        <v>44575.987570173609</v>
      </c>
      <c r="AC1682" t="s">
        <v>324</v>
      </c>
    </row>
    <row r="1683" spans="1:29">
      <c r="A1683" t="s">
        <v>382</v>
      </c>
      <c r="B1683" t="s">
        <v>440</v>
      </c>
      <c r="C1683" t="s">
        <v>1284</v>
      </c>
      <c r="D1683" t="s">
        <v>1285</v>
      </c>
      <c r="E1683" t="s">
        <v>390</v>
      </c>
      <c r="F1683" t="s">
        <v>391</v>
      </c>
      <c r="G1683">
        <v>6103198</v>
      </c>
      <c r="H1683">
        <v>202112</v>
      </c>
      <c r="I1683" s="400">
        <v>44537</v>
      </c>
      <c r="J1683" t="s">
        <v>452</v>
      </c>
      <c r="K1683" t="s">
        <v>386</v>
      </c>
      <c r="M1683" t="s">
        <v>387</v>
      </c>
      <c r="O1683" t="s">
        <v>2332</v>
      </c>
      <c r="P1683" t="s">
        <v>2333</v>
      </c>
      <c r="Q1683" t="s">
        <v>450</v>
      </c>
      <c r="R1683">
        <v>2069104</v>
      </c>
      <c r="S1683" t="s">
        <v>2334</v>
      </c>
      <c r="U1683" t="s">
        <v>2335</v>
      </c>
      <c r="V1683" t="s">
        <v>398</v>
      </c>
      <c r="W1683" s="393">
        <v>216600</v>
      </c>
      <c r="X1683" s="393">
        <v>54.79</v>
      </c>
      <c r="Y1683" s="393">
        <v>486.24</v>
      </c>
      <c r="Z1683" s="393">
        <v>216600</v>
      </c>
      <c r="AA1683">
        <v>0</v>
      </c>
      <c r="AB1683" s="400">
        <v>44546.961807754633</v>
      </c>
      <c r="AC1683" t="s">
        <v>324</v>
      </c>
    </row>
    <row r="1684" spans="1:29">
      <c r="A1684" t="s">
        <v>382</v>
      </c>
      <c r="B1684" t="s">
        <v>440</v>
      </c>
      <c r="C1684" t="s">
        <v>1284</v>
      </c>
      <c r="D1684" t="s">
        <v>1285</v>
      </c>
      <c r="E1684" t="s">
        <v>390</v>
      </c>
      <c r="F1684" t="s">
        <v>391</v>
      </c>
      <c r="G1684">
        <v>6103198</v>
      </c>
      <c r="H1684">
        <v>202112</v>
      </c>
      <c r="I1684" s="400">
        <v>44537</v>
      </c>
      <c r="J1684" t="s">
        <v>452</v>
      </c>
      <c r="K1684" t="s">
        <v>386</v>
      </c>
      <c r="M1684" t="s">
        <v>387</v>
      </c>
      <c r="O1684" t="s">
        <v>2332</v>
      </c>
      <c r="P1684" t="s">
        <v>2333</v>
      </c>
      <c r="Q1684" t="s">
        <v>450</v>
      </c>
      <c r="R1684">
        <v>2069104</v>
      </c>
      <c r="S1684" t="s">
        <v>2334</v>
      </c>
      <c r="U1684" t="s">
        <v>2335</v>
      </c>
      <c r="V1684" t="s">
        <v>398</v>
      </c>
      <c r="W1684" s="393">
        <v>735300</v>
      </c>
      <c r="X1684" s="393">
        <v>186</v>
      </c>
      <c r="Y1684" s="393">
        <v>1650.65</v>
      </c>
      <c r="Z1684" s="393">
        <v>735300</v>
      </c>
      <c r="AA1684">
        <v>0</v>
      </c>
      <c r="AB1684" s="400">
        <v>44546.961807951389</v>
      </c>
      <c r="AC1684" t="s">
        <v>324</v>
      </c>
    </row>
    <row r="1685" spans="1:29">
      <c r="A1685" t="s">
        <v>382</v>
      </c>
      <c r="B1685" t="s">
        <v>440</v>
      </c>
      <c r="C1685" t="s">
        <v>1284</v>
      </c>
      <c r="D1685" t="s">
        <v>1285</v>
      </c>
      <c r="E1685" t="s">
        <v>390</v>
      </c>
      <c r="F1685" t="s">
        <v>391</v>
      </c>
      <c r="G1685">
        <v>6103198</v>
      </c>
      <c r="H1685">
        <v>202112</v>
      </c>
      <c r="I1685" s="400">
        <v>44537</v>
      </c>
      <c r="J1685" t="s">
        <v>452</v>
      </c>
      <c r="K1685" t="s">
        <v>386</v>
      </c>
      <c r="M1685" t="s">
        <v>387</v>
      </c>
      <c r="O1685" t="s">
        <v>2332</v>
      </c>
      <c r="P1685" t="s">
        <v>2333</v>
      </c>
      <c r="Q1685" t="s">
        <v>450</v>
      </c>
      <c r="R1685">
        <v>2069104</v>
      </c>
      <c r="S1685" t="s">
        <v>2334</v>
      </c>
      <c r="U1685" t="s">
        <v>2335</v>
      </c>
      <c r="V1685" t="s">
        <v>398</v>
      </c>
      <c r="W1685" s="393">
        <v>627760</v>
      </c>
      <c r="X1685" s="393">
        <v>158.80000000000001</v>
      </c>
      <c r="Y1685" s="393">
        <v>1409.24</v>
      </c>
      <c r="Z1685" s="393">
        <v>627760</v>
      </c>
      <c r="AA1685">
        <v>0</v>
      </c>
      <c r="AB1685" s="400">
        <v>44546.961808298613</v>
      </c>
      <c r="AC1685" t="s">
        <v>324</v>
      </c>
    </row>
    <row r="1686" spans="1:29">
      <c r="A1686" t="s">
        <v>382</v>
      </c>
      <c r="B1686" t="s">
        <v>440</v>
      </c>
      <c r="C1686" t="s">
        <v>1284</v>
      </c>
      <c r="D1686" t="s">
        <v>1285</v>
      </c>
      <c r="E1686" t="s">
        <v>390</v>
      </c>
      <c r="F1686" t="s">
        <v>391</v>
      </c>
      <c r="G1686">
        <v>6103429</v>
      </c>
      <c r="H1686">
        <v>202112</v>
      </c>
      <c r="I1686" s="400">
        <v>44560</v>
      </c>
      <c r="J1686" t="s">
        <v>452</v>
      </c>
      <c r="K1686" t="s">
        <v>386</v>
      </c>
      <c r="M1686" t="s">
        <v>387</v>
      </c>
      <c r="O1686" t="s">
        <v>2336</v>
      </c>
      <c r="P1686" t="s">
        <v>2337</v>
      </c>
      <c r="Q1686" t="s">
        <v>450</v>
      </c>
      <c r="R1686">
        <v>2069104</v>
      </c>
      <c r="S1686" t="s">
        <v>2338</v>
      </c>
      <c r="U1686" t="s">
        <v>2339</v>
      </c>
      <c r="V1686" t="s">
        <v>398</v>
      </c>
      <c r="W1686" s="393">
        <v>2174094</v>
      </c>
      <c r="X1686" s="393">
        <v>540.33000000000004</v>
      </c>
      <c r="Y1686" s="393">
        <v>4861.38</v>
      </c>
      <c r="Z1686" s="393">
        <v>2174094</v>
      </c>
      <c r="AA1686">
        <v>0</v>
      </c>
      <c r="AB1686" s="400">
        <v>44565.61782190972</v>
      </c>
      <c r="AC1686" t="s">
        <v>324</v>
      </c>
    </row>
    <row r="1687" spans="1:29">
      <c r="A1687" t="s">
        <v>382</v>
      </c>
      <c r="B1687" t="s">
        <v>440</v>
      </c>
      <c r="C1687" t="s">
        <v>1284</v>
      </c>
      <c r="D1687" t="s">
        <v>1285</v>
      </c>
      <c r="E1687" t="s">
        <v>390</v>
      </c>
      <c r="F1687" t="s">
        <v>391</v>
      </c>
      <c r="G1687">
        <v>6103278</v>
      </c>
      <c r="H1687">
        <v>202112</v>
      </c>
      <c r="I1687" s="400">
        <v>44545</v>
      </c>
      <c r="J1687" t="s">
        <v>452</v>
      </c>
      <c r="K1687" t="s">
        <v>386</v>
      </c>
      <c r="M1687" t="s">
        <v>387</v>
      </c>
      <c r="O1687" t="s">
        <v>544</v>
      </c>
      <c r="P1687" t="s">
        <v>545</v>
      </c>
      <c r="Q1687" t="s">
        <v>450</v>
      </c>
      <c r="R1687">
        <v>2069104</v>
      </c>
      <c r="S1687" t="s">
        <v>387</v>
      </c>
      <c r="U1687" t="s">
        <v>2340</v>
      </c>
      <c r="V1687" t="s">
        <v>398</v>
      </c>
      <c r="W1687" s="393">
        <v>209570</v>
      </c>
      <c r="X1687" s="393">
        <v>53.65</v>
      </c>
      <c r="Y1687" s="393">
        <v>483.58</v>
      </c>
      <c r="Z1687" s="393">
        <v>209570</v>
      </c>
      <c r="AA1687">
        <v>0</v>
      </c>
      <c r="AB1687" s="400">
        <v>44550.73567804398</v>
      </c>
      <c r="AC1687" t="s">
        <v>324</v>
      </c>
    </row>
    <row r="1688" spans="1:29">
      <c r="A1688" t="s">
        <v>382</v>
      </c>
      <c r="B1688" t="s">
        <v>440</v>
      </c>
      <c r="C1688" t="s">
        <v>1284</v>
      </c>
      <c r="D1688" t="s">
        <v>2341</v>
      </c>
      <c r="E1688" t="s">
        <v>390</v>
      </c>
      <c r="F1688" t="s">
        <v>391</v>
      </c>
      <c r="G1688">
        <v>6102619</v>
      </c>
      <c r="H1688">
        <v>202110</v>
      </c>
      <c r="I1688" s="400">
        <v>44496</v>
      </c>
      <c r="J1688" t="s">
        <v>1016</v>
      </c>
      <c r="K1688" t="s">
        <v>386</v>
      </c>
      <c r="M1688" t="s">
        <v>387</v>
      </c>
      <c r="O1688" t="s">
        <v>2342</v>
      </c>
      <c r="P1688" t="s">
        <v>2343</v>
      </c>
      <c r="Q1688" t="s">
        <v>450</v>
      </c>
      <c r="R1688">
        <v>2069104</v>
      </c>
      <c r="S1688" t="s">
        <v>387</v>
      </c>
      <c r="U1688" t="s">
        <v>2344</v>
      </c>
      <c r="V1688" t="s">
        <v>398</v>
      </c>
      <c r="W1688" s="393">
        <v>96900</v>
      </c>
      <c r="X1688" s="393">
        <v>25.7</v>
      </c>
      <c r="Y1688" s="393">
        <v>223.21</v>
      </c>
      <c r="Z1688" s="393">
        <v>96900</v>
      </c>
      <c r="AA1688">
        <v>0</v>
      </c>
      <c r="AB1688" s="400">
        <v>44501.867660069445</v>
      </c>
      <c r="AC1688" t="s">
        <v>324</v>
      </c>
    </row>
    <row r="1689" spans="1:29">
      <c r="A1689" t="s">
        <v>382</v>
      </c>
      <c r="B1689" t="s">
        <v>440</v>
      </c>
      <c r="C1689" t="s">
        <v>1284</v>
      </c>
      <c r="D1689" t="s">
        <v>2341</v>
      </c>
      <c r="E1689" t="s">
        <v>390</v>
      </c>
      <c r="F1689" t="s">
        <v>391</v>
      </c>
      <c r="G1689">
        <v>6102998</v>
      </c>
      <c r="H1689">
        <v>202111</v>
      </c>
      <c r="I1689" s="400">
        <v>44530</v>
      </c>
      <c r="J1689" t="s">
        <v>452</v>
      </c>
      <c r="K1689" t="s">
        <v>386</v>
      </c>
      <c r="M1689" t="s">
        <v>387</v>
      </c>
      <c r="O1689" t="s">
        <v>544</v>
      </c>
      <c r="P1689" t="s">
        <v>545</v>
      </c>
      <c r="Q1689" t="s">
        <v>450</v>
      </c>
      <c r="R1689">
        <v>2069104</v>
      </c>
      <c r="S1689" t="s">
        <v>387</v>
      </c>
      <c r="U1689" t="s">
        <v>2327</v>
      </c>
      <c r="V1689" t="s">
        <v>398</v>
      </c>
      <c r="W1689" s="393">
        <v>1325456</v>
      </c>
      <c r="X1689" s="393">
        <v>333.91</v>
      </c>
      <c r="Y1689" s="393">
        <v>2887.28</v>
      </c>
      <c r="Z1689" s="393">
        <v>1325456</v>
      </c>
      <c r="AA1689">
        <v>43</v>
      </c>
      <c r="AB1689" s="400">
        <v>44530.950488692128</v>
      </c>
      <c r="AC1689" t="s">
        <v>324</v>
      </c>
    </row>
    <row r="1690" spans="1:29">
      <c r="A1690" t="s">
        <v>382</v>
      </c>
      <c r="B1690" t="s">
        <v>440</v>
      </c>
      <c r="C1690" t="s">
        <v>1284</v>
      </c>
      <c r="D1690" t="s">
        <v>1307</v>
      </c>
      <c r="E1690" t="s">
        <v>390</v>
      </c>
      <c r="F1690" t="s">
        <v>391</v>
      </c>
      <c r="G1690">
        <v>6103531</v>
      </c>
      <c r="H1690">
        <v>202112</v>
      </c>
      <c r="I1690" s="400">
        <v>44561</v>
      </c>
      <c r="J1690">
        <v>119010</v>
      </c>
      <c r="K1690" t="s">
        <v>386</v>
      </c>
      <c r="M1690" t="s">
        <v>387</v>
      </c>
      <c r="O1690" t="s">
        <v>2328</v>
      </c>
      <c r="P1690" t="s">
        <v>2329</v>
      </c>
      <c r="Q1690" t="s">
        <v>450</v>
      </c>
      <c r="R1690">
        <v>2069104</v>
      </c>
      <c r="S1690" t="s">
        <v>387</v>
      </c>
      <c r="U1690" t="s">
        <v>2330</v>
      </c>
      <c r="V1690" t="s">
        <v>398</v>
      </c>
      <c r="W1690" s="393">
        <v>590000</v>
      </c>
      <c r="X1690" s="393">
        <v>154.6</v>
      </c>
      <c r="Y1690" s="393">
        <v>1346.89</v>
      </c>
      <c r="Z1690" s="393">
        <v>590000</v>
      </c>
      <c r="AA1690">
        <v>43</v>
      </c>
      <c r="AB1690" s="400">
        <v>44575.987570173609</v>
      </c>
      <c r="AC1690" t="s">
        <v>324</v>
      </c>
    </row>
    <row r="1691" spans="1:29">
      <c r="A1691" t="s">
        <v>382</v>
      </c>
      <c r="B1691" t="s">
        <v>440</v>
      </c>
      <c r="C1691" t="s">
        <v>1284</v>
      </c>
      <c r="D1691" t="s">
        <v>1308</v>
      </c>
      <c r="E1691" t="s">
        <v>390</v>
      </c>
      <c r="F1691" t="s">
        <v>391</v>
      </c>
      <c r="G1691">
        <v>6102882</v>
      </c>
      <c r="H1691">
        <v>202111</v>
      </c>
      <c r="I1691" s="400">
        <v>44505</v>
      </c>
      <c r="J1691" t="s">
        <v>1016</v>
      </c>
      <c r="K1691" t="s">
        <v>386</v>
      </c>
      <c r="M1691" t="s">
        <v>387</v>
      </c>
      <c r="O1691" t="s">
        <v>2345</v>
      </c>
      <c r="P1691" t="s">
        <v>2346</v>
      </c>
      <c r="Q1691" t="s">
        <v>450</v>
      </c>
      <c r="R1691">
        <v>2069104</v>
      </c>
      <c r="S1691" t="s">
        <v>387</v>
      </c>
      <c r="U1691" t="s">
        <v>2347</v>
      </c>
      <c r="V1691" t="s">
        <v>398</v>
      </c>
      <c r="W1691" s="393">
        <v>80000</v>
      </c>
      <c r="X1691" s="393">
        <v>20.84</v>
      </c>
      <c r="Y1691" s="393">
        <v>177.43</v>
      </c>
      <c r="Z1691" s="393">
        <v>80000</v>
      </c>
      <c r="AA1691">
        <v>0</v>
      </c>
      <c r="AB1691" s="400">
        <v>44522.634074687499</v>
      </c>
      <c r="AC1691" t="s">
        <v>324</v>
      </c>
    </row>
    <row r="1692" spans="1:29">
      <c r="A1692" t="s">
        <v>382</v>
      </c>
      <c r="B1692" t="s">
        <v>440</v>
      </c>
      <c r="C1692" t="s">
        <v>1284</v>
      </c>
      <c r="D1692" t="s">
        <v>1308</v>
      </c>
      <c r="E1692" t="s">
        <v>390</v>
      </c>
      <c r="F1692" t="s">
        <v>391</v>
      </c>
      <c r="G1692">
        <v>6103278</v>
      </c>
      <c r="H1692">
        <v>202112</v>
      </c>
      <c r="I1692" s="400">
        <v>44545</v>
      </c>
      <c r="J1692" t="s">
        <v>452</v>
      </c>
      <c r="K1692" t="s">
        <v>386</v>
      </c>
      <c r="M1692" t="s">
        <v>387</v>
      </c>
      <c r="O1692" t="s">
        <v>544</v>
      </c>
      <c r="P1692" t="s">
        <v>545</v>
      </c>
      <c r="Q1692" t="s">
        <v>450</v>
      </c>
      <c r="R1692">
        <v>2069104</v>
      </c>
      <c r="S1692" t="s">
        <v>387</v>
      </c>
      <c r="U1692" t="s">
        <v>2340</v>
      </c>
      <c r="V1692" t="s">
        <v>398</v>
      </c>
      <c r="W1692" s="393">
        <v>1103000</v>
      </c>
      <c r="X1692" s="393">
        <v>282.38</v>
      </c>
      <c r="Y1692" s="393">
        <v>2545.14</v>
      </c>
      <c r="Z1692" s="393">
        <v>1103000</v>
      </c>
      <c r="AA1692">
        <v>43</v>
      </c>
      <c r="AB1692" s="400">
        <v>44550.735677349534</v>
      </c>
      <c r="AC1692" t="s">
        <v>324</v>
      </c>
    </row>
    <row r="1693" spans="1:29">
      <c r="A1693" t="s">
        <v>382</v>
      </c>
      <c r="B1693" t="s">
        <v>440</v>
      </c>
      <c r="C1693" t="s">
        <v>1284</v>
      </c>
      <c r="D1693" t="s">
        <v>1308</v>
      </c>
      <c r="E1693" t="s">
        <v>390</v>
      </c>
      <c r="F1693" t="s">
        <v>391</v>
      </c>
      <c r="G1693">
        <v>6103267</v>
      </c>
      <c r="H1693">
        <v>202112</v>
      </c>
      <c r="I1693" s="400">
        <v>44545</v>
      </c>
      <c r="J1693">
        <v>122536</v>
      </c>
      <c r="K1693" t="s">
        <v>386</v>
      </c>
      <c r="M1693" t="s">
        <v>387</v>
      </c>
      <c r="O1693" t="s">
        <v>2348</v>
      </c>
      <c r="P1693" t="s">
        <v>2349</v>
      </c>
      <c r="Q1693" t="s">
        <v>450</v>
      </c>
      <c r="R1693">
        <v>2069104</v>
      </c>
      <c r="S1693" t="s">
        <v>387</v>
      </c>
      <c r="U1693" t="s">
        <v>2350</v>
      </c>
      <c r="V1693" t="s">
        <v>398</v>
      </c>
      <c r="W1693" s="393">
        <v>100000</v>
      </c>
      <c r="X1693" s="393">
        <v>25.6</v>
      </c>
      <c r="Y1693" s="393">
        <v>230.75</v>
      </c>
      <c r="Z1693" s="393">
        <v>100000</v>
      </c>
      <c r="AA1693">
        <v>0</v>
      </c>
      <c r="AB1693" s="400">
        <v>44550.649333368056</v>
      </c>
      <c r="AC1693" t="s">
        <v>324</v>
      </c>
    </row>
    <row r="1694" spans="1:29">
      <c r="A1694" t="s">
        <v>382</v>
      </c>
      <c r="B1694" t="s">
        <v>440</v>
      </c>
      <c r="C1694" t="s">
        <v>1284</v>
      </c>
      <c r="D1694" t="s">
        <v>1308</v>
      </c>
      <c r="E1694" t="s">
        <v>390</v>
      </c>
      <c r="F1694" t="s">
        <v>391</v>
      </c>
      <c r="G1694">
        <v>6103531</v>
      </c>
      <c r="H1694">
        <v>202112</v>
      </c>
      <c r="I1694" s="400">
        <v>44561</v>
      </c>
      <c r="J1694">
        <v>119010</v>
      </c>
      <c r="K1694" t="s">
        <v>386</v>
      </c>
      <c r="M1694" t="s">
        <v>387</v>
      </c>
      <c r="O1694" t="s">
        <v>544</v>
      </c>
      <c r="P1694" t="s">
        <v>545</v>
      </c>
      <c r="Q1694" t="s">
        <v>450</v>
      </c>
      <c r="R1694">
        <v>2069104</v>
      </c>
      <c r="S1694" t="s">
        <v>387</v>
      </c>
      <c r="U1694" t="s">
        <v>2331</v>
      </c>
      <c r="V1694" t="s">
        <v>398</v>
      </c>
      <c r="W1694" s="393">
        <v>1164779</v>
      </c>
      <c r="X1694" s="393">
        <v>298.2</v>
      </c>
      <c r="Y1694" s="393">
        <v>2687.69</v>
      </c>
      <c r="Z1694" s="393">
        <v>1164779</v>
      </c>
      <c r="AA1694">
        <v>43</v>
      </c>
      <c r="AB1694" s="400">
        <v>44575.987570173609</v>
      </c>
      <c r="AC1694" t="s">
        <v>324</v>
      </c>
    </row>
    <row r="1695" spans="1:29">
      <c r="A1695" t="s">
        <v>382</v>
      </c>
      <c r="B1695" t="s">
        <v>440</v>
      </c>
      <c r="C1695" t="s">
        <v>1284</v>
      </c>
      <c r="D1695" t="s">
        <v>1308</v>
      </c>
      <c r="E1695" t="s">
        <v>390</v>
      </c>
      <c r="F1695" t="s">
        <v>391</v>
      </c>
      <c r="G1695">
        <v>6103198</v>
      </c>
      <c r="H1695">
        <v>202112</v>
      </c>
      <c r="I1695" s="400">
        <v>44537</v>
      </c>
      <c r="J1695" t="s">
        <v>452</v>
      </c>
      <c r="K1695" t="s">
        <v>386</v>
      </c>
      <c r="M1695" t="s">
        <v>387</v>
      </c>
      <c r="O1695" t="s">
        <v>2332</v>
      </c>
      <c r="P1695" t="s">
        <v>2333</v>
      </c>
      <c r="Q1695" t="s">
        <v>450</v>
      </c>
      <c r="R1695">
        <v>2069104</v>
      </c>
      <c r="S1695" t="s">
        <v>2334</v>
      </c>
      <c r="U1695" t="s">
        <v>2335</v>
      </c>
      <c r="V1695" t="s">
        <v>398</v>
      </c>
      <c r="W1695" s="393">
        <v>1140000</v>
      </c>
      <c r="X1695" s="393">
        <v>288.37</v>
      </c>
      <c r="Y1695" s="393">
        <v>2559.15</v>
      </c>
      <c r="Z1695" s="393">
        <v>1140000</v>
      </c>
      <c r="AA1695">
        <v>43</v>
      </c>
      <c r="AB1695" s="400">
        <v>44546.961805057872</v>
      </c>
      <c r="AC1695" t="s">
        <v>324</v>
      </c>
    </row>
    <row r="1696" spans="1:29">
      <c r="A1696" t="s">
        <v>382</v>
      </c>
      <c r="B1696" t="s">
        <v>440</v>
      </c>
      <c r="C1696" t="s">
        <v>1284</v>
      </c>
      <c r="D1696" t="s">
        <v>1308</v>
      </c>
      <c r="E1696" t="s">
        <v>390</v>
      </c>
      <c r="F1696" t="s">
        <v>391</v>
      </c>
      <c r="G1696">
        <v>6103198</v>
      </c>
      <c r="H1696">
        <v>202112</v>
      </c>
      <c r="I1696" s="400">
        <v>44537</v>
      </c>
      <c r="J1696" t="s">
        <v>452</v>
      </c>
      <c r="K1696" t="s">
        <v>386</v>
      </c>
      <c r="M1696" t="s">
        <v>387</v>
      </c>
      <c r="O1696" t="s">
        <v>2332</v>
      </c>
      <c r="P1696" t="s">
        <v>2333</v>
      </c>
      <c r="Q1696" t="s">
        <v>450</v>
      </c>
      <c r="R1696">
        <v>2069104</v>
      </c>
      <c r="S1696" t="s">
        <v>2334</v>
      </c>
      <c r="U1696" t="s">
        <v>2335</v>
      </c>
      <c r="V1696" t="s">
        <v>398</v>
      </c>
      <c r="W1696" s="393">
        <v>3870000</v>
      </c>
      <c r="X1696" s="393">
        <v>978.96</v>
      </c>
      <c r="Y1696" s="393">
        <v>8687.65</v>
      </c>
      <c r="Z1696" s="393">
        <v>3870000</v>
      </c>
      <c r="AA1696">
        <v>43</v>
      </c>
      <c r="AB1696" s="400">
        <v>44546.961805057872</v>
      </c>
      <c r="AC1696" t="s">
        <v>324</v>
      </c>
    </row>
    <row r="1697" spans="1:29">
      <c r="A1697" t="s">
        <v>382</v>
      </c>
      <c r="B1697" t="s">
        <v>440</v>
      </c>
      <c r="C1697" t="s">
        <v>1284</v>
      </c>
      <c r="D1697" t="s">
        <v>1308</v>
      </c>
      <c r="E1697" t="s">
        <v>390</v>
      </c>
      <c r="F1697" t="s">
        <v>391</v>
      </c>
      <c r="G1697">
        <v>6103198</v>
      </c>
      <c r="H1697">
        <v>202112</v>
      </c>
      <c r="I1697" s="400">
        <v>44537</v>
      </c>
      <c r="J1697" t="s">
        <v>452</v>
      </c>
      <c r="K1697" t="s">
        <v>386</v>
      </c>
      <c r="M1697" t="s">
        <v>387</v>
      </c>
      <c r="O1697" t="s">
        <v>2332</v>
      </c>
      <c r="P1697" t="s">
        <v>2333</v>
      </c>
      <c r="Q1697" t="s">
        <v>450</v>
      </c>
      <c r="R1697">
        <v>2069104</v>
      </c>
      <c r="S1697" t="s">
        <v>2334</v>
      </c>
      <c r="U1697" t="s">
        <v>2335</v>
      </c>
      <c r="V1697" t="s">
        <v>398</v>
      </c>
      <c r="W1697" s="393">
        <v>3304000</v>
      </c>
      <c r="X1697" s="393">
        <v>835.78</v>
      </c>
      <c r="Y1697" s="393">
        <v>7417.05</v>
      </c>
      <c r="Z1697" s="393">
        <v>3304000</v>
      </c>
      <c r="AA1697">
        <v>43</v>
      </c>
      <c r="AB1697" s="400">
        <v>44546.961805243052</v>
      </c>
      <c r="AC1697" t="s">
        <v>324</v>
      </c>
    </row>
    <row r="1698" spans="1:29">
      <c r="A1698" t="s">
        <v>382</v>
      </c>
      <c r="B1698" t="s">
        <v>440</v>
      </c>
      <c r="C1698" t="s">
        <v>1284</v>
      </c>
      <c r="D1698" t="s">
        <v>1308</v>
      </c>
      <c r="E1698" t="s">
        <v>390</v>
      </c>
      <c r="F1698" t="s">
        <v>391</v>
      </c>
      <c r="G1698">
        <v>6103380</v>
      </c>
      <c r="H1698">
        <v>202112</v>
      </c>
      <c r="I1698" s="400">
        <v>44550</v>
      </c>
      <c r="J1698">
        <v>122536</v>
      </c>
      <c r="K1698" t="s">
        <v>386</v>
      </c>
      <c r="M1698" t="s">
        <v>387</v>
      </c>
      <c r="O1698" t="s">
        <v>2351</v>
      </c>
      <c r="P1698" t="s">
        <v>2352</v>
      </c>
      <c r="Q1698" t="s">
        <v>450</v>
      </c>
      <c r="R1698">
        <v>2069104</v>
      </c>
      <c r="S1698" t="s">
        <v>387</v>
      </c>
      <c r="U1698" t="s">
        <v>2353</v>
      </c>
      <c r="V1698" t="s">
        <v>398</v>
      </c>
      <c r="W1698" s="393">
        <v>200000</v>
      </c>
      <c r="X1698" s="393">
        <v>50.12</v>
      </c>
      <c r="Y1698" s="393">
        <v>452.03</v>
      </c>
      <c r="Z1698" s="393">
        <v>200000</v>
      </c>
      <c r="AA1698">
        <v>0</v>
      </c>
      <c r="AB1698" s="400">
        <v>44558.770488807873</v>
      </c>
      <c r="AC1698" t="s">
        <v>324</v>
      </c>
    </row>
    <row r="1699" spans="1:29">
      <c r="A1699" t="s">
        <v>382</v>
      </c>
      <c r="B1699" t="s">
        <v>440</v>
      </c>
      <c r="C1699" t="s">
        <v>1284</v>
      </c>
      <c r="D1699" t="s">
        <v>1308</v>
      </c>
      <c r="E1699" t="s">
        <v>390</v>
      </c>
      <c r="F1699" t="s">
        <v>391</v>
      </c>
      <c r="G1699">
        <v>6103429</v>
      </c>
      <c r="H1699">
        <v>202112</v>
      </c>
      <c r="I1699" s="400">
        <v>44560</v>
      </c>
      <c r="J1699" t="s">
        <v>452</v>
      </c>
      <c r="K1699" t="s">
        <v>386</v>
      </c>
      <c r="M1699" t="s">
        <v>387</v>
      </c>
      <c r="O1699" t="s">
        <v>2336</v>
      </c>
      <c r="P1699" t="s">
        <v>2337</v>
      </c>
      <c r="Q1699" t="s">
        <v>450</v>
      </c>
      <c r="R1699">
        <v>2069104</v>
      </c>
      <c r="S1699" t="s">
        <v>2338</v>
      </c>
      <c r="U1699" t="s">
        <v>2339</v>
      </c>
      <c r="V1699" t="s">
        <v>398</v>
      </c>
      <c r="W1699" s="393">
        <v>11442600</v>
      </c>
      <c r="X1699" s="393">
        <v>2843.83</v>
      </c>
      <c r="Y1699" s="393">
        <v>25586.23</v>
      </c>
      <c r="Z1699" s="393">
        <v>11442600</v>
      </c>
      <c r="AA1699">
        <v>43</v>
      </c>
      <c r="AB1699" s="400">
        <v>44565.617815775462</v>
      </c>
      <c r="AC1699" t="s">
        <v>324</v>
      </c>
    </row>
    <row r="1700" spans="1:29">
      <c r="A1700" t="s">
        <v>382</v>
      </c>
      <c r="B1700" t="s">
        <v>440</v>
      </c>
      <c r="C1700" t="s">
        <v>1309</v>
      </c>
      <c r="D1700" t="s">
        <v>1310</v>
      </c>
      <c r="E1700" t="s">
        <v>390</v>
      </c>
      <c r="F1700" t="s">
        <v>391</v>
      </c>
      <c r="G1700">
        <v>6102901</v>
      </c>
      <c r="H1700">
        <v>202111</v>
      </c>
      <c r="I1700" s="400">
        <v>44517</v>
      </c>
      <c r="J1700" t="s">
        <v>1016</v>
      </c>
      <c r="K1700" t="s">
        <v>386</v>
      </c>
      <c r="M1700" t="s">
        <v>387</v>
      </c>
      <c r="O1700" t="s">
        <v>1311</v>
      </c>
      <c r="P1700" t="s">
        <v>1312</v>
      </c>
      <c r="Q1700" t="s">
        <v>450</v>
      </c>
      <c r="R1700">
        <v>2069102</v>
      </c>
      <c r="S1700" t="s">
        <v>387</v>
      </c>
      <c r="U1700" t="s">
        <v>2210</v>
      </c>
      <c r="V1700" t="s">
        <v>398</v>
      </c>
      <c r="W1700" s="393">
        <v>13300</v>
      </c>
      <c r="X1700" s="393">
        <v>3.43</v>
      </c>
      <c r="Y1700" s="393">
        <v>29.17</v>
      </c>
      <c r="Z1700" s="393">
        <v>13300</v>
      </c>
      <c r="AA1700">
        <v>0</v>
      </c>
      <c r="AB1700" s="400">
        <v>44523.661690011577</v>
      </c>
      <c r="AC1700" t="s">
        <v>324</v>
      </c>
    </row>
    <row r="1701" spans="1:29">
      <c r="A1701" t="s">
        <v>382</v>
      </c>
      <c r="B1701" t="s">
        <v>440</v>
      </c>
      <c r="C1701" t="s">
        <v>1309</v>
      </c>
      <c r="D1701" t="s">
        <v>1310</v>
      </c>
      <c r="E1701" t="s">
        <v>390</v>
      </c>
      <c r="F1701" t="s">
        <v>391</v>
      </c>
      <c r="G1701">
        <v>6102901</v>
      </c>
      <c r="H1701">
        <v>202111</v>
      </c>
      <c r="I1701" s="400">
        <v>44517</v>
      </c>
      <c r="J1701" t="s">
        <v>1016</v>
      </c>
      <c r="K1701" t="s">
        <v>386</v>
      </c>
      <c r="M1701" t="s">
        <v>387</v>
      </c>
      <c r="O1701" t="s">
        <v>2200</v>
      </c>
      <c r="P1701" t="s">
        <v>2201</v>
      </c>
      <c r="Q1701" t="s">
        <v>450</v>
      </c>
      <c r="R1701">
        <v>2069102</v>
      </c>
      <c r="S1701" t="s">
        <v>387</v>
      </c>
      <c r="U1701" t="s">
        <v>2211</v>
      </c>
      <c r="V1701" t="s">
        <v>398</v>
      </c>
      <c r="W1701" s="393">
        <v>5826</v>
      </c>
      <c r="X1701" s="393">
        <v>1.5</v>
      </c>
      <c r="Y1701" s="393">
        <v>12.78</v>
      </c>
      <c r="Z1701" s="393">
        <v>5826</v>
      </c>
      <c r="AA1701">
        <v>0</v>
      </c>
      <c r="AB1701" s="400">
        <v>44523.661690011577</v>
      </c>
      <c r="AC1701" t="s">
        <v>324</v>
      </c>
    </row>
    <row r="1702" spans="1:29">
      <c r="A1702" t="s">
        <v>382</v>
      </c>
      <c r="B1702" t="s">
        <v>440</v>
      </c>
      <c r="C1702" t="s">
        <v>1309</v>
      </c>
      <c r="D1702" t="s">
        <v>1310</v>
      </c>
      <c r="E1702" t="s">
        <v>390</v>
      </c>
      <c r="F1702" t="s">
        <v>391</v>
      </c>
      <c r="G1702">
        <v>6103349</v>
      </c>
      <c r="H1702">
        <v>202112</v>
      </c>
      <c r="I1702" s="400">
        <v>44547</v>
      </c>
      <c r="J1702" t="s">
        <v>452</v>
      </c>
      <c r="K1702" t="s">
        <v>386</v>
      </c>
      <c r="M1702" t="s">
        <v>387</v>
      </c>
      <c r="O1702" t="s">
        <v>1314</v>
      </c>
      <c r="P1702" t="s">
        <v>1315</v>
      </c>
      <c r="Q1702" t="s">
        <v>450</v>
      </c>
      <c r="R1702">
        <v>2069102</v>
      </c>
      <c r="S1702" t="s">
        <v>2354</v>
      </c>
      <c r="U1702" t="s">
        <v>2355</v>
      </c>
      <c r="V1702" t="s">
        <v>398</v>
      </c>
      <c r="W1702" s="393">
        <v>28739</v>
      </c>
      <c r="X1702" s="393">
        <v>7.2</v>
      </c>
      <c r="Y1702" s="393">
        <v>64.95</v>
      </c>
      <c r="Z1702" s="393">
        <v>28739</v>
      </c>
      <c r="AA1702">
        <v>0</v>
      </c>
      <c r="AB1702" s="400">
        <v>44552.118334340281</v>
      </c>
      <c r="AC1702" t="s">
        <v>324</v>
      </c>
    </row>
    <row r="1703" spans="1:29">
      <c r="A1703" t="s">
        <v>382</v>
      </c>
      <c r="B1703" t="s">
        <v>440</v>
      </c>
      <c r="C1703" t="s">
        <v>1309</v>
      </c>
      <c r="D1703" t="s">
        <v>1317</v>
      </c>
      <c r="E1703" t="s">
        <v>390</v>
      </c>
      <c r="F1703" t="s">
        <v>391</v>
      </c>
      <c r="G1703">
        <v>6102371</v>
      </c>
      <c r="H1703">
        <v>202110</v>
      </c>
      <c r="I1703" s="400">
        <v>44481</v>
      </c>
      <c r="J1703">
        <v>124932</v>
      </c>
      <c r="K1703" t="s">
        <v>386</v>
      </c>
      <c r="M1703" t="s">
        <v>387</v>
      </c>
      <c r="O1703" t="s">
        <v>642</v>
      </c>
      <c r="P1703" t="s">
        <v>643</v>
      </c>
      <c r="Q1703" t="s">
        <v>450</v>
      </c>
      <c r="R1703">
        <v>2069102</v>
      </c>
      <c r="S1703" t="s">
        <v>387</v>
      </c>
      <c r="U1703" t="s">
        <v>2356</v>
      </c>
      <c r="V1703" t="s">
        <v>398</v>
      </c>
      <c r="W1703" s="393">
        <v>2304000</v>
      </c>
      <c r="X1703" s="393">
        <v>608.23</v>
      </c>
      <c r="Y1703" s="393">
        <v>5260.79</v>
      </c>
      <c r="Z1703" s="393">
        <v>2304000</v>
      </c>
      <c r="AA1703">
        <v>318</v>
      </c>
      <c r="AB1703" s="400">
        <v>44487.961796493059</v>
      </c>
      <c r="AC1703" t="s">
        <v>324</v>
      </c>
    </row>
    <row r="1704" spans="1:29">
      <c r="A1704" t="s">
        <v>382</v>
      </c>
      <c r="B1704" t="s">
        <v>440</v>
      </c>
      <c r="C1704" t="s">
        <v>1309</v>
      </c>
      <c r="D1704" t="s">
        <v>1317</v>
      </c>
      <c r="E1704" t="s">
        <v>390</v>
      </c>
      <c r="F1704" t="s">
        <v>391</v>
      </c>
      <c r="G1704">
        <v>6102856</v>
      </c>
      <c r="H1704">
        <v>202111</v>
      </c>
      <c r="I1704" s="400">
        <v>44519</v>
      </c>
      <c r="J1704" t="s">
        <v>452</v>
      </c>
      <c r="K1704" t="s">
        <v>386</v>
      </c>
      <c r="M1704" t="s">
        <v>387</v>
      </c>
      <c r="O1704" t="s">
        <v>2357</v>
      </c>
      <c r="P1704" t="s">
        <v>2358</v>
      </c>
      <c r="Q1704" t="s">
        <v>450</v>
      </c>
      <c r="R1704">
        <v>2069102</v>
      </c>
      <c r="S1704" t="s">
        <v>387</v>
      </c>
      <c r="U1704" t="s">
        <v>2359</v>
      </c>
      <c r="V1704" t="s">
        <v>398</v>
      </c>
      <c r="W1704" s="393">
        <v>17400</v>
      </c>
      <c r="X1704" s="393">
        <v>4.45</v>
      </c>
      <c r="Y1704" s="393">
        <v>38.18</v>
      </c>
      <c r="Z1704" s="393">
        <v>17400</v>
      </c>
      <c r="AA1704">
        <v>0</v>
      </c>
      <c r="AB1704" s="400">
        <v>44521.653987581019</v>
      </c>
      <c r="AC1704" t="s">
        <v>324</v>
      </c>
    </row>
    <row r="1705" spans="1:29">
      <c r="A1705" t="s">
        <v>382</v>
      </c>
      <c r="B1705" t="s">
        <v>440</v>
      </c>
      <c r="C1705" t="s">
        <v>1309</v>
      </c>
      <c r="D1705" t="s">
        <v>1317</v>
      </c>
      <c r="E1705" t="s">
        <v>390</v>
      </c>
      <c r="F1705" t="s">
        <v>391</v>
      </c>
      <c r="G1705">
        <v>6102856</v>
      </c>
      <c r="H1705">
        <v>202111</v>
      </c>
      <c r="I1705" s="400">
        <v>44519</v>
      </c>
      <c r="J1705" t="s">
        <v>452</v>
      </c>
      <c r="K1705" t="s">
        <v>386</v>
      </c>
      <c r="M1705" t="s">
        <v>387</v>
      </c>
      <c r="O1705" t="s">
        <v>1561</v>
      </c>
      <c r="P1705" t="s">
        <v>1562</v>
      </c>
      <c r="Q1705" t="s">
        <v>450</v>
      </c>
      <c r="R1705">
        <v>2069102</v>
      </c>
      <c r="S1705" t="s">
        <v>387</v>
      </c>
      <c r="U1705" t="s">
        <v>2360</v>
      </c>
      <c r="V1705" t="s">
        <v>398</v>
      </c>
      <c r="W1705" s="393">
        <v>9000</v>
      </c>
      <c r="X1705" s="393">
        <v>2.2999999999999998</v>
      </c>
      <c r="Y1705" s="393">
        <v>19.75</v>
      </c>
      <c r="Z1705" s="393">
        <v>9000</v>
      </c>
      <c r="AA1705">
        <v>0</v>
      </c>
      <c r="AB1705" s="400">
        <v>44521.653987581019</v>
      </c>
      <c r="AC1705" t="s">
        <v>324</v>
      </c>
    </row>
    <row r="1706" spans="1:29">
      <c r="A1706" t="s">
        <v>382</v>
      </c>
      <c r="B1706" t="s">
        <v>440</v>
      </c>
      <c r="C1706" t="s">
        <v>1309</v>
      </c>
      <c r="D1706" t="s">
        <v>1317</v>
      </c>
      <c r="E1706" t="s">
        <v>390</v>
      </c>
      <c r="F1706" t="s">
        <v>391</v>
      </c>
      <c r="G1706">
        <v>6102909</v>
      </c>
      <c r="H1706">
        <v>202111</v>
      </c>
      <c r="I1706" s="400">
        <v>44520</v>
      </c>
      <c r="J1706" t="s">
        <v>1016</v>
      </c>
      <c r="K1706" t="s">
        <v>386</v>
      </c>
      <c r="M1706" t="s">
        <v>387</v>
      </c>
      <c r="O1706" t="s">
        <v>2200</v>
      </c>
      <c r="P1706" t="s">
        <v>2201</v>
      </c>
      <c r="Q1706" t="s">
        <v>450</v>
      </c>
      <c r="R1706">
        <v>2069102</v>
      </c>
      <c r="S1706" t="s">
        <v>387</v>
      </c>
      <c r="U1706" t="s">
        <v>2202</v>
      </c>
      <c r="V1706" t="s">
        <v>398</v>
      </c>
      <c r="W1706" s="393">
        <v>35905</v>
      </c>
      <c r="X1706" s="393">
        <v>9.19</v>
      </c>
      <c r="Y1706" s="393">
        <v>78.790000000000006</v>
      </c>
      <c r="Z1706" s="393">
        <v>35905</v>
      </c>
      <c r="AA1706">
        <v>0</v>
      </c>
      <c r="AB1706" s="400">
        <v>44524.172048692133</v>
      </c>
      <c r="AC1706" t="s">
        <v>324</v>
      </c>
    </row>
    <row r="1707" spans="1:29">
      <c r="A1707" t="s">
        <v>382</v>
      </c>
      <c r="B1707" t="s">
        <v>440</v>
      </c>
      <c r="C1707" t="s">
        <v>1309</v>
      </c>
      <c r="D1707" t="s">
        <v>1317</v>
      </c>
      <c r="E1707" t="s">
        <v>390</v>
      </c>
      <c r="F1707" t="s">
        <v>391</v>
      </c>
      <c r="G1707">
        <v>6102909</v>
      </c>
      <c r="H1707">
        <v>202111</v>
      </c>
      <c r="I1707" s="400">
        <v>44520</v>
      </c>
      <c r="J1707" t="s">
        <v>1016</v>
      </c>
      <c r="K1707" t="s">
        <v>386</v>
      </c>
      <c r="M1707" t="s">
        <v>387</v>
      </c>
      <c r="O1707" t="s">
        <v>1311</v>
      </c>
      <c r="P1707" t="s">
        <v>1312</v>
      </c>
      <c r="Q1707" t="s">
        <v>450</v>
      </c>
      <c r="R1707">
        <v>2069102</v>
      </c>
      <c r="S1707" t="s">
        <v>387</v>
      </c>
      <c r="U1707" t="s">
        <v>2199</v>
      </c>
      <c r="V1707" t="s">
        <v>398</v>
      </c>
      <c r="W1707" s="393">
        <v>361473</v>
      </c>
      <c r="X1707" s="393">
        <v>92.5</v>
      </c>
      <c r="Y1707" s="393">
        <v>793.19</v>
      </c>
      <c r="Z1707" s="393">
        <v>361473</v>
      </c>
      <c r="AA1707">
        <v>0</v>
      </c>
      <c r="AB1707" s="400">
        <v>44524.172016319448</v>
      </c>
      <c r="AC1707" t="s">
        <v>324</v>
      </c>
    </row>
    <row r="1708" spans="1:29">
      <c r="A1708" t="s">
        <v>382</v>
      </c>
      <c r="B1708" t="s">
        <v>440</v>
      </c>
      <c r="C1708" t="s">
        <v>1309</v>
      </c>
      <c r="D1708" t="s">
        <v>1317</v>
      </c>
      <c r="E1708" t="s">
        <v>390</v>
      </c>
      <c r="F1708" t="s">
        <v>391</v>
      </c>
      <c r="G1708">
        <v>6103349</v>
      </c>
      <c r="H1708">
        <v>202112</v>
      </c>
      <c r="I1708" s="400">
        <v>44547</v>
      </c>
      <c r="J1708" t="s">
        <v>452</v>
      </c>
      <c r="K1708" t="s">
        <v>386</v>
      </c>
      <c r="M1708" t="s">
        <v>387</v>
      </c>
      <c r="O1708" t="s">
        <v>1314</v>
      </c>
      <c r="P1708" t="s">
        <v>1315</v>
      </c>
      <c r="Q1708" t="s">
        <v>450</v>
      </c>
      <c r="R1708">
        <v>2069102</v>
      </c>
      <c r="S1708" t="s">
        <v>2354</v>
      </c>
      <c r="U1708" t="s">
        <v>2355</v>
      </c>
      <c r="V1708" t="s">
        <v>398</v>
      </c>
      <c r="W1708" s="393">
        <v>2838000</v>
      </c>
      <c r="X1708" s="393">
        <v>711.23</v>
      </c>
      <c r="Y1708" s="393">
        <v>6414.25</v>
      </c>
      <c r="Z1708" s="393">
        <v>2838000</v>
      </c>
      <c r="AA1708">
        <v>0</v>
      </c>
      <c r="AB1708" s="400">
        <v>44552.118334143517</v>
      </c>
      <c r="AC1708" t="s">
        <v>324</v>
      </c>
    </row>
    <row r="1709" spans="1:29">
      <c r="A1709" t="s">
        <v>382</v>
      </c>
      <c r="B1709" t="s">
        <v>440</v>
      </c>
      <c r="C1709" t="s">
        <v>1309</v>
      </c>
      <c r="D1709" t="s">
        <v>1317</v>
      </c>
      <c r="E1709" t="s">
        <v>390</v>
      </c>
      <c r="F1709" t="s">
        <v>391</v>
      </c>
      <c r="G1709">
        <v>6103349</v>
      </c>
      <c r="H1709">
        <v>202112</v>
      </c>
      <c r="I1709" s="400">
        <v>44547</v>
      </c>
      <c r="J1709" t="s">
        <v>452</v>
      </c>
      <c r="K1709" t="s">
        <v>386</v>
      </c>
      <c r="M1709" t="s">
        <v>387</v>
      </c>
      <c r="O1709" t="s">
        <v>1314</v>
      </c>
      <c r="P1709" t="s">
        <v>1315</v>
      </c>
      <c r="Q1709" t="s">
        <v>450</v>
      </c>
      <c r="R1709">
        <v>2069102</v>
      </c>
      <c r="S1709" t="s">
        <v>2354</v>
      </c>
      <c r="U1709" t="s">
        <v>2355</v>
      </c>
      <c r="V1709" t="s">
        <v>398</v>
      </c>
      <c r="W1709" s="393">
        <v>151260</v>
      </c>
      <c r="X1709" s="393">
        <v>37.909999999999997</v>
      </c>
      <c r="Y1709" s="393">
        <v>341.87</v>
      </c>
      <c r="Z1709" s="393">
        <v>151260</v>
      </c>
      <c r="AA1709">
        <v>194</v>
      </c>
      <c r="AB1709" s="400">
        <v>44552.118334340281</v>
      </c>
      <c r="AC1709" t="s">
        <v>324</v>
      </c>
    </row>
    <row r="1710" spans="1:29">
      <c r="A1710" t="s">
        <v>382</v>
      </c>
      <c r="B1710" t="s">
        <v>440</v>
      </c>
      <c r="C1710" t="s">
        <v>1309</v>
      </c>
      <c r="D1710" t="s">
        <v>1317</v>
      </c>
      <c r="E1710" t="s">
        <v>390</v>
      </c>
      <c r="F1710" t="s">
        <v>391</v>
      </c>
      <c r="G1710">
        <v>6103348</v>
      </c>
      <c r="H1710">
        <v>202112</v>
      </c>
      <c r="I1710" s="400">
        <v>44547</v>
      </c>
      <c r="J1710" t="s">
        <v>452</v>
      </c>
      <c r="K1710" t="s">
        <v>386</v>
      </c>
      <c r="M1710" t="s">
        <v>387</v>
      </c>
      <c r="O1710" t="s">
        <v>2236</v>
      </c>
      <c r="P1710" t="s">
        <v>2237</v>
      </c>
      <c r="Q1710" t="s">
        <v>396</v>
      </c>
      <c r="R1710">
        <v>2461667</v>
      </c>
      <c r="S1710" t="s">
        <v>2238</v>
      </c>
      <c r="U1710" t="s">
        <v>2361</v>
      </c>
      <c r="V1710" t="s">
        <v>398</v>
      </c>
      <c r="W1710" s="393">
        <v>3200000</v>
      </c>
      <c r="X1710" s="393">
        <v>801.95</v>
      </c>
      <c r="Y1710" s="393">
        <v>7232.42</v>
      </c>
      <c r="Z1710" s="393">
        <v>3200000</v>
      </c>
      <c r="AA1710">
        <v>0</v>
      </c>
      <c r="AB1710" s="400">
        <v>44552.111659374998</v>
      </c>
      <c r="AC1710" t="s">
        <v>326</v>
      </c>
    </row>
    <row r="1711" spans="1:29">
      <c r="A1711" t="s">
        <v>382</v>
      </c>
      <c r="B1711" t="s">
        <v>440</v>
      </c>
      <c r="C1711" t="s">
        <v>1309</v>
      </c>
      <c r="D1711" t="s">
        <v>2362</v>
      </c>
      <c r="E1711" t="s">
        <v>390</v>
      </c>
      <c r="F1711" t="s">
        <v>391</v>
      </c>
      <c r="G1711">
        <v>6103112</v>
      </c>
      <c r="H1711">
        <v>202111</v>
      </c>
      <c r="I1711" s="400">
        <v>44530</v>
      </c>
      <c r="J1711" t="s">
        <v>452</v>
      </c>
      <c r="K1711" t="s">
        <v>386</v>
      </c>
      <c r="M1711" t="s">
        <v>387</v>
      </c>
      <c r="O1711" t="s">
        <v>587</v>
      </c>
      <c r="P1711" t="s">
        <v>588</v>
      </c>
      <c r="Q1711" t="s">
        <v>450</v>
      </c>
      <c r="R1711">
        <v>2069102</v>
      </c>
      <c r="S1711" t="s">
        <v>387</v>
      </c>
      <c r="U1711" t="s">
        <v>2363</v>
      </c>
      <c r="V1711" t="s">
        <v>398</v>
      </c>
      <c r="W1711" s="393">
        <v>42100</v>
      </c>
      <c r="X1711" s="393">
        <v>10.61</v>
      </c>
      <c r="Y1711" s="393">
        <v>91.71</v>
      </c>
      <c r="Z1711" s="393">
        <v>42100</v>
      </c>
      <c r="AA1711">
        <v>0</v>
      </c>
      <c r="AB1711" s="400">
        <v>44533.065968599534</v>
      </c>
      <c r="AC1711" t="s">
        <v>324</v>
      </c>
    </row>
    <row r="1712" spans="1:29">
      <c r="A1712" t="s">
        <v>382</v>
      </c>
      <c r="B1712" t="s">
        <v>440</v>
      </c>
      <c r="C1712" t="s">
        <v>1326</v>
      </c>
      <c r="D1712" t="s">
        <v>1327</v>
      </c>
      <c r="E1712" t="s">
        <v>390</v>
      </c>
      <c r="F1712" t="s">
        <v>391</v>
      </c>
      <c r="G1712">
        <v>6102510</v>
      </c>
      <c r="H1712">
        <v>202110</v>
      </c>
      <c r="I1712" s="400">
        <v>44491</v>
      </c>
      <c r="J1712">
        <v>125062</v>
      </c>
      <c r="K1712" t="s">
        <v>386</v>
      </c>
      <c r="M1712" t="s">
        <v>387</v>
      </c>
      <c r="O1712" t="s">
        <v>1328</v>
      </c>
      <c r="P1712" t="s">
        <v>1329</v>
      </c>
      <c r="Q1712" t="s">
        <v>450</v>
      </c>
      <c r="R1712">
        <v>2069100</v>
      </c>
      <c r="S1712" t="s">
        <v>387</v>
      </c>
      <c r="U1712" t="s">
        <v>2364</v>
      </c>
      <c r="V1712" t="s">
        <v>398</v>
      </c>
      <c r="W1712" s="393">
        <v>436100</v>
      </c>
      <c r="X1712" s="393">
        <v>115.66</v>
      </c>
      <c r="Y1712" s="393">
        <v>1004.55</v>
      </c>
      <c r="Z1712" s="393">
        <v>436100</v>
      </c>
      <c r="AA1712">
        <v>0</v>
      </c>
      <c r="AB1712" s="400">
        <v>44499.930642395833</v>
      </c>
      <c r="AC1712" t="s">
        <v>324</v>
      </c>
    </row>
    <row r="1713" spans="1:29">
      <c r="A1713" t="s">
        <v>382</v>
      </c>
      <c r="B1713" t="s">
        <v>440</v>
      </c>
      <c r="C1713" t="s">
        <v>1326</v>
      </c>
      <c r="D1713" t="s">
        <v>1327</v>
      </c>
      <c r="E1713" t="s">
        <v>390</v>
      </c>
      <c r="F1713" t="s">
        <v>391</v>
      </c>
      <c r="G1713">
        <v>6102978</v>
      </c>
      <c r="H1713">
        <v>202111</v>
      </c>
      <c r="I1713" s="400">
        <v>44525</v>
      </c>
      <c r="J1713">
        <v>125062</v>
      </c>
      <c r="K1713" t="s">
        <v>386</v>
      </c>
      <c r="M1713" t="s">
        <v>387</v>
      </c>
      <c r="O1713" t="s">
        <v>1328</v>
      </c>
      <c r="P1713" t="s">
        <v>1329</v>
      </c>
      <c r="Q1713" t="s">
        <v>450</v>
      </c>
      <c r="R1713">
        <v>2069100</v>
      </c>
      <c r="S1713" t="s">
        <v>387</v>
      </c>
      <c r="U1713" t="s">
        <v>2365</v>
      </c>
      <c r="V1713" t="s">
        <v>398</v>
      </c>
      <c r="W1713" s="393">
        <v>865992</v>
      </c>
      <c r="X1713" s="393">
        <v>221.6</v>
      </c>
      <c r="Y1713" s="393">
        <v>1900.27</v>
      </c>
      <c r="Z1713" s="393">
        <v>865992</v>
      </c>
      <c r="AA1713">
        <v>0</v>
      </c>
      <c r="AB1713" s="400">
        <v>44530.646930439812</v>
      </c>
      <c r="AC1713" t="s">
        <v>324</v>
      </c>
    </row>
    <row r="1714" spans="1:29">
      <c r="A1714" t="s">
        <v>382</v>
      </c>
      <c r="B1714" t="s">
        <v>440</v>
      </c>
      <c r="C1714" t="s">
        <v>1326</v>
      </c>
      <c r="D1714" t="s">
        <v>1327</v>
      </c>
      <c r="E1714" t="s">
        <v>390</v>
      </c>
      <c r="F1714" t="s">
        <v>391</v>
      </c>
      <c r="G1714">
        <v>6103439</v>
      </c>
      <c r="H1714">
        <v>202112</v>
      </c>
      <c r="I1714" s="400">
        <v>44553</v>
      </c>
      <c r="J1714">
        <v>124932</v>
      </c>
      <c r="K1714" t="s">
        <v>386</v>
      </c>
      <c r="M1714" t="s">
        <v>387</v>
      </c>
      <c r="O1714" t="s">
        <v>1328</v>
      </c>
      <c r="P1714" t="s">
        <v>1329</v>
      </c>
      <c r="Q1714" t="s">
        <v>450</v>
      </c>
      <c r="R1714">
        <v>2069100</v>
      </c>
      <c r="S1714" t="s">
        <v>387</v>
      </c>
      <c r="U1714" t="s">
        <v>2366</v>
      </c>
      <c r="V1714" t="s">
        <v>398</v>
      </c>
      <c r="W1714" s="393">
        <v>323580</v>
      </c>
      <c r="X1714" s="393">
        <v>80.94</v>
      </c>
      <c r="Y1714" s="393">
        <v>728.23</v>
      </c>
      <c r="Z1714" s="393">
        <v>323580</v>
      </c>
      <c r="AA1714">
        <v>0</v>
      </c>
      <c r="AB1714" s="400">
        <v>44565.78098260417</v>
      </c>
      <c r="AC1714" t="s">
        <v>324</v>
      </c>
    </row>
    <row r="1715" spans="1:29">
      <c r="A1715" t="s">
        <v>382</v>
      </c>
      <c r="B1715" t="s">
        <v>440</v>
      </c>
      <c r="C1715" t="s">
        <v>1326</v>
      </c>
      <c r="D1715" t="s">
        <v>1336</v>
      </c>
      <c r="E1715" t="s">
        <v>390</v>
      </c>
      <c r="F1715" t="s">
        <v>391</v>
      </c>
      <c r="G1715">
        <v>6102510</v>
      </c>
      <c r="H1715">
        <v>202110</v>
      </c>
      <c r="I1715" s="400">
        <v>44491</v>
      </c>
      <c r="J1715">
        <v>125062</v>
      </c>
      <c r="K1715" t="s">
        <v>386</v>
      </c>
      <c r="M1715" t="s">
        <v>387</v>
      </c>
      <c r="O1715" t="s">
        <v>1328</v>
      </c>
      <c r="P1715" t="s">
        <v>1329</v>
      </c>
      <c r="Q1715" t="s">
        <v>450</v>
      </c>
      <c r="R1715">
        <v>2069100</v>
      </c>
      <c r="S1715" t="s">
        <v>387</v>
      </c>
      <c r="U1715" t="s">
        <v>2364</v>
      </c>
      <c r="V1715" t="s">
        <v>398</v>
      </c>
      <c r="W1715" s="393">
        <v>23469</v>
      </c>
      <c r="X1715" s="393">
        <v>6.22</v>
      </c>
      <c r="Y1715" s="393">
        <v>54.06</v>
      </c>
      <c r="Z1715" s="393">
        <v>23469</v>
      </c>
      <c r="AA1715">
        <v>0</v>
      </c>
      <c r="AB1715" s="400">
        <v>44499.930642395833</v>
      </c>
      <c r="AC1715" t="s">
        <v>324</v>
      </c>
    </row>
    <row r="1716" spans="1:29">
      <c r="A1716" t="s">
        <v>382</v>
      </c>
      <c r="B1716" t="s">
        <v>440</v>
      </c>
      <c r="C1716" t="s">
        <v>1326</v>
      </c>
      <c r="D1716" t="s">
        <v>1336</v>
      </c>
      <c r="E1716" t="s">
        <v>390</v>
      </c>
      <c r="F1716" t="s">
        <v>391</v>
      </c>
      <c r="G1716">
        <v>6102978</v>
      </c>
      <c r="H1716">
        <v>202111</v>
      </c>
      <c r="I1716" s="400">
        <v>44525</v>
      </c>
      <c r="J1716">
        <v>125062</v>
      </c>
      <c r="K1716" t="s">
        <v>386</v>
      </c>
      <c r="M1716" t="s">
        <v>387</v>
      </c>
      <c r="O1716" t="s">
        <v>1328</v>
      </c>
      <c r="P1716" t="s">
        <v>1329</v>
      </c>
      <c r="Q1716" t="s">
        <v>450</v>
      </c>
      <c r="R1716">
        <v>2069100</v>
      </c>
      <c r="S1716" t="s">
        <v>387</v>
      </c>
      <c r="U1716" t="s">
        <v>2365</v>
      </c>
      <c r="V1716" t="s">
        <v>398</v>
      </c>
      <c r="W1716" s="393">
        <v>46787</v>
      </c>
      <c r="X1716" s="393">
        <v>11.97</v>
      </c>
      <c r="Y1716" s="393">
        <v>102.67</v>
      </c>
      <c r="Z1716" s="393">
        <v>46787</v>
      </c>
      <c r="AA1716">
        <v>0</v>
      </c>
      <c r="AB1716" s="400">
        <v>44530.646930092589</v>
      </c>
      <c r="AC1716" t="s">
        <v>324</v>
      </c>
    </row>
    <row r="1717" spans="1:29">
      <c r="A1717" t="s">
        <v>382</v>
      </c>
      <c r="B1717" t="s">
        <v>440</v>
      </c>
      <c r="C1717" t="s">
        <v>1326</v>
      </c>
      <c r="D1717" t="s">
        <v>1336</v>
      </c>
      <c r="E1717" t="s">
        <v>390</v>
      </c>
      <c r="F1717" t="s">
        <v>391</v>
      </c>
      <c r="G1717">
        <v>6103439</v>
      </c>
      <c r="H1717">
        <v>202112</v>
      </c>
      <c r="I1717" s="400">
        <v>44553</v>
      </c>
      <c r="J1717">
        <v>124932</v>
      </c>
      <c r="K1717" t="s">
        <v>386</v>
      </c>
      <c r="M1717" t="s">
        <v>387</v>
      </c>
      <c r="O1717" t="s">
        <v>1328</v>
      </c>
      <c r="P1717" t="s">
        <v>1329</v>
      </c>
      <c r="Q1717" t="s">
        <v>450</v>
      </c>
      <c r="R1717">
        <v>2069100</v>
      </c>
      <c r="S1717" t="s">
        <v>387</v>
      </c>
      <c r="U1717" t="s">
        <v>2366</v>
      </c>
      <c r="V1717" t="s">
        <v>398</v>
      </c>
      <c r="W1717" s="393">
        <v>18870</v>
      </c>
      <c r="X1717" s="393">
        <v>4.72</v>
      </c>
      <c r="Y1717" s="393">
        <v>42.47</v>
      </c>
      <c r="Z1717" s="393">
        <v>18870</v>
      </c>
      <c r="AA1717">
        <v>0</v>
      </c>
      <c r="AB1717" s="400">
        <v>44565.78098260417</v>
      </c>
      <c r="AC1717" t="s">
        <v>324</v>
      </c>
    </row>
    <row r="1718" spans="1:29">
      <c r="A1718" t="s">
        <v>382</v>
      </c>
      <c r="B1718" t="s">
        <v>440</v>
      </c>
      <c r="C1718" t="s">
        <v>1326</v>
      </c>
      <c r="D1718" t="s">
        <v>1337</v>
      </c>
      <c r="E1718" t="s">
        <v>390</v>
      </c>
      <c r="F1718" t="s">
        <v>391</v>
      </c>
      <c r="G1718">
        <v>6102510</v>
      </c>
      <c r="H1718">
        <v>202110</v>
      </c>
      <c r="I1718" s="400">
        <v>44491</v>
      </c>
      <c r="J1718">
        <v>125062</v>
      </c>
      <c r="K1718" t="s">
        <v>386</v>
      </c>
      <c r="M1718" t="s">
        <v>387</v>
      </c>
      <c r="O1718" t="s">
        <v>1328</v>
      </c>
      <c r="P1718" t="s">
        <v>1329</v>
      </c>
      <c r="Q1718" t="s">
        <v>450</v>
      </c>
      <c r="R1718">
        <v>2069100</v>
      </c>
      <c r="S1718" t="s">
        <v>387</v>
      </c>
      <c r="U1718" t="s">
        <v>2364</v>
      </c>
      <c r="V1718" t="s">
        <v>398</v>
      </c>
      <c r="W1718" s="393">
        <v>2295265</v>
      </c>
      <c r="X1718" s="393">
        <v>608.73</v>
      </c>
      <c r="Y1718" s="393">
        <v>5287.1</v>
      </c>
      <c r="Z1718" s="393">
        <v>2295265</v>
      </c>
      <c r="AA1718">
        <v>231</v>
      </c>
      <c r="AB1718" s="400">
        <v>44499.930641863422</v>
      </c>
      <c r="AC1718" t="s">
        <v>324</v>
      </c>
    </row>
    <row r="1719" spans="1:29">
      <c r="A1719" t="s">
        <v>382</v>
      </c>
      <c r="B1719" t="s">
        <v>440</v>
      </c>
      <c r="C1719" t="s">
        <v>1326</v>
      </c>
      <c r="D1719" t="s">
        <v>1337</v>
      </c>
      <c r="E1719" t="s">
        <v>390</v>
      </c>
      <c r="F1719" t="s">
        <v>391</v>
      </c>
      <c r="G1719">
        <v>6102978</v>
      </c>
      <c r="H1719">
        <v>202111</v>
      </c>
      <c r="I1719" s="400">
        <v>44525</v>
      </c>
      <c r="J1719">
        <v>125062</v>
      </c>
      <c r="K1719" t="s">
        <v>386</v>
      </c>
      <c r="M1719" t="s">
        <v>387</v>
      </c>
      <c r="O1719" t="s">
        <v>1328</v>
      </c>
      <c r="P1719" t="s">
        <v>1329</v>
      </c>
      <c r="Q1719" t="s">
        <v>450</v>
      </c>
      <c r="R1719">
        <v>2069100</v>
      </c>
      <c r="S1719" t="s">
        <v>387</v>
      </c>
      <c r="U1719" t="s">
        <v>2365</v>
      </c>
      <c r="V1719" t="s">
        <v>398</v>
      </c>
      <c r="W1719" s="393">
        <v>2157770</v>
      </c>
      <c r="X1719" s="393">
        <v>552.15</v>
      </c>
      <c r="Y1719" s="393">
        <v>4734.8599999999997</v>
      </c>
      <c r="Z1719" s="393">
        <v>2157770</v>
      </c>
      <c r="AA1719">
        <v>231</v>
      </c>
      <c r="AB1719" s="400">
        <v>44530.646928622686</v>
      </c>
      <c r="AC1719" t="s">
        <v>324</v>
      </c>
    </row>
    <row r="1720" spans="1:29">
      <c r="A1720" t="s">
        <v>382</v>
      </c>
      <c r="B1720" t="s">
        <v>440</v>
      </c>
      <c r="C1720" t="s">
        <v>1326</v>
      </c>
      <c r="D1720" t="s">
        <v>1337</v>
      </c>
      <c r="E1720" t="s">
        <v>390</v>
      </c>
      <c r="F1720" t="s">
        <v>391</v>
      </c>
      <c r="G1720">
        <v>6103439</v>
      </c>
      <c r="H1720">
        <v>202112</v>
      </c>
      <c r="I1720" s="400">
        <v>44553</v>
      </c>
      <c r="J1720">
        <v>124932</v>
      </c>
      <c r="K1720" t="s">
        <v>386</v>
      </c>
      <c r="M1720" t="s">
        <v>387</v>
      </c>
      <c r="O1720" t="s">
        <v>1328</v>
      </c>
      <c r="P1720" t="s">
        <v>1329</v>
      </c>
      <c r="Q1720" t="s">
        <v>450</v>
      </c>
      <c r="R1720">
        <v>2069100</v>
      </c>
      <c r="S1720" t="s">
        <v>387</v>
      </c>
      <c r="U1720" t="s">
        <v>2366</v>
      </c>
      <c r="V1720" t="s">
        <v>398</v>
      </c>
      <c r="W1720" s="393">
        <v>1470399</v>
      </c>
      <c r="X1720" s="393">
        <v>367.81</v>
      </c>
      <c r="Y1720" s="393">
        <v>3309.18</v>
      </c>
      <c r="Z1720" s="393">
        <v>1470399</v>
      </c>
      <c r="AA1720">
        <v>231</v>
      </c>
      <c r="AB1720" s="400">
        <v>44565.78098171296</v>
      </c>
      <c r="AC1720" t="s">
        <v>324</v>
      </c>
    </row>
    <row r="1721" spans="1:29">
      <c r="A1721" t="s">
        <v>381</v>
      </c>
      <c r="B1721" t="s">
        <v>382</v>
      </c>
      <c r="C1721" t="s">
        <v>1338</v>
      </c>
      <c r="D1721" t="s">
        <v>1338</v>
      </c>
      <c r="E1721" t="s">
        <v>383</v>
      </c>
      <c r="F1721" t="s">
        <v>384</v>
      </c>
      <c r="G1721">
        <v>11017577</v>
      </c>
      <c r="H1721">
        <v>202110</v>
      </c>
      <c r="I1721" s="400">
        <v>44499</v>
      </c>
      <c r="J1721">
        <v>122537</v>
      </c>
      <c r="K1721" t="s">
        <v>386</v>
      </c>
      <c r="M1721" t="s">
        <v>387</v>
      </c>
      <c r="O1721" t="s">
        <v>387</v>
      </c>
      <c r="P1721" t="s">
        <v>387</v>
      </c>
      <c r="Q1721" t="s">
        <v>450</v>
      </c>
      <c r="R1721">
        <v>2069098</v>
      </c>
      <c r="S1721" t="s">
        <v>2367</v>
      </c>
      <c r="U1721" t="s">
        <v>2368</v>
      </c>
      <c r="V1721" t="s">
        <v>376</v>
      </c>
      <c r="W1721" s="393">
        <v>551.23</v>
      </c>
      <c r="X1721" s="393">
        <v>64.12</v>
      </c>
      <c r="Y1721" s="393">
        <v>551.23</v>
      </c>
      <c r="Z1721" s="393">
        <v>56.29</v>
      </c>
      <c r="AA1721">
        <v>0</v>
      </c>
      <c r="AB1721" s="400">
        <v>44518.137868668979</v>
      </c>
      <c r="AC1721" t="s">
        <v>324</v>
      </c>
    </row>
    <row r="1722" spans="1:29">
      <c r="A1722" t="s">
        <v>381</v>
      </c>
      <c r="B1722" t="s">
        <v>382</v>
      </c>
      <c r="C1722" t="s">
        <v>1338</v>
      </c>
      <c r="D1722" t="s">
        <v>1338</v>
      </c>
      <c r="E1722" t="s">
        <v>383</v>
      </c>
      <c r="F1722" t="s">
        <v>384</v>
      </c>
      <c r="G1722">
        <v>11017577</v>
      </c>
      <c r="H1722">
        <v>202110</v>
      </c>
      <c r="I1722" s="400">
        <v>44499</v>
      </c>
      <c r="J1722">
        <v>122537</v>
      </c>
      <c r="K1722" t="s">
        <v>386</v>
      </c>
      <c r="M1722" t="s">
        <v>387</v>
      </c>
      <c r="O1722" t="s">
        <v>387</v>
      </c>
      <c r="P1722" t="s">
        <v>387</v>
      </c>
      <c r="Q1722" t="s">
        <v>450</v>
      </c>
      <c r="R1722">
        <v>2069098</v>
      </c>
      <c r="S1722" t="s">
        <v>2367</v>
      </c>
      <c r="U1722" t="s">
        <v>2369</v>
      </c>
      <c r="V1722" t="s">
        <v>376</v>
      </c>
      <c r="W1722" s="393">
        <v>551.23</v>
      </c>
      <c r="X1722" s="393">
        <v>64.12</v>
      </c>
      <c r="Y1722" s="393">
        <v>551.23</v>
      </c>
      <c r="Z1722" s="393">
        <v>56.29</v>
      </c>
      <c r="AA1722">
        <v>0</v>
      </c>
      <c r="AB1722" s="400">
        <v>44518.137868668979</v>
      </c>
      <c r="AC1722" t="s">
        <v>324</v>
      </c>
    </row>
    <row r="1723" spans="1:29">
      <c r="A1723" t="s">
        <v>381</v>
      </c>
      <c r="B1723" t="s">
        <v>382</v>
      </c>
      <c r="C1723" t="s">
        <v>1338</v>
      </c>
      <c r="D1723" t="s">
        <v>1338</v>
      </c>
      <c r="E1723" t="s">
        <v>383</v>
      </c>
      <c r="F1723" t="s">
        <v>384</v>
      </c>
      <c r="G1723">
        <v>11018622</v>
      </c>
      <c r="H1723">
        <v>202111</v>
      </c>
      <c r="I1723" s="400">
        <v>44530</v>
      </c>
      <c r="J1723">
        <v>122537</v>
      </c>
      <c r="K1723" t="s">
        <v>386</v>
      </c>
      <c r="M1723" t="s">
        <v>387</v>
      </c>
      <c r="O1723" t="s">
        <v>387</v>
      </c>
      <c r="P1723" t="s">
        <v>387</v>
      </c>
      <c r="Q1723" t="s">
        <v>450</v>
      </c>
      <c r="R1723">
        <v>2069098</v>
      </c>
      <c r="S1723" t="s">
        <v>2370</v>
      </c>
      <c r="U1723" t="s">
        <v>2371</v>
      </c>
      <c r="V1723" t="s">
        <v>376</v>
      </c>
      <c r="W1723" s="393">
        <v>565.51</v>
      </c>
      <c r="X1723" s="393">
        <v>66.53</v>
      </c>
      <c r="Y1723" s="393">
        <v>565.51</v>
      </c>
      <c r="Z1723" s="393">
        <v>56.72</v>
      </c>
      <c r="AA1723">
        <v>0</v>
      </c>
      <c r="AB1723" s="400">
        <v>44543.767664664352</v>
      </c>
      <c r="AC1723" t="s">
        <v>324</v>
      </c>
    </row>
    <row r="1724" spans="1:29">
      <c r="A1724" t="s">
        <v>381</v>
      </c>
      <c r="B1724" t="s">
        <v>382</v>
      </c>
      <c r="C1724" t="s">
        <v>1338</v>
      </c>
      <c r="D1724" t="s">
        <v>1338</v>
      </c>
      <c r="E1724" t="s">
        <v>383</v>
      </c>
      <c r="F1724" t="s">
        <v>384</v>
      </c>
      <c r="G1724">
        <v>11018622</v>
      </c>
      <c r="H1724">
        <v>202111</v>
      </c>
      <c r="I1724" s="400">
        <v>44530</v>
      </c>
      <c r="J1724">
        <v>122537</v>
      </c>
      <c r="K1724" t="s">
        <v>386</v>
      </c>
      <c r="M1724" t="s">
        <v>387</v>
      </c>
      <c r="O1724" t="s">
        <v>387</v>
      </c>
      <c r="P1724" t="s">
        <v>387</v>
      </c>
      <c r="Q1724" t="s">
        <v>450</v>
      </c>
      <c r="R1724">
        <v>2069098</v>
      </c>
      <c r="S1724" t="s">
        <v>2370</v>
      </c>
      <c r="U1724" t="s">
        <v>2372</v>
      </c>
      <c r="V1724" t="s">
        <v>376</v>
      </c>
      <c r="W1724" s="393">
        <v>565.51</v>
      </c>
      <c r="X1724" s="393">
        <v>66.53</v>
      </c>
      <c r="Y1724" s="393">
        <v>565.51</v>
      </c>
      <c r="Z1724" s="393">
        <v>56.72</v>
      </c>
      <c r="AA1724">
        <v>0</v>
      </c>
      <c r="AB1724" s="400">
        <v>44543.767664664352</v>
      </c>
      <c r="AC1724" t="s">
        <v>324</v>
      </c>
    </row>
    <row r="1725" spans="1:29">
      <c r="A1725" t="s">
        <v>381</v>
      </c>
      <c r="B1725" t="s">
        <v>382</v>
      </c>
      <c r="C1725" t="s">
        <v>1338</v>
      </c>
      <c r="D1725" t="s">
        <v>1338</v>
      </c>
      <c r="E1725" t="s">
        <v>383</v>
      </c>
      <c r="F1725" t="s">
        <v>384</v>
      </c>
      <c r="G1725">
        <v>11020119</v>
      </c>
      <c r="H1725">
        <v>202112</v>
      </c>
      <c r="I1725" s="400">
        <v>44560</v>
      </c>
      <c r="J1725">
        <v>122537</v>
      </c>
      <c r="K1725" t="s">
        <v>386</v>
      </c>
      <c r="M1725" t="s">
        <v>387</v>
      </c>
      <c r="O1725" t="s">
        <v>387</v>
      </c>
      <c r="P1725" t="s">
        <v>387</v>
      </c>
      <c r="Q1725" t="s">
        <v>450</v>
      </c>
      <c r="R1725">
        <v>2069098</v>
      </c>
      <c r="S1725" t="s">
        <v>2373</v>
      </c>
      <c r="U1725" t="s">
        <v>2374</v>
      </c>
      <c r="V1725" t="s">
        <v>376</v>
      </c>
      <c r="W1725" s="393">
        <v>585</v>
      </c>
      <c r="X1725" s="393">
        <v>64.91</v>
      </c>
      <c r="Y1725" s="393">
        <v>585</v>
      </c>
      <c r="Z1725" s="393">
        <v>57.61</v>
      </c>
      <c r="AA1725">
        <v>0</v>
      </c>
      <c r="AB1725" s="400">
        <v>44575.753751770833</v>
      </c>
      <c r="AC1725" t="s">
        <v>324</v>
      </c>
    </row>
    <row r="1726" spans="1:29">
      <c r="A1726" t="s">
        <v>381</v>
      </c>
      <c r="B1726" t="s">
        <v>382</v>
      </c>
      <c r="C1726" t="s">
        <v>1338</v>
      </c>
      <c r="D1726" t="s">
        <v>1338</v>
      </c>
      <c r="E1726" t="s">
        <v>383</v>
      </c>
      <c r="F1726" t="s">
        <v>384</v>
      </c>
      <c r="G1726">
        <v>11020119</v>
      </c>
      <c r="H1726">
        <v>202112</v>
      </c>
      <c r="I1726" s="400">
        <v>44560</v>
      </c>
      <c r="J1726">
        <v>122537</v>
      </c>
      <c r="K1726" t="s">
        <v>386</v>
      </c>
      <c r="M1726" t="s">
        <v>387</v>
      </c>
      <c r="O1726" t="s">
        <v>387</v>
      </c>
      <c r="P1726" t="s">
        <v>387</v>
      </c>
      <c r="Q1726" t="s">
        <v>450</v>
      </c>
      <c r="R1726">
        <v>2069098</v>
      </c>
      <c r="S1726" t="s">
        <v>2373</v>
      </c>
      <c r="U1726" t="s">
        <v>2375</v>
      </c>
      <c r="V1726" t="s">
        <v>376</v>
      </c>
      <c r="W1726" s="393">
        <v>585</v>
      </c>
      <c r="X1726" s="393">
        <v>64.91</v>
      </c>
      <c r="Y1726" s="393">
        <v>585</v>
      </c>
      <c r="Z1726" s="393">
        <v>57.61</v>
      </c>
      <c r="AA1726">
        <v>0</v>
      </c>
      <c r="AB1726" s="400">
        <v>44575.753751770833</v>
      </c>
      <c r="AC1726" t="s">
        <v>324</v>
      </c>
    </row>
    <row r="1727" spans="1:29">
      <c r="A1727" t="s">
        <v>382</v>
      </c>
      <c r="B1727" t="s">
        <v>440</v>
      </c>
      <c r="C1727" t="s">
        <v>2376</v>
      </c>
      <c r="D1727" t="s">
        <v>2377</v>
      </c>
      <c r="E1727" t="s">
        <v>390</v>
      </c>
      <c r="F1727" t="s">
        <v>391</v>
      </c>
      <c r="G1727">
        <v>6102619</v>
      </c>
      <c r="H1727">
        <v>202110</v>
      </c>
      <c r="I1727" s="400">
        <v>44496</v>
      </c>
      <c r="J1727" t="s">
        <v>1016</v>
      </c>
      <c r="K1727" t="s">
        <v>386</v>
      </c>
      <c r="M1727" t="s">
        <v>387</v>
      </c>
      <c r="O1727" t="s">
        <v>2378</v>
      </c>
      <c r="P1727" t="s">
        <v>2379</v>
      </c>
      <c r="Q1727" t="s">
        <v>450</v>
      </c>
      <c r="R1727">
        <v>2069094</v>
      </c>
      <c r="S1727" t="s">
        <v>387</v>
      </c>
      <c r="U1727" t="s">
        <v>2380</v>
      </c>
      <c r="V1727" t="s">
        <v>398</v>
      </c>
      <c r="W1727" s="393">
        <v>17450</v>
      </c>
      <c r="X1727" s="393">
        <v>4.63</v>
      </c>
      <c r="Y1727" s="393">
        <v>40.200000000000003</v>
      </c>
      <c r="Z1727" s="393">
        <v>17450</v>
      </c>
      <c r="AA1727">
        <v>0</v>
      </c>
      <c r="AB1727" s="400">
        <v>44501.867660219905</v>
      </c>
      <c r="AC1727" t="s">
        <v>324</v>
      </c>
    </row>
    <row r="1728" spans="1:29">
      <c r="A1728" t="s">
        <v>382</v>
      </c>
      <c r="B1728" t="s">
        <v>440</v>
      </c>
      <c r="C1728" t="s">
        <v>2376</v>
      </c>
      <c r="D1728" t="s">
        <v>2377</v>
      </c>
      <c r="E1728" t="s">
        <v>390</v>
      </c>
      <c r="F1728" t="s">
        <v>391</v>
      </c>
      <c r="G1728">
        <v>6102655</v>
      </c>
      <c r="H1728">
        <v>202110</v>
      </c>
      <c r="I1728" s="400">
        <v>44491</v>
      </c>
      <c r="J1728">
        <v>124932</v>
      </c>
      <c r="K1728" t="s">
        <v>386</v>
      </c>
      <c r="M1728" t="s">
        <v>387</v>
      </c>
      <c r="O1728" t="s">
        <v>2381</v>
      </c>
      <c r="P1728" t="s">
        <v>2382</v>
      </c>
      <c r="Q1728" t="s">
        <v>450</v>
      </c>
      <c r="R1728">
        <v>2069094</v>
      </c>
      <c r="S1728" t="s">
        <v>387</v>
      </c>
      <c r="U1728" t="s">
        <v>2383</v>
      </c>
      <c r="V1728" t="s">
        <v>398</v>
      </c>
      <c r="W1728" s="393">
        <v>638000</v>
      </c>
      <c r="X1728" s="393">
        <v>169.2</v>
      </c>
      <c r="Y1728" s="393">
        <v>1469.62</v>
      </c>
      <c r="Z1728" s="393">
        <v>638000</v>
      </c>
      <c r="AA1728">
        <v>307</v>
      </c>
      <c r="AB1728" s="400">
        <v>44502.752500347226</v>
      </c>
      <c r="AC1728" t="s">
        <v>324</v>
      </c>
    </row>
    <row r="1729" spans="1:29">
      <c r="A1729" t="s">
        <v>382</v>
      </c>
      <c r="B1729" t="s">
        <v>440</v>
      </c>
      <c r="C1729" t="s">
        <v>2376</v>
      </c>
      <c r="D1729" t="s">
        <v>2377</v>
      </c>
      <c r="E1729" t="s">
        <v>390</v>
      </c>
      <c r="F1729" t="s">
        <v>391</v>
      </c>
      <c r="G1729">
        <v>6102655</v>
      </c>
      <c r="H1729">
        <v>202110</v>
      </c>
      <c r="I1729" s="400">
        <v>44491</v>
      </c>
      <c r="J1729">
        <v>124932</v>
      </c>
      <c r="K1729" t="s">
        <v>386</v>
      </c>
      <c r="M1729" t="s">
        <v>387</v>
      </c>
      <c r="O1729" t="s">
        <v>2381</v>
      </c>
      <c r="P1729" t="s">
        <v>2382</v>
      </c>
      <c r="Q1729" t="s">
        <v>450</v>
      </c>
      <c r="R1729">
        <v>2069094</v>
      </c>
      <c r="S1729" t="s">
        <v>387</v>
      </c>
      <c r="U1729" t="s">
        <v>2384</v>
      </c>
      <c r="V1729" t="s">
        <v>398</v>
      </c>
      <c r="W1729" s="393">
        <v>80</v>
      </c>
      <c r="X1729" s="393">
        <v>0.02</v>
      </c>
      <c r="Y1729" s="393">
        <v>0.18</v>
      </c>
      <c r="Z1729" s="393">
        <v>80</v>
      </c>
      <c r="AA1729">
        <v>0</v>
      </c>
      <c r="AB1729" s="400">
        <v>44502.752500543982</v>
      </c>
      <c r="AC1729" t="s">
        <v>324</v>
      </c>
    </row>
    <row r="1730" spans="1:29">
      <c r="A1730" t="s">
        <v>382</v>
      </c>
      <c r="B1730" t="s">
        <v>440</v>
      </c>
      <c r="C1730" t="s">
        <v>2376</v>
      </c>
      <c r="D1730" t="s">
        <v>2377</v>
      </c>
      <c r="E1730" t="s">
        <v>390</v>
      </c>
      <c r="F1730" t="s">
        <v>391</v>
      </c>
      <c r="G1730">
        <v>6102619</v>
      </c>
      <c r="H1730">
        <v>202110</v>
      </c>
      <c r="I1730" s="400">
        <v>44496</v>
      </c>
      <c r="J1730" t="s">
        <v>1016</v>
      </c>
      <c r="K1730" t="s">
        <v>386</v>
      </c>
      <c r="M1730" t="s">
        <v>387</v>
      </c>
      <c r="O1730" t="s">
        <v>2378</v>
      </c>
      <c r="P1730" t="s">
        <v>2379</v>
      </c>
      <c r="Q1730" t="s">
        <v>450</v>
      </c>
      <c r="R1730">
        <v>2069094</v>
      </c>
      <c r="S1730" t="s">
        <v>387</v>
      </c>
      <c r="U1730" t="s">
        <v>2385</v>
      </c>
      <c r="V1730" t="s">
        <v>398</v>
      </c>
      <c r="W1730" s="393">
        <v>11050</v>
      </c>
      <c r="X1730" s="393">
        <v>2.93</v>
      </c>
      <c r="Y1730" s="393">
        <v>25.45</v>
      </c>
      <c r="Z1730" s="393">
        <v>11050</v>
      </c>
      <c r="AA1730">
        <v>0</v>
      </c>
      <c r="AB1730" s="400">
        <v>44501.867660219905</v>
      </c>
      <c r="AC1730" t="s">
        <v>324</v>
      </c>
    </row>
    <row r="1731" spans="1:29">
      <c r="A1731" t="s">
        <v>382</v>
      </c>
      <c r="B1731" t="s">
        <v>440</v>
      </c>
      <c r="C1731" t="s">
        <v>2376</v>
      </c>
      <c r="D1731" t="s">
        <v>2377</v>
      </c>
      <c r="E1731" t="s">
        <v>390</v>
      </c>
      <c r="F1731" t="s">
        <v>391</v>
      </c>
      <c r="G1731">
        <v>6102430</v>
      </c>
      <c r="H1731">
        <v>202110</v>
      </c>
      <c r="I1731" s="400">
        <v>44483</v>
      </c>
      <c r="J1731">
        <v>124932</v>
      </c>
      <c r="K1731" t="s">
        <v>386</v>
      </c>
      <c r="M1731" t="s">
        <v>387</v>
      </c>
      <c r="O1731" t="s">
        <v>2381</v>
      </c>
      <c r="P1731" t="s">
        <v>2382</v>
      </c>
      <c r="Q1731" t="s">
        <v>450</v>
      </c>
      <c r="R1731">
        <v>2069094</v>
      </c>
      <c r="S1731" t="s">
        <v>387</v>
      </c>
      <c r="U1731" t="s">
        <v>2386</v>
      </c>
      <c r="V1731" t="s">
        <v>398</v>
      </c>
      <c r="W1731" s="393">
        <v>26700</v>
      </c>
      <c r="X1731" s="393">
        <v>7.05</v>
      </c>
      <c r="Y1731" s="393">
        <v>60.59</v>
      </c>
      <c r="Z1731" s="393">
        <v>26700</v>
      </c>
      <c r="AA1731">
        <v>0</v>
      </c>
      <c r="AB1731" s="400">
        <v>44490.670999456015</v>
      </c>
      <c r="AC1731" t="s">
        <v>324</v>
      </c>
    </row>
    <row r="1732" spans="1:29">
      <c r="A1732" t="s">
        <v>382</v>
      </c>
      <c r="B1732" t="s">
        <v>440</v>
      </c>
      <c r="C1732" t="s">
        <v>2376</v>
      </c>
      <c r="D1732" t="s">
        <v>2377</v>
      </c>
      <c r="E1732" t="s">
        <v>390</v>
      </c>
      <c r="F1732" t="s">
        <v>391</v>
      </c>
      <c r="G1732">
        <v>6102430</v>
      </c>
      <c r="H1732">
        <v>202110</v>
      </c>
      <c r="I1732" s="400">
        <v>44483</v>
      </c>
      <c r="J1732">
        <v>124932</v>
      </c>
      <c r="K1732" t="s">
        <v>386</v>
      </c>
      <c r="M1732" t="s">
        <v>387</v>
      </c>
      <c r="O1732" t="s">
        <v>2381</v>
      </c>
      <c r="P1732" t="s">
        <v>2382</v>
      </c>
      <c r="Q1732" t="s">
        <v>450</v>
      </c>
      <c r="R1732">
        <v>2069094</v>
      </c>
      <c r="S1732" t="s">
        <v>387</v>
      </c>
      <c r="U1732" t="s">
        <v>2387</v>
      </c>
      <c r="V1732" t="s">
        <v>398</v>
      </c>
      <c r="W1732" s="393">
        <v>19000</v>
      </c>
      <c r="X1732" s="393">
        <v>5.0199999999999996</v>
      </c>
      <c r="Y1732" s="393">
        <v>43.12</v>
      </c>
      <c r="Z1732" s="393">
        <v>19000</v>
      </c>
      <c r="AA1732">
        <v>0</v>
      </c>
      <c r="AB1732" s="400">
        <v>44490.670999652779</v>
      </c>
      <c r="AC1732" t="s">
        <v>324</v>
      </c>
    </row>
    <row r="1733" spans="1:29">
      <c r="A1733" t="s">
        <v>382</v>
      </c>
      <c r="B1733" t="s">
        <v>440</v>
      </c>
      <c r="C1733" t="s">
        <v>2376</v>
      </c>
      <c r="D1733" t="s">
        <v>2377</v>
      </c>
      <c r="E1733" t="s">
        <v>645</v>
      </c>
      <c r="F1733" t="s">
        <v>646</v>
      </c>
      <c r="G1733">
        <v>6102645</v>
      </c>
      <c r="H1733">
        <v>202110</v>
      </c>
      <c r="I1733" s="400">
        <v>44495</v>
      </c>
      <c r="J1733">
        <v>124932</v>
      </c>
      <c r="K1733" t="s">
        <v>386</v>
      </c>
      <c r="M1733" t="s">
        <v>387</v>
      </c>
      <c r="O1733" t="s">
        <v>1001</v>
      </c>
      <c r="P1733" t="s">
        <v>1002</v>
      </c>
      <c r="Q1733" t="s">
        <v>450</v>
      </c>
      <c r="R1733">
        <v>2069094</v>
      </c>
      <c r="S1733" t="s">
        <v>387</v>
      </c>
      <c r="U1733" t="s">
        <v>2388</v>
      </c>
      <c r="V1733" t="s">
        <v>398</v>
      </c>
      <c r="W1733" s="393">
        <v>9100</v>
      </c>
      <c r="X1733" s="393">
        <v>2.41</v>
      </c>
      <c r="Y1733" s="393">
        <v>20.96</v>
      </c>
      <c r="Z1733" s="393">
        <v>9100</v>
      </c>
      <c r="AA1733">
        <v>0</v>
      </c>
      <c r="AB1733" s="400">
        <v>44502.675070682868</v>
      </c>
      <c r="AC1733" t="s">
        <v>324</v>
      </c>
    </row>
    <row r="1734" spans="1:29">
      <c r="A1734" t="s">
        <v>382</v>
      </c>
      <c r="B1734" t="s">
        <v>440</v>
      </c>
      <c r="C1734" t="s">
        <v>2376</v>
      </c>
      <c r="D1734" t="s">
        <v>2377</v>
      </c>
      <c r="E1734" t="s">
        <v>390</v>
      </c>
      <c r="F1734" t="s">
        <v>391</v>
      </c>
      <c r="G1734">
        <v>6102605</v>
      </c>
      <c r="H1734">
        <v>202110</v>
      </c>
      <c r="I1734" s="400">
        <v>44495</v>
      </c>
      <c r="J1734">
        <v>124932</v>
      </c>
      <c r="K1734" t="s">
        <v>386</v>
      </c>
      <c r="M1734" t="s">
        <v>387</v>
      </c>
      <c r="O1734" t="s">
        <v>587</v>
      </c>
      <c r="P1734" t="s">
        <v>588</v>
      </c>
      <c r="Q1734" t="s">
        <v>450</v>
      </c>
      <c r="R1734">
        <v>2069094</v>
      </c>
      <c r="S1734" t="s">
        <v>2389</v>
      </c>
      <c r="U1734" t="s">
        <v>2390</v>
      </c>
      <c r="V1734" t="s">
        <v>398</v>
      </c>
      <c r="W1734" s="393">
        <v>10000</v>
      </c>
      <c r="X1734" s="393">
        <v>2.65</v>
      </c>
      <c r="Y1734" s="393">
        <v>23.03</v>
      </c>
      <c r="Z1734" s="393">
        <v>10000</v>
      </c>
      <c r="AA1734">
        <v>0</v>
      </c>
      <c r="AB1734" s="400">
        <v>44501.81876396991</v>
      </c>
      <c r="AC1734" t="s">
        <v>324</v>
      </c>
    </row>
    <row r="1735" spans="1:29">
      <c r="A1735" t="s">
        <v>382</v>
      </c>
      <c r="B1735" t="s">
        <v>440</v>
      </c>
      <c r="C1735" t="s">
        <v>2376</v>
      </c>
      <c r="D1735" t="s">
        <v>2377</v>
      </c>
      <c r="E1735" t="s">
        <v>390</v>
      </c>
      <c r="F1735" t="s">
        <v>391</v>
      </c>
      <c r="G1735">
        <v>6103429</v>
      </c>
      <c r="H1735">
        <v>202112</v>
      </c>
      <c r="I1735" s="400">
        <v>44560</v>
      </c>
      <c r="J1735" t="s">
        <v>452</v>
      </c>
      <c r="K1735" t="s">
        <v>386</v>
      </c>
      <c r="M1735" t="s">
        <v>387</v>
      </c>
      <c r="O1735" t="s">
        <v>2391</v>
      </c>
      <c r="P1735" t="s">
        <v>2392</v>
      </c>
      <c r="Q1735" t="s">
        <v>450</v>
      </c>
      <c r="R1735">
        <v>2069094</v>
      </c>
      <c r="S1735" t="s">
        <v>2393</v>
      </c>
      <c r="U1735" t="s">
        <v>2394</v>
      </c>
      <c r="V1735" t="s">
        <v>398</v>
      </c>
      <c r="W1735" s="393">
        <v>748500</v>
      </c>
      <c r="X1735" s="393">
        <v>186.02</v>
      </c>
      <c r="Y1735" s="393">
        <v>1673.68</v>
      </c>
      <c r="Z1735" s="393">
        <v>748500</v>
      </c>
      <c r="AA1735">
        <v>0</v>
      </c>
      <c r="AB1735" s="400">
        <v>44565.617818287035</v>
      </c>
      <c r="AC1735" t="s">
        <v>324</v>
      </c>
    </row>
    <row r="1736" spans="1:29">
      <c r="A1736" t="s">
        <v>382</v>
      </c>
      <c r="B1736" t="s">
        <v>440</v>
      </c>
      <c r="C1736" t="s">
        <v>2376</v>
      </c>
      <c r="D1736" t="s">
        <v>2377</v>
      </c>
      <c r="E1736" t="s">
        <v>390</v>
      </c>
      <c r="F1736" t="s">
        <v>391</v>
      </c>
      <c r="G1736">
        <v>6103325</v>
      </c>
      <c r="H1736">
        <v>202112</v>
      </c>
      <c r="I1736" s="400">
        <v>44533</v>
      </c>
      <c r="J1736" t="s">
        <v>1016</v>
      </c>
      <c r="K1736" t="s">
        <v>386</v>
      </c>
      <c r="M1736" t="s">
        <v>387</v>
      </c>
      <c r="O1736" t="s">
        <v>2395</v>
      </c>
      <c r="P1736" t="s">
        <v>2396</v>
      </c>
      <c r="Q1736" t="s">
        <v>450</v>
      </c>
      <c r="R1736">
        <v>2069094</v>
      </c>
      <c r="S1736" t="s">
        <v>387</v>
      </c>
      <c r="U1736" t="s">
        <v>2397</v>
      </c>
      <c r="V1736" t="s">
        <v>398</v>
      </c>
      <c r="W1736" s="393">
        <v>18000</v>
      </c>
      <c r="X1736" s="393">
        <v>4.55</v>
      </c>
      <c r="Y1736" s="393">
        <v>40.409999999999997</v>
      </c>
      <c r="Z1736" s="393">
        <v>18000</v>
      </c>
      <c r="AA1736">
        <v>0</v>
      </c>
      <c r="AB1736" s="400">
        <v>44551.895128159726</v>
      </c>
      <c r="AC1736" t="s">
        <v>324</v>
      </c>
    </row>
    <row r="1737" spans="1:29">
      <c r="A1737" t="s">
        <v>382</v>
      </c>
      <c r="B1737" t="s">
        <v>440</v>
      </c>
      <c r="C1737" t="s">
        <v>2376</v>
      </c>
      <c r="D1737" t="s">
        <v>2377</v>
      </c>
      <c r="E1737" t="s">
        <v>390</v>
      </c>
      <c r="F1737" t="s">
        <v>391</v>
      </c>
      <c r="G1737">
        <v>6103325</v>
      </c>
      <c r="H1737">
        <v>202112</v>
      </c>
      <c r="I1737" s="400">
        <v>44533</v>
      </c>
      <c r="J1737" t="s">
        <v>1016</v>
      </c>
      <c r="K1737" t="s">
        <v>386</v>
      </c>
      <c r="M1737" t="s">
        <v>387</v>
      </c>
      <c r="O1737" t="s">
        <v>2395</v>
      </c>
      <c r="P1737" t="s">
        <v>2396</v>
      </c>
      <c r="Q1737" t="s">
        <v>450</v>
      </c>
      <c r="R1737">
        <v>2069094</v>
      </c>
      <c r="S1737" t="s">
        <v>387</v>
      </c>
      <c r="U1737" t="s">
        <v>2398</v>
      </c>
      <c r="V1737" t="s">
        <v>398</v>
      </c>
      <c r="W1737" s="393">
        <v>80000</v>
      </c>
      <c r="X1737" s="393">
        <v>20.239999999999998</v>
      </c>
      <c r="Y1737" s="393">
        <v>179.59</v>
      </c>
      <c r="Z1737" s="393">
        <v>80000</v>
      </c>
      <c r="AA1737">
        <v>0</v>
      </c>
      <c r="AB1737" s="400">
        <v>44551.895128506942</v>
      </c>
      <c r="AC1737" t="s">
        <v>324</v>
      </c>
    </row>
    <row r="1738" spans="1:29">
      <c r="A1738" t="s">
        <v>382</v>
      </c>
      <c r="B1738" t="s">
        <v>440</v>
      </c>
      <c r="C1738" t="s">
        <v>1348</v>
      </c>
      <c r="D1738" t="s">
        <v>2399</v>
      </c>
      <c r="E1738" t="s">
        <v>390</v>
      </c>
      <c r="F1738" t="s">
        <v>391</v>
      </c>
      <c r="G1738">
        <v>6103429</v>
      </c>
      <c r="H1738">
        <v>202112</v>
      </c>
      <c r="I1738" s="400">
        <v>44560</v>
      </c>
      <c r="J1738" t="s">
        <v>452</v>
      </c>
      <c r="K1738" t="s">
        <v>386</v>
      </c>
      <c r="M1738" t="s">
        <v>387</v>
      </c>
      <c r="O1738" t="s">
        <v>2336</v>
      </c>
      <c r="P1738" t="s">
        <v>2337</v>
      </c>
      <c r="Q1738" t="s">
        <v>450</v>
      </c>
      <c r="R1738">
        <v>2069092</v>
      </c>
      <c r="S1738" t="s">
        <v>2338</v>
      </c>
      <c r="U1738" t="s">
        <v>2400</v>
      </c>
      <c r="V1738" t="s">
        <v>398</v>
      </c>
      <c r="W1738" s="393">
        <v>600000</v>
      </c>
      <c r="X1738" s="393">
        <v>149.12</v>
      </c>
      <c r="Y1738" s="393">
        <v>1341.63</v>
      </c>
      <c r="Z1738" s="393">
        <v>600000</v>
      </c>
      <c r="AA1738">
        <v>307</v>
      </c>
      <c r="AB1738" s="400">
        <v>44565.617815046295</v>
      </c>
      <c r="AC1738" t="s">
        <v>324</v>
      </c>
    </row>
    <row r="1739" spans="1:29">
      <c r="A1739" t="s">
        <v>382</v>
      </c>
      <c r="B1739" t="s">
        <v>1214</v>
      </c>
      <c r="C1739" t="s">
        <v>1348</v>
      </c>
      <c r="D1739" t="s">
        <v>2399</v>
      </c>
      <c r="E1739" t="s">
        <v>390</v>
      </c>
      <c r="F1739" t="s">
        <v>391</v>
      </c>
      <c r="G1739">
        <v>6103531</v>
      </c>
      <c r="H1739">
        <v>202112</v>
      </c>
      <c r="I1739" s="400">
        <v>44561</v>
      </c>
      <c r="J1739">
        <v>119010</v>
      </c>
      <c r="K1739" t="s">
        <v>386</v>
      </c>
      <c r="M1739" t="s">
        <v>387</v>
      </c>
      <c r="O1739" t="s">
        <v>2401</v>
      </c>
      <c r="P1739" t="s">
        <v>2402</v>
      </c>
      <c r="Q1739" t="s">
        <v>450</v>
      </c>
      <c r="R1739">
        <v>2069092</v>
      </c>
      <c r="S1739" t="s">
        <v>387</v>
      </c>
      <c r="U1739" t="s">
        <v>2403</v>
      </c>
      <c r="V1739" t="s">
        <v>398</v>
      </c>
      <c r="W1739" s="393">
        <v>2700000</v>
      </c>
      <c r="X1739" s="393">
        <v>671.03</v>
      </c>
      <c r="Y1739" s="393">
        <v>6037.34</v>
      </c>
      <c r="Z1739" s="393">
        <v>2700000</v>
      </c>
      <c r="AA1739">
        <v>305</v>
      </c>
      <c r="AB1739" s="400">
        <v>44575.987570173609</v>
      </c>
      <c r="AC1739" t="s">
        <v>324</v>
      </c>
    </row>
    <row r="1740" spans="1:29">
      <c r="A1740" t="s">
        <v>382</v>
      </c>
      <c r="B1740" t="s">
        <v>440</v>
      </c>
      <c r="C1740" t="s">
        <v>1348</v>
      </c>
      <c r="D1740" t="s">
        <v>1349</v>
      </c>
      <c r="E1740" t="s">
        <v>390</v>
      </c>
      <c r="F1740" t="s">
        <v>391</v>
      </c>
      <c r="G1740">
        <v>6103112</v>
      </c>
      <c r="H1740">
        <v>202111</v>
      </c>
      <c r="I1740" s="400">
        <v>44530</v>
      </c>
      <c r="J1740" t="s">
        <v>452</v>
      </c>
      <c r="K1740" t="s">
        <v>386</v>
      </c>
      <c r="M1740" t="s">
        <v>387</v>
      </c>
      <c r="O1740" t="s">
        <v>587</v>
      </c>
      <c r="P1740" t="s">
        <v>588</v>
      </c>
      <c r="Q1740" t="s">
        <v>450</v>
      </c>
      <c r="R1740">
        <v>2069102</v>
      </c>
      <c r="S1740" t="s">
        <v>387</v>
      </c>
      <c r="U1740" t="s">
        <v>2363</v>
      </c>
      <c r="V1740" t="s">
        <v>398</v>
      </c>
      <c r="W1740" s="393">
        <v>-42100</v>
      </c>
      <c r="X1740" s="393">
        <v>-10.61</v>
      </c>
      <c r="Y1740" s="393">
        <v>-91.71</v>
      </c>
      <c r="Z1740" s="393">
        <v>-42100</v>
      </c>
      <c r="AA1740">
        <v>0</v>
      </c>
      <c r="AB1740" s="400">
        <v>44533.065968402778</v>
      </c>
      <c r="AC1740" t="s">
        <v>324</v>
      </c>
    </row>
    <row r="1741" spans="1:29">
      <c r="A1741" t="s">
        <v>382</v>
      </c>
      <c r="B1741" t="s">
        <v>440</v>
      </c>
      <c r="C1741" t="s">
        <v>1348</v>
      </c>
      <c r="D1741" t="s">
        <v>1349</v>
      </c>
      <c r="E1741" t="s">
        <v>390</v>
      </c>
      <c r="F1741" t="s">
        <v>391</v>
      </c>
      <c r="G1741">
        <v>6102901</v>
      </c>
      <c r="H1741">
        <v>202111</v>
      </c>
      <c r="I1741" s="400">
        <v>44517</v>
      </c>
      <c r="J1741" t="s">
        <v>1016</v>
      </c>
      <c r="K1741" t="s">
        <v>386</v>
      </c>
      <c r="M1741" t="s">
        <v>387</v>
      </c>
      <c r="O1741" t="s">
        <v>587</v>
      </c>
      <c r="P1741" t="s">
        <v>588</v>
      </c>
      <c r="Q1741" t="s">
        <v>450</v>
      </c>
      <c r="R1741">
        <v>2069092</v>
      </c>
      <c r="S1741" t="s">
        <v>387</v>
      </c>
      <c r="U1741" t="s">
        <v>2404</v>
      </c>
      <c r="V1741" t="s">
        <v>398</v>
      </c>
      <c r="W1741" s="393">
        <v>16000</v>
      </c>
      <c r="X1741" s="393">
        <v>4.13</v>
      </c>
      <c r="Y1741" s="393">
        <v>35.090000000000003</v>
      </c>
      <c r="Z1741" s="393">
        <v>16000</v>
      </c>
      <c r="AA1741">
        <v>0</v>
      </c>
      <c r="AB1741" s="400">
        <v>44523.661689849534</v>
      </c>
      <c r="AC1741" t="s">
        <v>324</v>
      </c>
    </row>
    <row r="1742" spans="1:29">
      <c r="A1742" t="s">
        <v>382</v>
      </c>
      <c r="B1742" t="s">
        <v>440</v>
      </c>
      <c r="C1742" t="s">
        <v>1348</v>
      </c>
      <c r="D1742" t="s">
        <v>1349</v>
      </c>
      <c r="E1742" t="s">
        <v>390</v>
      </c>
      <c r="F1742" t="s">
        <v>391</v>
      </c>
      <c r="G1742">
        <v>6102991</v>
      </c>
      <c r="H1742">
        <v>202111</v>
      </c>
      <c r="I1742" s="400">
        <v>44530</v>
      </c>
      <c r="J1742" t="s">
        <v>452</v>
      </c>
      <c r="K1742" t="s">
        <v>386</v>
      </c>
      <c r="M1742" t="s">
        <v>387</v>
      </c>
      <c r="O1742" t="s">
        <v>587</v>
      </c>
      <c r="P1742" t="s">
        <v>588</v>
      </c>
      <c r="Q1742" t="s">
        <v>450</v>
      </c>
      <c r="R1742">
        <v>2069102</v>
      </c>
      <c r="S1742" t="s">
        <v>2405</v>
      </c>
      <c r="U1742" t="s">
        <v>2406</v>
      </c>
      <c r="V1742" t="s">
        <v>398</v>
      </c>
      <c r="W1742" s="393">
        <v>42100</v>
      </c>
      <c r="X1742" s="393">
        <v>10.61</v>
      </c>
      <c r="Y1742" s="393">
        <v>91.71</v>
      </c>
      <c r="Z1742" s="393">
        <v>42100</v>
      </c>
      <c r="AA1742">
        <v>0</v>
      </c>
      <c r="AB1742" s="400">
        <v>44530.860606944443</v>
      </c>
      <c r="AC1742" t="s">
        <v>324</v>
      </c>
    </row>
    <row r="1743" spans="1:29">
      <c r="A1743" t="s">
        <v>382</v>
      </c>
      <c r="B1743" t="s">
        <v>440</v>
      </c>
      <c r="C1743" t="s">
        <v>1348</v>
      </c>
      <c r="D1743" t="s">
        <v>1349</v>
      </c>
      <c r="E1743" t="s">
        <v>390</v>
      </c>
      <c r="F1743" t="s">
        <v>391</v>
      </c>
      <c r="G1743">
        <v>6103399</v>
      </c>
      <c r="H1743">
        <v>202112</v>
      </c>
      <c r="I1743" s="400">
        <v>44559</v>
      </c>
      <c r="J1743">
        <v>122536</v>
      </c>
      <c r="K1743" t="s">
        <v>386</v>
      </c>
      <c r="M1743" t="s">
        <v>387</v>
      </c>
      <c r="O1743" t="s">
        <v>587</v>
      </c>
      <c r="P1743" t="s">
        <v>588</v>
      </c>
      <c r="Q1743" t="s">
        <v>450</v>
      </c>
      <c r="R1743">
        <v>2069092</v>
      </c>
      <c r="S1743" t="s">
        <v>387</v>
      </c>
      <c r="U1743" t="s">
        <v>2407</v>
      </c>
      <c r="V1743" t="s">
        <v>398</v>
      </c>
      <c r="W1743" s="393">
        <v>20000</v>
      </c>
      <c r="X1743" s="393">
        <v>5</v>
      </c>
      <c r="Y1743" s="393">
        <v>45.01</v>
      </c>
      <c r="Z1743" s="393">
        <v>20000</v>
      </c>
      <c r="AA1743">
        <v>0</v>
      </c>
      <c r="AB1743" s="400">
        <v>44560.004000196757</v>
      </c>
      <c r="AC1743" t="s">
        <v>324</v>
      </c>
    </row>
    <row r="1744" spans="1:29">
      <c r="A1744" t="s">
        <v>382</v>
      </c>
      <c r="B1744" t="s">
        <v>440</v>
      </c>
      <c r="C1744" t="s">
        <v>1348</v>
      </c>
      <c r="D1744" t="s">
        <v>1349</v>
      </c>
      <c r="E1744" t="s">
        <v>390</v>
      </c>
      <c r="F1744" t="s">
        <v>391</v>
      </c>
      <c r="G1744">
        <v>6103531</v>
      </c>
      <c r="H1744">
        <v>202112</v>
      </c>
      <c r="I1744" s="400">
        <v>44561</v>
      </c>
      <c r="J1744">
        <v>119010</v>
      </c>
      <c r="K1744" t="s">
        <v>386</v>
      </c>
      <c r="M1744" t="s">
        <v>387</v>
      </c>
      <c r="O1744" t="s">
        <v>2328</v>
      </c>
      <c r="P1744" t="s">
        <v>2329</v>
      </c>
      <c r="Q1744" t="s">
        <v>450</v>
      </c>
      <c r="R1744">
        <v>2069092</v>
      </c>
      <c r="S1744" t="s">
        <v>387</v>
      </c>
      <c r="U1744" t="s">
        <v>2408</v>
      </c>
      <c r="V1744" t="s">
        <v>398</v>
      </c>
      <c r="W1744" s="393">
        <v>95000</v>
      </c>
      <c r="X1744" s="393">
        <v>24.89</v>
      </c>
      <c r="Y1744" s="393">
        <v>216.87</v>
      </c>
      <c r="Z1744" s="393">
        <v>95000</v>
      </c>
      <c r="AA1744">
        <v>307</v>
      </c>
      <c r="AB1744" s="400">
        <v>44575.987570173609</v>
      </c>
      <c r="AC1744" t="s">
        <v>324</v>
      </c>
    </row>
    <row r="1745" spans="1:29">
      <c r="A1745" t="s">
        <v>382</v>
      </c>
      <c r="B1745" t="s">
        <v>440</v>
      </c>
      <c r="C1745" t="s">
        <v>2409</v>
      </c>
      <c r="D1745" t="s">
        <v>2410</v>
      </c>
      <c r="E1745" t="s">
        <v>390</v>
      </c>
      <c r="F1745" t="s">
        <v>391</v>
      </c>
      <c r="G1745">
        <v>6103409</v>
      </c>
      <c r="H1745">
        <v>202112</v>
      </c>
      <c r="I1745" s="400">
        <v>44560</v>
      </c>
      <c r="J1745" t="s">
        <v>452</v>
      </c>
      <c r="K1745" t="s">
        <v>386</v>
      </c>
      <c r="L1745" t="s">
        <v>2411</v>
      </c>
      <c r="M1745" t="s">
        <v>2412</v>
      </c>
      <c r="O1745" t="s">
        <v>599</v>
      </c>
      <c r="P1745" t="s">
        <v>600</v>
      </c>
      <c r="Q1745" t="s">
        <v>450</v>
      </c>
      <c r="R1745">
        <v>2069088</v>
      </c>
      <c r="S1745" t="s">
        <v>387</v>
      </c>
      <c r="U1745" t="s">
        <v>2413</v>
      </c>
      <c r="V1745" t="s">
        <v>398</v>
      </c>
      <c r="W1745" s="393">
        <v>240000</v>
      </c>
      <c r="X1745" s="393">
        <v>60.03</v>
      </c>
      <c r="Y1745" s="393">
        <v>540.13</v>
      </c>
      <c r="Z1745" s="393">
        <v>240000</v>
      </c>
      <c r="AA1745">
        <v>308</v>
      </c>
      <c r="AB1745" s="400">
        <v>44560.691188888886</v>
      </c>
      <c r="AC1745" t="s">
        <v>324</v>
      </c>
    </row>
    <row r="1746" spans="1:29">
      <c r="A1746" t="s">
        <v>382</v>
      </c>
      <c r="B1746" t="s">
        <v>440</v>
      </c>
      <c r="C1746" t="s">
        <v>2409</v>
      </c>
      <c r="D1746" t="s">
        <v>2410</v>
      </c>
      <c r="E1746" t="s">
        <v>390</v>
      </c>
      <c r="F1746" t="s">
        <v>391</v>
      </c>
      <c r="G1746">
        <v>6103414</v>
      </c>
      <c r="H1746">
        <v>202112</v>
      </c>
      <c r="I1746" s="400">
        <v>44560</v>
      </c>
      <c r="J1746" t="s">
        <v>452</v>
      </c>
      <c r="K1746" t="s">
        <v>386</v>
      </c>
      <c r="L1746" t="s">
        <v>1357</v>
      </c>
      <c r="M1746" t="s">
        <v>1358</v>
      </c>
      <c r="O1746" t="s">
        <v>599</v>
      </c>
      <c r="P1746" t="s">
        <v>600</v>
      </c>
      <c r="Q1746" t="s">
        <v>450</v>
      </c>
      <c r="R1746">
        <v>2069088</v>
      </c>
      <c r="S1746" t="s">
        <v>387</v>
      </c>
      <c r="U1746" t="s">
        <v>2414</v>
      </c>
      <c r="V1746" t="s">
        <v>398</v>
      </c>
      <c r="W1746" s="393">
        <v>240000</v>
      </c>
      <c r="X1746" s="393">
        <v>60.03</v>
      </c>
      <c r="Y1746" s="393">
        <v>540.13</v>
      </c>
      <c r="Z1746" s="393">
        <v>240000</v>
      </c>
      <c r="AA1746">
        <v>308</v>
      </c>
      <c r="AB1746" s="400">
        <v>44560.873186608798</v>
      </c>
      <c r="AC1746" t="s">
        <v>324</v>
      </c>
    </row>
    <row r="1747" spans="1:29">
      <c r="A1747" t="s">
        <v>382</v>
      </c>
      <c r="B1747" t="s">
        <v>440</v>
      </c>
      <c r="C1747" t="s">
        <v>1362</v>
      </c>
      <c r="D1747" t="s">
        <v>1363</v>
      </c>
      <c r="E1747" t="s">
        <v>390</v>
      </c>
      <c r="F1747" t="s">
        <v>391</v>
      </c>
      <c r="G1747">
        <v>6102397</v>
      </c>
      <c r="H1747">
        <v>202110</v>
      </c>
      <c r="I1747" s="400">
        <v>44476</v>
      </c>
      <c r="J1747">
        <v>125062</v>
      </c>
      <c r="K1747" t="s">
        <v>386</v>
      </c>
      <c r="L1747" t="s">
        <v>1191</v>
      </c>
      <c r="M1747" t="s">
        <v>1192</v>
      </c>
      <c r="O1747" t="s">
        <v>512</v>
      </c>
      <c r="P1747" t="s">
        <v>513</v>
      </c>
      <c r="Q1747" t="s">
        <v>450</v>
      </c>
      <c r="R1747">
        <v>2069084</v>
      </c>
      <c r="S1747" t="s">
        <v>387</v>
      </c>
      <c r="U1747" t="s">
        <v>2415</v>
      </c>
      <c r="V1747" t="s">
        <v>398</v>
      </c>
      <c r="W1747" s="393">
        <v>1962</v>
      </c>
      <c r="X1747" s="393">
        <v>0.52</v>
      </c>
      <c r="Y1747" s="393">
        <v>4.4800000000000004</v>
      </c>
      <c r="Z1747" s="393">
        <v>1962</v>
      </c>
      <c r="AA1747">
        <v>0</v>
      </c>
      <c r="AB1747" s="400">
        <v>44489.025061192129</v>
      </c>
      <c r="AC1747" t="s">
        <v>324</v>
      </c>
    </row>
    <row r="1748" spans="1:29">
      <c r="A1748" t="s">
        <v>382</v>
      </c>
      <c r="B1748" t="s">
        <v>440</v>
      </c>
      <c r="C1748" t="s">
        <v>1362</v>
      </c>
      <c r="D1748" t="s">
        <v>1363</v>
      </c>
      <c r="E1748" t="s">
        <v>390</v>
      </c>
      <c r="F1748" t="s">
        <v>391</v>
      </c>
      <c r="G1748">
        <v>6102397</v>
      </c>
      <c r="H1748">
        <v>202110</v>
      </c>
      <c r="I1748" s="400">
        <v>44476</v>
      </c>
      <c r="J1748">
        <v>125062</v>
      </c>
      <c r="K1748" t="s">
        <v>386</v>
      </c>
      <c r="L1748" t="s">
        <v>1191</v>
      </c>
      <c r="M1748" t="s">
        <v>1192</v>
      </c>
      <c r="O1748" t="s">
        <v>509</v>
      </c>
      <c r="P1748" t="s">
        <v>510</v>
      </c>
      <c r="Q1748" t="s">
        <v>450</v>
      </c>
      <c r="R1748">
        <v>2069084</v>
      </c>
      <c r="S1748" t="s">
        <v>387</v>
      </c>
      <c r="U1748" t="s">
        <v>2415</v>
      </c>
      <c r="V1748" t="s">
        <v>398</v>
      </c>
      <c r="W1748" s="393">
        <v>11350</v>
      </c>
      <c r="X1748" s="393">
        <v>3</v>
      </c>
      <c r="Y1748" s="393">
        <v>25.92</v>
      </c>
      <c r="Z1748" s="393">
        <v>11350</v>
      </c>
      <c r="AA1748">
        <v>0</v>
      </c>
      <c r="AB1748" s="400">
        <v>44489.025060995373</v>
      </c>
      <c r="AC1748" t="s">
        <v>324</v>
      </c>
    </row>
    <row r="1749" spans="1:29">
      <c r="A1749" t="s">
        <v>382</v>
      </c>
      <c r="B1749" t="s">
        <v>440</v>
      </c>
      <c r="C1749" t="s">
        <v>1362</v>
      </c>
      <c r="D1749" t="s">
        <v>1363</v>
      </c>
      <c r="E1749" t="s">
        <v>390</v>
      </c>
      <c r="F1749" t="s">
        <v>391</v>
      </c>
      <c r="G1749">
        <v>6102819</v>
      </c>
      <c r="H1749">
        <v>202111</v>
      </c>
      <c r="I1749" s="400">
        <v>44510</v>
      </c>
      <c r="J1749">
        <v>125062</v>
      </c>
      <c r="K1749" t="s">
        <v>386</v>
      </c>
      <c r="L1749">
        <v>119010</v>
      </c>
      <c r="M1749" t="s">
        <v>1158</v>
      </c>
      <c r="O1749" t="s">
        <v>509</v>
      </c>
      <c r="P1749" t="s">
        <v>510</v>
      </c>
      <c r="Q1749" t="s">
        <v>450</v>
      </c>
      <c r="R1749">
        <v>2069084</v>
      </c>
      <c r="S1749" t="s">
        <v>387</v>
      </c>
      <c r="U1749" t="s">
        <v>2416</v>
      </c>
      <c r="V1749" t="s">
        <v>398</v>
      </c>
      <c r="W1749" s="393">
        <v>17750</v>
      </c>
      <c r="X1749" s="393">
        <v>4.62</v>
      </c>
      <c r="Y1749" s="393">
        <v>39.369999999999997</v>
      </c>
      <c r="Z1749" s="393">
        <v>17750</v>
      </c>
      <c r="AA1749">
        <v>0</v>
      </c>
      <c r="AB1749" s="400">
        <v>44520.125291701392</v>
      </c>
      <c r="AC1749" t="s">
        <v>324</v>
      </c>
    </row>
    <row r="1750" spans="1:29">
      <c r="A1750" t="s">
        <v>382</v>
      </c>
      <c r="B1750" t="s">
        <v>440</v>
      </c>
      <c r="C1750" t="s">
        <v>1362</v>
      </c>
      <c r="D1750" t="s">
        <v>1363</v>
      </c>
      <c r="E1750" t="s">
        <v>390</v>
      </c>
      <c r="F1750" t="s">
        <v>391</v>
      </c>
      <c r="G1750">
        <v>6102819</v>
      </c>
      <c r="H1750">
        <v>202111</v>
      </c>
      <c r="I1750" s="400">
        <v>44510</v>
      </c>
      <c r="J1750">
        <v>125062</v>
      </c>
      <c r="K1750" t="s">
        <v>386</v>
      </c>
      <c r="L1750">
        <v>119010</v>
      </c>
      <c r="M1750" t="s">
        <v>1158</v>
      </c>
      <c r="O1750" t="s">
        <v>512</v>
      </c>
      <c r="P1750" t="s">
        <v>513</v>
      </c>
      <c r="Q1750" t="s">
        <v>450</v>
      </c>
      <c r="R1750">
        <v>2069084</v>
      </c>
      <c r="S1750" t="s">
        <v>387</v>
      </c>
      <c r="U1750" t="s">
        <v>2416</v>
      </c>
      <c r="V1750" t="s">
        <v>398</v>
      </c>
      <c r="W1750" s="393">
        <v>1962</v>
      </c>
      <c r="X1750" s="393">
        <v>0.51</v>
      </c>
      <c r="Y1750" s="393">
        <v>4.3499999999999996</v>
      </c>
      <c r="Z1750" s="393">
        <v>1962</v>
      </c>
      <c r="AA1750">
        <v>0</v>
      </c>
      <c r="AB1750" s="400">
        <v>44520.125291701392</v>
      </c>
      <c r="AC1750" t="s">
        <v>324</v>
      </c>
    </row>
    <row r="1751" spans="1:29">
      <c r="A1751" t="s">
        <v>382</v>
      </c>
      <c r="B1751" t="s">
        <v>440</v>
      </c>
      <c r="C1751" t="s">
        <v>1362</v>
      </c>
      <c r="D1751" t="s">
        <v>1363</v>
      </c>
      <c r="E1751" t="s">
        <v>390</v>
      </c>
      <c r="F1751" t="s">
        <v>391</v>
      </c>
      <c r="G1751">
        <v>6102776</v>
      </c>
      <c r="H1751">
        <v>202111</v>
      </c>
      <c r="I1751" s="400">
        <v>44503</v>
      </c>
      <c r="J1751">
        <v>125062</v>
      </c>
      <c r="K1751" t="s">
        <v>386</v>
      </c>
      <c r="L1751" t="s">
        <v>1191</v>
      </c>
      <c r="M1751" t="s">
        <v>1192</v>
      </c>
      <c r="O1751" t="s">
        <v>509</v>
      </c>
      <c r="P1751" t="s">
        <v>510</v>
      </c>
      <c r="Q1751" t="s">
        <v>450</v>
      </c>
      <c r="R1751">
        <v>2069084</v>
      </c>
      <c r="S1751" t="s">
        <v>387</v>
      </c>
      <c r="U1751" t="s">
        <v>2417</v>
      </c>
      <c r="V1751" t="s">
        <v>398</v>
      </c>
      <c r="W1751" s="393">
        <v>19430</v>
      </c>
      <c r="X1751" s="393">
        <v>5.17</v>
      </c>
      <c r="Y1751" s="393">
        <v>44.04</v>
      </c>
      <c r="Z1751" s="393">
        <v>19430</v>
      </c>
      <c r="AA1751">
        <v>0</v>
      </c>
      <c r="AB1751" s="400">
        <v>44519.727286608795</v>
      </c>
      <c r="AC1751" t="s">
        <v>324</v>
      </c>
    </row>
    <row r="1752" spans="1:29">
      <c r="A1752" t="s">
        <v>382</v>
      </c>
      <c r="B1752" t="s">
        <v>440</v>
      </c>
      <c r="C1752" t="s">
        <v>1362</v>
      </c>
      <c r="D1752" t="s">
        <v>1363</v>
      </c>
      <c r="E1752" t="s">
        <v>390</v>
      </c>
      <c r="F1752" t="s">
        <v>391</v>
      </c>
      <c r="G1752">
        <v>6102776</v>
      </c>
      <c r="H1752">
        <v>202111</v>
      </c>
      <c r="I1752" s="400">
        <v>44503</v>
      </c>
      <c r="J1752">
        <v>125062</v>
      </c>
      <c r="K1752" t="s">
        <v>386</v>
      </c>
      <c r="L1752" t="s">
        <v>1191</v>
      </c>
      <c r="M1752" t="s">
        <v>1192</v>
      </c>
      <c r="O1752" t="s">
        <v>512</v>
      </c>
      <c r="P1752" t="s">
        <v>513</v>
      </c>
      <c r="Q1752" t="s">
        <v>450</v>
      </c>
      <c r="R1752">
        <v>2069084</v>
      </c>
      <c r="S1752" t="s">
        <v>387</v>
      </c>
      <c r="U1752" t="s">
        <v>2417</v>
      </c>
      <c r="V1752" t="s">
        <v>398</v>
      </c>
      <c r="W1752" s="393">
        <v>795</v>
      </c>
      <c r="X1752" s="393">
        <v>0.21</v>
      </c>
      <c r="Y1752" s="393">
        <v>1.8</v>
      </c>
      <c r="Z1752" s="393">
        <v>795</v>
      </c>
      <c r="AA1752">
        <v>0</v>
      </c>
      <c r="AB1752" s="400">
        <v>44519.727286805559</v>
      </c>
      <c r="AC1752" t="s">
        <v>324</v>
      </c>
    </row>
    <row r="1753" spans="1:29">
      <c r="A1753" t="s">
        <v>382</v>
      </c>
      <c r="B1753" t="s">
        <v>440</v>
      </c>
      <c r="C1753" t="s">
        <v>1362</v>
      </c>
      <c r="D1753" t="s">
        <v>1363</v>
      </c>
      <c r="E1753" t="s">
        <v>390</v>
      </c>
      <c r="F1753" t="s">
        <v>391</v>
      </c>
      <c r="G1753">
        <v>6102796</v>
      </c>
      <c r="H1753">
        <v>202111</v>
      </c>
      <c r="I1753" s="400">
        <v>44503</v>
      </c>
      <c r="J1753">
        <v>125062</v>
      </c>
      <c r="K1753" t="s">
        <v>386</v>
      </c>
      <c r="L1753" t="s">
        <v>1191</v>
      </c>
      <c r="M1753" t="s">
        <v>1192</v>
      </c>
      <c r="O1753" t="s">
        <v>512</v>
      </c>
      <c r="P1753" t="s">
        <v>513</v>
      </c>
      <c r="Q1753" t="s">
        <v>450</v>
      </c>
      <c r="R1753">
        <v>2069084</v>
      </c>
      <c r="S1753" t="s">
        <v>387</v>
      </c>
      <c r="U1753" t="s">
        <v>2418</v>
      </c>
      <c r="V1753" t="s">
        <v>398</v>
      </c>
      <c r="W1753" s="393">
        <v>795</v>
      </c>
      <c r="X1753" s="393">
        <v>0.21</v>
      </c>
      <c r="Y1753" s="393">
        <v>1.8</v>
      </c>
      <c r="Z1753" s="393">
        <v>795</v>
      </c>
      <c r="AA1753">
        <v>0</v>
      </c>
      <c r="AB1753" s="400">
        <v>44519.875173414352</v>
      </c>
      <c r="AC1753" t="s">
        <v>324</v>
      </c>
    </row>
    <row r="1754" spans="1:29">
      <c r="A1754" t="s">
        <v>382</v>
      </c>
      <c r="B1754" t="s">
        <v>440</v>
      </c>
      <c r="C1754" t="s">
        <v>1362</v>
      </c>
      <c r="D1754" t="s">
        <v>1363</v>
      </c>
      <c r="E1754" t="s">
        <v>390</v>
      </c>
      <c r="F1754" t="s">
        <v>391</v>
      </c>
      <c r="G1754">
        <v>6102796</v>
      </c>
      <c r="H1754">
        <v>202111</v>
      </c>
      <c r="I1754" s="400">
        <v>44503</v>
      </c>
      <c r="J1754">
        <v>125062</v>
      </c>
      <c r="K1754" t="s">
        <v>386</v>
      </c>
      <c r="L1754" t="s">
        <v>1191</v>
      </c>
      <c r="M1754" t="s">
        <v>1192</v>
      </c>
      <c r="O1754" t="s">
        <v>1367</v>
      </c>
      <c r="P1754" t="s">
        <v>1368</v>
      </c>
      <c r="Q1754" t="s">
        <v>450</v>
      </c>
      <c r="R1754">
        <v>2069084</v>
      </c>
      <c r="S1754" t="s">
        <v>387</v>
      </c>
      <c r="U1754" t="s">
        <v>2418</v>
      </c>
      <c r="V1754" t="s">
        <v>398</v>
      </c>
      <c r="W1754" s="393">
        <v>12000</v>
      </c>
      <c r="X1754" s="393">
        <v>3.19</v>
      </c>
      <c r="Y1754" s="393">
        <v>27.2</v>
      </c>
      <c r="Z1754" s="393">
        <v>12000</v>
      </c>
      <c r="AA1754">
        <v>0</v>
      </c>
      <c r="AB1754" s="400">
        <v>44519.875173229164</v>
      </c>
      <c r="AC1754" t="s">
        <v>324</v>
      </c>
    </row>
    <row r="1755" spans="1:29">
      <c r="A1755" t="s">
        <v>382</v>
      </c>
      <c r="B1755" t="s">
        <v>440</v>
      </c>
      <c r="C1755" t="s">
        <v>1362</v>
      </c>
      <c r="D1755" t="s">
        <v>1363</v>
      </c>
      <c r="E1755" t="s">
        <v>390</v>
      </c>
      <c r="F1755" t="s">
        <v>391</v>
      </c>
      <c r="G1755">
        <v>6103228</v>
      </c>
      <c r="H1755">
        <v>202112</v>
      </c>
      <c r="I1755" s="400">
        <v>44533</v>
      </c>
      <c r="J1755">
        <v>124932</v>
      </c>
      <c r="K1755" t="s">
        <v>386</v>
      </c>
      <c r="L1755">
        <v>119010</v>
      </c>
      <c r="M1755" t="s">
        <v>1158</v>
      </c>
      <c r="O1755" t="s">
        <v>509</v>
      </c>
      <c r="P1755" t="s">
        <v>510</v>
      </c>
      <c r="Q1755" t="s">
        <v>450</v>
      </c>
      <c r="R1755">
        <v>2069084</v>
      </c>
      <c r="S1755" t="s">
        <v>387</v>
      </c>
      <c r="U1755" t="s">
        <v>2419</v>
      </c>
      <c r="V1755" t="s">
        <v>398</v>
      </c>
      <c r="W1755" s="393">
        <v>27320</v>
      </c>
      <c r="X1755" s="393">
        <v>6.91</v>
      </c>
      <c r="Y1755" s="393">
        <v>61.33</v>
      </c>
      <c r="Z1755" s="393">
        <v>27320</v>
      </c>
      <c r="AA1755">
        <v>0</v>
      </c>
      <c r="AB1755" s="400">
        <v>44549.723073032408</v>
      </c>
      <c r="AC1755" t="s">
        <v>324</v>
      </c>
    </row>
    <row r="1756" spans="1:29">
      <c r="A1756" t="s">
        <v>382</v>
      </c>
      <c r="B1756" t="s">
        <v>440</v>
      </c>
      <c r="C1756" t="s">
        <v>1362</v>
      </c>
      <c r="D1756" t="s">
        <v>1363</v>
      </c>
      <c r="E1756" t="s">
        <v>390</v>
      </c>
      <c r="F1756" t="s">
        <v>391</v>
      </c>
      <c r="G1756">
        <v>6103228</v>
      </c>
      <c r="H1756">
        <v>202112</v>
      </c>
      <c r="I1756" s="400">
        <v>44533</v>
      </c>
      <c r="J1756">
        <v>124932</v>
      </c>
      <c r="K1756" t="s">
        <v>386</v>
      </c>
      <c r="L1756">
        <v>119010</v>
      </c>
      <c r="M1756" t="s">
        <v>1158</v>
      </c>
      <c r="O1756" t="s">
        <v>512</v>
      </c>
      <c r="P1756" t="s">
        <v>513</v>
      </c>
      <c r="Q1756" t="s">
        <v>450</v>
      </c>
      <c r="R1756">
        <v>2069084</v>
      </c>
      <c r="S1756" t="s">
        <v>387</v>
      </c>
      <c r="U1756" t="s">
        <v>2419</v>
      </c>
      <c r="V1756" t="s">
        <v>398</v>
      </c>
      <c r="W1756" s="393">
        <v>1962</v>
      </c>
      <c r="X1756" s="393">
        <v>0.5</v>
      </c>
      <c r="Y1756" s="393">
        <v>4.4000000000000004</v>
      </c>
      <c r="Z1756" s="393">
        <v>1962</v>
      </c>
      <c r="AA1756">
        <v>0</v>
      </c>
      <c r="AB1756" s="400">
        <v>44549.723073032408</v>
      </c>
      <c r="AC1756" t="s">
        <v>324</v>
      </c>
    </row>
    <row r="1757" spans="1:29">
      <c r="A1757" t="s">
        <v>382</v>
      </c>
      <c r="B1757" t="s">
        <v>440</v>
      </c>
      <c r="C1757" t="s">
        <v>1362</v>
      </c>
      <c r="D1757" t="s">
        <v>1363</v>
      </c>
      <c r="E1757" t="s">
        <v>390</v>
      </c>
      <c r="F1757" t="s">
        <v>391</v>
      </c>
      <c r="G1757">
        <v>6103491</v>
      </c>
      <c r="H1757">
        <v>202112</v>
      </c>
      <c r="I1757" s="400">
        <v>44557</v>
      </c>
      <c r="J1757">
        <v>122536</v>
      </c>
      <c r="K1757" t="s">
        <v>386</v>
      </c>
      <c r="L1757" t="s">
        <v>2420</v>
      </c>
      <c r="M1757" t="s">
        <v>2421</v>
      </c>
      <c r="O1757" t="s">
        <v>1367</v>
      </c>
      <c r="P1757" t="s">
        <v>1368</v>
      </c>
      <c r="Q1757" t="s">
        <v>396</v>
      </c>
      <c r="R1757">
        <v>2265776</v>
      </c>
      <c r="S1757" t="s">
        <v>387</v>
      </c>
      <c r="U1757" t="s">
        <v>2422</v>
      </c>
      <c r="V1757" t="s">
        <v>398</v>
      </c>
      <c r="W1757" s="393">
        <v>27650</v>
      </c>
      <c r="X1757" s="393">
        <v>6.92</v>
      </c>
      <c r="Y1757" s="393">
        <v>62.23</v>
      </c>
      <c r="Z1757" s="393">
        <v>27650</v>
      </c>
      <c r="AA1757">
        <v>0</v>
      </c>
      <c r="AB1757" s="400">
        <v>44567.764596099536</v>
      </c>
      <c r="AC1757" t="s">
        <v>326</v>
      </c>
    </row>
    <row r="1758" spans="1:29">
      <c r="A1758" t="s">
        <v>382</v>
      </c>
      <c r="B1758" t="s">
        <v>440</v>
      </c>
      <c r="C1758" t="s">
        <v>1362</v>
      </c>
      <c r="D1758" t="s">
        <v>1363</v>
      </c>
      <c r="E1758" t="s">
        <v>390</v>
      </c>
      <c r="F1758" t="s">
        <v>391</v>
      </c>
      <c r="G1758">
        <v>6103491</v>
      </c>
      <c r="H1758">
        <v>202112</v>
      </c>
      <c r="I1758" s="400">
        <v>44557</v>
      </c>
      <c r="J1758">
        <v>122536</v>
      </c>
      <c r="K1758" t="s">
        <v>386</v>
      </c>
      <c r="L1758" t="s">
        <v>2420</v>
      </c>
      <c r="M1758" t="s">
        <v>2421</v>
      </c>
      <c r="O1758" t="s">
        <v>512</v>
      </c>
      <c r="P1758" t="s">
        <v>513</v>
      </c>
      <c r="Q1758" t="s">
        <v>396</v>
      </c>
      <c r="R1758">
        <v>2265776</v>
      </c>
      <c r="S1758" t="s">
        <v>387</v>
      </c>
      <c r="U1758" t="s">
        <v>2422</v>
      </c>
      <c r="V1758" t="s">
        <v>398</v>
      </c>
      <c r="W1758" s="393">
        <v>1962</v>
      </c>
      <c r="X1758" s="393">
        <v>0.49</v>
      </c>
      <c r="Y1758" s="393">
        <v>4.42</v>
      </c>
      <c r="Z1758" s="393">
        <v>1962</v>
      </c>
      <c r="AA1758">
        <v>0</v>
      </c>
      <c r="AB1758" s="400">
        <v>44567.764596099536</v>
      </c>
      <c r="AC1758" t="s">
        <v>326</v>
      </c>
    </row>
    <row r="1759" spans="1:29">
      <c r="A1759" t="s">
        <v>382</v>
      </c>
      <c r="B1759" t="s">
        <v>440</v>
      </c>
      <c r="C1759" t="s">
        <v>1362</v>
      </c>
      <c r="D1759" t="s">
        <v>1363</v>
      </c>
      <c r="E1759" t="s">
        <v>390</v>
      </c>
      <c r="F1759" t="s">
        <v>391</v>
      </c>
      <c r="G1759">
        <v>6103349</v>
      </c>
      <c r="H1759">
        <v>202112</v>
      </c>
      <c r="I1759" s="400">
        <v>44547</v>
      </c>
      <c r="J1759" t="s">
        <v>452</v>
      </c>
      <c r="K1759" t="s">
        <v>386</v>
      </c>
      <c r="L1759" t="s">
        <v>1195</v>
      </c>
      <c r="M1759" t="s">
        <v>1196</v>
      </c>
      <c r="O1759" t="s">
        <v>1314</v>
      </c>
      <c r="P1759" t="s">
        <v>1315</v>
      </c>
      <c r="Q1759" t="s">
        <v>450</v>
      </c>
      <c r="R1759">
        <v>2069084</v>
      </c>
      <c r="S1759" t="s">
        <v>2354</v>
      </c>
      <c r="U1759" t="s">
        <v>2355</v>
      </c>
      <c r="V1759" t="s">
        <v>398</v>
      </c>
      <c r="W1759" s="393">
        <v>350303</v>
      </c>
      <c r="X1759" s="393">
        <v>87.79</v>
      </c>
      <c r="Y1759" s="393">
        <v>791.73</v>
      </c>
      <c r="Z1759" s="393">
        <v>350303</v>
      </c>
      <c r="AA1759">
        <v>0</v>
      </c>
      <c r="AB1759" s="400">
        <v>44552.118334340281</v>
      </c>
      <c r="AC1759" t="s">
        <v>324</v>
      </c>
    </row>
    <row r="1760" spans="1:29">
      <c r="A1760" t="s">
        <v>382</v>
      </c>
      <c r="B1760" t="s">
        <v>440</v>
      </c>
      <c r="C1760" t="s">
        <v>1362</v>
      </c>
      <c r="D1760" t="s">
        <v>1363</v>
      </c>
      <c r="E1760" t="s">
        <v>390</v>
      </c>
      <c r="F1760" t="s">
        <v>391</v>
      </c>
      <c r="G1760">
        <v>6103200</v>
      </c>
      <c r="H1760">
        <v>202112</v>
      </c>
      <c r="I1760" s="400">
        <v>44533</v>
      </c>
      <c r="J1760">
        <v>124932</v>
      </c>
      <c r="K1760" t="s">
        <v>386</v>
      </c>
      <c r="L1760" t="s">
        <v>1219</v>
      </c>
      <c r="M1760" t="s">
        <v>1220</v>
      </c>
      <c r="O1760" t="s">
        <v>1380</v>
      </c>
      <c r="P1760" t="s">
        <v>1381</v>
      </c>
      <c r="Q1760" t="s">
        <v>396</v>
      </c>
      <c r="R1760">
        <v>2265776</v>
      </c>
      <c r="S1760" t="s">
        <v>387</v>
      </c>
      <c r="U1760" t="s">
        <v>2423</v>
      </c>
      <c r="V1760" t="s">
        <v>398</v>
      </c>
      <c r="W1760" s="393">
        <v>17780</v>
      </c>
      <c r="X1760" s="393">
        <v>4.5</v>
      </c>
      <c r="Y1760" s="393">
        <v>39.909999999999997</v>
      </c>
      <c r="Z1760" s="393">
        <v>17780</v>
      </c>
      <c r="AA1760">
        <v>0</v>
      </c>
      <c r="AB1760" s="400">
        <v>44547.833218055559</v>
      </c>
      <c r="AC1760" t="s">
        <v>326</v>
      </c>
    </row>
    <row r="1761" spans="1:29">
      <c r="A1761" t="s">
        <v>382</v>
      </c>
      <c r="B1761" t="s">
        <v>440</v>
      </c>
      <c r="C1761" t="s">
        <v>1362</v>
      </c>
      <c r="D1761" t="s">
        <v>1363</v>
      </c>
      <c r="E1761" t="s">
        <v>390</v>
      </c>
      <c r="F1761" t="s">
        <v>391</v>
      </c>
      <c r="G1761">
        <v>6103200</v>
      </c>
      <c r="H1761">
        <v>202112</v>
      </c>
      <c r="I1761" s="400">
        <v>44533</v>
      </c>
      <c r="J1761">
        <v>124932</v>
      </c>
      <c r="K1761" t="s">
        <v>386</v>
      </c>
      <c r="L1761" t="s">
        <v>1219</v>
      </c>
      <c r="M1761" t="s">
        <v>1220</v>
      </c>
      <c r="O1761" t="s">
        <v>512</v>
      </c>
      <c r="P1761" t="s">
        <v>513</v>
      </c>
      <c r="Q1761" t="s">
        <v>396</v>
      </c>
      <c r="R1761">
        <v>2265776</v>
      </c>
      <c r="S1761" t="s">
        <v>387</v>
      </c>
      <c r="U1761" t="s">
        <v>2423</v>
      </c>
      <c r="V1761" t="s">
        <v>398</v>
      </c>
      <c r="W1761" s="393">
        <v>1962</v>
      </c>
      <c r="X1761" s="393">
        <v>0.5</v>
      </c>
      <c r="Y1761" s="393">
        <v>4.4000000000000004</v>
      </c>
      <c r="Z1761" s="393">
        <v>1962</v>
      </c>
      <c r="AA1761">
        <v>0</v>
      </c>
      <c r="AB1761" s="400">
        <v>44547.833218055559</v>
      </c>
      <c r="AC1761" t="s">
        <v>326</v>
      </c>
    </row>
    <row r="1762" spans="1:29">
      <c r="A1762" t="s">
        <v>382</v>
      </c>
      <c r="B1762" t="s">
        <v>440</v>
      </c>
      <c r="C1762" t="s">
        <v>1362</v>
      </c>
      <c r="D1762" t="s">
        <v>1386</v>
      </c>
      <c r="E1762" t="s">
        <v>390</v>
      </c>
      <c r="F1762" t="s">
        <v>391</v>
      </c>
      <c r="G1762">
        <v>6102854</v>
      </c>
      <c r="H1762">
        <v>202111</v>
      </c>
      <c r="I1762" s="400">
        <v>44519</v>
      </c>
      <c r="J1762" t="s">
        <v>452</v>
      </c>
      <c r="K1762" t="s">
        <v>386</v>
      </c>
      <c r="L1762" t="s">
        <v>1392</v>
      </c>
      <c r="M1762" t="s">
        <v>1393</v>
      </c>
      <c r="O1762" t="s">
        <v>1001</v>
      </c>
      <c r="P1762" t="s">
        <v>1002</v>
      </c>
      <c r="Q1762" t="s">
        <v>450</v>
      </c>
      <c r="R1762">
        <v>2069084</v>
      </c>
      <c r="S1762" t="s">
        <v>2424</v>
      </c>
      <c r="U1762" t="s">
        <v>2425</v>
      </c>
      <c r="V1762" t="s">
        <v>398</v>
      </c>
      <c r="W1762" s="393">
        <v>9000</v>
      </c>
      <c r="X1762" s="393">
        <v>2.2999999999999998</v>
      </c>
      <c r="Y1762" s="393">
        <v>19.75</v>
      </c>
      <c r="Z1762" s="393">
        <v>9000</v>
      </c>
      <c r="AA1762">
        <v>0</v>
      </c>
      <c r="AB1762" s="400">
        <v>44521.61949409722</v>
      </c>
      <c r="AC1762" t="s">
        <v>324</v>
      </c>
    </row>
    <row r="1763" spans="1:29">
      <c r="A1763" t="s">
        <v>382</v>
      </c>
      <c r="B1763" t="s">
        <v>440</v>
      </c>
      <c r="C1763" t="s">
        <v>1362</v>
      </c>
      <c r="D1763" t="s">
        <v>1386</v>
      </c>
      <c r="E1763" t="s">
        <v>390</v>
      </c>
      <c r="F1763" t="s">
        <v>391</v>
      </c>
      <c r="G1763">
        <v>6102854</v>
      </c>
      <c r="H1763">
        <v>202111</v>
      </c>
      <c r="I1763" s="400">
        <v>44519</v>
      </c>
      <c r="J1763" t="s">
        <v>452</v>
      </c>
      <c r="K1763" t="s">
        <v>386</v>
      </c>
      <c r="L1763" t="s">
        <v>1392</v>
      </c>
      <c r="M1763" t="s">
        <v>1393</v>
      </c>
      <c r="O1763" t="s">
        <v>2018</v>
      </c>
      <c r="P1763" t="s">
        <v>2019</v>
      </c>
      <c r="Q1763" t="s">
        <v>450</v>
      </c>
      <c r="R1763">
        <v>2069084</v>
      </c>
      <c r="S1763" t="s">
        <v>1392</v>
      </c>
      <c r="U1763" t="s">
        <v>2426</v>
      </c>
      <c r="V1763" t="s">
        <v>398</v>
      </c>
      <c r="W1763" s="393">
        <v>67152</v>
      </c>
      <c r="X1763" s="393">
        <v>17.18</v>
      </c>
      <c r="Y1763" s="393">
        <v>147.35</v>
      </c>
      <c r="Z1763" s="393">
        <v>67152</v>
      </c>
      <c r="AA1763">
        <v>0</v>
      </c>
      <c r="AB1763" s="400">
        <v>44521.61949409722</v>
      </c>
      <c r="AC1763" t="s">
        <v>324</v>
      </c>
    </row>
    <row r="1764" spans="1:29">
      <c r="A1764" t="s">
        <v>382</v>
      </c>
      <c r="B1764" t="s">
        <v>440</v>
      </c>
      <c r="C1764" t="s">
        <v>1362</v>
      </c>
      <c r="D1764" t="s">
        <v>1386</v>
      </c>
      <c r="E1764" t="s">
        <v>390</v>
      </c>
      <c r="F1764" t="s">
        <v>391</v>
      </c>
      <c r="G1764">
        <v>6102854</v>
      </c>
      <c r="H1764">
        <v>202111</v>
      </c>
      <c r="I1764" s="400">
        <v>44519</v>
      </c>
      <c r="J1764" t="s">
        <v>452</v>
      </c>
      <c r="K1764" t="s">
        <v>386</v>
      </c>
      <c r="L1764" t="s">
        <v>1392</v>
      </c>
      <c r="M1764" t="s">
        <v>1393</v>
      </c>
      <c r="O1764" t="s">
        <v>1001</v>
      </c>
      <c r="P1764" t="s">
        <v>1002</v>
      </c>
      <c r="Q1764" t="s">
        <v>450</v>
      </c>
      <c r="R1764">
        <v>2069084</v>
      </c>
      <c r="S1764" t="s">
        <v>2427</v>
      </c>
      <c r="U1764" t="s">
        <v>2428</v>
      </c>
      <c r="V1764" t="s">
        <v>398</v>
      </c>
      <c r="W1764" s="393">
        <v>9000</v>
      </c>
      <c r="X1764" s="393">
        <v>2.2999999999999998</v>
      </c>
      <c r="Y1764" s="393">
        <v>19.75</v>
      </c>
      <c r="Z1764" s="393">
        <v>9000</v>
      </c>
      <c r="AA1764">
        <v>0</v>
      </c>
      <c r="AB1764" s="400">
        <v>44521.61949409722</v>
      </c>
      <c r="AC1764" t="s">
        <v>324</v>
      </c>
    </row>
    <row r="1765" spans="1:29">
      <c r="A1765" t="s">
        <v>382</v>
      </c>
      <c r="B1765" t="s">
        <v>440</v>
      </c>
      <c r="C1765" t="s">
        <v>1362</v>
      </c>
      <c r="D1765" t="s">
        <v>1399</v>
      </c>
      <c r="E1765" t="s">
        <v>390</v>
      </c>
      <c r="F1765" t="s">
        <v>391</v>
      </c>
      <c r="G1765">
        <v>6102490</v>
      </c>
      <c r="H1765">
        <v>202110</v>
      </c>
      <c r="I1765" s="400">
        <v>44498</v>
      </c>
      <c r="J1765">
        <v>125062</v>
      </c>
      <c r="K1765" t="s">
        <v>386</v>
      </c>
      <c r="L1765" t="s">
        <v>1375</v>
      </c>
      <c r="M1765" t="s">
        <v>2429</v>
      </c>
      <c r="O1765" t="s">
        <v>2430</v>
      </c>
      <c r="P1765" t="s">
        <v>2431</v>
      </c>
      <c r="Q1765" t="s">
        <v>450</v>
      </c>
      <c r="R1765">
        <v>2069084</v>
      </c>
      <c r="S1765" t="s">
        <v>387</v>
      </c>
      <c r="U1765" t="s">
        <v>2432</v>
      </c>
      <c r="V1765" t="s">
        <v>398</v>
      </c>
      <c r="W1765" s="393">
        <v>65000</v>
      </c>
      <c r="X1765" s="393">
        <v>17.239999999999998</v>
      </c>
      <c r="Y1765" s="393">
        <v>149.72999999999999</v>
      </c>
      <c r="Z1765" s="393">
        <v>65000</v>
      </c>
      <c r="AA1765">
        <v>0</v>
      </c>
      <c r="AB1765" s="400">
        <v>44499.77696145833</v>
      </c>
      <c r="AC1765" t="s">
        <v>324</v>
      </c>
    </row>
    <row r="1766" spans="1:29">
      <c r="A1766" t="s">
        <v>382</v>
      </c>
      <c r="B1766" t="s">
        <v>440</v>
      </c>
      <c r="C1766" t="s">
        <v>1362</v>
      </c>
      <c r="D1766" t="s">
        <v>1399</v>
      </c>
      <c r="E1766" t="s">
        <v>390</v>
      </c>
      <c r="F1766" t="s">
        <v>391</v>
      </c>
      <c r="G1766">
        <v>6102434</v>
      </c>
      <c r="H1766">
        <v>202110</v>
      </c>
      <c r="I1766" s="400">
        <v>44489</v>
      </c>
      <c r="J1766">
        <v>125062</v>
      </c>
      <c r="K1766" t="s">
        <v>386</v>
      </c>
      <c r="L1766" t="s">
        <v>1170</v>
      </c>
      <c r="M1766" t="s">
        <v>1171</v>
      </c>
      <c r="O1766" t="s">
        <v>2430</v>
      </c>
      <c r="P1766" t="s">
        <v>2431</v>
      </c>
      <c r="Q1766" t="s">
        <v>450</v>
      </c>
      <c r="R1766">
        <v>2069084</v>
      </c>
      <c r="S1766" t="s">
        <v>387</v>
      </c>
      <c r="U1766" t="s">
        <v>2433</v>
      </c>
      <c r="V1766" t="s">
        <v>398</v>
      </c>
      <c r="W1766" s="393">
        <v>65000</v>
      </c>
      <c r="X1766" s="393">
        <v>17.16</v>
      </c>
      <c r="Y1766" s="393">
        <v>147.52000000000001</v>
      </c>
      <c r="Z1766" s="393">
        <v>65000</v>
      </c>
      <c r="AA1766">
        <v>0</v>
      </c>
      <c r="AB1766" s="400">
        <v>44490.740131944447</v>
      </c>
      <c r="AC1766" t="s">
        <v>324</v>
      </c>
    </row>
    <row r="1767" spans="1:29">
      <c r="A1767" t="s">
        <v>382</v>
      </c>
      <c r="B1767" t="s">
        <v>440</v>
      </c>
      <c r="C1767" t="s">
        <v>1362</v>
      </c>
      <c r="D1767" t="s">
        <v>1399</v>
      </c>
      <c r="E1767" t="s">
        <v>390</v>
      </c>
      <c r="F1767" t="s">
        <v>391</v>
      </c>
      <c r="G1767">
        <v>6102434</v>
      </c>
      <c r="H1767">
        <v>202110</v>
      </c>
      <c r="I1767" s="400">
        <v>44489</v>
      </c>
      <c r="J1767">
        <v>125062</v>
      </c>
      <c r="K1767" t="s">
        <v>386</v>
      </c>
      <c r="L1767" t="s">
        <v>1170</v>
      </c>
      <c r="M1767" t="s">
        <v>1171</v>
      </c>
      <c r="O1767" t="s">
        <v>2430</v>
      </c>
      <c r="P1767" t="s">
        <v>2431</v>
      </c>
      <c r="Q1767" t="s">
        <v>450</v>
      </c>
      <c r="R1767">
        <v>2069084</v>
      </c>
      <c r="S1767" t="s">
        <v>387</v>
      </c>
      <c r="U1767" t="s">
        <v>2434</v>
      </c>
      <c r="V1767" t="s">
        <v>398</v>
      </c>
      <c r="W1767" s="393">
        <v>65000</v>
      </c>
      <c r="X1767" s="393">
        <v>17.16</v>
      </c>
      <c r="Y1767" s="393">
        <v>147.52000000000001</v>
      </c>
      <c r="Z1767" s="393">
        <v>65000</v>
      </c>
      <c r="AA1767">
        <v>0</v>
      </c>
      <c r="AB1767" s="400">
        <v>44490.740132326391</v>
      </c>
      <c r="AC1767" t="s">
        <v>324</v>
      </c>
    </row>
    <row r="1768" spans="1:29">
      <c r="A1768" t="s">
        <v>382</v>
      </c>
      <c r="B1768" t="s">
        <v>440</v>
      </c>
      <c r="C1768" t="s">
        <v>1362</v>
      </c>
      <c r="D1768" t="s">
        <v>1399</v>
      </c>
      <c r="E1768" t="s">
        <v>390</v>
      </c>
      <c r="F1768" t="s">
        <v>391</v>
      </c>
      <c r="G1768">
        <v>6102434</v>
      </c>
      <c r="H1768">
        <v>202110</v>
      </c>
      <c r="I1768" s="400">
        <v>44489</v>
      </c>
      <c r="J1768">
        <v>125062</v>
      </c>
      <c r="K1768" t="s">
        <v>386</v>
      </c>
      <c r="L1768" t="s">
        <v>2435</v>
      </c>
      <c r="M1768" t="s">
        <v>2436</v>
      </c>
      <c r="O1768" t="s">
        <v>2430</v>
      </c>
      <c r="P1768" t="s">
        <v>2431</v>
      </c>
      <c r="Q1768" t="s">
        <v>450</v>
      </c>
      <c r="R1768">
        <v>2069084</v>
      </c>
      <c r="S1768" t="s">
        <v>387</v>
      </c>
      <c r="U1768" t="s">
        <v>2437</v>
      </c>
      <c r="V1768" t="s">
        <v>398</v>
      </c>
      <c r="W1768" s="393">
        <v>65000</v>
      </c>
      <c r="X1768" s="393">
        <v>17.16</v>
      </c>
      <c r="Y1768" s="393">
        <v>147.52000000000001</v>
      </c>
      <c r="Z1768" s="393">
        <v>65000</v>
      </c>
      <c r="AA1768">
        <v>0</v>
      </c>
      <c r="AB1768" s="400">
        <v>44490.740132141204</v>
      </c>
      <c r="AC1768" t="s">
        <v>324</v>
      </c>
    </row>
    <row r="1769" spans="1:29">
      <c r="A1769" t="s">
        <v>382</v>
      </c>
      <c r="B1769" t="s">
        <v>440</v>
      </c>
      <c r="C1769" t="s">
        <v>1362</v>
      </c>
      <c r="D1769" t="s">
        <v>1399</v>
      </c>
      <c r="E1769" t="s">
        <v>390</v>
      </c>
      <c r="F1769" t="s">
        <v>391</v>
      </c>
      <c r="G1769">
        <v>6102896</v>
      </c>
      <c r="H1769">
        <v>202111</v>
      </c>
      <c r="I1769" s="400">
        <v>44512</v>
      </c>
      <c r="J1769">
        <v>125062</v>
      </c>
      <c r="K1769" t="s">
        <v>386</v>
      </c>
      <c r="L1769">
        <v>119010</v>
      </c>
      <c r="M1769" t="s">
        <v>1158</v>
      </c>
      <c r="O1769" t="s">
        <v>1409</v>
      </c>
      <c r="P1769" t="s">
        <v>1410</v>
      </c>
      <c r="Q1769" t="s">
        <v>450</v>
      </c>
      <c r="R1769">
        <v>2069084</v>
      </c>
      <c r="S1769" t="s">
        <v>387</v>
      </c>
      <c r="U1769" t="s">
        <v>2438</v>
      </c>
      <c r="V1769" t="s">
        <v>398</v>
      </c>
      <c r="W1769" s="393">
        <v>150000</v>
      </c>
      <c r="X1769" s="393">
        <v>38.71</v>
      </c>
      <c r="Y1769" s="393">
        <v>328.99</v>
      </c>
      <c r="Z1769" s="393">
        <v>150000</v>
      </c>
      <c r="AA1769">
        <v>318</v>
      </c>
      <c r="AB1769" s="400">
        <v>44522.751162187502</v>
      </c>
      <c r="AC1769" t="s">
        <v>324</v>
      </c>
    </row>
    <row r="1770" spans="1:29">
      <c r="A1770" t="s">
        <v>382</v>
      </c>
      <c r="B1770" t="s">
        <v>440</v>
      </c>
      <c r="C1770" t="s">
        <v>1362</v>
      </c>
      <c r="D1770" t="s">
        <v>1399</v>
      </c>
      <c r="E1770" t="s">
        <v>390</v>
      </c>
      <c r="F1770" t="s">
        <v>391</v>
      </c>
      <c r="G1770">
        <v>6102992</v>
      </c>
      <c r="H1770">
        <v>202111</v>
      </c>
      <c r="I1770" s="400">
        <v>44529</v>
      </c>
      <c r="J1770">
        <v>125062</v>
      </c>
      <c r="K1770" t="s">
        <v>386</v>
      </c>
      <c r="L1770">
        <v>119010</v>
      </c>
      <c r="M1770" t="s">
        <v>1158</v>
      </c>
      <c r="O1770" t="s">
        <v>849</v>
      </c>
      <c r="P1770" t="s">
        <v>850</v>
      </c>
      <c r="Q1770" t="s">
        <v>450</v>
      </c>
      <c r="R1770">
        <v>2069084</v>
      </c>
      <c r="S1770" t="s">
        <v>387</v>
      </c>
      <c r="U1770" t="s">
        <v>2439</v>
      </c>
      <c r="V1770" t="s">
        <v>398</v>
      </c>
      <c r="W1770" s="393">
        <v>95000</v>
      </c>
      <c r="X1770" s="393">
        <v>23.93</v>
      </c>
      <c r="Y1770" s="393">
        <v>206.94</v>
      </c>
      <c r="Z1770" s="393">
        <v>95000</v>
      </c>
      <c r="AA1770">
        <v>0</v>
      </c>
      <c r="AB1770" s="400">
        <v>44530.871922997685</v>
      </c>
      <c r="AC1770" t="s">
        <v>324</v>
      </c>
    </row>
    <row r="1771" spans="1:29">
      <c r="A1771" t="s">
        <v>382</v>
      </c>
      <c r="B1771" t="s">
        <v>440</v>
      </c>
      <c r="C1771" t="s">
        <v>1362</v>
      </c>
      <c r="D1771" t="s">
        <v>1399</v>
      </c>
      <c r="E1771" t="s">
        <v>390</v>
      </c>
      <c r="F1771" t="s">
        <v>391</v>
      </c>
      <c r="G1771">
        <v>6102980</v>
      </c>
      <c r="H1771">
        <v>202111</v>
      </c>
      <c r="I1771" s="400">
        <v>44526</v>
      </c>
      <c r="J1771">
        <v>125062</v>
      </c>
      <c r="K1771" t="s">
        <v>386</v>
      </c>
      <c r="L1771">
        <v>119010</v>
      </c>
      <c r="M1771" t="s">
        <v>1158</v>
      </c>
      <c r="O1771" t="s">
        <v>1409</v>
      </c>
      <c r="P1771" t="s">
        <v>1410</v>
      </c>
      <c r="Q1771" t="s">
        <v>450</v>
      </c>
      <c r="R1771">
        <v>2069084</v>
      </c>
      <c r="S1771" t="s">
        <v>387</v>
      </c>
      <c r="U1771" t="s">
        <v>2440</v>
      </c>
      <c r="V1771" t="s">
        <v>398</v>
      </c>
      <c r="W1771" s="393">
        <v>150000</v>
      </c>
      <c r="X1771" s="393">
        <v>38.380000000000003</v>
      </c>
      <c r="Y1771" s="393">
        <v>329.15</v>
      </c>
      <c r="Z1771" s="393">
        <v>150000</v>
      </c>
      <c r="AA1771">
        <v>318</v>
      </c>
      <c r="AB1771" s="400">
        <v>44530.658616701388</v>
      </c>
      <c r="AC1771" t="s">
        <v>324</v>
      </c>
    </row>
    <row r="1772" spans="1:29">
      <c r="A1772" t="s">
        <v>382</v>
      </c>
      <c r="B1772" t="s">
        <v>440</v>
      </c>
      <c r="C1772" t="s">
        <v>1362</v>
      </c>
      <c r="D1772" t="s">
        <v>1399</v>
      </c>
      <c r="E1772" t="s">
        <v>390</v>
      </c>
      <c r="F1772" t="s">
        <v>391</v>
      </c>
      <c r="G1772">
        <v>6102980</v>
      </c>
      <c r="H1772">
        <v>202111</v>
      </c>
      <c r="I1772" s="400">
        <v>44526</v>
      </c>
      <c r="J1772">
        <v>125062</v>
      </c>
      <c r="K1772" t="s">
        <v>386</v>
      </c>
      <c r="L1772">
        <v>124474</v>
      </c>
      <c r="M1772" t="s">
        <v>1165</v>
      </c>
      <c r="O1772" t="s">
        <v>849</v>
      </c>
      <c r="P1772" t="s">
        <v>850</v>
      </c>
      <c r="Q1772" t="s">
        <v>396</v>
      </c>
      <c r="R1772">
        <v>2265776</v>
      </c>
      <c r="S1772" t="s">
        <v>387</v>
      </c>
      <c r="U1772" t="s">
        <v>2441</v>
      </c>
      <c r="V1772" t="s">
        <v>398</v>
      </c>
      <c r="W1772" s="393">
        <v>195000</v>
      </c>
      <c r="X1772" s="393">
        <v>49.9</v>
      </c>
      <c r="Y1772" s="393">
        <v>427.89</v>
      </c>
      <c r="Z1772" s="393">
        <v>195000</v>
      </c>
      <c r="AA1772">
        <v>0</v>
      </c>
      <c r="AB1772" s="400">
        <v>44530.658615474538</v>
      </c>
      <c r="AC1772" t="s">
        <v>326</v>
      </c>
    </row>
    <row r="1773" spans="1:29">
      <c r="A1773" t="s">
        <v>382</v>
      </c>
      <c r="B1773" t="s">
        <v>440</v>
      </c>
      <c r="C1773" t="s">
        <v>1362</v>
      </c>
      <c r="D1773" t="s">
        <v>1399</v>
      </c>
      <c r="E1773" t="s">
        <v>390</v>
      </c>
      <c r="F1773" t="s">
        <v>391</v>
      </c>
      <c r="G1773">
        <v>6102897</v>
      </c>
      <c r="H1773">
        <v>202111</v>
      </c>
      <c r="I1773" s="400">
        <v>44519</v>
      </c>
      <c r="J1773">
        <v>125062</v>
      </c>
      <c r="K1773" t="s">
        <v>386</v>
      </c>
      <c r="L1773" t="s">
        <v>1392</v>
      </c>
      <c r="M1773" t="s">
        <v>1393</v>
      </c>
      <c r="O1773" t="s">
        <v>849</v>
      </c>
      <c r="P1773" t="s">
        <v>850</v>
      </c>
      <c r="Q1773" t="s">
        <v>450</v>
      </c>
      <c r="R1773">
        <v>2069084</v>
      </c>
      <c r="S1773" t="s">
        <v>387</v>
      </c>
      <c r="U1773" t="s">
        <v>2442</v>
      </c>
      <c r="V1773" t="s">
        <v>398</v>
      </c>
      <c r="W1773" s="393">
        <v>65000</v>
      </c>
      <c r="X1773" s="393">
        <v>16.63</v>
      </c>
      <c r="Y1773" s="393">
        <v>142.63</v>
      </c>
      <c r="Z1773" s="393">
        <v>65000</v>
      </c>
      <c r="AA1773">
        <v>0</v>
      </c>
      <c r="AB1773" s="400">
        <v>44523.596706562501</v>
      </c>
      <c r="AC1773" t="s">
        <v>324</v>
      </c>
    </row>
    <row r="1774" spans="1:29">
      <c r="A1774" t="s">
        <v>382</v>
      </c>
      <c r="B1774" t="s">
        <v>440</v>
      </c>
      <c r="C1774" t="s">
        <v>1362</v>
      </c>
      <c r="D1774" t="s">
        <v>1399</v>
      </c>
      <c r="E1774" t="s">
        <v>390</v>
      </c>
      <c r="F1774" t="s">
        <v>391</v>
      </c>
      <c r="G1774">
        <v>6103379</v>
      </c>
      <c r="H1774">
        <v>202112</v>
      </c>
      <c r="I1774" s="400">
        <v>44551</v>
      </c>
      <c r="J1774">
        <v>124932</v>
      </c>
      <c r="K1774" t="s">
        <v>386</v>
      </c>
      <c r="L1774">
        <v>119010</v>
      </c>
      <c r="M1774" t="s">
        <v>1158</v>
      </c>
      <c r="O1774" t="s">
        <v>849</v>
      </c>
      <c r="P1774" t="s">
        <v>850</v>
      </c>
      <c r="Q1774" t="s">
        <v>450</v>
      </c>
      <c r="R1774">
        <v>2069084</v>
      </c>
      <c r="S1774" t="s">
        <v>387</v>
      </c>
      <c r="U1774" t="s">
        <v>2443</v>
      </c>
      <c r="V1774" t="s">
        <v>398</v>
      </c>
      <c r="W1774" s="393">
        <v>95000</v>
      </c>
      <c r="X1774" s="393">
        <v>23.81</v>
      </c>
      <c r="Y1774" s="393">
        <v>214.71</v>
      </c>
      <c r="Z1774" s="393">
        <v>95000</v>
      </c>
      <c r="AA1774">
        <v>0</v>
      </c>
      <c r="AB1774" s="400">
        <v>44558.745730127317</v>
      </c>
      <c r="AC1774" t="s">
        <v>324</v>
      </c>
    </row>
    <row r="1775" spans="1:29">
      <c r="A1775" t="s">
        <v>382</v>
      </c>
      <c r="B1775" t="s">
        <v>440</v>
      </c>
      <c r="C1775" t="s">
        <v>1362</v>
      </c>
      <c r="D1775" t="s">
        <v>1399</v>
      </c>
      <c r="E1775" t="s">
        <v>390</v>
      </c>
      <c r="F1775" t="s">
        <v>391</v>
      </c>
      <c r="G1775">
        <v>6103379</v>
      </c>
      <c r="H1775">
        <v>202112</v>
      </c>
      <c r="I1775" s="400">
        <v>44551</v>
      </c>
      <c r="J1775">
        <v>124932</v>
      </c>
      <c r="K1775" t="s">
        <v>386</v>
      </c>
      <c r="L1775">
        <v>125338</v>
      </c>
      <c r="M1775" t="s">
        <v>2444</v>
      </c>
      <c r="O1775" t="s">
        <v>849</v>
      </c>
      <c r="P1775" t="s">
        <v>850</v>
      </c>
      <c r="Q1775" t="s">
        <v>450</v>
      </c>
      <c r="R1775">
        <v>2069084</v>
      </c>
      <c r="S1775" t="s">
        <v>387</v>
      </c>
      <c r="U1775" t="s">
        <v>2445</v>
      </c>
      <c r="V1775" t="s">
        <v>398</v>
      </c>
      <c r="W1775" s="393">
        <v>95000</v>
      </c>
      <c r="X1775" s="393">
        <v>23.81</v>
      </c>
      <c r="Y1775" s="393">
        <v>214.71</v>
      </c>
      <c r="Z1775" s="393">
        <v>95000</v>
      </c>
      <c r="AA1775">
        <v>0</v>
      </c>
      <c r="AB1775" s="400">
        <v>44558.745730127317</v>
      </c>
      <c r="AC1775" t="s">
        <v>324</v>
      </c>
    </row>
    <row r="1776" spans="1:29">
      <c r="A1776" t="s">
        <v>382</v>
      </c>
      <c r="B1776" t="s">
        <v>440</v>
      </c>
      <c r="C1776" t="s">
        <v>1362</v>
      </c>
      <c r="D1776" t="s">
        <v>1399</v>
      </c>
      <c r="E1776" t="s">
        <v>390</v>
      </c>
      <c r="F1776" t="s">
        <v>391</v>
      </c>
      <c r="G1776">
        <v>6103223</v>
      </c>
      <c r="H1776">
        <v>202112</v>
      </c>
      <c r="I1776" s="400">
        <v>44545</v>
      </c>
      <c r="J1776">
        <v>124932</v>
      </c>
      <c r="K1776" t="s">
        <v>386</v>
      </c>
      <c r="L1776" t="s">
        <v>1392</v>
      </c>
      <c r="M1776" t="s">
        <v>1393</v>
      </c>
      <c r="O1776" t="s">
        <v>849</v>
      </c>
      <c r="P1776" t="s">
        <v>850</v>
      </c>
      <c r="Q1776" t="s">
        <v>396</v>
      </c>
      <c r="R1776">
        <v>2265776</v>
      </c>
      <c r="S1776" t="s">
        <v>387</v>
      </c>
      <c r="U1776" t="s">
        <v>2045</v>
      </c>
      <c r="V1776" t="s">
        <v>398</v>
      </c>
      <c r="W1776" s="393">
        <v>65000</v>
      </c>
      <c r="X1776" s="393">
        <v>16.64</v>
      </c>
      <c r="Y1776" s="393">
        <v>149.99</v>
      </c>
      <c r="Z1776" s="393">
        <v>65000</v>
      </c>
      <c r="AA1776">
        <v>0</v>
      </c>
      <c r="AB1776" s="400">
        <v>44549.639262037039</v>
      </c>
      <c r="AC1776" t="s">
        <v>326</v>
      </c>
    </row>
    <row r="1777" spans="1:29">
      <c r="A1777" t="s">
        <v>382</v>
      </c>
      <c r="B1777" t="s">
        <v>440</v>
      </c>
      <c r="C1777" t="s">
        <v>1362</v>
      </c>
      <c r="D1777" t="s">
        <v>1399</v>
      </c>
      <c r="E1777" t="s">
        <v>390</v>
      </c>
      <c r="F1777" t="s">
        <v>391</v>
      </c>
      <c r="G1777">
        <v>6103348</v>
      </c>
      <c r="H1777">
        <v>202112</v>
      </c>
      <c r="I1777" s="400">
        <v>44547</v>
      </c>
      <c r="J1777" t="s">
        <v>452</v>
      </c>
      <c r="K1777" t="s">
        <v>386</v>
      </c>
      <c r="L1777" t="s">
        <v>1195</v>
      </c>
      <c r="M1777" t="s">
        <v>1196</v>
      </c>
      <c r="O1777" t="s">
        <v>2236</v>
      </c>
      <c r="P1777" t="s">
        <v>2237</v>
      </c>
      <c r="Q1777" t="s">
        <v>396</v>
      </c>
      <c r="R1777">
        <v>2265776</v>
      </c>
      <c r="S1777" t="s">
        <v>2238</v>
      </c>
      <c r="U1777" t="s">
        <v>2446</v>
      </c>
      <c r="V1777" t="s">
        <v>398</v>
      </c>
      <c r="W1777" s="393">
        <v>9300967</v>
      </c>
      <c r="X1777" s="393">
        <v>2330.92</v>
      </c>
      <c r="Y1777" s="393">
        <v>21021.39</v>
      </c>
      <c r="Z1777" s="393">
        <v>9300967</v>
      </c>
      <c r="AA1777">
        <v>0</v>
      </c>
      <c r="AB1777" s="400">
        <v>44552.111659374998</v>
      </c>
      <c r="AC1777" t="s">
        <v>326</v>
      </c>
    </row>
    <row r="1778" spans="1:29">
      <c r="A1778" t="s">
        <v>382</v>
      </c>
      <c r="B1778" t="s">
        <v>440</v>
      </c>
      <c r="C1778" t="s">
        <v>1362</v>
      </c>
      <c r="D1778" t="s">
        <v>1399</v>
      </c>
      <c r="E1778" t="s">
        <v>390</v>
      </c>
      <c r="F1778" t="s">
        <v>391</v>
      </c>
      <c r="G1778">
        <v>6103379</v>
      </c>
      <c r="H1778">
        <v>202112</v>
      </c>
      <c r="I1778" s="400">
        <v>44551</v>
      </c>
      <c r="J1778">
        <v>124932</v>
      </c>
      <c r="K1778" t="s">
        <v>386</v>
      </c>
      <c r="L1778" t="s">
        <v>1219</v>
      </c>
      <c r="M1778" t="s">
        <v>1220</v>
      </c>
      <c r="O1778" t="s">
        <v>1417</v>
      </c>
      <c r="P1778" t="s">
        <v>1418</v>
      </c>
      <c r="Q1778" t="s">
        <v>396</v>
      </c>
      <c r="R1778">
        <v>2265776</v>
      </c>
      <c r="S1778" t="s">
        <v>387</v>
      </c>
      <c r="U1778" t="s">
        <v>2447</v>
      </c>
      <c r="V1778" t="s">
        <v>398</v>
      </c>
      <c r="W1778" s="393">
        <v>105000</v>
      </c>
      <c r="X1778" s="393">
        <v>26.31</v>
      </c>
      <c r="Y1778" s="393">
        <v>237.31</v>
      </c>
      <c r="Z1778" s="393">
        <v>105000</v>
      </c>
      <c r="AA1778">
        <v>0</v>
      </c>
      <c r="AB1778" s="400">
        <v>44558.745730127317</v>
      </c>
      <c r="AC1778" t="s">
        <v>326</v>
      </c>
    </row>
    <row r="1779" spans="1:29">
      <c r="A1779" t="s">
        <v>382</v>
      </c>
      <c r="B1779" t="s">
        <v>440</v>
      </c>
      <c r="C1779" t="s">
        <v>1362</v>
      </c>
      <c r="D1779" t="s">
        <v>1399</v>
      </c>
      <c r="E1779" t="s">
        <v>390</v>
      </c>
      <c r="F1779" t="s">
        <v>391</v>
      </c>
      <c r="G1779">
        <v>6103379</v>
      </c>
      <c r="H1779">
        <v>202112</v>
      </c>
      <c r="I1779" s="400">
        <v>44551</v>
      </c>
      <c r="J1779">
        <v>124932</v>
      </c>
      <c r="K1779" t="s">
        <v>386</v>
      </c>
      <c r="L1779" t="s">
        <v>1219</v>
      </c>
      <c r="M1779" t="s">
        <v>1220</v>
      </c>
      <c r="O1779" t="s">
        <v>642</v>
      </c>
      <c r="P1779" t="s">
        <v>643</v>
      </c>
      <c r="Q1779" t="s">
        <v>396</v>
      </c>
      <c r="R1779">
        <v>2265776</v>
      </c>
      <c r="S1779" t="s">
        <v>387</v>
      </c>
      <c r="U1779" t="s">
        <v>2448</v>
      </c>
      <c r="V1779" t="s">
        <v>398</v>
      </c>
      <c r="W1779" s="393">
        <v>151000</v>
      </c>
      <c r="X1779" s="393">
        <v>37.840000000000003</v>
      </c>
      <c r="Y1779" s="393">
        <v>341.28</v>
      </c>
      <c r="Z1779" s="393">
        <v>151000</v>
      </c>
      <c r="AA1779">
        <v>318</v>
      </c>
      <c r="AB1779" s="400">
        <v>44558.745729942129</v>
      </c>
      <c r="AC1779" t="s">
        <v>326</v>
      </c>
    </row>
    <row r="1780" spans="1:29">
      <c r="A1780" t="s">
        <v>382</v>
      </c>
      <c r="B1780" t="s">
        <v>440</v>
      </c>
      <c r="C1780" t="s">
        <v>1362</v>
      </c>
      <c r="D1780" t="s">
        <v>1421</v>
      </c>
      <c r="E1780" t="s">
        <v>390</v>
      </c>
      <c r="F1780" t="s">
        <v>391</v>
      </c>
      <c r="G1780">
        <v>6102432</v>
      </c>
      <c r="H1780">
        <v>202110</v>
      </c>
      <c r="I1780" s="400">
        <v>44489</v>
      </c>
      <c r="J1780" t="s">
        <v>1016</v>
      </c>
      <c r="K1780" t="s">
        <v>386</v>
      </c>
      <c r="L1780" t="s">
        <v>1162</v>
      </c>
      <c r="M1780" t="s">
        <v>1163</v>
      </c>
      <c r="O1780" t="s">
        <v>849</v>
      </c>
      <c r="P1780" t="s">
        <v>850</v>
      </c>
      <c r="Q1780" t="s">
        <v>396</v>
      </c>
      <c r="R1780">
        <v>2265776</v>
      </c>
      <c r="S1780" t="s">
        <v>387</v>
      </c>
      <c r="U1780" t="s">
        <v>2449</v>
      </c>
      <c r="V1780" t="s">
        <v>398</v>
      </c>
      <c r="W1780" s="393">
        <v>384000</v>
      </c>
      <c r="X1780" s="393">
        <v>101.37</v>
      </c>
      <c r="Y1780" s="393">
        <v>871.48</v>
      </c>
      <c r="Z1780" s="393">
        <v>384000</v>
      </c>
      <c r="AA1780">
        <v>0</v>
      </c>
      <c r="AB1780" s="400">
        <v>44490.717552118054</v>
      </c>
      <c r="AC1780" t="s">
        <v>326</v>
      </c>
    </row>
    <row r="1781" spans="1:29">
      <c r="A1781" t="s">
        <v>382</v>
      </c>
      <c r="B1781" t="s">
        <v>440</v>
      </c>
      <c r="C1781" t="s">
        <v>1362</v>
      </c>
      <c r="D1781" t="s">
        <v>1421</v>
      </c>
      <c r="E1781" t="s">
        <v>390</v>
      </c>
      <c r="F1781" t="s">
        <v>391</v>
      </c>
      <c r="G1781">
        <v>6102362</v>
      </c>
      <c r="H1781">
        <v>202110</v>
      </c>
      <c r="I1781" s="400">
        <v>44483</v>
      </c>
      <c r="J1781">
        <v>124932</v>
      </c>
      <c r="K1781" t="s">
        <v>386</v>
      </c>
      <c r="L1781" t="s">
        <v>1195</v>
      </c>
      <c r="M1781" t="s">
        <v>1196</v>
      </c>
      <c r="O1781" t="s">
        <v>2450</v>
      </c>
      <c r="P1781" t="s">
        <v>2451</v>
      </c>
      <c r="Q1781" t="s">
        <v>396</v>
      </c>
      <c r="R1781">
        <v>2265776</v>
      </c>
      <c r="S1781" t="s">
        <v>387</v>
      </c>
      <c r="U1781" t="s">
        <v>2452</v>
      </c>
      <c r="V1781" t="s">
        <v>398</v>
      </c>
      <c r="W1781" s="393">
        <v>111300</v>
      </c>
      <c r="X1781" s="393">
        <v>29.38</v>
      </c>
      <c r="Y1781" s="393">
        <v>252.59</v>
      </c>
      <c r="Z1781" s="393">
        <v>111300</v>
      </c>
      <c r="AA1781">
        <v>0</v>
      </c>
      <c r="AB1781" s="400">
        <v>44487.784992129629</v>
      </c>
      <c r="AC1781" t="s">
        <v>326</v>
      </c>
    </row>
    <row r="1782" spans="1:29">
      <c r="A1782" t="s">
        <v>382</v>
      </c>
      <c r="B1782" t="s">
        <v>440</v>
      </c>
      <c r="C1782" t="s">
        <v>1362</v>
      </c>
      <c r="D1782" t="s">
        <v>1421</v>
      </c>
      <c r="E1782" t="s">
        <v>390</v>
      </c>
      <c r="F1782" t="s">
        <v>391</v>
      </c>
      <c r="G1782">
        <v>6102362</v>
      </c>
      <c r="H1782">
        <v>202110</v>
      </c>
      <c r="I1782" s="400">
        <v>44483</v>
      </c>
      <c r="J1782">
        <v>124932</v>
      </c>
      <c r="K1782" t="s">
        <v>386</v>
      </c>
      <c r="L1782" t="s">
        <v>1195</v>
      </c>
      <c r="M1782" t="s">
        <v>1196</v>
      </c>
      <c r="O1782" t="s">
        <v>2453</v>
      </c>
      <c r="P1782" t="s">
        <v>2454</v>
      </c>
      <c r="Q1782" t="s">
        <v>396</v>
      </c>
      <c r="R1782">
        <v>2265776</v>
      </c>
      <c r="S1782" t="s">
        <v>387</v>
      </c>
      <c r="U1782" t="s">
        <v>2455</v>
      </c>
      <c r="V1782" t="s">
        <v>398</v>
      </c>
      <c r="W1782" s="393">
        <v>134500</v>
      </c>
      <c r="X1782" s="393">
        <v>35.51</v>
      </c>
      <c r="Y1782" s="393">
        <v>305.24</v>
      </c>
      <c r="Z1782" s="393">
        <v>134500</v>
      </c>
      <c r="AA1782">
        <v>0</v>
      </c>
      <c r="AB1782" s="400">
        <v>44487.784992129629</v>
      </c>
      <c r="AC1782" t="s">
        <v>326</v>
      </c>
    </row>
    <row r="1783" spans="1:29">
      <c r="A1783" t="s">
        <v>382</v>
      </c>
      <c r="B1783" t="s">
        <v>440</v>
      </c>
      <c r="C1783" t="s">
        <v>1362</v>
      </c>
      <c r="D1783" t="s">
        <v>1421</v>
      </c>
      <c r="E1783" t="s">
        <v>390</v>
      </c>
      <c r="F1783" t="s">
        <v>391</v>
      </c>
      <c r="G1783">
        <v>6102362</v>
      </c>
      <c r="H1783">
        <v>202110</v>
      </c>
      <c r="I1783" s="400">
        <v>44483</v>
      </c>
      <c r="J1783">
        <v>124932</v>
      </c>
      <c r="K1783" t="s">
        <v>386</v>
      </c>
      <c r="L1783" t="s">
        <v>1195</v>
      </c>
      <c r="M1783" t="s">
        <v>1196</v>
      </c>
      <c r="O1783" t="s">
        <v>1320</v>
      </c>
      <c r="P1783" t="s">
        <v>1321</v>
      </c>
      <c r="Q1783" t="s">
        <v>396</v>
      </c>
      <c r="R1783">
        <v>2265776</v>
      </c>
      <c r="S1783" t="s">
        <v>387</v>
      </c>
      <c r="U1783" t="s">
        <v>2456</v>
      </c>
      <c r="V1783" t="s">
        <v>398</v>
      </c>
      <c r="W1783" s="393">
        <v>34900</v>
      </c>
      <c r="X1783" s="393">
        <v>9.2100000000000009</v>
      </c>
      <c r="Y1783" s="393">
        <v>79.2</v>
      </c>
      <c r="Z1783" s="393">
        <v>34900</v>
      </c>
      <c r="AA1783">
        <v>0</v>
      </c>
      <c r="AB1783" s="400">
        <v>44487.784992129629</v>
      </c>
      <c r="AC1783" t="s">
        <v>326</v>
      </c>
    </row>
    <row r="1784" spans="1:29">
      <c r="A1784" t="s">
        <v>382</v>
      </c>
      <c r="B1784" t="s">
        <v>440</v>
      </c>
      <c r="C1784" t="s">
        <v>1362</v>
      </c>
      <c r="D1784" t="s">
        <v>1421</v>
      </c>
      <c r="E1784" t="s">
        <v>390</v>
      </c>
      <c r="F1784" t="s">
        <v>391</v>
      </c>
      <c r="G1784">
        <v>6102353</v>
      </c>
      <c r="H1784">
        <v>202110</v>
      </c>
      <c r="I1784" s="400">
        <v>44477</v>
      </c>
      <c r="J1784">
        <v>124932</v>
      </c>
      <c r="K1784" t="s">
        <v>386</v>
      </c>
      <c r="L1784" t="s">
        <v>1170</v>
      </c>
      <c r="M1784" t="s">
        <v>1171</v>
      </c>
      <c r="O1784" t="s">
        <v>2457</v>
      </c>
      <c r="P1784" t="s">
        <v>2458</v>
      </c>
      <c r="Q1784" t="s">
        <v>450</v>
      </c>
      <c r="R1784">
        <v>2069084</v>
      </c>
      <c r="S1784" t="s">
        <v>387</v>
      </c>
      <c r="U1784" t="s">
        <v>2459</v>
      </c>
      <c r="V1784" t="s">
        <v>398</v>
      </c>
      <c r="W1784" s="393">
        <v>20000</v>
      </c>
      <c r="X1784" s="393">
        <v>5.28</v>
      </c>
      <c r="Y1784" s="393">
        <v>45.67</v>
      </c>
      <c r="Z1784" s="393">
        <v>20000</v>
      </c>
      <c r="AA1784">
        <v>0</v>
      </c>
      <c r="AB1784" s="400">
        <v>44487.704683877317</v>
      </c>
      <c r="AC1784" t="s">
        <v>324</v>
      </c>
    </row>
    <row r="1785" spans="1:29">
      <c r="A1785" t="s">
        <v>382</v>
      </c>
      <c r="B1785" t="s">
        <v>440</v>
      </c>
      <c r="C1785" t="s">
        <v>1362</v>
      </c>
      <c r="D1785" t="s">
        <v>1421</v>
      </c>
      <c r="E1785" t="s">
        <v>390</v>
      </c>
      <c r="F1785" t="s">
        <v>391</v>
      </c>
      <c r="G1785">
        <v>6102353</v>
      </c>
      <c r="H1785">
        <v>202110</v>
      </c>
      <c r="I1785" s="400">
        <v>44477</v>
      </c>
      <c r="J1785">
        <v>124932</v>
      </c>
      <c r="K1785" t="s">
        <v>386</v>
      </c>
      <c r="L1785" t="s">
        <v>1170</v>
      </c>
      <c r="M1785" t="s">
        <v>1171</v>
      </c>
      <c r="O1785" t="s">
        <v>2460</v>
      </c>
      <c r="P1785" t="s">
        <v>2461</v>
      </c>
      <c r="Q1785" t="s">
        <v>450</v>
      </c>
      <c r="R1785">
        <v>2069084</v>
      </c>
      <c r="S1785" t="s">
        <v>387</v>
      </c>
      <c r="U1785" t="s">
        <v>2462</v>
      </c>
      <c r="V1785" t="s">
        <v>398</v>
      </c>
      <c r="W1785" s="393">
        <v>31000</v>
      </c>
      <c r="X1785" s="393">
        <v>8.18</v>
      </c>
      <c r="Y1785" s="393">
        <v>70.78</v>
      </c>
      <c r="Z1785" s="393">
        <v>31000</v>
      </c>
      <c r="AA1785">
        <v>0</v>
      </c>
      <c r="AB1785" s="400">
        <v>44487.704683877317</v>
      </c>
      <c r="AC1785" t="s">
        <v>324</v>
      </c>
    </row>
    <row r="1786" spans="1:29">
      <c r="A1786" t="s">
        <v>382</v>
      </c>
      <c r="B1786" t="s">
        <v>440</v>
      </c>
      <c r="C1786" t="s">
        <v>1362</v>
      </c>
      <c r="D1786" t="s">
        <v>1421</v>
      </c>
      <c r="E1786" t="s">
        <v>390</v>
      </c>
      <c r="F1786" t="s">
        <v>391</v>
      </c>
      <c r="G1786">
        <v>6102353</v>
      </c>
      <c r="H1786">
        <v>202110</v>
      </c>
      <c r="I1786" s="400">
        <v>44477</v>
      </c>
      <c r="J1786">
        <v>124932</v>
      </c>
      <c r="K1786" t="s">
        <v>386</v>
      </c>
      <c r="L1786" t="s">
        <v>1170</v>
      </c>
      <c r="M1786" t="s">
        <v>1171</v>
      </c>
      <c r="O1786" t="s">
        <v>2457</v>
      </c>
      <c r="P1786" t="s">
        <v>2458</v>
      </c>
      <c r="Q1786" t="s">
        <v>450</v>
      </c>
      <c r="R1786">
        <v>2069084</v>
      </c>
      <c r="S1786" t="s">
        <v>387</v>
      </c>
      <c r="U1786" t="s">
        <v>2463</v>
      </c>
      <c r="V1786" t="s">
        <v>398</v>
      </c>
      <c r="W1786" s="393">
        <v>12000</v>
      </c>
      <c r="X1786" s="393">
        <v>3.17</v>
      </c>
      <c r="Y1786" s="393">
        <v>27.4</v>
      </c>
      <c r="Z1786" s="393">
        <v>12000</v>
      </c>
      <c r="AA1786">
        <v>0</v>
      </c>
      <c r="AB1786" s="400">
        <v>44487.704683877317</v>
      </c>
      <c r="AC1786" t="s">
        <v>324</v>
      </c>
    </row>
    <row r="1787" spans="1:29">
      <c r="A1787" t="s">
        <v>382</v>
      </c>
      <c r="B1787" t="s">
        <v>440</v>
      </c>
      <c r="C1787" t="s">
        <v>1362</v>
      </c>
      <c r="D1787" t="s">
        <v>1421</v>
      </c>
      <c r="E1787" t="s">
        <v>390</v>
      </c>
      <c r="F1787" t="s">
        <v>391</v>
      </c>
      <c r="G1787">
        <v>6102361</v>
      </c>
      <c r="H1787">
        <v>202110</v>
      </c>
      <c r="I1787" s="400">
        <v>44483</v>
      </c>
      <c r="J1787">
        <v>124932</v>
      </c>
      <c r="K1787" t="s">
        <v>386</v>
      </c>
      <c r="L1787" t="s">
        <v>2435</v>
      </c>
      <c r="M1787" t="s">
        <v>2436</v>
      </c>
      <c r="O1787" t="s">
        <v>2464</v>
      </c>
      <c r="P1787" t="s">
        <v>2465</v>
      </c>
      <c r="Q1787" t="s">
        <v>450</v>
      </c>
      <c r="R1787">
        <v>2069084</v>
      </c>
      <c r="S1787" t="s">
        <v>387</v>
      </c>
      <c r="U1787" t="s">
        <v>2466</v>
      </c>
      <c r="V1787" t="s">
        <v>398</v>
      </c>
      <c r="W1787" s="393">
        <v>30000</v>
      </c>
      <c r="X1787" s="393">
        <v>7.92</v>
      </c>
      <c r="Y1787" s="393">
        <v>68.08</v>
      </c>
      <c r="Z1787" s="393">
        <v>30000</v>
      </c>
      <c r="AA1787">
        <v>0</v>
      </c>
      <c r="AB1787" s="400">
        <v>44487.769942557868</v>
      </c>
      <c r="AC1787" t="s">
        <v>324</v>
      </c>
    </row>
    <row r="1788" spans="1:29">
      <c r="A1788" t="s">
        <v>382</v>
      </c>
      <c r="B1788" t="s">
        <v>440</v>
      </c>
      <c r="C1788" t="s">
        <v>1362</v>
      </c>
      <c r="D1788" t="s">
        <v>1421</v>
      </c>
      <c r="E1788" t="s">
        <v>390</v>
      </c>
      <c r="F1788" t="s">
        <v>391</v>
      </c>
      <c r="G1788">
        <v>6102361</v>
      </c>
      <c r="H1788">
        <v>202110</v>
      </c>
      <c r="I1788" s="400">
        <v>44483</v>
      </c>
      <c r="J1788">
        <v>124932</v>
      </c>
      <c r="K1788" t="s">
        <v>386</v>
      </c>
      <c r="L1788" t="s">
        <v>2435</v>
      </c>
      <c r="M1788" t="s">
        <v>2436</v>
      </c>
      <c r="O1788" t="s">
        <v>2460</v>
      </c>
      <c r="P1788" t="s">
        <v>2461</v>
      </c>
      <c r="Q1788" t="s">
        <v>450</v>
      </c>
      <c r="R1788">
        <v>2069084</v>
      </c>
      <c r="S1788" t="s">
        <v>387</v>
      </c>
      <c r="U1788" t="s">
        <v>2467</v>
      </c>
      <c r="V1788" t="s">
        <v>398</v>
      </c>
      <c r="W1788" s="393">
        <v>30000</v>
      </c>
      <c r="X1788" s="393">
        <v>7.92</v>
      </c>
      <c r="Y1788" s="393">
        <v>68.08</v>
      </c>
      <c r="Z1788" s="393">
        <v>30000</v>
      </c>
      <c r="AA1788">
        <v>0</v>
      </c>
      <c r="AB1788" s="400">
        <v>44487.769942743056</v>
      </c>
      <c r="AC1788" t="s">
        <v>324</v>
      </c>
    </row>
    <row r="1789" spans="1:29">
      <c r="A1789" t="s">
        <v>382</v>
      </c>
      <c r="B1789" t="s">
        <v>440</v>
      </c>
      <c r="C1789" t="s">
        <v>1362</v>
      </c>
      <c r="D1789" t="s">
        <v>1421</v>
      </c>
      <c r="E1789" t="s">
        <v>390</v>
      </c>
      <c r="F1789" t="s">
        <v>391</v>
      </c>
      <c r="G1789">
        <v>6102361</v>
      </c>
      <c r="H1789">
        <v>202110</v>
      </c>
      <c r="I1789" s="400">
        <v>44483</v>
      </c>
      <c r="J1789">
        <v>124932</v>
      </c>
      <c r="K1789" t="s">
        <v>386</v>
      </c>
      <c r="L1789" t="s">
        <v>2435</v>
      </c>
      <c r="M1789" t="s">
        <v>2436</v>
      </c>
      <c r="O1789" t="s">
        <v>2457</v>
      </c>
      <c r="P1789" t="s">
        <v>2458</v>
      </c>
      <c r="Q1789" t="s">
        <v>450</v>
      </c>
      <c r="R1789">
        <v>2069084</v>
      </c>
      <c r="S1789" t="s">
        <v>387</v>
      </c>
      <c r="U1789" t="s">
        <v>2468</v>
      </c>
      <c r="V1789" t="s">
        <v>398</v>
      </c>
      <c r="W1789" s="393">
        <v>12000</v>
      </c>
      <c r="X1789" s="393">
        <v>3.17</v>
      </c>
      <c r="Y1789" s="393">
        <v>27.23</v>
      </c>
      <c r="Z1789" s="393">
        <v>12000</v>
      </c>
      <c r="AA1789">
        <v>0</v>
      </c>
      <c r="AB1789" s="400">
        <v>44487.769942743056</v>
      </c>
      <c r="AC1789" t="s">
        <v>324</v>
      </c>
    </row>
    <row r="1790" spans="1:29">
      <c r="A1790" t="s">
        <v>382</v>
      </c>
      <c r="B1790" t="s">
        <v>440</v>
      </c>
      <c r="C1790" t="s">
        <v>1362</v>
      </c>
      <c r="D1790" t="s">
        <v>1421</v>
      </c>
      <c r="E1790" t="s">
        <v>390</v>
      </c>
      <c r="F1790" t="s">
        <v>391</v>
      </c>
      <c r="G1790">
        <v>6102966</v>
      </c>
      <c r="H1790">
        <v>202111</v>
      </c>
      <c r="I1790" s="400">
        <v>44529</v>
      </c>
      <c r="J1790" t="s">
        <v>452</v>
      </c>
      <c r="K1790" t="s">
        <v>386</v>
      </c>
      <c r="L1790">
        <v>119010</v>
      </c>
      <c r="M1790" t="s">
        <v>1158</v>
      </c>
      <c r="O1790" t="s">
        <v>2469</v>
      </c>
      <c r="P1790" t="s">
        <v>2470</v>
      </c>
      <c r="Q1790" t="s">
        <v>450</v>
      </c>
      <c r="R1790">
        <v>2069084</v>
      </c>
      <c r="S1790" t="s">
        <v>387</v>
      </c>
      <c r="U1790" t="s">
        <v>2471</v>
      </c>
      <c r="V1790" t="s">
        <v>398</v>
      </c>
      <c r="W1790" s="393">
        <v>29900</v>
      </c>
      <c r="X1790" s="393">
        <v>7.53</v>
      </c>
      <c r="Y1790" s="393">
        <v>65.13</v>
      </c>
      <c r="Z1790" s="393">
        <v>29900</v>
      </c>
      <c r="AA1790">
        <v>0</v>
      </c>
      <c r="AB1790" s="400">
        <v>44529.882476273146</v>
      </c>
      <c r="AC1790" t="s">
        <v>324</v>
      </c>
    </row>
    <row r="1791" spans="1:29">
      <c r="A1791" t="s">
        <v>382</v>
      </c>
      <c r="B1791" t="s">
        <v>440</v>
      </c>
      <c r="C1791" t="s">
        <v>1362</v>
      </c>
      <c r="D1791" t="s">
        <v>1421</v>
      </c>
      <c r="E1791" t="s">
        <v>390</v>
      </c>
      <c r="F1791" t="s">
        <v>391</v>
      </c>
      <c r="G1791">
        <v>6102966</v>
      </c>
      <c r="H1791">
        <v>202111</v>
      </c>
      <c r="I1791" s="400">
        <v>44529</v>
      </c>
      <c r="J1791" t="s">
        <v>452</v>
      </c>
      <c r="K1791" t="s">
        <v>386</v>
      </c>
      <c r="L1791">
        <v>119010</v>
      </c>
      <c r="M1791" t="s">
        <v>1158</v>
      </c>
      <c r="O1791" t="s">
        <v>2472</v>
      </c>
      <c r="P1791" t="s">
        <v>2473</v>
      </c>
      <c r="Q1791" t="s">
        <v>450</v>
      </c>
      <c r="R1791">
        <v>2069084</v>
      </c>
      <c r="S1791" t="s">
        <v>387</v>
      </c>
      <c r="U1791" t="s">
        <v>2474</v>
      </c>
      <c r="V1791" t="s">
        <v>398</v>
      </c>
      <c r="W1791" s="393">
        <v>35000</v>
      </c>
      <c r="X1791" s="393">
        <v>8.82</v>
      </c>
      <c r="Y1791" s="393">
        <v>76.239999999999995</v>
      </c>
      <c r="Z1791" s="393">
        <v>35000</v>
      </c>
      <c r="AA1791">
        <v>0</v>
      </c>
      <c r="AB1791" s="400">
        <v>44529.882476273146</v>
      </c>
      <c r="AC1791" t="s">
        <v>324</v>
      </c>
    </row>
    <row r="1792" spans="1:29">
      <c r="A1792" t="s">
        <v>382</v>
      </c>
      <c r="B1792" t="s">
        <v>440</v>
      </c>
      <c r="C1792" t="s">
        <v>1362</v>
      </c>
      <c r="D1792" t="s">
        <v>1421</v>
      </c>
      <c r="E1792" t="s">
        <v>390</v>
      </c>
      <c r="F1792" t="s">
        <v>391</v>
      </c>
      <c r="G1792">
        <v>6102966</v>
      </c>
      <c r="H1792">
        <v>202111</v>
      </c>
      <c r="I1792" s="400">
        <v>44529</v>
      </c>
      <c r="J1792" t="s">
        <v>452</v>
      </c>
      <c r="K1792" t="s">
        <v>386</v>
      </c>
      <c r="L1792">
        <v>119010</v>
      </c>
      <c r="M1792" t="s">
        <v>1158</v>
      </c>
      <c r="O1792" t="s">
        <v>794</v>
      </c>
      <c r="P1792" t="s">
        <v>795</v>
      </c>
      <c r="Q1792" t="s">
        <v>450</v>
      </c>
      <c r="R1792">
        <v>2069084</v>
      </c>
      <c r="S1792" t="s">
        <v>387</v>
      </c>
      <c r="U1792" t="s">
        <v>2475</v>
      </c>
      <c r="V1792" t="s">
        <v>398</v>
      </c>
      <c r="W1792" s="393">
        <v>12000</v>
      </c>
      <c r="X1792" s="393">
        <v>3.02</v>
      </c>
      <c r="Y1792" s="393">
        <v>26.14</v>
      </c>
      <c r="Z1792" s="393">
        <v>12000</v>
      </c>
      <c r="AA1792">
        <v>0</v>
      </c>
      <c r="AB1792" s="400">
        <v>44529.882476076389</v>
      </c>
      <c r="AC1792" t="s">
        <v>324</v>
      </c>
    </row>
    <row r="1793" spans="1:29">
      <c r="A1793" t="s">
        <v>382</v>
      </c>
      <c r="B1793" t="s">
        <v>440</v>
      </c>
      <c r="C1793" t="s">
        <v>1362</v>
      </c>
      <c r="D1793" t="s">
        <v>1421</v>
      </c>
      <c r="E1793" t="s">
        <v>390</v>
      </c>
      <c r="F1793" t="s">
        <v>391</v>
      </c>
      <c r="G1793">
        <v>6102966</v>
      </c>
      <c r="H1793">
        <v>202111</v>
      </c>
      <c r="I1793" s="400">
        <v>44529</v>
      </c>
      <c r="J1793" t="s">
        <v>452</v>
      </c>
      <c r="K1793" t="s">
        <v>386</v>
      </c>
      <c r="L1793">
        <v>119010</v>
      </c>
      <c r="M1793" t="s">
        <v>1158</v>
      </c>
      <c r="O1793" t="s">
        <v>1497</v>
      </c>
      <c r="P1793" t="s">
        <v>1498</v>
      </c>
      <c r="Q1793" t="s">
        <v>450</v>
      </c>
      <c r="R1793">
        <v>2069084</v>
      </c>
      <c r="S1793" t="s">
        <v>387</v>
      </c>
      <c r="U1793" t="s">
        <v>2476</v>
      </c>
      <c r="V1793" t="s">
        <v>398</v>
      </c>
      <c r="W1793" s="393">
        <v>3000</v>
      </c>
      <c r="X1793" s="393">
        <v>0.76</v>
      </c>
      <c r="Y1793" s="393">
        <v>6.53</v>
      </c>
      <c r="Z1793" s="393">
        <v>3000</v>
      </c>
      <c r="AA1793">
        <v>0</v>
      </c>
      <c r="AB1793" s="400">
        <v>44529.882476076389</v>
      </c>
      <c r="AC1793" t="s">
        <v>324</v>
      </c>
    </row>
    <row r="1794" spans="1:29">
      <c r="A1794" t="s">
        <v>382</v>
      </c>
      <c r="B1794" t="s">
        <v>440</v>
      </c>
      <c r="C1794" t="s">
        <v>1362</v>
      </c>
      <c r="D1794" t="s">
        <v>1421</v>
      </c>
      <c r="E1794" t="s">
        <v>390</v>
      </c>
      <c r="F1794" t="s">
        <v>391</v>
      </c>
      <c r="G1794">
        <v>6102966</v>
      </c>
      <c r="H1794">
        <v>202111</v>
      </c>
      <c r="I1794" s="400">
        <v>44529</v>
      </c>
      <c r="J1794" t="s">
        <v>452</v>
      </c>
      <c r="K1794" t="s">
        <v>386</v>
      </c>
      <c r="L1794">
        <v>119010</v>
      </c>
      <c r="M1794" t="s">
        <v>1158</v>
      </c>
      <c r="O1794" t="s">
        <v>1567</v>
      </c>
      <c r="P1794" t="s">
        <v>1568</v>
      </c>
      <c r="Q1794" t="s">
        <v>450</v>
      </c>
      <c r="R1794">
        <v>2069084</v>
      </c>
      <c r="S1794" t="s">
        <v>387</v>
      </c>
      <c r="U1794" t="s">
        <v>2477</v>
      </c>
      <c r="V1794" t="s">
        <v>398</v>
      </c>
      <c r="W1794" s="393">
        <v>27500</v>
      </c>
      <c r="X1794" s="393">
        <v>6.93</v>
      </c>
      <c r="Y1794" s="393">
        <v>59.9</v>
      </c>
      <c r="Z1794" s="393">
        <v>27500</v>
      </c>
      <c r="AA1794">
        <v>0</v>
      </c>
      <c r="AB1794" s="400">
        <v>44529.882476076389</v>
      </c>
      <c r="AC1794" t="s">
        <v>324</v>
      </c>
    </row>
    <row r="1795" spans="1:29">
      <c r="A1795" t="s">
        <v>382</v>
      </c>
      <c r="B1795" t="s">
        <v>440</v>
      </c>
      <c r="C1795" t="s">
        <v>1362</v>
      </c>
      <c r="D1795" t="s">
        <v>1421</v>
      </c>
      <c r="E1795" t="s">
        <v>390</v>
      </c>
      <c r="F1795" t="s">
        <v>391</v>
      </c>
      <c r="G1795">
        <v>6102966</v>
      </c>
      <c r="H1795">
        <v>202111</v>
      </c>
      <c r="I1795" s="400">
        <v>44529</v>
      </c>
      <c r="J1795" t="s">
        <v>452</v>
      </c>
      <c r="K1795" t="s">
        <v>386</v>
      </c>
      <c r="L1795">
        <v>119010</v>
      </c>
      <c r="M1795" t="s">
        <v>1158</v>
      </c>
      <c r="O1795" t="s">
        <v>2472</v>
      </c>
      <c r="P1795" t="s">
        <v>2473</v>
      </c>
      <c r="Q1795" t="s">
        <v>450</v>
      </c>
      <c r="R1795">
        <v>2069084</v>
      </c>
      <c r="S1795" t="s">
        <v>387</v>
      </c>
      <c r="U1795" t="s">
        <v>2478</v>
      </c>
      <c r="V1795" t="s">
        <v>398</v>
      </c>
      <c r="W1795" s="393">
        <v>35000</v>
      </c>
      <c r="X1795" s="393">
        <v>8.82</v>
      </c>
      <c r="Y1795" s="393">
        <v>76.239999999999995</v>
      </c>
      <c r="Z1795" s="393">
        <v>35000</v>
      </c>
      <c r="AA1795">
        <v>0</v>
      </c>
      <c r="AB1795" s="400">
        <v>44529.882476076389</v>
      </c>
      <c r="AC1795" t="s">
        <v>324</v>
      </c>
    </row>
    <row r="1796" spans="1:29">
      <c r="A1796" t="s">
        <v>382</v>
      </c>
      <c r="B1796" t="s">
        <v>440</v>
      </c>
      <c r="C1796" t="s">
        <v>1362</v>
      </c>
      <c r="D1796" t="s">
        <v>1421</v>
      </c>
      <c r="E1796" t="s">
        <v>390</v>
      </c>
      <c r="F1796" t="s">
        <v>391</v>
      </c>
      <c r="G1796">
        <v>6102966</v>
      </c>
      <c r="H1796">
        <v>202111</v>
      </c>
      <c r="I1796" s="400">
        <v>44529</v>
      </c>
      <c r="J1796" t="s">
        <v>452</v>
      </c>
      <c r="K1796" t="s">
        <v>386</v>
      </c>
      <c r="L1796">
        <v>119010</v>
      </c>
      <c r="M1796" t="s">
        <v>1158</v>
      </c>
      <c r="O1796" t="s">
        <v>2357</v>
      </c>
      <c r="P1796" t="s">
        <v>2358</v>
      </c>
      <c r="Q1796" t="s">
        <v>450</v>
      </c>
      <c r="R1796">
        <v>2069084</v>
      </c>
      <c r="S1796" t="s">
        <v>387</v>
      </c>
      <c r="U1796" t="s">
        <v>2479</v>
      </c>
      <c r="V1796" t="s">
        <v>398</v>
      </c>
      <c r="W1796" s="393">
        <v>27400</v>
      </c>
      <c r="X1796" s="393">
        <v>6.9</v>
      </c>
      <c r="Y1796" s="393">
        <v>59.69</v>
      </c>
      <c r="Z1796" s="393">
        <v>27400</v>
      </c>
      <c r="AA1796">
        <v>0</v>
      </c>
      <c r="AB1796" s="400">
        <v>44529.882476076389</v>
      </c>
      <c r="AC1796" t="s">
        <v>324</v>
      </c>
    </row>
    <row r="1797" spans="1:29">
      <c r="A1797" t="s">
        <v>382</v>
      </c>
      <c r="B1797" t="s">
        <v>440</v>
      </c>
      <c r="C1797" t="s">
        <v>1362</v>
      </c>
      <c r="D1797" t="s">
        <v>1421</v>
      </c>
      <c r="E1797" t="s">
        <v>390</v>
      </c>
      <c r="F1797" t="s">
        <v>391</v>
      </c>
      <c r="G1797">
        <v>6102966</v>
      </c>
      <c r="H1797">
        <v>202111</v>
      </c>
      <c r="I1797" s="400">
        <v>44529</v>
      </c>
      <c r="J1797" t="s">
        <v>452</v>
      </c>
      <c r="K1797" t="s">
        <v>386</v>
      </c>
      <c r="L1797">
        <v>119010</v>
      </c>
      <c r="M1797" t="s">
        <v>1158</v>
      </c>
      <c r="O1797" t="s">
        <v>1549</v>
      </c>
      <c r="P1797" t="s">
        <v>1550</v>
      </c>
      <c r="Q1797" t="s">
        <v>450</v>
      </c>
      <c r="R1797">
        <v>2069084</v>
      </c>
      <c r="S1797" t="s">
        <v>387</v>
      </c>
      <c r="U1797" t="s">
        <v>2480</v>
      </c>
      <c r="V1797" t="s">
        <v>398</v>
      </c>
      <c r="W1797" s="393">
        <v>6000</v>
      </c>
      <c r="X1797" s="393">
        <v>1.51</v>
      </c>
      <c r="Y1797" s="393">
        <v>13.07</v>
      </c>
      <c r="Z1797" s="393">
        <v>6000</v>
      </c>
      <c r="AA1797">
        <v>0</v>
      </c>
      <c r="AB1797" s="400">
        <v>44529.882476076389</v>
      </c>
      <c r="AC1797" t="s">
        <v>324</v>
      </c>
    </row>
    <row r="1798" spans="1:29">
      <c r="A1798" t="s">
        <v>382</v>
      </c>
      <c r="B1798" t="s">
        <v>440</v>
      </c>
      <c r="C1798" t="s">
        <v>1362</v>
      </c>
      <c r="D1798" t="s">
        <v>1421</v>
      </c>
      <c r="E1798" t="s">
        <v>390</v>
      </c>
      <c r="F1798" t="s">
        <v>391</v>
      </c>
      <c r="G1798">
        <v>6102966</v>
      </c>
      <c r="H1798">
        <v>202111</v>
      </c>
      <c r="I1798" s="400">
        <v>44529</v>
      </c>
      <c r="J1798" t="s">
        <v>452</v>
      </c>
      <c r="K1798" t="s">
        <v>386</v>
      </c>
      <c r="L1798">
        <v>119010</v>
      </c>
      <c r="M1798" t="s">
        <v>1158</v>
      </c>
      <c r="O1798" t="s">
        <v>2481</v>
      </c>
      <c r="P1798" t="s">
        <v>2482</v>
      </c>
      <c r="Q1798" t="s">
        <v>450</v>
      </c>
      <c r="R1798">
        <v>2069084</v>
      </c>
      <c r="S1798" t="s">
        <v>387</v>
      </c>
      <c r="U1798" t="s">
        <v>2483</v>
      </c>
      <c r="V1798" t="s">
        <v>398</v>
      </c>
      <c r="W1798" s="393">
        <v>36000</v>
      </c>
      <c r="X1798" s="393">
        <v>9.07</v>
      </c>
      <c r="Y1798" s="393">
        <v>78.42</v>
      </c>
      <c r="Z1798" s="393">
        <v>36000</v>
      </c>
      <c r="AA1798">
        <v>0</v>
      </c>
      <c r="AB1798" s="400">
        <v>44529.882475891201</v>
      </c>
      <c r="AC1798" t="s">
        <v>324</v>
      </c>
    </row>
    <row r="1799" spans="1:29">
      <c r="A1799" t="s">
        <v>382</v>
      </c>
      <c r="B1799" t="s">
        <v>440</v>
      </c>
      <c r="C1799" t="s">
        <v>1362</v>
      </c>
      <c r="D1799" t="s">
        <v>1421</v>
      </c>
      <c r="E1799" t="s">
        <v>390</v>
      </c>
      <c r="F1799" t="s">
        <v>391</v>
      </c>
      <c r="G1799">
        <v>6102966</v>
      </c>
      <c r="H1799">
        <v>202111</v>
      </c>
      <c r="I1799" s="400">
        <v>44529</v>
      </c>
      <c r="J1799" t="s">
        <v>452</v>
      </c>
      <c r="K1799" t="s">
        <v>386</v>
      </c>
      <c r="L1799">
        <v>119010</v>
      </c>
      <c r="M1799" t="s">
        <v>1158</v>
      </c>
      <c r="O1799" t="s">
        <v>2484</v>
      </c>
      <c r="P1799" t="s">
        <v>2485</v>
      </c>
      <c r="Q1799" t="s">
        <v>450</v>
      </c>
      <c r="R1799">
        <v>2069084</v>
      </c>
      <c r="S1799" t="s">
        <v>387</v>
      </c>
      <c r="U1799" t="s">
        <v>2486</v>
      </c>
      <c r="V1799" t="s">
        <v>398</v>
      </c>
      <c r="W1799" s="393">
        <v>11500</v>
      </c>
      <c r="X1799" s="393">
        <v>2.9</v>
      </c>
      <c r="Y1799" s="393">
        <v>25.05</v>
      </c>
      <c r="Z1799" s="393">
        <v>11500</v>
      </c>
      <c r="AA1799">
        <v>0</v>
      </c>
      <c r="AB1799" s="400">
        <v>44529.882475891201</v>
      </c>
      <c r="AC1799" t="s">
        <v>324</v>
      </c>
    </row>
    <row r="1800" spans="1:29">
      <c r="A1800" t="s">
        <v>382</v>
      </c>
      <c r="B1800" t="s">
        <v>440</v>
      </c>
      <c r="C1800" t="s">
        <v>1362</v>
      </c>
      <c r="D1800" t="s">
        <v>1421</v>
      </c>
      <c r="E1800" t="s">
        <v>390</v>
      </c>
      <c r="F1800" t="s">
        <v>391</v>
      </c>
      <c r="G1800">
        <v>6102856</v>
      </c>
      <c r="H1800">
        <v>202111</v>
      </c>
      <c r="I1800" s="400">
        <v>44519</v>
      </c>
      <c r="J1800" t="s">
        <v>452</v>
      </c>
      <c r="K1800" t="s">
        <v>386</v>
      </c>
      <c r="L1800">
        <v>119010</v>
      </c>
      <c r="M1800" t="s">
        <v>1158</v>
      </c>
      <c r="O1800" t="s">
        <v>2487</v>
      </c>
      <c r="P1800" t="s">
        <v>2488</v>
      </c>
      <c r="Q1800" t="s">
        <v>450</v>
      </c>
      <c r="R1800">
        <v>2069084</v>
      </c>
      <c r="S1800" t="s">
        <v>387</v>
      </c>
      <c r="U1800" t="s">
        <v>2489</v>
      </c>
      <c r="V1800" t="s">
        <v>398</v>
      </c>
      <c r="W1800" s="393">
        <v>54000</v>
      </c>
      <c r="X1800" s="393">
        <v>13.82</v>
      </c>
      <c r="Y1800" s="393">
        <v>118.49</v>
      </c>
      <c r="Z1800" s="393">
        <v>54000</v>
      </c>
      <c r="AA1800">
        <v>0</v>
      </c>
      <c r="AB1800" s="400">
        <v>44521.653987384256</v>
      </c>
      <c r="AC1800" t="s">
        <v>324</v>
      </c>
    </row>
    <row r="1801" spans="1:29">
      <c r="A1801" t="s">
        <v>382</v>
      </c>
      <c r="B1801" t="s">
        <v>440</v>
      </c>
      <c r="C1801" t="s">
        <v>1362</v>
      </c>
      <c r="D1801" t="s">
        <v>1421</v>
      </c>
      <c r="E1801" t="s">
        <v>390</v>
      </c>
      <c r="F1801" t="s">
        <v>391</v>
      </c>
      <c r="G1801">
        <v>6102856</v>
      </c>
      <c r="H1801">
        <v>202111</v>
      </c>
      <c r="I1801" s="400">
        <v>44519</v>
      </c>
      <c r="J1801" t="s">
        <v>452</v>
      </c>
      <c r="K1801" t="s">
        <v>386</v>
      </c>
      <c r="L1801">
        <v>119010</v>
      </c>
      <c r="M1801" t="s">
        <v>1158</v>
      </c>
      <c r="O1801" t="s">
        <v>794</v>
      </c>
      <c r="P1801" t="s">
        <v>795</v>
      </c>
      <c r="Q1801" t="s">
        <v>450</v>
      </c>
      <c r="R1801">
        <v>2069084</v>
      </c>
      <c r="S1801" t="s">
        <v>387</v>
      </c>
      <c r="U1801" t="s">
        <v>2490</v>
      </c>
      <c r="V1801" t="s">
        <v>398</v>
      </c>
      <c r="W1801" s="393">
        <v>14200</v>
      </c>
      <c r="X1801" s="393">
        <v>3.63</v>
      </c>
      <c r="Y1801" s="393">
        <v>31.16</v>
      </c>
      <c r="Z1801" s="393">
        <v>14200</v>
      </c>
      <c r="AA1801">
        <v>0</v>
      </c>
      <c r="AB1801" s="400">
        <v>44521.653987384256</v>
      </c>
      <c r="AC1801" t="s">
        <v>324</v>
      </c>
    </row>
    <row r="1802" spans="1:29">
      <c r="A1802" t="s">
        <v>382</v>
      </c>
      <c r="B1802" t="s">
        <v>440</v>
      </c>
      <c r="C1802" t="s">
        <v>1362</v>
      </c>
      <c r="D1802" t="s">
        <v>1421</v>
      </c>
      <c r="E1802" t="s">
        <v>390</v>
      </c>
      <c r="F1802" t="s">
        <v>391</v>
      </c>
      <c r="G1802">
        <v>6102856</v>
      </c>
      <c r="H1802">
        <v>202111</v>
      </c>
      <c r="I1802" s="400">
        <v>44519</v>
      </c>
      <c r="J1802" t="s">
        <v>452</v>
      </c>
      <c r="K1802" t="s">
        <v>386</v>
      </c>
      <c r="L1802">
        <v>119010</v>
      </c>
      <c r="M1802" t="s">
        <v>1158</v>
      </c>
      <c r="O1802" t="s">
        <v>2491</v>
      </c>
      <c r="P1802" t="s">
        <v>2492</v>
      </c>
      <c r="Q1802" t="s">
        <v>450</v>
      </c>
      <c r="R1802">
        <v>2069084</v>
      </c>
      <c r="S1802" t="s">
        <v>387</v>
      </c>
      <c r="U1802" t="s">
        <v>2493</v>
      </c>
      <c r="V1802" t="s">
        <v>398</v>
      </c>
      <c r="W1802" s="393">
        <v>19600</v>
      </c>
      <c r="X1802" s="393">
        <v>5.0199999999999996</v>
      </c>
      <c r="Y1802" s="393">
        <v>43.01</v>
      </c>
      <c r="Z1802" s="393">
        <v>19600</v>
      </c>
      <c r="AA1802">
        <v>0</v>
      </c>
      <c r="AB1802" s="400">
        <v>44521.653987384256</v>
      </c>
      <c r="AC1802" t="s">
        <v>324</v>
      </c>
    </row>
    <row r="1803" spans="1:29">
      <c r="A1803" t="s">
        <v>382</v>
      </c>
      <c r="B1803" t="s">
        <v>440</v>
      </c>
      <c r="C1803" t="s">
        <v>1362</v>
      </c>
      <c r="D1803" t="s">
        <v>1421</v>
      </c>
      <c r="E1803" t="s">
        <v>390</v>
      </c>
      <c r="F1803" t="s">
        <v>391</v>
      </c>
      <c r="G1803">
        <v>6102856</v>
      </c>
      <c r="H1803">
        <v>202111</v>
      </c>
      <c r="I1803" s="400">
        <v>44519</v>
      </c>
      <c r="J1803" t="s">
        <v>452</v>
      </c>
      <c r="K1803" t="s">
        <v>386</v>
      </c>
      <c r="L1803">
        <v>119010</v>
      </c>
      <c r="M1803" t="s">
        <v>1158</v>
      </c>
      <c r="O1803" t="s">
        <v>2484</v>
      </c>
      <c r="P1803" t="s">
        <v>2485</v>
      </c>
      <c r="Q1803" t="s">
        <v>450</v>
      </c>
      <c r="R1803">
        <v>2069084</v>
      </c>
      <c r="S1803" t="s">
        <v>387</v>
      </c>
      <c r="U1803" t="s">
        <v>2494</v>
      </c>
      <c r="V1803" t="s">
        <v>398</v>
      </c>
      <c r="W1803" s="393">
        <v>9000</v>
      </c>
      <c r="X1803" s="393">
        <v>2.2999999999999998</v>
      </c>
      <c r="Y1803" s="393">
        <v>19.75</v>
      </c>
      <c r="Z1803" s="393">
        <v>9000</v>
      </c>
      <c r="AA1803">
        <v>0</v>
      </c>
      <c r="AB1803" s="400">
        <v>44521.653987187499</v>
      </c>
      <c r="AC1803" t="s">
        <v>324</v>
      </c>
    </row>
    <row r="1804" spans="1:29">
      <c r="A1804" t="s">
        <v>382</v>
      </c>
      <c r="B1804" t="s">
        <v>440</v>
      </c>
      <c r="C1804" t="s">
        <v>1362</v>
      </c>
      <c r="D1804" t="s">
        <v>1421</v>
      </c>
      <c r="E1804" t="s">
        <v>390</v>
      </c>
      <c r="F1804" t="s">
        <v>391</v>
      </c>
      <c r="G1804">
        <v>6102856</v>
      </c>
      <c r="H1804">
        <v>202111</v>
      </c>
      <c r="I1804" s="400">
        <v>44519</v>
      </c>
      <c r="J1804" t="s">
        <v>452</v>
      </c>
      <c r="K1804" t="s">
        <v>386</v>
      </c>
      <c r="L1804">
        <v>119010</v>
      </c>
      <c r="M1804" t="s">
        <v>1158</v>
      </c>
      <c r="O1804" t="s">
        <v>2484</v>
      </c>
      <c r="P1804" t="s">
        <v>2485</v>
      </c>
      <c r="Q1804" t="s">
        <v>450</v>
      </c>
      <c r="R1804">
        <v>2069084</v>
      </c>
      <c r="S1804" t="s">
        <v>387</v>
      </c>
      <c r="U1804" t="s">
        <v>2495</v>
      </c>
      <c r="V1804" t="s">
        <v>398</v>
      </c>
      <c r="W1804" s="393">
        <v>3000</v>
      </c>
      <c r="X1804" s="393">
        <v>0.77</v>
      </c>
      <c r="Y1804" s="393">
        <v>6.58</v>
      </c>
      <c r="Z1804" s="393">
        <v>3000</v>
      </c>
      <c r="AA1804">
        <v>0</v>
      </c>
      <c r="AB1804" s="400">
        <v>44521.653987187499</v>
      </c>
      <c r="AC1804" t="s">
        <v>324</v>
      </c>
    </row>
    <row r="1805" spans="1:29">
      <c r="A1805" t="s">
        <v>382</v>
      </c>
      <c r="B1805" t="s">
        <v>440</v>
      </c>
      <c r="C1805" t="s">
        <v>1362</v>
      </c>
      <c r="D1805" t="s">
        <v>1421</v>
      </c>
      <c r="E1805" t="s">
        <v>390</v>
      </c>
      <c r="F1805" t="s">
        <v>391</v>
      </c>
      <c r="G1805">
        <v>6102856</v>
      </c>
      <c r="H1805">
        <v>202111</v>
      </c>
      <c r="I1805" s="400">
        <v>44519</v>
      </c>
      <c r="J1805" t="s">
        <v>452</v>
      </c>
      <c r="K1805" t="s">
        <v>386</v>
      </c>
      <c r="L1805">
        <v>119010</v>
      </c>
      <c r="M1805" t="s">
        <v>1158</v>
      </c>
      <c r="O1805" t="s">
        <v>1409</v>
      </c>
      <c r="P1805" t="s">
        <v>1410</v>
      </c>
      <c r="Q1805" t="s">
        <v>450</v>
      </c>
      <c r="R1805">
        <v>2069084</v>
      </c>
      <c r="S1805" t="s">
        <v>387</v>
      </c>
      <c r="U1805" t="s">
        <v>2496</v>
      </c>
      <c r="V1805" t="s">
        <v>398</v>
      </c>
      <c r="W1805" s="393">
        <v>30400</v>
      </c>
      <c r="X1805" s="393">
        <v>7.78</v>
      </c>
      <c r="Y1805" s="393">
        <v>66.709999999999994</v>
      </c>
      <c r="Z1805" s="393">
        <v>30400</v>
      </c>
      <c r="AA1805">
        <v>0</v>
      </c>
      <c r="AB1805" s="400">
        <v>44521.653987384256</v>
      </c>
      <c r="AC1805" t="s">
        <v>324</v>
      </c>
    </row>
    <row r="1806" spans="1:29">
      <c r="A1806" t="s">
        <v>382</v>
      </c>
      <c r="B1806" t="s">
        <v>440</v>
      </c>
      <c r="C1806" t="s">
        <v>1362</v>
      </c>
      <c r="D1806" t="s">
        <v>1421</v>
      </c>
      <c r="E1806" t="s">
        <v>390</v>
      </c>
      <c r="F1806" t="s">
        <v>391</v>
      </c>
      <c r="G1806">
        <v>6102856</v>
      </c>
      <c r="H1806">
        <v>202111</v>
      </c>
      <c r="I1806" s="400">
        <v>44519</v>
      </c>
      <c r="J1806" t="s">
        <v>452</v>
      </c>
      <c r="K1806" t="s">
        <v>386</v>
      </c>
      <c r="L1806">
        <v>119010</v>
      </c>
      <c r="M1806" t="s">
        <v>1158</v>
      </c>
      <c r="O1806" t="s">
        <v>906</v>
      </c>
      <c r="P1806" t="s">
        <v>907</v>
      </c>
      <c r="Q1806" t="s">
        <v>450</v>
      </c>
      <c r="R1806">
        <v>2069084</v>
      </c>
      <c r="S1806" t="s">
        <v>387</v>
      </c>
      <c r="U1806" t="s">
        <v>2497</v>
      </c>
      <c r="V1806" t="s">
        <v>398</v>
      </c>
      <c r="W1806" s="393">
        <v>53000</v>
      </c>
      <c r="X1806" s="393">
        <v>13.56</v>
      </c>
      <c r="Y1806" s="393">
        <v>116.3</v>
      </c>
      <c r="Z1806" s="393">
        <v>53000</v>
      </c>
      <c r="AA1806">
        <v>0</v>
      </c>
      <c r="AB1806" s="400">
        <v>44521.653987384256</v>
      </c>
      <c r="AC1806" t="s">
        <v>324</v>
      </c>
    </row>
    <row r="1807" spans="1:29">
      <c r="A1807" t="s">
        <v>382</v>
      </c>
      <c r="B1807" t="s">
        <v>440</v>
      </c>
      <c r="C1807" t="s">
        <v>1362</v>
      </c>
      <c r="D1807" t="s">
        <v>1421</v>
      </c>
      <c r="E1807" t="s">
        <v>390</v>
      </c>
      <c r="F1807" t="s">
        <v>391</v>
      </c>
      <c r="G1807">
        <v>6102966</v>
      </c>
      <c r="H1807">
        <v>202111</v>
      </c>
      <c r="I1807" s="400">
        <v>44529</v>
      </c>
      <c r="J1807" t="s">
        <v>452</v>
      </c>
      <c r="K1807" t="s">
        <v>386</v>
      </c>
      <c r="L1807">
        <v>119010</v>
      </c>
      <c r="M1807" t="s">
        <v>1158</v>
      </c>
      <c r="O1807" t="s">
        <v>593</v>
      </c>
      <c r="P1807" t="s">
        <v>594</v>
      </c>
      <c r="Q1807" t="s">
        <v>450</v>
      </c>
      <c r="R1807">
        <v>2069084</v>
      </c>
      <c r="S1807" t="s">
        <v>387</v>
      </c>
      <c r="U1807" t="s">
        <v>2498</v>
      </c>
      <c r="V1807" t="s">
        <v>398</v>
      </c>
      <c r="W1807" s="393">
        <v>17000</v>
      </c>
      <c r="X1807" s="393">
        <v>4.28</v>
      </c>
      <c r="Y1807" s="393">
        <v>37.03</v>
      </c>
      <c r="Z1807" s="393">
        <v>17000</v>
      </c>
      <c r="AA1807">
        <v>0</v>
      </c>
      <c r="AB1807" s="400">
        <v>44529.882476076389</v>
      </c>
      <c r="AC1807" t="s">
        <v>324</v>
      </c>
    </row>
    <row r="1808" spans="1:29">
      <c r="A1808" t="s">
        <v>382</v>
      </c>
      <c r="B1808" t="s">
        <v>440</v>
      </c>
      <c r="C1808" t="s">
        <v>1362</v>
      </c>
      <c r="D1808" t="s">
        <v>1421</v>
      </c>
      <c r="E1808" t="s">
        <v>390</v>
      </c>
      <c r="F1808" t="s">
        <v>391</v>
      </c>
      <c r="G1808">
        <v>6103114</v>
      </c>
      <c r="H1808">
        <v>202111</v>
      </c>
      <c r="I1808" s="400">
        <v>44529</v>
      </c>
      <c r="J1808" t="s">
        <v>452</v>
      </c>
      <c r="K1808" t="s">
        <v>386</v>
      </c>
      <c r="L1808">
        <v>124474</v>
      </c>
      <c r="M1808" t="s">
        <v>1165</v>
      </c>
      <c r="O1808" t="s">
        <v>906</v>
      </c>
      <c r="P1808" t="s">
        <v>907</v>
      </c>
      <c r="Q1808" t="s">
        <v>396</v>
      </c>
      <c r="R1808">
        <v>2265776</v>
      </c>
      <c r="S1808" t="s">
        <v>387</v>
      </c>
      <c r="U1808" t="s">
        <v>2038</v>
      </c>
      <c r="V1808" t="s">
        <v>398</v>
      </c>
      <c r="W1808" s="393">
        <v>33000</v>
      </c>
      <c r="X1808" s="393">
        <v>8.31</v>
      </c>
      <c r="Y1808" s="393">
        <v>71.88</v>
      </c>
      <c r="Z1808" s="393">
        <v>33000</v>
      </c>
      <c r="AA1808">
        <v>0</v>
      </c>
      <c r="AB1808" s="400">
        <v>44533.085564155095</v>
      </c>
      <c r="AC1808" t="s">
        <v>326</v>
      </c>
    </row>
    <row r="1809" spans="1:29">
      <c r="A1809" t="s">
        <v>382</v>
      </c>
      <c r="B1809" t="s">
        <v>440</v>
      </c>
      <c r="C1809" t="s">
        <v>1362</v>
      </c>
      <c r="D1809" t="s">
        <v>1421</v>
      </c>
      <c r="E1809" t="s">
        <v>390</v>
      </c>
      <c r="F1809" t="s">
        <v>391</v>
      </c>
      <c r="G1809">
        <v>6103114</v>
      </c>
      <c r="H1809">
        <v>202111</v>
      </c>
      <c r="I1809" s="400">
        <v>44529</v>
      </c>
      <c r="J1809" t="s">
        <v>452</v>
      </c>
      <c r="K1809" t="s">
        <v>386</v>
      </c>
      <c r="L1809">
        <v>124474</v>
      </c>
      <c r="M1809" t="s">
        <v>1165</v>
      </c>
      <c r="O1809" t="s">
        <v>896</v>
      </c>
      <c r="P1809" t="s">
        <v>897</v>
      </c>
      <c r="Q1809" t="s">
        <v>396</v>
      </c>
      <c r="R1809">
        <v>2265776</v>
      </c>
      <c r="S1809" t="s">
        <v>387</v>
      </c>
      <c r="U1809" t="s">
        <v>2026</v>
      </c>
      <c r="V1809" t="s">
        <v>398</v>
      </c>
      <c r="W1809" s="393">
        <v>33000</v>
      </c>
      <c r="X1809" s="393">
        <v>8.31</v>
      </c>
      <c r="Y1809" s="393">
        <v>71.88</v>
      </c>
      <c r="Z1809" s="393">
        <v>33000</v>
      </c>
      <c r="AA1809">
        <v>0</v>
      </c>
      <c r="AB1809" s="400">
        <v>44533.085564351852</v>
      </c>
      <c r="AC1809" t="s">
        <v>326</v>
      </c>
    </row>
    <row r="1810" spans="1:29">
      <c r="A1810" t="s">
        <v>382</v>
      </c>
      <c r="B1810" t="s">
        <v>440</v>
      </c>
      <c r="C1810" t="s">
        <v>1362</v>
      </c>
      <c r="D1810" t="s">
        <v>1421</v>
      </c>
      <c r="E1810" t="s">
        <v>390</v>
      </c>
      <c r="F1810" t="s">
        <v>391</v>
      </c>
      <c r="G1810">
        <v>6103114</v>
      </c>
      <c r="H1810">
        <v>202111</v>
      </c>
      <c r="I1810" s="400">
        <v>44529</v>
      </c>
      <c r="J1810" t="s">
        <v>452</v>
      </c>
      <c r="K1810" t="s">
        <v>386</v>
      </c>
      <c r="L1810">
        <v>124474</v>
      </c>
      <c r="M1810" t="s">
        <v>1165</v>
      </c>
      <c r="O1810" t="s">
        <v>906</v>
      </c>
      <c r="P1810" t="s">
        <v>907</v>
      </c>
      <c r="Q1810" t="s">
        <v>396</v>
      </c>
      <c r="R1810">
        <v>2265776</v>
      </c>
      <c r="S1810" t="s">
        <v>387</v>
      </c>
      <c r="U1810" t="s">
        <v>2027</v>
      </c>
      <c r="V1810" t="s">
        <v>398</v>
      </c>
      <c r="W1810" s="393">
        <v>15000</v>
      </c>
      <c r="X1810" s="393">
        <v>3.78</v>
      </c>
      <c r="Y1810" s="393">
        <v>32.67</v>
      </c>
      <c r="Z1810" s="393">
        <v>15000</v>
      </c>
      <c r="AA1810">
        <v>0</v>
      </c>
      <c r="AB1810" s="400">
        <v>44533.085564351852</v>
      </c>
      <c r="AC1810" t="s">
        <v>326</v>
      </c>
    </row>
    <row r="1811" spans="1:29">
      <c r="A1811" t="s">
        <v>382</v>
      </c>
      <c r="B1811" t="s">
        <v>440</v>
      </c>
      <c r="C1811" t="s">
        <v>1362</v>
      </c>
      <c r="D1811" t="s">
        <v>1421</v>
      </c>
      <c r="E1811" t="s">
        <v>390</v>
      </c>
      <c r="F1811" t="s">
        <v>391</v>
      </c>
      <c r="G1811">
        <v>6103114</v>
      </c>
      <c r="H1811">
        <v>202111</v>
      </c>
      <c r="I1811" s="400">
        <v>44529</v>
      </c>
      <c r="J1811" t="s">
        <v>452</v>
      </c>
      <c r="K1811" t="s">
        <v>386</v>
      </c>
      <c r="L1811">
        <v>124474</v>
      </c>
      <c r="M1811" t="s">
        <v>1165</v>
      </c>
      <c r="O1811" t="s">
        <v>896</v>
      </c>
      <c r="P1811" t="s">
        <v>897</v>
      </c>
      <c r="Q1811" t="s">
        <v>396</v>
      </c>
      <c r="R1811">
        <v>2265776</v>
      </c>
      <c r="S1811" t="s">
        <v>387</v>
      </c>
      <c r="U1811" t="s">
        <v>2036</v>
      </c>
      <c r="V1811" t="s">
        <v>398</v>
      </c>
      <c r="W1811" s="393">
        <v>33000</v>
      </c>
      <c r="X1811" s="393">
        <v>8.31</v>
      </c>
      <c r="Y1811" s="393">
        <v>71.88</v>
      </c>
      <c r="Z1811" s="393">
        <v>33000</v>
      </c>
      <c r="AA1811">
        <v>0</v>
      </c>
      <c r="AB1811" s="400">
        <v>44533.085564351852</v>
      </c>
      <c r="AC1811" t="s">
        <v>326</v>
      </c>
    </row>
    <row r="1812" spans="1:29">
      <c r="A1812" t="s">
        <v>382</v>
      </c>
      <c r="B1812" t="s">
        <v>440</v>
      </c>
      <c r="C1812" t="s">
        <v>1362</v>
      </c>
      <c r="D1812" t="s">
        <v>1421</v>
      </c>
      <c r="E1812" t="s">
        <v>390</v>
      </c>
      <c r="F1812" t="s">
        <v>391</v>
      </c>
      <c r="G1812">
        <v>6103114</v>
      </c>
      <c r="H1812">
        <v>202111</v>
      </c>
      <c r="I1812" s="400">
        <v>44529</v>
      </c>
      <c r="J1812" t="s">
        <v>452</v>
      </c>
      <c r="K1812" t="s">
        <v>386</v>
      </c>
      <c r="L1812">
        <v>124474</v>
      </c>
      <c r="M1812" t="s">
        <v>1165</v>
      </c>
      <c r="O1812" t="s">
        <v>794</v>
      </c>
      <c r="P1812" t="s">
        <v>795</v>
      </c>
      <c r="Q1812" t="s">
        <v>396</v>
      </c>
      <c r="R1812">
        <v>2265776</v>
      </c>
      <c r="S1812" t="s">
        <v>387</v>
      </c>
      <c r="U1812" t="s">
        <v>2037</v>
      </c>
      <c r="V1812" t="s">
        <v>398</v>
      </c>
      <c r="W1812" s="393">
        <v>11500</v>
      </c>
      <c r="X1812" s="393">
        <v>2.9</v>
      </c>
      <c r="Y1812" s="393">
        <v>25.05</v>
      </c>
      <c r="Z1812" s="393">
        <v>11500</v>
      </c>
      <c r="AA1812">
        <v>0</v>
      </c>
      <c r="AB1812" s="400">
        <v>44533.085564351852</v>
      </c>
      <c r="AC1812" t="s">
        <v>326</v>
      </c>
    </row>
    <row r="1813" spans="1:29">
      <c r="A1813" t="s">
        <v>382</v>
      </c>
      <c r="B1813" t="s">
        <v>440</v>
      </c>
      <c r="C1813" t="s">
        <v>1362</v>
      </c>
      <c r="D1813" t="s">
        <v>1421</v>
      </c>
      <c r="E1813" t="s">
        <v>390</v>
      </c>
      <c r="F1813" t="s">
        <v>391</v>
      </c>
      <c r="G1813">
        <v>6102854</v>
      </c>
      <c r="H1813">
        <v>202111</v>
      </c>
      <c r="I1813" s="400">
        <v>44519</v>
      </c>
      <c r="J1813" t="s">
        <v>452</v>
      </c>
      <c r="K1813" t="s">
        <v>386</v>
      </c>
      <c r="L1813" t="s">
        <v>1392</v>
      </c>
      <c r="M1813" t="s">
        <v>1393</v>
      </c>
      <c r="O1813" t="s">
        <v>749</v>
      </c>
      <c r="P1813" t="s">
        <v>750</v>
      </c>
      <c r="Q1813" t="s">
        <v>450</v>
      </c>
      <c r="R1813">
        <v>2069084</v>
      </c>
      <c r="S1813" t="s">
        <v>2499</v>
      </c>
      <c r="U1813" t="s">
        <v>2500</v>
      </c>
      <c r="V1813" t="s">
        <v>398</v>
      </c>
      <c r="W1813" s="393">
        <v>52000</v>
      </c>
      <c r="X1813" s="393">
        <v>13.31</v>
      </c>
      <c r="Y1813" s="393">
        <v>114.11</v>
      </c>
      <c r="Z1813" s="393">
        <v>52000</v>
      </c>
      <c r="AA1813">
        <v>0</v>
      </c>
      <c r="AB1813" s="400">
        <v>44521.61949394676</v>
      </c>
      <c r="AC1813" t="s">
        <v>324</v>
      </c>
    </row>
    <row r="1814" spans="1:29">
      <c r="A1814" t="s">
        <v>382</v>
      </c>
      <c r="B1814" t="s">
        <v>440</v>
      </c>
      <c r="C1814" t="s">
        <v>1362</v>
      </c>
      <c r="D1814" t="s">
        <v>1421</v>
      </c>
      <c r="E1814" t="s">
        <v>390</v>
      </c>
      <c r="F1814" t="s">
        <v>391</v>
      </c>
      <c r="G1814">
        <v>6102987</v>
      </c>
      <c r="H1814">
        <v>202111</v>
      </c>
      <c r="I1814" s="400">
        <v>44530</v>
      </c>
      <c r="J1814" t="s">
        <v>452</v>
      </c>
      <c r="K1814" t="s">
        <v>386</v>
      </c>
      <c r="L1814" t="s">
        <v>1191</v>
      </c>
      <c r="M1814" t="s">
        <v>1192</v>
      </c>
      <c r="O1814" t="s">
        <v>1580</v>
      </c>
      <c r="P1814" t="s">
        <v>1581</v>
      </c>
      <c r="Q1814" t="s">
        <v>450</v>
      </c>
      <c r="R1814">
        <v>2069084</v>
      </c>
      <c r="S1814" t="s">
        <v>387</v>
      </c>
      <c r="U1814" t="s">
        <v>2501</v>
      </c>
      <c r="V1814" t="s">
        <v>398</v>
      </c>
      <c r="W1814" s="393">
        <v>24000</v>
      </c>
      <c r="X1814" s="393">
        <v>6.05</v>
      </c>
      <c r="Y1814" s="393">
        <v>52.28</v>
      </c>
      <c r="Z1814" s="393">
        <v>24000</v>
      </c>
      <c r="AA1814">
        <v>0</v>
      </c>
      <c r="AB1814" s="400">
        <v>44530.822521180555</v>
      </c>
      <c r="AC1814" t="s">
        <v>324</v>
      </c>
    </row>
    <row r="1815" spans="1:29">
      <c r="A1815" t="s">
        <v>382</v>
      </c>
      <c r="B1815" t="s">
        <v>440</v>
      </c>
      <c r="C1815" t="s">
        <v>1362</v>
      </c>
      <c r="D1815" t="s">
        <v>1421</v>
      </c>
      <c r="E1815" t="s">
        <v>390</v>
      </c>
      <c r="F1815" t="s">
        <v>391</v>
      </c>
      <c r="G1815">
        <v>6102784</v>
      </c>
      <c r="H1815">
        <v>202111</v>
      </c>
      <c r="I1815" s="400">
        <v>44519</v>
      </c>
      <c r="J1815" t="s">
        <v>452</v>
      </c>
      <c r="K1815" t="s">
        <v>386</v>
      </c>
      <c r="L1815" t="s">
        <v>1191</v>
      </c>
      <c r="M1815" t="s">
        <v>1192</v>
      </c>
      <c r="O1815" t="s">
        <v>2502</v>
      </c>
      <c r="P1815" t="s">
        <v>2503</v>
      </c>
      <c r="Q1815" t="s">
        <v>450</v>
      </c>
      <c r="R1815">
        <v>2069084</v>
      </c>
      <c r="S1815" t="s">
        <v>387</v>
      </c>
      <c r="U1815" t="s">
        <v>2504</v>
      </c>
      <c r="V1815" t="s">
        <v>398</v>
      </c>
      <c r="W1815" s="393">
        <v>49000</v>
      </c>
      <c r="X1815" s="393">
        <v>12.54</v>
      </c>
      <c r="Y1815" s="393">
        <v>107.52</v>
      </c>
      <c r="Z1815" s="393">
        <v>49000</v>
      </c>
      <c r="AA1815">
        <v>0</v>
      </c>
      <c r="AB1815" s="400">
        <v>44519.750724456018</v>
      </c>
      <c r="AC1815" t="s">
        <v>324</v>
      </c>
    </row>
    <row r="1816" spans="1:29">
      <c r="A1816" t="s">
        <v>382</v>
      </c>
      <c r="B1816" t="s">
        <v>440</v>
      </c>
      <c r="C1816" t="s">
        <v>1362</v>
      </c>
      <c r="D1816" t="s">
        <v>1421</v>
      </c>
      <c r="E1816" t="s">
        <v>390</v>
      </c>
      <c r="F1816" t="s">
        <v>391</v>
      </c>
      <c r="G1816">
        <v>6102784</v>
      </c>
      <c r="H1816">
        <v>202111</v>
      </c>
      <c r="I1816" s="400">
        <v>44519</v>
      </c>
      <c r="J1816" t="s">
        <v>452</v>
      </c>
      <c r="K1816" t="s">
        <v>386</v>
      </c>
      <c r="L1816" t="s">
        <v>1191</v>
      </c>
      <c r="M1816" t="s">
        <v>1192</v>
      </c>
      <c r="O1816" t="s">
        <v>1445</v>
      </c>
      <c r="P1816" t="s">
        <v>1446</v>
      </c>
      <c r="Q1816" t="s">
        <v>450</v>
      </c>
      <c r="R1816">
        <v>2069084</v>
      </c>
      <c r="S1816" t="s">
        <v>387</v>
      </c>
      <c r="U1816" t="s">
        <v>2505</v>
      </c>
      <c r="V1816" t="s">
        <v>398</v>
      </c>
      <c r="W1816" s="393">
        <v>38000</v>
      </c>
      <c r="X1816" s="393">
        <v>9.7200000000000006</v>
      </c>
      <c r="Y1816" s="393">
        <v>83.38</v>
      </c>
      <c r="Z1816" s="393">
        <v>38000</v>
      </c>
      <c r="AA1816">
        <v>0</v>
      </c>
      <c r="AB1816" s="400">
        <v>44519.750724305559</v>
      </c>
      <c r="AC1816" t="s">
        <v>324</v>
      </c>
    </row>
    <row r="1817" spans="1:29">
      <c r="A1817" t="s">
        <v>382</v>
      </c>
      <c r="B1817" t="s">
        <v>440</v>
      </c>
      <c r="C1817" t="s">
        <v>1362</v>
      </c>
      <c r="D1817" t="s">
        <v>1421</v>
      </c>
      <c r="E1817" t="s">
        <v>390</v>
      </c>
      <c r="F1817" t="s">
        <v>391</v>
      </c>
      <c r="G1817">
        <v>6103372</v>
      </c>
      <c r="H1817">
        <v>202112</v>
      </c>
      <c r="I1817" s="400">
        <v>44547</v>
      </c>
      <c r="J1817" t="s">
        <v>452</v>
      </c>
      <c r="K1817" t="s">
        <v>386</v>
      </c>
      <c r="L1817">
        <v>119010</v>
      </c>
      <c r="M1817" t="s">
        <v>1158</v>
      </c>
      <c r="O1817" t="s">
        <v>593</v>
      </c>
      <c r="P1817" t="s">
        <v>594</v>
      </c>
      <c r="Q1817" t="s">
        <v>450</v>
      </c>
      <c r="R1817">
        <v>2069084</v>
      </c>
      <c r="S1817" t="s">
        <v>2506</v>
      </c>
      <c r="U1817" t="s">
        <v>2507</v>
      </c>
      <c r="V1817" t="s">
        <v>398</v>
      </c>
      <c r="W1817" s="393">
        <v>19600</v>
      </c>
      <c r="X1817" s="393">
        <v>43.01</v>
      </c>
      <c r="Y1817" s="393">
        <v>5.0199999999999996</v>
      </c>
      <c r="Z1817" s="393">
        <v>19600</v>
      </c>
      <c r="AA1817">
        <v>0</v>
      </c>
      <c r="AB1817" s="400">
        <v>44552.875524421295</v>
      </c>
      <c r="AC1817" t="s">
        <v>324</v>
      </c>
    </row>
    <row r="1818" spans="1:29">
      <c r="A1818" t="s">
        <v>382</v>
      </c>
      <c r="B1818" t="s">
        <v>440</v>
      </c>
      <c r="C1818" t="s">
        <v>1362</v>
      </c>
      <c r="D1818" t="s">
        <v>1421</v>
      </c>
      <c r="E1818" t="s">
        <v>390</v>
      </c>
      <c r="F1818" t="s">
        <v>391</v>
      </c>
      <c r="G1818">
        <v>6103372</v>
      </c>
      <c r="H1818">
        <v>202112</v>
      </c>
      <c r="I1818" s="400">
        <v>44547</v>
      </c>
      <c r="J1818" t="s">
        <v>452</v>
      </c>
      <c r="K1818" t="s">
        <v>386</v>
      </c>
      <c r="L1818">
        <v>119010</v>
      </c>
      <c r="M1818" t="s">
        <v>1158</v>
      </c>
      <c r="O1818" t="s">
        <v>2491</v>
      </c>
      <c r="P1818" t="s">
        <v>2492</v>
      </c>
      <c r="Q1818" t="s">
        <v>450</v>
      </c>
      <c r="R1818">
        <v>2069084</v>
      </c>
      <c r="S1818" t="s">
        <v>2506</v>
      </c>
      <c r="U1818" t="s">
        <v>2507</v>
      </c>
      <c r="V1818" t="s">
        <v>398</v>
      </c>
      <c r="W1818" s="393">
        <v>-19600</v>
      </c>
      <c r="X1818" s="393">
        <v>-43.01</v>
      </c>
      <c r="Y1818" s="393">
        <v>-5.0199999999999996</v>
      </c>
      <c r="Z1818" s="393">
        <v>-19600</v>
      </c>
      <c r="AA1818">
        <v>0</v>
      </c>
      <c r="AB1818" s="400">
        <v>44552.875524421295</v>
      </c>
      <c r="AC1818" t="s">
        <v>324</v>
      </c>
    </row>
    <row r="1819" spans="1:29">
      <c r="A1819" t="s">
        <v>382</v>
      </c>
      <c r="B1819" t="s">
        <v>440</v>
      </c>
      <c r="C1819" t="s">
        <v>1362</v>
      </c>
      <c r="D1819" t="s">
        <v>1421</v>
      </c>
      <c r="E1819" t="s">
        <v>390</v>
      </c>
      <c r="F1819" t="s">
        <v>391</v>
      </c>
      <c r="G1819">
        <v>6103497</v>
      </c>
      <c r="H1819">
        <v>202112</v>
      </c>
      <c r="I1819" s="400">
        <v>44560</v>
      </c>
      <c r="J1819" t="s">
        <v>452</v>
      </c>
      <c r="K1819" t="s">
        <v>386</v>
      </c>
      <c r="L1819">
        <v>119010</v>
      </c>
      <c r="M1819" t="s">
        <v>1158</v>
      </c>
      <c r="O1819" t="s">
        <v>587</v>
      </c>
      <c r="P1819" t="s">
        <v>588</v>
      </c>
      <c r="Q1819" t="s">
        <v>450</v>
      </c>
      <c r="R1819">
        <v>2069084</v>
      </c>
      <c r="S1819" t="s">
        <v>387</v>
      </c>
      <c r="U1819" t="s">
        <v>2508</v>
      </c>
      <c r="V1819" t="s">
        <v>398</v>
      </c>
      <c r="W1819" s="393">
        <v>-6000</v>
      </c>
      <c r="X1819" s="393">
        <v>-1.5</v>
      </c>
      <c r="Y1819" s="393">
        <v>-13.56</v>
      </c>
      <c r="Z1819" s="393">
        <v>-6000</v>
      </c>
      <c r="AA1819">
        <v>0</v>
      </c>
      <c r="AB1819" s="400">
        <v>44568.649555787037</v>
      </c>
      <c r="AC1819" t="s">
        <v>324</v>
      </c>
    </row>
    <row r="1820" spans="1:29">
      <c r="A1820" t="s">
        <v>382</v>
      </c>
      <c r="B1820" t="s">
        <v>440</v>
      </c>
      <c r="C1820" t="s">
        <v>1362</v>
      </c>
      <c r="D1820" t="s">
        <v>1421</v>
      </c>
      <c r="E1820" t="s">
        <v>390</v>
      </c>
      <c r="F1820" t="s">
        <v>391</v>
      </c>
      <c r="G1820">
        <v>6103352</v>
      </c>
      <c r="H1820">
        <v>202112</v>
      </c>
      <c r="I1820" s="400">
        <v>44547</v>
      </c>
      <c r="J1820" t="s">
        <v>452</v>
      </c>
      <c r="K1820" t="s">
        <v>386</v>
      </c>
      <c r="L1820">
        <v>119010</v>
      </c>
      <c r="M1820" t="s">
        <v>1158</v>
      </c>
      <c r="O1820" t="s">
        <v>587</v>
      </c>
      <c r="P1820" t="s">
        <v>588</v>
      </c>
      <c r="Q1820" t="s">
        <v>450</v>
      </c>
      <c r="R1820">
        <v>2069084</v>
      </c>
      <c r="S1820" t="s">
        <v>387</v>
      </c>
      <c r="U1820" t="s">
        <v>2509</v>
      </c>
      <c r="V1820" t="s">
        <v>398</v>
      </c>
      <c r="W1820" s="393">
        <v>6000</v>
      </c>
      <c r="X1820" s="393">
        <v>1.5</v>
      </c>
      <c r="Y1820" s="393">
        <v>13.56</v>
      </c>
      <c r="Z1820" s="393">
        <v>6000</v>
      </c>
      <c r="AA1820">
        <v>0</v>
      </c>
      <c r="AB1820" s="400">
        <v>44552.182548032404</v>
      </c>
      <c r="AC1820" t="s">
        <v>324</v>
      </c>
    </row>
    <row r="1821" spans="1:29">
      <c r="A1821" t="s">
        <v>382</v>
      </c>
      <c r="B1821" t="s">
        <v>440</v>
      </c>
      <c r="C1821" t="s">
        <v>1362</v>
      </c>
      <c r="D1821" t="s">
        <v>1421</v>
      </c>
      <c r="E1821" t="s">
        <v>390</v>
      </c>
      <c r="F1821" t="s">
        <v>391</v>
      </c>
      <c r="G1821">
        <v>6103352</v>
      </c>
      <c r="H1821">
        <v>202112</v>
      </c>
      <c r="I1821" s="400">
        <v>44547</v>
      </c>
      <c r="J1821" t="s">
        <v>452</v>
      </c>
      <c r="K1821" t="s">
        <v>386</v>
      </c>
      <c r="L1821">
        <v>119010</v>
      </c>
      <c r="M1821" t="s">
        <v>1158</v>
      </c>
      <c r="O1821" t="s">
        <v>2472</v>
      </c>
      <c r="P1821" t="s">
        <v>2473</v>
      </c>
      <c r="Q1821" t="s">
        <v>450</v>
      </c>
      <c r="R1821">
        <v>2069084</v>
      </c>
      <c r="S1821" t="s">
        <v>387</v>
      </c>
      <c r="U1821" t="s">
        <v>2510</v>
      </c>
      <c r="V1821" t="s">
        <v>398</v>
      </c>
      <c r="W1821" s="393">
        <v>13000</v>
      </c>
      <c r="X1821" s="393">
        <v>3.26</v>
      </c>
      <c r="Y1821" s="393">
        <v>29.38</v>
      </c>
      <c r="Z1821" s="393">
        <v>13000</v>
      </c>
      <c r="AA1821">
        <v>0</v>
      </c>
      <c r="AB1821" s="400">
        <v>44552.182547835648</v>
      </c>
      <c r="AC1821" t="s">
        <v>324</v>
      </c>
    </row>
    <row r="1822" spans="1:29">
      <c r="A1822" t="s">
        <v>382</v>
      </c>
      <c r="B1822" t="s">
        <v>440</v>
      </c>
      <c r="C1822" t="s">
        <v>1362</v>
      </c>
      <c r="D1822" t="s">
        <v>1421</v>
      </c>
      <c r="E1822" t="s">
        <v>390</v>
      </c>
      <c r="F1822" t="s">
        <v>391</v>
      </c>
      <c r="G1822">
        <v>6103352</v>
      </c>
      <c r="H1822">
        <v>202112</v>
      </c>
      <c r="I1822" s="400">
        <v>44547</v>
      </c>
      <c r="J1822" t="s">
        <v>452</v>
      </c>
      <c r="K1822" t="s">
        <v>386</v>
      </c>
      <c r="L1822">
        <v>119010</v>
      </c>
      <c r="M1822" t="s">
        <v>1158</v>
      </c>
      <c r="O1822" t="s">
        <v>593</v>
      </c>
      <c r="P1822" t="s">
        <v>594</v>
      </c>
      <c r="Q1822" t="s">
        <v>450</v>
      </c>
      <c r="R1822">
        <v>2069084</v>
      </c>
      <c r="S1822" t="s">
        <v>387</v>
      </c>
      <c r="U1822" t="s">
        <v>2511</v>
      </c>
      <c r="V1822" t="s">
        <v>398</v>
      </c>
      <c r="W1822" s="393">
        <v>19300</v>
      </c>
      <c r="X1822" s="393">
        <v>4.84</v>
      </c>
      <c r="Y1822" s="393">
        <v>43.62</v>
      </c>
      <c r="Z1822" s="393">
        <v>19300</v>
      </c>
      <c r="AA1822">
        <v>0</v>
      </c>
      <c r="AB1822" s="400">
        <v>44552.182548032404</v>
      </c>
      <c r="AC1822" t="s">
        <v>324</v>
      </c>
    </row>
    <row r="1823" spans="1:29">
      <c r="A1823" t="s">
        <v>382</v>
      </c>
      <c r="B1823" t="s">
        <v>440</v>
      </c>
      <c r="C1823" t="s">
        <v>1362</v>
      </c>
      <c r="D1823" t="s">
        <v>1421</v>
      </c>
      <c r="E1823" t="s">
        <v>390</v>
      </c>
      <c r="F1823" t="s">
        <v>391</v>
      </c>
      <c r="G1823">
        <v>6103352</v>
      </c>
      <c r="H1823">
        <v>202112</v>
      </c>
      <c r="I1823" s="400">
        <v>44547</v>
      </c>
      <c r="J1823" t="s">
        <v>452</v>
      </c>
      <c r="K1823" t="s">
        <v>386</v>
      </c>
      <c r="L1823">
        <v>119010</v>
      </c>
      <c r="M1823" t="s">
        <v>1158</v>
      </c>
      <c r="O1823" t="s">
        <v>1567</v>
      </c>
      <c r="P1823" t="s">
        <v>1568</v>
      </c>
      <c r="Q1823" t="s">
        <v>450</v>
      </c>
      <c r="R1823">
        <v>2069084</v>
      </c>
      <c r="S1823" t="s">
        <v>387</v>
      </c>
      <c r="U1823" t="s">
        <v>2512</v>
      </c>
      <c r="V1823" t="s">
        <v>398</v>
      </c>
      <c r="W1823" s="393">
        <v>16000</v>
      </c>
      <c r="X1823" s="393">
        <v>4.01</v>
      </c>
      <c r="Y1823" s="393">
        <v>36.159999999999997</v>
      </c>
      <c r="Z1823" s="393">
        <v>16000</v>
      </c>
      <c r="AA1823">
        <v>0</v>
      </c>
      <c r="AB1823" s="400">
        <v>44552.182548032404</v>
      </c>
      <c r="AC1823" t="s">
        <v>324</v>
      </c>
    </row>
    <row r="1824" spans="1:29">
      <c r="A1824" t="s">
        <v>382</v>
      </c>
      <c r="B1824" t="s">
        <v>440</v>
      </c>
      <c r="C1824" t="s">
        <v>1362</v>
      </c>
      <c r="D1824" t="s">
        <v>1421</v>
      </c>
      <c r="E1824" t="s">
        <v>390</v>
      </c>
      <c r="F1824" t="s">
        <v>391</v>
      </c>
      <c r="G1824">
        <v>6103352</v>
      </c>
      <c r="H1824">
        <v>202112</v>
      </c>
      <c r="I1824" s="400">
        <v>44547</v>
      </c>
      <c r="J1824" t="s">
        <v>452</v>
      </c>
      <c r="K1824" t="s">
        <v>386</v>
      </c>
      <c r="L1824">
        <v>119010</v>
      </c>
      <c r="M1824" t="s">
        <v>1158</v>
      </c>
      <c r="O1824" t="s">
        <v>794</v>
      </c>
      <c r="P1824" t="s">
        <v>795</v>
      </c>
      <c r="Q1824" t="s">
        <v>450</v>
      </c>
      <c r="R1824">
        <v>2069084</v>
      </c>
      <c r="S1824" t="s">
        <v>387</v>
      </c>
      <c r="U1824" t="s">
        <v>2513</v>
      </c>
      <c r="V1824" t="s">
        <v>398</v>
      </c>
      <c r="W1824" s="393">
        <v>6200</v>
      </c>
      <c r="X1824" s="393">
        <v>1.55</v>
      </c>
      <c r="Y1824" s="393">
        <v>14.01</v>
      </c>
      <c r="Z1824" s="393">
        <v>6200</v>
      </c>
      <c r="AA1824">
        <v>0</v>
      </c>
      <c r="AB1824" s="400">
        <v>44552.182547685188</v>
      </c>
      <c r="AC1824" t="s">
        <v>324</v>
      </c>
    </row>
    <row r="1825" spans="1:29">
      <c r="A1825" t="s">
        <v>382</v>
      </c>
      <c r="B1825" t="s">
        <v>440</v>
      </c>
      <c r="C1825" t="s">
        <v>1362</v>
      </c>
      <c r="D1825" t="s">
        <v>1421</v>
      </c>
      <c r="E1825" t="s">
        <v>390</v>
      </c>
      <c r="F1825" t="s">
        <v>391</v>
      </c>
      <c r="G1825">
        <v>6103352</v>
      </c>
      <c r="H1825">
        <v>202112</v>
      </c>
      <c r="I1825" s="400">
        <v>44547</v>
      </c>
      <c r="J1825" t="s">
        <v>452</v>
      </c>
      <c r="K1825" t="s">
        <v>386</v>
      </c>
      <c r="L1825">
        <v>119010</v>
      </c>
      <c r="M1825" t="s">
        <v>1158</v>
      </c>
      <c r="O1825" t="s">
        <v>906</v>
      </c>
      <c r="P1825" t="s">
        <v>907</v>
      </c>
      <c r="Q1825" t="s">
        <v>450</v>
      </c>
      <c r="R1825">
        <v>2069084</v>
      </c>
      <c r="S1825" t="s">
        <v>387</v>
      </c>
      <c r="U1825" t="s">
        <v>2514</v>
      </c>
      <c r="V1825" t="s">
        <v>398</v>
      </c>
      <c r="W1825" s="393">
        <v>75000</v>
      </c>
      <c r="X1825" s="393">
        <v>18.8</v>
      </c>
      <c r="Y1825" s="393">
        <v>169.51</v>
      </c>
      <c r="Z1825" s="393">
        <v>75000</v>
      </c>
      <c r="AA1825">
        <v>0</v>
      </c>
      <c r="AB1825" s="400">
        <v>44552.182547685188</v>
      </c>
      <c r="AC1825" t="s">
        <v>324</v>
      </c>
    </row>
    <row r="1826" spans="1:29">
      <c r="A1826" t="s">
        <v>382</v>
      </c>
      <c r="B1826" t="s">
        <v>440</v>
      </c>
      <c r="C1826" t="s">
        <v>1362</v>
      </c>
      <c r="D1826" t="s">
        <v>1421</v>
      </c>
      <c r="E1826" t="s">
        <v>390</v>
      </c>
      <c r="F1826" t="s">
        <v>391</v>
      </c>
      <c r="G1826">
        <v>6103409</v>
      </c>
      <c r="H1826">
        <v>202112</v>
      </c>
      <c r="I1826" s="400">
        <v>44560</v>
      </c>
      <c r="J1826" t="s">
        <v>452</v>
      </c>
      <c r="K1826" t="s">
        <v>386</v>
      </c>
      <c r="L1826">
        <v>125338</v>
      </c>
      <c r="M1826" t="s">
        <v>2444</v>
      </c>
      <c r="O1826" t="s">
        <v>2130</v>
      </c>
      <c r="P1826" t="s">
        <v>2131</v>
      </c>
      <c r="Q1826" t="s">
        <v>450</v>
      </c>
      <c r="R1826">
        <v>2069084</v>
      </c>
      <c r="S1826" t="s">
        <v>387</v>
      </c>
      <c r="U1826" t="s">
        <v>2515</v>
      </c>
      <c r="V1826" t="s">
        <v>398</v>
      </c>
      <c r="W1826" s="393">
        <v>29000</v>
      </c>
      <c r="X1826" s="393">
        <v>7.25</v>
      </c>
      <c r="Y1826" s="393">
        <v>65.27</v>
      </c>
      <c r="Z1826" s="393">
        <v>29000</v>
      </c>
      <c r="AA1826">
        <v>0</v>
      </c>
      <c r="AB1826" s="400">
        <v>44560.691188194447</v>
      </c>
      <c r="AC1826" t="s">
        <v>324</v>
      </c>
    </row>
    <row r="1827" spans="1:29">
      <c r="A1827" t="s">
        <v>382</v>
      </c>
      <c r="B1827" t="s">
        <v>440</v>
      </c>
      <c r="C1827" t="s">
        <v>1362</v>
      </c>
      <c r="D1827" t="s">
        <v>1421</v>
      </c>
      <c r="E1827" t="s">
        <v>390</v>
      </c>
      <c r="F1827" t="s">
        <v>391</v>
      </c>
      <c r="G1827">
        <v>6103409</v>
      </c>
      <c r="H1827">
        <v>202112</v>
      </c>
      <c r="I1827" s="400">
        <v>44560</v>
      </c>
      <c r="J1827" t="s">
        <v>452</v>
      </c>
      <c r="K1827" t="s">
        <v>386</v>
      </c>
      <c r="L1827">
        <v>125338</v>
      </c>
      <c r="M1827" t="s">
        <v>2444</v>
      </c>
      <c r="O1827" t="s">
        <v>2050</v>
      </c>
      <c r="P1827" t="s">
        <v>2051</v>
      </c>
      <c r="Q1827" t="s">
        <v>450</v>
      </c>
      <c r="R1827">
        <v>2069084</v>
      </c>
      <c r="S1827" t="s">
        <v>387</v>
      </c>
      <c r="U1827" t="s">
        <v>2516</v>
      </c>
      <c r="V1827" t="s">
        <v>398</v>
      </c>
      <c r="W1827" s="393">
        <v>28000</v>
      </c>
      <c r="X1827" s="393">
        <v>7</v>
      </c>
      <c r="Y1827" s="393">
        <v>63.01</v>
      </c>
      <c r="Z1827" s="393">
        <v>28000</v>
      </c>
      <c r="AA1827">
        <v>0</v>
      </c>
      <c r="AB1827" s="400">
        <v>44560.691188194447</v>
      </c>
      <c r="AC1827" t="s">
        <v>324</v>
      </c>
    </row>
    <row r="1828" spans="1:29">
      <c r="A1828" t="s">
        <v>382</v>
      </c>
      <c r="B1828" t="s">
        <v>440</v>
      </c>
      <c r="C1828" t="s">
        <v>1362</v>
      </c>
      <c r="D1828" t="s">
        <v>1421</v>
      </c>
      <c r="E1828" t="s">
        <v>390</v>
      </c>
      <c r="F1828" t="s">
        <v>391</v>
      </c>
      <c r="G1828">
        <v>6103409</v>
      </c>
      <c r="H1828">
        <v>202112</v>
      </c>
      <c r="I1828" s="400">
        <v>44560</v>
      </c>
      <c r="J1828" t="s">
        <v>452</v>
      </c>
      <c r="K1828" t="s">
        <v>386</v>
      </c>
      <c r="L1828">
        <v>125338</v>
      </c>
      <c r="M1828" t="s">
        <v>2444</v>
      </c>
      <c r="O1828" t="s">
        <v>794</v>
      </c>
      <c r="P1828" t="s">
        <v>795</v>
      </c>
      <c r="Q1828" t="s">
        <v>450</v>
      </c>
      <c r="R1828">
        <v>2069084</v>
      </c>
      <c r="S1828" t="s">
        <v>387</v>
      </c>
      <c r="U1828" t="s">
        <v>2517</v>
      </c>
      <c r="V1828" t="s">
        <v>398</v>
      </c>
      <c r="W1828" s="393">
        <v>9500</v>
      </c>
      <c r="X1828" s="393">
        <v>2.38</v>
      </c>
      <c r="Y1828" s="393">
        <v>21.38</v>
      </c>
      <c r="Z1828" s="393">
        <v>9500</v>
      </c>
      <c r="AA1828">
        <v>0</v>
      </c>
      <c r="AB1828" s="400">
        <v>44560.691188194447</v>
      </c>
      <c r="AC1828" t="s">
        <v>324</v>
      </c>
    </row>
    <row r="1829" spans="1:29">
      <c r="A1829" t="s">
        <v>382</v>
      </c>
      <c r="B1829" t="s">
        <v>440</v>
      </c>
      <c r="C1829" t="s">
        <v>1362</v>
      </c>
      <c r="D1829" t="s">
        <v>1421</v>
      </c>
      <c r="E1829" t="s">
        <v>390</v>
      </c>
      <c r="F1829" t="s">
        <v>391</v>
      </c>
      <c r="G1829">
        <v>6103189</v>
      </c>
      <c r="H1829">
        <v>202112</v>
      </c>
      <c r="I1829" s="400">
        <v>44544</v>
      </c>
      <c r="J1829">
        <v>122536</v>
      </c>
      <c r="K1829" t="s">
        <v>386</v>
      </c>
      <c r="L1829" t="s">
        <v>1215</v>
      </c>
      <c r="M1829" t="s">
        <v>1216</v>
      </c>
      <c r="O1829" t="s">
        <v>2518</v>
      </c>
      <c r="P1829" t="s">
        <v>2519</v>
      </c>
      <c r="Q1829" t="s">
        <v>396</v>
      </c>
      <c r="R1829">
        <v>2265776</v>
      </c>
      <c r="S1829" t="s">
        <v>387</v>
      </c>
      <c r="U1829" t="s">
        <v>2520</v>
      </c>
      <c r="V1829" t="s">
        <v>398</v>
      </c>
      <c r="W1829" s="393">
        <v>286000</v>
      </c>
      <c r="X1829" s="393">
        <v>73.22</v>
      </c>
      <c r="Y1829" s="393">
        <v>659.94</v>
      </c>
      <c r="Z1829" s="393">
        <v>286000</v>
      </c>
      <c r="AA1829">
        <v>318</v>
      </c>
      <c r="AB1829" s="400">
        <v>44545.992529513889</v>
      </c>
      <c r="AC1829" t="s">
        <v>326</v>
      </c>
    </row>
    <row r="1830" spans="1:29">
      <c r="A1830" t="s">
        <v>382</v>
      </c>
      <c r="B1830" t="s">
        <v>1157</v>
      </c>
      <c r="C1830" t="s">
        <v>1362</v>
      </c>
      <c r="D1830" t="s">
        <v>1421</v>
      </c>
      <c r="E1830" t="s">
        <v>1448</v>
      </c>
      <c r="F1830" t="s">
        <v>1449</v>
      </c>
      <c r="G1830">
        <v>7101060</v>
      </c>
      <c r="H1830">
        <v>202112</v>
      </c>
      <c r="I1830" s="400">
        <v>44560</v>
      </c>
      <c r="J1830" t="s">
        <v>1036</v>
      </c>
      <c r="K1830" t="s">
        <v>386</v>
      </c>
      <c r="L1830" t="s">
        <v>1219</v>
      </c>
      <c r="M1830" t="s">
        <v>1220</v>
      </c>
      <c r="O1830" t="s">
        <v>2521</v>
      </c>
      <c r="P1830" t="s">
        <v>2522</v>
      </c>
      <c r="Q1830" t="s">
        <v>396</v>
      </c>
      <c r="R1830">
        <v>2265776</v>
      </c>
      <c r="S1830" t="s">
        <v>387</v>
      </c>
      <c r="U1830" t="s">
        <v>2523</v>
      </c>
      <c r="V1830" t="s">
        <v>398</v>
      </c>
      <c r="W1830" s="393">
        <v>21000</v>
      </c>
      <c r="X1830" s="393">
        <v>5.22</v>
      </c>
      <c r="Y1830" s="393">
        <v>46.96</v>
      </c>
      <c r="Z1830" s="393">
        <v>21000</v>
      </c>
      <c r="AA1830">
        <v>0</v>
      </c>
      <c r="AB1830" s="400">
        <v>44565.977558217593</v>
      </c>
      <c r="AC1830" t="s">
        <v>326</v>
      </c>
    </row>
    <row r="1831" spans="1:29">
      <c r="A1831" t="s">
        <v>382</v>
      </c>
      <c r="B1831" t="s">
        <v>1157</v>
      </c>
      <c r="C1831" t="s">
        <v>1362</v>
      </c>
      <c r="D1831" t="s">
        <v>1421</v>
      </c>
      <c r="E1831" t="s">
        <v>1448</v>
      </c>
      <c r="F1831" t="s">
        <v>1449</v>
      </c>
      <c r="G1831">
        <v>7101060</v>
      </c>
      <c r="H1831">
        <v>202112</v>
      </c>
      <c r="I1831" s="400">
        <v>44560</v>
      </c>
      <c r="J1831" t="s">
        <v>1036</v>
      </c>
      <c r="K1831" t="s">
        <v>386</v>
      </c>
      <c r="L1831" t="s">
        <v>1219</v>
      </c>
      <c r="M1831" t="s">
        <v>1220</v>
      </c>
      <c r="O1831" t="s">
        <v>2524</v>
      </c>
      <c r="P1831" t="s">
        <v>2525</v>
      </c>
      <c r="Q1831" t="s">
        <v>396</v>
      </c>
      <c r="R1831">
        <v>2265776</v>
      </c>
      <c r="S1831" t="s">
        <v>387</v>
      </c>
      <c r="U1831" t="s">
        <v>2526</v>
      </c>
      <c r="V1831" t="s">
        <v>398</v>
      </c>
      <c r="W1831" s="393">
        <v>25000</v>
      </c>
      <c r="X1831" s="393">
        <v>6.21</v>
      </c>
      <c r="Y1831" s="393">
        <v>55.9</v>
      </c>
      <c r="Z1831" s="393">
        <v>25000</v>
      </c>
      <c r="AA1831">
        <v>0</v>
      </c>
      <c r="AB1831" s="400">
        <v>44565.977558217593</v>
      </c>
      <c r="AC1831" t="s">
        <v>326</v>
      </c>
    </row>
    <row r="1832" spans="1:29">
      <c r="A1832" t="s">
        <v>382</v>
      </c>
      <c r="B1832" t="s">
        <v>1157</v>
      </c>
      <c r="C1832" t="s">
        <v>1362</v>
      </c>
      <c r="D1832" t="s">
        <v>1421</v>
      </c>
      <c r="E1832" t="s">
        <v>1448</v>
      </c>
      <c r="F1832" t="s">
        <v>1449</v>
      </c>
      <c r="G1832">
        <v>7101060</v>
      </c>
      <c r="H1832">
        <v>202112</v>
      </c>
      <c r="I1832" s="400">
        <v>44560</v>
      </c>
      <c r="J1832" t="s">
        <v>1036</v>
      </c>
      <c r="K1832" t="s">
        <v>386</v>
      </c>
      <c r="L1832" t="s">
        <v>1219</v>
      </c>
      <c r="M1832" t="s">
        <v>1220</v>
      </c>
      <c r="O1832" t="s">
        <v>1417</v>
      </c>
      <c r="P1832" t="s">
        <v>1418</v>
      </c>
      <c r="Q1832" t="s">
        <v>396</v>
      </c>
      <c r="R1832">
        <v>2265776</v>
      </c>
      <c r="S1832" t="s">
        <v>387</v>
      </c>
      <c r="U1832" t="s">
        <v>2527</v>
      </c>
      <c r="V1832" t="s">
        <v>398</v>
      </c>
      <c r="W1832" s="393">
        <v>20000</v>
      </c>
      <c r="X1832" s="393">
        <v>4.97</v>
      </c>
      <c r="Y1832" s="393">
        <v>44.72</v>
      </c>
      <c r="Z1832" s="393">
        <v>20000</v>
      </c>
      <c r="AA1832">
        <v>0</v>
      </c>
      <c r="AB1832" s="400">
        <v>44565.977558217593</v>
      </c>
      <c r="AC1832" t="s">
        <v>326</v>
      </c>
    </row>
    <row r="1833" spans="1:29">
      <c r="A1833" t="s">
        <v>382</v>
      </c>
      <c r="B1833" t="s">
        <v>1157</v>
      </c>
      <c r="C1833" t="s">
        <v>1362</v>
      </c>
      <c r="D1833" t="s">
        <v>1421</v>
      </c>
      <c r="E1833" t="s">
        <v>1448</v>
      </c>
      <c r="F1833" t="s">
        <v>1449</v>
      </c>
      <c r="G1833">
        <v>7101060</v>
      </c>
      <c r="H1833">
        <v>202112</v>
      </c>
      <c r="I1833" s="400">
        <v>44560</v>
      </c>
      <c r="J1833" t="s">
        <v>1036</v>
      </c>
      <c r="K1833" t="s">
        <v>386</v>
      </c>
      <c r="L1833" t="s">
        <v>1219</v>
      </c>
      <c r="M1833" t="s">
        <v>1220</v>
      </c>
      <c r="O1833" t="s">
        <v>2528</v>
      </c>
      <c r="P1833" t="s">
        <v>2529</v>
      </c>
      <c r="Q1833" t="s">
        <v>396</v>
      </c>
      <c r="R1833">
        <v>2265776</v>
      </c>
      <c r="S1833" t="s">
        <v>387</v>
      </c>
      <c r="U1833" t="s">
        <v>2530</v>
      </c>
      <c r="V1833" t="s">
        <v>398</v>
      </c>
      <c r="W1833" s="393">
        <v>24000</v>
      </c>
      <c r="X1833" s="393">
        <v>5.96</v>
      </c>
      <c r="Y1833" s="393">
        <v>53.67</v>
      </c>
      <c r="Z1833" s="393">
        <v>24000</v>
      </c>
      <c r="AA1833">
        <v>0</v>
      </c>
      <c r="AB1833" s="400">
        <v>44565.977558217593</v>
      </c>
      <c r="AC1833" t="s">
        <v>326</v>
      </c>
    </row>
    <row r="1834" spans="1:29">
      <c r="A1834" t="s">
        <v>382</v>
      </c>
      <c r="B1834" t="s">
        <v>440</v>
      </c>
      <c r="C1834" t="s">
        <v>1362</v>
      </c>
      <c r="D1834" t="s">
        <v>1587</v>
      </c>
      <c r="E1834" t="s">
        <v>390</v>
      </c>
      <c r="F1834" t="s">
        <v>391</v>
      </c>
      <c r="G1834">
        <v>6102397</v>
      </c>
      <c r="H1834">
        <v>202110</v>
      </c>
      <c r="I1834" s="400">
        <v>44476</v>
      </c>
      <c r="J1834">
        <v>125062</v>
      </c>
      <c r="K1834" t="s">
        <v>386</v>
      </c>
      <c r="L1834" t="s">
        <v>1191</v>
      </c>
      <c r="M1834" t="s">
        <v>1192</v>
      </c>
      <c r="O1834" t="s">
        <v>512</v>
      </c>
      <c r="P1834" t="s">
        <v>513</v>
      </c>
      <c r="Q1834" t="s">
        <v>450</v>
      </c>
      <c r="R1834">
        <v>2069084</v>
      </c>
      <c r="S1834" t="s">
        <v>387</v>
      </c>
      <c r="U1834" t="s">
        <v>2415</v>
      </c>
      <c r="V1834" t="s">
        <v>398</v>
      </c>
      <c r="W1834" s="393">
        <v>39242</v>
      </c>
      <c r="X1834" s="393">
        <v>10.36</v>
      </c>
      <c r="Y1834" s="393">
        <v>89.6</v>
      </c>
      <c r="Z1834" s="393">
        <v>39242</v>
      </c>
      <c r="AA1834">
        <v>222</v>
      </c>
      <c r="AB1834" s="400">
        <v>44489.025060844906</v>
      </c>
      <c r="AC1834" t="s">
        <v>324</v>
      </c>
    </row>
    <row r="1835" spans="1:29">
      <c r="A1835" t="s">
        <v>382</v>
      </c>
      <c r="B1835" t="s">
        <v>440</v>
      </c>
      <c r="C1835" t="s">
        <v>1362</v>
      </c>
      <c r="D1835" t="s">
        <v>1587</v>
      </c>
      <c r="E1835" t="s">
        <v>390</v>
      </c>
      <c r="F1835" t="s">
        <v>391</v>
      </c>
      <c r="G1835">
        <v>6102397</v>
      </c>
      <c r="H1835">
        <v>202110</v>
      </c>
      <c r="I1835" s="400">
        <v>44476</v>
      </c>
      <c r="J1835">
        <v>125062</v>
      </c>
      <c r="K1835" t="s">
        <v>386</v>
      </c>
      <c r="L1835" t="s">
        <v>1191</v>
      </c>
      <c r="M1835" t="s">
        <v>1192</v>
      </c>
      <c r="O1835" t="s">
        <v>509</v>
      </c>
      <c r="P1835" t="s">
        <v>510</v>
      </c>
      <c r="Q1835" t="s">
        <v>450</v>
      </c>
      <c r="R1835">
        <v>2069084</v>
      </c>
      <c r="S1835" t="s">
        <v>387</v>
      </c>
      <c r="U1835" t="s">
        <v>2415</v>
      </c>
      <c r="V1835" t="s">
        <v>398</v>
      </c>
      <c r="W1835" s="393">
        <v>34000</v>
      </c>
      <c r="X1835" s="393">
        <v>8.98</v>
      </c>
      <c r="Y1835" s="393">
        <v>77.63</v>
      </c>
      <c r="Z1835" s="393">
        <v>34000</v>
      </c>
      <c r="AA1835">
        <v>0</v>
      </c>
      <c r="AB1835" s="400">
        <v>44489.025060844906</v>
      </c>
      <c r="AC1835" t="s">
        <v>324</v>
      </c>
    </row>
    <row r="1836" spans="1:29">
      <c r="A1836" t="s">
        <v>382</v>
      </c>
      <c r="B1836" t="s">
        <v>440</v>
      </c>
      <c r="C1836" t="s">
        <v>1362</v>
      </c>
      <c r="D1836" t="s">
        <v>1587</v>
      </c>
      <c r="E1836" t="s">
        <v>390</v>
      </c>
      <c r="F1836" t="s">
        <v>391</v>
      </c>
      <c r="G1836">
        <v>6102397</v>
      </c>
      <c r="H1836">
        <v>202110</v>
      </c>
      <c r="I1836" s="400">
        <v>44476</v>
      </c>
      <c r="J1836">
        <v>125062</v>
      </c>
      <c r="K1836" t="s">
        <v>386</v>
      </c>
      <c r="L1836" t="s">
        <v>1191</v>
      </c>
      <c r="M1836" t="s">
        <v>1192</v>
      </c>
      <c r="O1836" t="s">
        <v>509</v>
      </c>
      <c r="P1836" t="s">
        <v>510</v>
      </c>
      <c r="Q1836" t="s">
        <v>450</v>
      </c>
      <c r="R1836">
        <v>2069084</v>
      </c>
      <c r="S1836" t="s">
        <v>387</v>
      </c>
      <c r="U1836" t="s">
        <v>2415</v>
      </c>
      <c r="V1836" t="s">
        <v>398</v>
      </c>
      <c r="W1836" s="393">
        <v>226900</v>
      </c>
      <c r="X1836" s="393">
        <v>59.9</v>
      </c>
      <c r="Y1836" s="393">
        <v>518.09</v>
      </c>
      <c r="Z1836" s="393">
        <v>226900</v>
      </c>
      <c r="AA1836">
        <v>222</v>
      </c>
      <c r="AB1836" s="400">
        <v>44489.025060844906</v>
      </c>
      <c r="AC1836" t="s">
        <v>324</v>
      </c>
    </row>
    <row r="1837" spans="1:29">
      <c r="A1837" t="s">
        <v>382</v>
      </c>
      <c r="B1837" t="s">
        <v>440</v>
      </c>
      <c r="C1837" t="s">
        <v>1362</v>
      </c>
      <c r="D1837" t="s">
        <v>1587</v>
      </c>
      <c r="E1837" t="s">
        <v>390</v>
      </c>
      <c r="F1837" t="s">
        <v>391</v>
      </c>
      <c r="G1837">
        <v>6102819</v>
      </c>
      <c r="H1837">
        <v>202111</v>
      </c>
      <c r="I1837" s="400">
        <v>44510</v>
      </c>
      <c r="J1837">
        <v>125062</v>
      </c>
      <c r="K1837" t="s">
        <v>386</v>
      </c>
      <c r="L1837">
        <v>119010</v>
      </c>
      <c r="M1837" t="s">
        <v>1158</v>
      </c>
      <c r="O1837" t="s">
        <v>512</v>
      </c>
      <c r="P1837" t="s">
        <v>513</v>
      </c>
      <c r="Q1837" t="s">
        <v>450</v>
      </c>
      <c r="R1837">
        <v>2069084</v>
      </c>
      <c r="S1837" t="s">
        <v>387</v>
      </c>
      <c r="U1837" t="s">
        <v>2416</v>
      </c>
      <c r="V1837" t="s">
        <v>398</v>
      </c>
      <c r="W1837" s="393">
        <v>39242</v>
      </c>
      <c r="X1837" s="393">
        <v>10.220000000000001</v>
      </c>
      <c r="Y1837" s="393">
        <v>87.04</v>
      </c>
      <c r="Z1837" s="393">
        <v>39242</v>
      </c>
      <c r="AA1837">
        <v>222</v>
      </c>
      <c r="AB1837" s="400">
        <v>44520.125291550925</v>
      </c>
      <c r="AC1837" t="s">
        <v>324</v>
      </c>
    </row>
    <row r="1838" spans="1:29">
      <c r="A1838" t="s">
        <v>382</v>
      </c>
      <c r="B1838" t="s">
        <v>440</v>
      </c>
      <c r="C1838" t="s">
        <v>1362</v>
      </c>
      <c r="D1838" t="s">
        <v>1587</v>
      </c>
      <c r="E1838" t="s">
        <v>390</v>
      </c>
      <c r="F1838" t="s">
        <v>391</v>
      </c>
      <c r="G1838">
        <v>6102819</v>
      </c>
      <c r="H1838">
        <v>202111</v>
      </c>
      <c r="I1838" s="400">
        <v>44510</v>
      </c>
      <c r="J1838">
        <v>125062</v>
      </c>
      <c r="K1838" t="s">
        <v>386</v>
      </c>
      <c r="L1838">
        <v>119010</v>
      </c>
      <c r="M1838" t="s">
        <v>1158</v>
      </c>
      <c r="O1838" t="s">
        <v>509</v>
      </c>
      <c r="P1838" t="s">
        <v>510</v>
      </c>
      <c r="Q1838" t="s">
        <v>450</v>
      </c>
      <c r="R1838">
        <v>2069084</v>
      </c>
      <c r="S1838" t="s">
        <v>387</v>
      </c>
      <c r="U1838" t="s">
        <v>2416</v>
      </c>
      <c r="V1838" t="s">
        <v>398</v>
      </c>
      <c r="W1838" s="393">
        <v>355000</v>
      </c>
      <c r="X1838" s="393">
        <v>92.5</v>
      </c>
      <c r="Y1838" s="393">
        <v>787.36</v>
      </c>
      <c r="Z1838" s="393">
        <v>355000</v>
      </c>
      <c r="AA1838">
        <v>222</v>
      </c>
      <c r="AB1838" s="400">
        <v>44520.125291550925</v>
      </c>
      <c r="AC1838" t="s">
        <v>324</v>
      </c>
    </row>
    <row r="1839" spans="1:29">
      <c r="A1839" t="s">
        <v>382</v>
      </c>
      <c r="B1839" t="s">
        <v>440</v>
      </c>
      <c r="C1839" t="s">
        <v>1362</v>
      </c>
      <c r="D1839" t="s">
        <v>1587</v>
      </c>
      <c r="E1839" t="s">
        <v>390</v>
      </c>
      <c r="F1839" t="s">
        <v>391</v>
      </c>
      <c r="G1839">
        <v>6102819</v>
      </c>
      <c r="H1839">
        <v>202111</v>
      </c>
      <c r="I1839" s="400">
        <v>44510</v>
      </c>
      <c r="J1839">
        <v>125062</v>
      </c>
      <c r="K1839" t="s">
        <v>386</v>
      </c>
      <c r="L1839">
        <v>119010</v>
      </c>
      <c r="M1839" t="s">
        <v>1158</v>
      </c>
      <c r="O1839" t="s">
        <v>509</v>
      </c>
      <c r="P1839" t="s">
        <v>510</v>
      </c>
      <c r="Q1839" t="s">
        <v>450</v>
      </c>
      <c r="R1839">
        <v>2069084</v>
      </c>
      <c r="S1839" t="s">
        <v>387</v>
      </c>
      <c r="U1839" t="s">
        <v>2416</v>
      </c>
      <c r="V1839" t="s">
        <v>398</v>
      </c>
      <c r="W1839" s="393">
        <v>34000</v>
      </c>
      <c r="X1839" s="393">
        <v>8.86</v>
      </c>
      <c r="Y1839" s="393">
        <v>75.41</v>
      </c>
      <c r="Z1839" s="393">
        <v>34000</v>
      </c>
      <c r="AA1839">
        <v>0</v>
      </c>
      <c r="AB1839" s="400">
        <v>44520.125291550925</v>
      </c>
      <c r="AC1839" t="s">
        <v>324</v>
      </c>
    </row>
    <row r="1840" spans="1:29">
      <c r="A1840" t="s">
        <v>382</v>
      </c>
      <c r="B1840" t="s">
        <v>440</v>
      </c>
      <c r="C1840" t="s">
        <v>1362</v>
      </c>
      <c r="D1840" t="s">
        <v>1587</v>
      </c>
      <c r="E1840" t="s">
        <v>390</v>
      </c>
      <c r="F1840" t="s">
        <v>391</v>
      </c>
      <c r="G1840">
        <v>6102796</v>
      </c>
      <c r="H1840">
        <v>202111</v>
      </c>
      <c r="I1840" s="400">
        <v>44503</v>
      </c>
      <c r="J1840">
        <v>125062</v>
      </c>
      <c r="K1840" t="s">
        <v>386</v>
      </c>
      <c r="L1840" t="s">
        <v>1191</v>
      </c>
      <c r="M1840" t="s">
        <v>1192</v>
      </c>
      <c r="O1840" t="s">
        <v>512</v>
      </c>
      <c r="P1840" t="s">
        <v>513</v>
      </c>
      <c r="Q1840" t="s">
        <v>450</v>
      </c>
      <c r="R1840">
        <v>2069084</v>
      </c>
      <c r="S1840" t="s">
        <v>387</v>
      </c>
      <c r="U1840" t="s">
        <v>2418</v>
      </c>
      <c r="V1840" t="s">
        <v>398</v>
      </c>
      <c r="W1840" s="393">
        <v>15895</v>
      </c>
      <c r="X1840" s="393">
        <v>4.2300000000000004</v>
      </c>
      <c r="Y1840" s="393">
        <v>36.03</v>
      </c>
      <c r="Z1840" s="393">
        <v>15895</v>
      </c>
      <c r="AA1840">
        <v>222</v>
      </c>
      <c r="AB1840" s="400">
        <v>44519.875172685184</v>
      </c>
      <c r="AC1840" t="s">
        <v>324</v>
      </c>
    </row>
    <row r="1841" spans="1:29">
      <c r="A1841" t="s">
        <v>382</v>
      </c>
      <c r="B1841" t="s">
        <v>440</v>
      </c>
      <c r="C1841" t="s">
        <v>1362</v>
      </c>
      <c r="D1841" t="s">
        <v>1587</v>
      </c>
      <c r="E1841" t="s">
        <v>390</v>
      </c>
      <c r="F1841" t="s">
        <v>391</v>
      </c>
      <c r="G1841">
        <v>6102796</v>
      </c>
      <c r="H1841">
        <v>202111</v>
      </c>
      <c r="I1841" s="400">
        <v>44503</v>
      </c>
      <c r="J1841">
        <v>125062</v>
      </c>
      <c r="K1841" t="s">
        <v>386</v>
      </c>
      <c r="L1841" t="s">
        <v>1191</v>
      </c>
      <c r="M1841" t="s">
        <v>1192</v>
      </c>
      <c r="O1841" t="s">
        <v>1367</v>
      </c>
      <c r="P1841" t="s">
        <v>1368</v>
      </c>
      <c r="Q1841" t="s">
        <v>450</v>
      </c>
      <c r="R1841">
        <v>2069084</v>
      </c>
      <c r="S1841" t="s">
        <v>387</v>
      </c>
      <c r="U1841" t="s">
        <v>2418</v>
      </c>
      <c r="V1841" t="s">
        <v>398</v>
      </c>
      <c r="W1841" s="393">
        <v>16700</v>
      </c>
      <c r="X1841" s="393">
        <v>4.4400000000000004</v>
      </c>
      <c r="Y1841" s="393">
        <v>37.86</v>
      </c>
      <c r="Z1841" s="393">
        <v>16700</v>
      </c>
      <c r="AA1841">
        <v>0</v>
      </c>
      <c r="AB1841" s="400">
        <v>44519.875172685184</v>
      </c>
      <c r="AC1841" t="s">
        <v>324</v>
      </c>
    </row>
    <row r="1842" spans="1:29">
      <c r="A1842" t="s">
        <v>382</v>
      </c>
      <c r="B1842" t="s">
        <v>440</v>
      </c>
      <c r="C1842" t="s">
        <v>1362</v>
      </c>
      <c r="D1842" t="s">
        <v>1587</v>
      </c>
      <c r="E1842" t="s">
        <v>390</v>
      </c>
      <c r="F1842" t="s">
        <v>391</v>
      </c>
      <c r="G1842">
        <v>6102796</v>
      </c>
      <c r="H1842">
        <v>202111</v>
      </c>
      <c r="I1842" s="400">
        <v>44503</v>
      </c>
      <c r="J1842">
        <v>125062</v>
      </c>
      <c r="K1842" t="s">
        <v>386</v>
      </c>
      <c r="L1842" t="s">
        <v>1191</v>
      </c>
      <c r="M1842" t="s">
        <v>1192</v>
      </c>
      <c r="O1842" t="s">
        <v>1367</v>
      </c>
      <c r="P1842" t="s">
        <v>1368</v>
      </c>
      <c r="Q1842" t="s">
        <v>450</v>
      </c>
      <c r="R1842">
        <v>2069084</v>
      </c>
      <c r="S1842" t="s">
        <v>387</v>
      </c>
      <c r="U1842" t="s">
        <v>2418</v>
      </c>
      <c r="V1842" t="s">
        <v>398</v>
      </c>
      <c r="W1842" s="393">
        <v>240000</v>
      </c>
      <c r="X1842" s="393">
        <v>63.81</v>
      </c>
      <c r="Y1842" s="393">
        <v>544.04</v>
      </c>
      <c r="Z1842" s="393">
        <v>240000</v>
      </c>
      <c r="AA1842">
        <v>222</v>
      </c>
      <c r="AB1842" s="400">
        <v>44519.875172685184</v>
      </c>
      <c r="AC1842" t="s">
        <v>324</v>
      </c>
    </row>
    <row r="1843" spans="1:29">
      <c r="A1843" t="s">
        <v>382</v>
      </c>
      <c r="B1843" t="s">
        <v>440</v>
      </c>
      <c r="C1843" t="s">
        <v>1362</v>
      </c>
      <c r="D1843" t="s">
        <v>1587</v>
      </c>
      <c r="E1843" t="s">
        <v>390</v>
      </c>
      <c r="F1843" t="s">
        <v>391</v>
      </c>
      <c r="G1843">
        <v>6102776</v>
      </c>
      <c r="H1843">
        <v>202111</v>
      </c>
      <c r="I1843" s="400">
        <v>44503</v>
      </c>
      <c r="J1843">
        <v>125062</v>
      </c>
      <c r="K1843" t="s">
        <v>386</v>
      </c>
      <c r="L1843" t="s">
        <v>1191</v>
      </c>
      <c r="M1843" t="s">
        <v>1192</v>
      </c>
      <c r="O1843" t="s">
        <v>509</v>
      </c>
      <c r="P1843" t="s">
        <v>510</v>
      </c>
      <c r="Q1843" t="s">
        <v>450</v>
      </c>
      <c r="R1843">
        <v>2069084</v>
      </c>
      <c r="S1843" t="s">
        <v>387</v>
      </c>
      <c r="U1843" t="s">
        <v>2417</v>
      </c>
      <c r="V1843" t="s">
        <v>398</v>
      </c>
      <c r="W1843" s="393">
        <v>16800</v>
      </c>
      <c r="X1843" s="393">
        <v>4.47</v>
      </c>
      <c r="Y1843" s="393">
        <v>38.08</v>
      </c>
      <c r="Z1843" s="393">
        <v>16800</v>
      </c>
      <c r="AA1843">
        <v>0</v>
      </c>
      <c r="AB1843" s="400">
        <v>44519.727286261572</v>
      </c>
      <c r="AC1843" t="s">
        <v>324</v>
      </c>
    </row>
    <row r="1844" spans="1:29">
      <c r="A1844" t="s">
        <v>382</v>
      </c>
      <c r="B1844" t="s">
        <v>440</v>
      </c>
      <c r="C1844" t="s">
        <v>1362</v>
      </c>
      <c r="D1844" t="s">
        <v>1587</v>
      </c>
      <c r="E1844" t="s">
        <v>390</v>
      </c>
      <c r="F1844" t="s">
        <v>391</v>
      </c>
      <c r="G1844">
        <v>6102776</v>
      </c>
      <c r="H1844">
        <v>202111</v>
      </c>
      <c r="I1844" s="400">
        <v>44503</v>
      </c>
      <c r="J1844">
        <v>125062</v>
      </c>
      <c r="K1844" t="s">
        <v>386</v>
      </c>
      <c r="L1844" t="s">
        <v>1191</v>
      </c>
      <c r="M1844" t="s">
        <v>1192</v>
      </c>
      <c r="O1844" t="s">
        <v>512</v>
      </c>
      <c r="P1844" t="s">
        <v>513</v>
      </c>
      <c r="Q1844" t="s">
        <v>450</v>
      </c>
      <c r="R1844">
        <v>2069084</v>
      </c>
      <c r="S1844" t="s">
        <v>387</v>
      </c>
      <c r="U1844" t="s">
        <v>2417</v>
      </c>
      <c r="V1844" t="s">
        <v>398</v>
      </c>
      <c r="W1844" s="393">
        <v>15895</v>
      </c>
      <c r="X1844" s="393">
        <v>4.2300000000000004</v>
      </c>
      <c r="Y1844" s="393">
        <v>36.03</v>
      </c>
      <c r="Z1844" s="393">
        <v>15895</v>
      </c>
      <c r="AA1844">
        <v>222</v>
      </c>
      <c r="AB1844" s="400">
        <v>44519.727286458336</v>
      </c>
      <c r="AC1844" t="s">
        <v>324</v>
      </c>
    </row>
    <row r="1845" spans="1:29">
      <c r="A1845" t="s">
        <v>382</v>
      </c>
      <c r="B1845" t="s">
        <v>440</v>
      </c>
      <c r="C1845" t="s">
        <v>1362</v>
      </c>
      <c r="D1845" t="s">
        <v>1587</v>
      </c>
      <c r="E1845" t="s">
        <v>390</v>
      </c>
      <c r="F1845" t="s">
        <v>391</v>
      </c>
      <c r="G1845">
        <v>6102776</v>
      </c>
      <c r="H1845">
        <v>202111</v>
      </c>
      <c r="I1845" s="400">
        <v>44503</v>
      </c>
      <c r="J1845">
        <v>125062</v>
      </c>
      <c r="K1845" t="s">
        <v>386</v>
      </c>
      <c r="L1845" t="s">
        <v>1191</v>
      </c>
      <c r="M1845" t="s">
        <v>1192</v>
      </c>
      <c r="O1845" t="s">
        <v>509</v>
      </c>
      <c r="P1845" t="s">
        <v>510</v>
      </c>
      <c r="Q1845" t="s">
        <v>450</v>
      </c>
      <c r="R1845">
        <v>2069084</v>
      </c>
      <c r="S1845" t="s">
        <v>387</v>
      </c>
      <c r="U1845" t="s">
        <v>2417</v>
      </c>
      <c r="V1845" t="s">
        <v>398</v>
      </c>
      <c r="W1845" s="393">
        <v>388600</v>
      </c>
      <c r="X1845" s="393">
        <v>103.32</v>
      </c>
      <c r="Y1845" s="393">
        <v>880.89</v>
      </c>
      <c r="Z1845" s="393">
        <v>388600</v>
      </c>
      <c r="AA1845">
        <v>222</v>
      </c>
      <c r="AB1845" s="400">
        <v>44519.727286261572</v>
      </c>
      <c r="AC1845" t="s">
        <v>324</v>
      </c>
    </row>
    <row r="1846" spans="1:29">
      <c r="A1846" t="s">
        <v>382</v>
      </c>
      <c r="B1846" t="s">
        <v>440</v>
      </c>
      <c r="C1846" t="s">
        <v>1362</v>
      </c>
      <c r="D1846" t="s">
        <v>1587</v>
      </c>
      <c r="E1846" t="s">
        <v>390</v>
      </c>
      <c r="F1846" t="s">
        <v>391</v>
      </c>
      <c r="G1846">
        <v>6103228</v>
      </c>
      <c r="H1846">
        <v>202112</v>
      </c>
      <c r="I1846" s="400">
        <v>44533</v>
      </c>
      <c r="J1846">
        <v>124932</v>
      </c>
      <c r="K1846" t="s">
        <v>386</v>
      </c>
      <c r="L1846">
        <v>119010</v>
      </c>
      <c r="M1846" t="s">
        <v>1158</v>
      </c>
      <c r="O1846" t="s">
        <v>509</v>
      </c>
      <c r="P1846" t="s">
        <v>510</v>
      </c>
      <c r="Q1846" t="s">
        <v>450</v>
      </c>
      <c r="R1846">
        <v>2069084</v>
      </c>
      <c r="S1846" t="s">
        <v>387</v>
      </c>
      <c r="U1846" t="s">
        <v>2419</v>
      </c>
      <c r="V1846" t="s">
        <v>398</v>
      </c>
      <c r="W1846" s="393">
        <v>546400</v>
      </c>
      <c r="X1846" s="393">
        <v>138.22</v>
      </c>
      <c r="Y1846" s="393">
        <v>1226.5999999999999</v>
      </c>
      <c r="Z1846" s="393">
        <v>546400</v>
      </c>
      <c r="AA1846">
        <v>222</v>
      </c>
      <c r="AB1846" s="400">
        <v>44549.723072881941</v>
      </c>
      <c r="AC1846" t="s">
        <v>324</v>
      </c>
    </row>
    <row r="1847" spans="1:29">
      <c r="A1847" t="s">
        <v>382</v>
      </c>
      <c r="B1847" t="s">
        <v>440</v>
      </c>
      <c r="C1847" t="s">
        <v>1362</v>
      </c>
      <c r="D1847" t="s">
        <v>1587</v>
      </c>
      <c r="E1847" t="s">
        <v>390</v>
      </c>
      <c r="F1847" t="s">
        <v>391</v>
      </c>
      <c r="G1847">
        <v>6103228</v>
      </c>
      <c r="H1847">
        <v>202112</v>
      </c>
      <c r="I1847" s="400">
        <v>44533</v>
      </c>
      <c r="J1847">
        <v>124932</v>
      </c>
      <c r="K1847" t="s">
        <v>386</v>
      </c>
      <c r="L1847">
        <v>119010</v>
      </c>
      <c r="M1847" t="s">
        <v>1158</v>
      </c>
      <c r="O1847" t="s">
        <v>509</v>
      </c>
      <c r="P1847" t="s">
        <v>510</v>
      </c>
      <c r="Q1847" t="s">
        <v>450</v>
      </c>
      <c r="R1847">
        <v>2069084</v>
      </c>
      <c r="S1847" t="s">
        <v>387</v>
      </c>
      <c r="U1847" t="s">
        <v>2419</v>
      </c>
      <c r="V1847" t="s">
        <v>398</v>
      </c>
      <c r="W1847" s="393">
        <v>34000</v>
      </c>
      <c r="X1847" s="393">
        <v>8.6</v>
      </c>
      <c r="Y1847" s="393">
        <v>76.33</v>
      </c>
      <c r="Z1847" s="393">
        <v>34000</v>
      </c>
      <c r="AA1847">
        <v>0</v>
      </c>
      <c r="AB1847" s="400">
        <v>44549.723072881941</v>
      </c>
      <c r="AC1847" t="s">
        <v>324</v>
      </c>
    </row>
    <row r="1848" spans="1:29">
      <c r="A1848" t="s">
        <v>382</v>
      </c>
      <c r="B1848" t="s">
        <v>440</v>
      </c>
      <c r="C1848" t="s">
        <v>1362</v>
      </c>
      <c r="D1848" t="s">
        <v>1587</v>
      </c>
      <c r="E1848" t="s">
        <v>390</v>
      </c>
      <c r="F1848" t="s">
        <v>391</v>
      </c>
      <c r="G1848">
        <v>6103228</v>
      </c>
      <c r="H1848">
        <v>202112</v>
      </c>
      <c r="I1848" s="400">
        <v>44533</v>
      </c>
      <c r="J1848">
        <v>124932</v>
      </c>
      <c r="K1848" t="s">
        <v>386</v>
      </c>
      <c r="L1848">
        <v>119010</v>
      </c>
      <c r="M1848" t="s">
        <v>1158</v>
      </c>
      <c r="O1848" t="s">
        <v>512</v>
      </c>
      <c r="P1848" t="s">
        <v>513</v>
      </c>
      <c r="Q1848" t="s">
        <v>450</v>
      </c>
      <c r="R1848">
        <v>2069084</v>
      </c>
      <c r="S1848" t="s">
        <v>387</v>
      </c>
      <c r="U1848" t="s">
        <v>2419</v>
      </c>
      <c r="V1848" t="s">
        <v>398</v>
      </c>
      <c r="W1848" s="393">
        <v>39242</v>
      </c>
      <c r="X1848" s="393">
        <v>9.93</v>
      </c>
      <c r="Y1848" s="393">
        <v>88.09</v>
      </c>
      <c r="Z1848" s="393">
        <v>39242</v>
      </c>
      <c r="AA1848">
        <v>222</v>
      </c>
      <c r="AB1848" s="400">
        <v>44549.723072881941</v>
      </c>
      <c r="AC1848" t="s">
        <v>324</v>
      </c>
    </row>
    <row r="1849" spans="1:29">
      <c r="A1849" t="s">
        <v>382</v>
      </c>
      <c r="B1849" t="s">
        <v>440</v>
      </c>
      <c r="C1849" t="s">
        <v>1362</v>
      </c>
      <c r="D1849" t="s">
        <v>1587</v>
      </c>
      <c r="E1849" t="s">
        <v>390</v>
      </c>
      <c r="F1849" t="s">
        <v>391</v>
      </c>
      <c r="G1849">
        <v>6103491</v>
      </c>
      <c r="H1849">
        <v>202112</v>
      </c>
      <c r="I1849" s="400">
        <v>44557</v>
      </c>
      <c r="J1849">
        <v>122536</v>
      </c>
      <c r="K1849" t="s">
        <v>386</v>
      </c>
      <c r="L1849" t="s">
        <v>2420</v>
      </c>
      <c r="M1849" t="s">
        <v>2421</v>
      </c>
      <c r="O1849" t="s">
        <v>1367</v>
      </c>
      <c r="P1849" t="s">
        <v>1368</v>
      </c>
      <c r="Q1849" t="s">
        <v>396</v>
      </c>
      <c r="R1849">
        <v>2265776</v>
      </c>
      <c r="S1849" t="s">
        <v>387</v>
      </c>
      <c r="U1849" t="s">
        <v>2422</v>
      </c>
      <c r="V1849" t="s">
        <v>398</v>
      </c>
      <c r="W1849" s="393">
        <v>553000</v>
      </c>
      <c r="X1849" s="393">
        <v>138.33000000000001</v>
      </c>
      <c r="Y1849" s="393">
        <v>1244.54</v>
      </c>
      <c r="Z1849" s="393">
        <v>553000</v>
      </c>
      <c r="AA1849">
        <v>222</v>
      </c>
      <c r="AB1849" s="400">
        <v>44567.764596099536</v>
      </c>
      <c r="AC1849" t="s">
        <v>326</v>
      </c>
    </row>
    <row r="1850" spans="1:29">
      <c r="A1850" t="s">
        <v>382</v>
      </c>
      <c r="B1850" t="s">
        <v>440</v>
      </c>
      <c r="C1850" t="s">
        <v>1362</v>
      </c>
      <c r="D1850" t="s">
        <v>1587</v>
      </c>
      <c r="E1850" t="s">
        <v>390</v>
      </c>
      <c r="F1850" t="s">
        <v>391</v>
      </c>
      <c r="G1850">
        <v>6103491</v>
      </c>
      <c r="H1850">
        <v>202112</v>
      </c>
      <c r="I1850" s="400">
        <v>44557</v>
      </c>
      <c r="J1850">
        <v>122536</v>
      </c>
      <c r="K1850" t="s">
        <v>386</v>
      </c>
      <c r="L1850" t="s">
        <v>2420</v>
      </c>
      <c r="M1850" t="s">
        <v>2421</v>
      </c>
      <c r="O1850" t="s">
        <v>1367</v>
      </c>
      <c r="P1850" t="s">
        <v>1368</v>
      </c>
      <c r="Q1850" t="s">
        <v>396</v>
      </c>
      <c r="R1850">
        <v>2265776</v>
      </c>
      <c r="S1850" t="s">
        <v>387</v>
      </c>
      <c r="U1850" t="s">
        <v>2422</v>
      </c>
      <c r="V1850" t="s">
        <v>398</v>
      </c>
      <c r="W1850" s="393">
        <v>33900</v>
      </c>
      <c r="X1850" s="393">
        <v>8.48</v>
      </c>
      <c r="Y1850" s="393">
        <v>76.290000000000006</v>
      </c>
      <c r="Z1850" s="393">
        <v>33900</v>
      </c>
      <c r="AA1850">
        <v>0</v>
      </c>
      <c r="AB1850" s="400">
        <v>44567.764596099536</v>
      </c>
      <c r="AC1850" t="s">
        <v>326</v>
      </c>
    </row>
    <row r="1851" spans="1:29">
      <c r="A1851" t="s">
        <v>382</v>
      </c>
      <c r="B1851" t="s">
        <v>440</v>
      </c>
      <c r="C1851" t="s">
        <v>1362</v>
      </c>
      <c r="D1851" t="s">
        <v>1587</v>
      </c>
      <c r="E1851" t="s">
        <v>390</v>
      </c>
      <c r="F1851" t="s">
        <v>391</v>
      </c>
      <c r="G1851">
        <v>6103491</v>
      </c>
      <c r="H1851">
        <v>202112</v>
      </c>
      <c r="I1851" s="400">
        <v>44557</v>
      </c>
      <c r="J1851">
        <v>122536</v>
      </c>
      <c r="K1851" t="s">
        <v>386</v>
      </c>
      <c r="L1851" t="s">
        <v>2420</v>
      </c>
      <c r="M1851" t="s">
        <v>2421</v>
      </c>
      <c r="O1851" t="s">
        <v>512</v>
      </c>
      <c r="P1851" t="s">
        <v>513</v>
      </c>
      <c r="Q1851" t="s">
        <v>396</v>
      </c>
      <c r="R1851">
        <v>2265776</v>
      </c>
      <c r="S1851" t="s">
        <v>387</v>
      </c>
      <c r="U1851" t="s">
        <v>2422</v>
      </c>
      <c r="V1851" t="s">
        <v>398</v>
      </c>
      <c r="W1851" s="393">
        <v>39242</v>
      </c>
      <c r="X1851" s="393">
        <v>9.82</v>
      </c>
      <c r="Y1851" s="393">
        <v>88.32</v>
      </c>
      <c r="Z1851" s="393">
        <v>39242</v>
      </c>
      <c r="AA1851">
        <v>222</v>
      </c>
      <c r="AB1851" s="400">
        <v>44567.764596099536</v>
      </c>
      <c r="AC1851" t="s">
        <v>326</v>
      </c>
    </row>
    <row r="1852" spans="1:29">
      <c r="A1852" t="s">
        <v>382</v>
      </c>
      <c r="B1852" t="s">
        <v>440</v>
      </c>
      <c r="C1852" t="s">
        <v>1362</v>
      </c>
      <c r="D1852" t="s">
        <v>1587</v>
      </c>
      <c r="E1852" t="s">
        <v>390</v>
      </c>
      <c r="F1852" t="s">
        <v>391</v>
      </c>
      <c r="G1852">
        <v>6103200</v>
      </c>
      <c r="H1852">
        <v>202112</v>
      </c>
      <c r="I1852" s="400">
        <v>44533</v>
      </c>
      <c r="J1852">
        <v>124932</v>
      </c>
      <c r="K1852" t="s">
        <v>386</v>
      </c>
      <c r="L1852" t="s">
        <v>1219</v>
      </c>
      <c r="M1852" t="s">
        <v>1220</v>
      </c>
      <c r="O1852" t="s">
        <v>1380</v>
      </c>
      <c r="P1852" t="s">
        <v>1381</v>
      </c>
      <c r="Q1852" t="s">
        <v>396</v>
      </c>
      <c r="R1852">
        <v>2265776</v>
      </c>
      <c r="S1852" t="s">
        <v>387</v>
      </c>
      <c r="U1852" t="s">
        <v>2423</v>
      </c>
      <c r="V1852" t="s">
        <v>398</v>
      </c>
      <c r="W1852" s="393">
        <v>355600</v>
      </c>
      <c r="X1852" s="393">
        <v>89.95</v>
      </c>
      <c r="Y1852" s="393">
        <v>798.28</v>
      </c>
      <c r="Z1852" s="393">
        <v>355600</v>
      </c>
      <c r="AA1852">
        <v>222</v>
      </c>
      <c r="AB1852" s="400">
        <v>44547.833217905092</v>
      </c>
      <c r="AC1852" t="s">
        <v>326</v>
      </c>
    </row>
    <row r="1853" spans="1:29">
      <c r="A1853" t="s">
        <v>382</v>
      </c>
      <c r="B1853" t="s">
        <v>440</v>
      </c>
      <c r="C1853" t="s">
        <v>1362</v>
      </c>
      <c r="D1853" t="s">
        <v>1587</v>
      </c>
      <c r="E1853" t="s">
        <v>390</v>
      </c>
      <c r="F1853" t="s">
        <v>391</v>
      </c>
      <c r="G1853">
        <v>6103200</v>
      </c>
      <c r="H1853">
        <v>202112</v>
      </c>
      <c r="I1853" s="400">
        <v>44533</v>
      </c>
      <c r="J1853">
        <v>124932</v>
      </c>
      <c r="K1853" t="s">
        <v>386</v>
      </c>
      <c r="L1853" t="s">
        <v>1219</v>
      </c>
      <c r="M1853" t="s">
        <v>1220</v>
      </c>
      <c r="O1853" t="s">
        <v>1380</v>
      </c>
      <c r="P1853" t="s">
        <v>1381</v>
      </c>
      <c r="Q1853" t="s">
        <v>396</v>
      </c>
      <c r="R1853">
        <v>2265776</v>
      </c>
      <c r="S1853" t="s">
        <v>387</v>
      </c>
      <c r="U1853" t="s">
        <v>2423</v>
      </c>
      <c r="V1853" t="s">
        <v>398</v>
      </c>
      <c r="W1853" s="393">
        <v>34400</v>
      </c>
      <c r="X1853" s="393">
        <v>8.6999999999999993</v>
      </c>
      <c r="Y1853" s="393">
        <v>77.22</v>
      </c>
      <c r="Z1853" s="393">
        <v>34400</v>
      </c>
      <c r="AA1853">
        <v>0</v>
      </c>
      <c r="AB1853" s="400">
        <v>44547.833217905092</v>
      </c>
      <c r="AC1853" t="s">
        <v>326</v>
      </c>
    </row>
    <row r="1854" spans="1:29">
      <c r="A1854" t="s">
        <v>382</v>
      </c>
      <c r="B1854" t="s">
        <v>440</v>
      </c>
      <c r="C1854" t="s">
        <v>1362</v>
      </c>
      <c r="D1854" t="s">
        <v>1587</v>
      </c>
      <c r="E1854" t="s">
        <v>390</v>
      </c>
      <c r="F1854" t="s">
        <v>391</v>
      </c>
      <c r="G1854">
        <v>6103200</v>
      </c>
      <c r="H1854">
        <v>202112</v>
      </c>
      <c r="I1854" s="400">
        <v>44533</v>
      </c>
      <c r="J1854">
        <v>124932</v>
      </c>
      <c r="K1854" t="s">
        <v>386</v>
      </c>
      <c r="L1854" t="s">
        <v>1219</v>
      </c>
      <c r="M1854" t="s">
        <v>1220</v>
      </c>
      <c r="O1854" t="s">
        <v>512</v>
      </c>
      <c r="P1854" t="s">
        <v>513</v>
      </c>
      <c r="Q1854" t="s">
        <v>396</v>
      </c>
      <c r="R1854">
        <v>2265776</v>
      </c>
      <c r="S1854" t="s">
        <v>387</v>
      </c>
      <c r="U1854" t="s">
        <v>2423</v>
      </c>
      <c r="V1854" t="s">
        <v>398</v>
      </c>
      <c r="W1854" s="393">
        <v>39242</v>
      </c>
      <c r="X1854" s="393">
        <v>9.93</v>
      </c>
      <c r="Y1854" s="393">
        <v>88.09</v>
      </c>
      <c r="Z1854" s="393">
        <v>39242</v>
      </c>
      <c r="AA1854">
        <v>222</v>
      </c>
      <c r="AB1854" s="400">
        <v>44547.833217905092</v>
      </c>
      <c r="AC1854" t="s">
        <v>326</v>
      </c>
    </row>
    <row r="1855" spans="1:29">
      <c r="A1855" t="s">
        <v>382</v>
      </c>
      <c r="B1855" t="s">
        <v>440</v>
      </c>
      <c r="C1855" t="s">
        <v>1362</v>
      </c>
      <c r="D1855" t="s">
        <v>1590</v>
      </c>
      <c r="E1855" t="s">
        <v>390</v>
      </c>
      <c r="F1855" t="s">
        <v>391</v>
      </c>
      <c r="G1855">
        <v>6102319</v>
      </c>
      <c r="H1855">
        <v>202110</v>
      </c>
      <c r="I1855" s="400">
        <v>44481</v>
      </c>
      <c r="J1855">
        <v>122536</v>
      </c>
      <c r="K1855" t="s">
        <v>386</v>
      </c>
      <c r="L1855" t="s">
        <v>1162</v>
      </c>
      <c r="M1855" t="s">
        <v>1163</v>
      </c>
      <c r="O1855" t="s">
        <v>587</v>
      </c>
      <c r="P1855" t="s">
        <v>588</v>
      </c>
      <c r="Q1855" t="s">
        <v>396</v>
      </c>
      <c r="R1855">
        <v>2265776</v>
      </c>
      <c r="S1855" t="s">
        <v>387</v>
      </c>
      <c r="U1855" t="s">
        <v>2531</v>
      </c>
      <c r="V1855" t="s">
        <v>398</v>
      </c>
      <c r="W1855" s="393">
        <v>48000</v>
      </c>
      <c r="X1855" s="393">
        <v>12.52</v>
      </c>
      <c r="Y1855" s="393">
        <v>108.84</v>
      </c>
      <c r="Z1855" s="393">
        <v>48000</v>
      </c>
      <c r="AA1855">
        <v>0</v>
      </c>
      <c r="AB1855" s="400">
        <v>44483.158034224536</v>
      </c>
      <c r="AC1855" t="s">
        <v>326</v>
      </c>
    </row>
    <row r="1856" spans="1:29">
      <c r="A1856" t="s">
        <v>382</v>
      </c>
      <c r="B1856" t="s">
        <v>440</v>
      </c>
      <c r="C1856" t="s">
        <v>1362</v>
      </c>
      <c r="D1856" t="s">
        <v>1590</v>
      </c>
      <c r="E1856" t="s">
        <v>390</v>
      </c>
      <c r="F1856" t="s">
        <v>391</v>
      </c>
      <c r="G1856">
        <v>6102362</v>
      </c>
      <c r="H1856">
        <v>202110</v>
      </c>
      <c r="I1856" s="400">
        <v>44483</v>
      </c>
      <c r="J1856">
        <v>124932</v>
      </c>
      <c r="K1856" t="s">
        <v>386</v>
      </c>
      <c r="L1856" t="s">
        <v>1195</v>
      </c>
      <c r="M1856" t="s">
        <v>1196</v>
      </c>
      <c r="O1856" t="s">
        <v>587</v>
      </c>
      <c r="P1856" t="s">
        <v>588</v>
      </c>
      <c r="Q1856" t="s">
        <v>396</v>
      </c>
      <c r="R1856">
        <v>2265776</v>
      </c>
      <c r="S1856" t="s">
        <v>387</v>
      </c>
      <c r="U1856" t="s">
        <v>2532</v>
      </c>
      <c r="V1856" t="s">
        <v>398</v>
      </c>
      <c r="W1856" s="393">
        <v>182000</v>
      </c>
      <c r="X1856" s="393">
        <v>48.05</v>
      </c>
      <c r="Y1856" s="393">
        <v>413.04</v>
      </c>
      <c r="Z1856" s="393">
        <v>182000</v>
      </c>
      <c r="AA1856">
        <v>0</v>
      </c>
      <c r="AB1856" s="400">
        <v>44487.784992129629</v>
      </c>
      <c r="AC1856" t="s">
        <v>326</v>
      </c>
    </row>
    <row r="1857" spans="1:29">
      <c r="A1857" t="s">
        <v>382</v>
      </c>
      <c r="B1857" t="s">
        <v>440</v>
      </c>
      <c r="C1857" t="s">
        <v>1362</v>
      </c>
      <c r="D1857" t="s">
        <v>1590</v>
      </c>
      <c r="E1857" t="s">
        <v>390</v>
      </c>
      <c r="F1857" t="s">
        <v>391</v>
      </c>
      <c r="G1857">
        <v>6102405</v>
      </c>
      <c r="H1857">
        <v>202110</v>
      </c>
      <c r="I1857" s="400">
        <v>44477</v>
      </c>
      <c r="J1857">
        <v>124932</v>
      </c>
      <c r="K1857" t="s">
        <v>386</v>
      </c>
      <c r="L1857" t="s">
        <v>1170</v>
      </c>
      <c r="M1857" t="s">
        <v>1171</v>
      </c>
      <c r="O1857" t="s">
        <v>950</v>
      </c>
      <c r="P1857" t="s">
        <v>951</v>
      </c>
      <c r="Q1857" t="s">
        <v>450</v>
      </c>
      <c r="R1857">
        <v>2069084</v>
      </c>
      <c r="S1857" t="s">
        <v>387</v>
      </c>
      <c r="U1857" t="s">
        <v>2533</v>
      </c>
      <c r="V1857" t="s">
        <v>398</v>
      </c>
      <c r="W1857" s="393">
        <v>1000000</v>
      </c>
      <c r="X1857" s="393">
        <v>263.99</v>
      </c>
      <c r="Y1857" s="393">
        <v>2283.33</v>
      </c>
      <c r="Z1857" s="393">
        <v>1000000</v>
      </c>
      <c r="AA1857">
        <v>306</v>
      </c>
      <c r="AB1857" s="400">
        <v>44489.756518321759</v>
      </c>
      <c r="AC1857" t="s">
        <v>324</v>
      </c>
    </row>
    <row r="1858" spans="1:29">
      <c r="A1858" t="s">
        <v>382</v>
      </c>
      <c r="B1858" t="s">
        <v>440</v>
      </c>
      <c r="C1858" t="s">
        <v>1362</v>
      </c>
      <c r="D1858" t="s">
        <v>1590</v>
      </c>
      <c r="E1858" t="s">
        <v>390</v>
      </c>
      <c r="F1858" t="s">
        <v>391</v>
      </c>
      <c r="G1858">
        <v>6102361</v>
      </c>
      <c r="H1858">
        <v>202110</v>
      </c>
      <c r="I1858" s="400">
        <v>44483</v>
      </c>
      <c r="J1858">
        <v>124932</v>
      </c>
      <c r="K1858" t="s">
        <v>386</v>
      </c>
      <c r="L1858" t="s">
        <v>2435</v>
      </c>
      <c r="M1858" t="s">
        <v>2436</v>
      </c>
      <c r="O1858" t="s">
        <v>587</v>
      </c>
      <c r="P1858" t="s">
        <v>588</v>
      </c>
      <c r="Q1858" t="s">
        <v>450</v>
      </c>
      <c r="R1858">
        <v>2069084</v>
      </c>
      <c r="S1858" t="s">
        <v>387</v>
      </c>
      <c r="U1858" t="s">
        <v>2534</v>
      </c>
      <c r="V1858" t="s">
        <v>398</v>
      </c>
      <c r="W1858" s="393">
        <v>24000</v>
      </c>
      <c r="X1858" s="393">
        <v>6.34</v>
      </c>
      <c r="Y1858" s="393">
        <v>54.47</v>
      </c>
      <c r="Z1858" s="393">
        <v>24000</v>
      </c>
      <c r="AA1858">
        <v>0</v>
      </c>
      <c r="AB1858" s="400">
        <v>44487.769942743056</v>
      </c>
      <c r="AC1858" t="s">
        <v>324</v>
      </c>
    </row>
    <row r="1859" spans="1:29">
      <c r="A1859" t="s">
        <v>382</v>
      </c>
      <c r="B1859" t="s">
        <v>440</v>
      </c>
      <c r="C1859" t="s">
        <v>1362</v>
      </c>
      <c r="D1859" t="s">
        <v>1590</v>
      </c>
      <c r="E1859" t="s">
        <v>390</v>
      </c>
      <c r="F1859" t="s">
        <v>391</v>
      </c>
      <c r="G1859">
        <v>6102856</v>
      </c>
      <c r="H1859">
        <v>202111</v>
      </c>
      <c r="I1859" s="400">
        <v>44519</v>
      </c>
      <c r="J1859" t="s">
        <v>452</v>
      </c>
      <c r="K1859" t="s">
        <v>386</v>
      </c>
      <c r="L1859">
        <v>119010</v>
      </c>
      <c r="M1859" t="s">
        <v>1158</v>
      </c>
      <c r="O1859" t="s">
        <v>587</v>
      </c>
      <c r="P1859" t="s">
        <v>588</v>
      </c>
      <c r="Q1859" t="s">
        <v>450</v>
      </c>
      <c r="R1859">
        <v>2069084</v>
      </c>
      <c r="S1859" t="s">
        <v>387</v>
      </c>
      <c r="U1859" t="s">
        <v>2535</v>
      </c>
      <c r="V1859" t="s">
        <v>398</v>
      </c>
      <c r="W1859" s="393">
        <v>238000</v>
      </c>
      <c r="X1859" s="393">
        <v>60.9</v>
      </c>
      <c r="Y1859" s="393">
        <v>522.25</v>
      </c>
      <c r="Z1859" s="393">
        <v>238000</v>
      </c>
      <c r="AA1859">
        <v>0</v>
      </c>
      <c r="AB1859" s="400">
        <v>44521.653987581019</v>
      </c>
      <c r="AC1859" t="s">
        <v>324</v>
      </c>
    </row>
    <row r="1860" spans="1:29">
      <c r="A1860" t="s">
        <v>382</v>
      </c>
      <c r="B1860" t="s">
        <v>440</v>
      </c>
      <c r="C1860" t="s">
        <v>1362</v>
      </c>
      <c r="D1860" t="s">
        <v>1590</v>
      </c>
      <c r="E1860" t="s">
        <v>390</v>
      </c>
      <c r="F1860" t="s">
        <v>391</v>
      </c>
      <c r="G1860">
        <v>6102966</v>
      </c>
      <c r="H1860">
        <v>202111</v>
      </c>
      <c r="I1860" s="400">
        <v>44529</v>
      </c>
      <c r="J1860" t="s">
        <v>452</v>
      </c>
      <c r="K1860" t="s">
        <v>386</v>
      </c>
      <c r="L1860">
        <v>119010</v>
      </c>
      <c r="M1860" t="s">
        <v>1158</v>
      </c>
      <c r="O1860" t="s">
        <v>587</v>
      </c>
      <c r="P1860" t="s">
        <v>588</v>
      </c>
      <c r="Q1860" t="s">
        <v>450</v>
      </c>
      <c r="R1860">
        <v>2069084</v>
      </c>
      <c r="S1860" t="s">
        <v>387</v>
      </c>
      <c r="U1860" t="s">
        <v>2536</v>
      </c>
      <c r="V1860" t="s">
        <v>398</v>
      </c>
      <c r="W1860" s="393">
        <v>233000</v>
      </c>
      <c r="X1860" s="393">
        <v>58.7</v>
      </c>
      <c r="Y1860" s="393">
        <v>507.55</v>
      </c>
      <c r="Z1860" s="393">
        <v>233000</v>
      </c>
      <c r="AA1860">
        <v>0</v>
      </c>
      <c r="AB1860" s="400">
        <v>44529.882476273146</v>
      </c>
      <c r="AC1860" t="s">
        <v>324</v>
      </c>
    </row>
    <row r="1861" spans="1:29">
      <c r="A1861" t="s">
        <v>382</v>
      </c>
      <c r="B1861" t="s">
        <v>440</v>
      </c>
      <c r="C1861" t="s">
        <v>1362</v>
      </c>
      <c r="D1861" t="s">
        <v>1590</v>
      </c>
      <c r="E1861" t="s">
        <v>390</v>
      </c>
      <c r="F1861" t="s">
        <v>391</v>
      </c>
      <c r="G1861">
        <v>6102854</v>
      </c>
      <c r="H1861">
        <v>202111</v>
      </c>
      <c r="I1861" s="400">
        <v>44519</v>
      </c>
      <c r="J1861" t="s">
        <v>452</v>
      </c>
      <c r="K1861" t="s">
        <v>386</v>
      </c>
      <c r="L1861" t="s">
        <v>1392</v>
      </c>
      <c r="M1861" t="s">
        <v>1393</v>
      </c>
      <c r="O1861" t="s">
        <v>587</v>
      </c>
      <c r="P1861" t="s">
        <v>588</v>
      </c>
      <c r="Q1861" t="s">
        <v>450</v>
      </c>
      <c r="R1861">
        <v>2069084</v>
      </c>
      <c r="S1861" t="s">
        <v>626</v>
      </c>
      <c r="U1861" t="s">
        <v>2537</v>
      </c>
      <c r="V1861" t="s">
        <v>398</v>
      </c>
      <c r="W1861" s="393">
        <v>14000</v>
      </c>
      <c r="X1861" s="393">
        <v>3.58</v>
      </c>
      <c r="Y1861" s="393">
        <v>30.72</v>
      </c>
      <c r="Z1861" s="393">
        <v>14000</v>
      </c>
      <c r="AA1861">
        <v>0</v>
      </c>
      <c r="AB1861" s="400">
        <v>44521.61949409722</v>
      </c>
      <c r="AC1861" t="s">
        <v>324</v>
      </c>
    </row>
    <row r="1862" spans="1:29">
      <c r="A1862" t="s">
        <v>382</v>
      </c>
      <c r="B1862" t="s">
        <v>440</v>
      </c>
      <c r="C1862" t="s">
        <v>1362</v>
      </c>
      <c r="D1862" t="s">
        <v>1590</v>
      </c>
      <c r="E1862" t="s">
        <v>390</v>
      </c>
      <c r="F1862" t="s">
        <v>391</v>
      </c>
      <c r="G1862">
        <v>6102784</v>
      </c>
      <c r="H1862">
        <v>202111</v>
      </c>
      <c r="I1862" s="400">
        <v>44519</v>
      </c>
      <c r="J1862" t="s">
        <v>452</v>
      </c>
      <c r="K1862" t="s">
        <v>386</v>
      </c>
      <c r="L1862" t="s">
        <v>1191</v>
      </c>
      <c r="M1862" t="s">
        <v>1192</v>
      </c>
      <c r="O1862" t="s">
        <v>587</v>
      </c>
      <c r="P1862" t="s">
        <v>588</v>
      </c>
      <c r="Q1862" t="s">
        <v>450</v>
      </c>
      <c r="R1862">
        <v>2069084</v>
      </c>
      <c r="S1862" t="s">
        <v>387</v>
      </c>
      <c r="U1862" t="s">
        <v>2538</v>
      </c>
      <c r="V1862" t="s">
        <v>398</v>
      </c>
      <c r="W1862" s="393">
        <v>61000</v>
      </c>
      <c r="X1862" s="393">
        <v>15.61</v>
      </c>
      <c r="Y1862" s="393">
        <v>133.85</v>
      </c>
      <c r="Z1862" s="393">
        <v>61000</v>
      </c>
      <c r="AA1862">
        <v>0</v>
      </c>
      <c r="AB1862" s="400">
        <v>44519.750724108795</v>
      </c>
      <c r="AC1862" t="s">
        <v>324</v>
      </c>
    </row>
    <row r="1863" spans="1:29">
      <c r="A1863" t="s">
        <v>382</v>
      </c>
      <c r="B1863" t="s">
        <v>440</v>
      </c>
      <c r="C1863" t="s">
        <v>1362</v>
      </c>
      <c r="D1863" t="s">
        <v>1590</v>
      </c>
      <c r="E1863" t="s">
        <v>390</v>
      </c>
      <c r="F1863" t="s">
        <v>391</v>
      </c>
      <c r="G1863">
        <v>6103497</v>
      </c>
      <c r="H1863">
        <v>202112</v>
      </c>
      <c r="I1863" s="400">
        <v>44560</v>
      </c>
      <c r="J1863" t="s">
        <v>452</v>
      </c>
      <c r="K1863" t="s">
        <v>386</v>
      </c>
      <c r="L1863">
        <v>119010</v>
      </c>
      <c r="M1863" t="s">
        <v>1158</v>
      </c>
      <c r="O1863" t="s">
        <v>587</v>
      </c>
      <c r="P1863" t="s">
        <v>588</v>
      </c>
      <c r="Q1863" t="s">
        <v>450</v>
      </c>
      <c r="R1863">
        <v>2069084</v>
      </c>
      <c r="S1863" t="s">
        <v>387</v>
      </c>
      <c r="U1863" t="s">
        <v>2508</v>
      </c>
      <c r="V1863" t="s">
        <v>398</v>
      </c>
      <c r="W1863" s="393">
        <v>6000</v>
      </c>
      <c r="X1863" s="393">
        <v>1.5</v>
      </c>
      <c r="Y1863" s="393">
        <v>13.56</v>
      </c>
      <c r="Z1863" s="393">
        <v>6000</v>
      </c>
      <c r="AA1863">
        <v>0</v>
      </c>
      <c r="AB1863" s="400">
        <v>44568.649555787037</v>
      </c>
      <c r="AC1863" t="s">
        <v>324</v>
      </c>
    </row>
    <row r="1864" spans="1:29">
      <c r="A1864" t="s">
        <v>382</v>
      </c>
      <c r="B1864" t="s">
        <v>440</v>
      </c>
      <c r="C1864" t="s">
        <v>1362</v>
      </c>
      <c r="D1864" t="s">
        <v>1590</v>
      </c>
      <c r="E1864" t="s">
        <v>390</v>
      </c>
      <c r="F1864" t="s">
        <v>391</v>
      </c>
      <c r="G1864">
        <v>6103178</v>
      </c>
      <c r="H1864">
        <v>202112</v>
      </c>
      <c r="I1864" s="400">
        <v>44537</v>
      </c>
      <c r="J1864">
        <v>122536</v>
      </c>
      <c r="K1864" t="s">
        <v>386</v>
      </c>
      <c r="L1864">
        <v>119010</v>
      </c>
      <c r="M1864" t="s">
        <v>1158</v>
      </c>
      <c r="O1864" t="s">
        <v>950</v>
      </c>
      <c r="P1864" t="s">
        <v>951</v>
      </c>
      <c r="Q1864" t="s">
        <v>450</v>
      </c>
      <c r="R1864">
        <v>2069084</v>
      </c>
      <c r="S1864" t="s">
        <v>387</v>
      </c>
      <c r="U1864" t="s">
        <v>2539</v>
      </c>
      <c r="V1864" t="s">
        <v>398</v>
      </c>
      <c r="W1864" s="393">
        <v>700000</v>
      </c>
      <c r="X1864" s="393">
        <v>177.07</v>
      </c>
      <c r="Y1864" s="393">
        <v>1571.41</v>
      </c>
      <c r="Z1864" s="393">
        <v>700000</v>
      </c>
      <c r="AA1864">
        <v>0</v>
      </c>
      <c r="AB1864" s="400">
        <v>44545.707935219907</v>
      </c>
      <c r="AC1864" t="s">
        <v>324</v>
      </c>
    </row>
    <row r="1865" spans="1:29">
      <c r="A1865" t="s">
        <v>382</v>
      </c>
      <c r="B1865" t="s">
        <v>440</v>
      </c>
      <c r="C1865" t="s">
        <v>1362</v>
      </c>
      <c r="D1865" t="s">
        <v>1590</v>
      </c>
      <c r="E1865" t="s">
        <v>390</v>
      </c>
      <c r="F1865" t="s">
        <v>391</v>
      </c>
      <c r="G1865">
        <v>6103280</v>
      </c>
      <c r="H1865">
        <v>202112</v>
      </c>
      <c r="I1865" s="400">
        <v>44546</v>
      </c>
      <c r="J1865">
        <v>122536</v>
      </c>
      <c r="K1865" t="s">
        <v>386</v>
      </c>
      <c r="L1865">
        <v>124474</v>
      </c>
      <c r="M1865" t="s">
        <v>1165</v>
      </c>
      <c r="O1865" t="s">
        <v>950</v>
      </c>
      <c r="P1865" t="s">
        <v>951</v>
      </c>
      <c r="Q1865" t="s">
        <v>396</v>
      </c>
      <c r="R1865">
        <v>2265776</v>
      </c>
      <c r="S1865" t="s">
        <v>387</v>
      </c>
      <c r="U1865" t="s">
        <v>2540</v>
      </c>
      <c r="V1865" t="s">
        <v>398</v>
      </c>
      <c r="W1865" s="393">
        <v>400000</v>
      </c>
      <c r="X1865" s="393">
        <v>100.24</v>
      </c>
      <c r="Y1865" s="393">
        <v>904.05</v>
      </c>
      <c r="Z1865" s="393">
        <v>400000</v>
      </c>
      <c r="AA1865">
        <v>0</v>
      </c>
      <c r="AB1865" s="400">
        <v>44550.798714583332</v>
      </c>
      <c r="AC1865" t="s">
        <v>326</v>
      </c>
    </row>
    <row r="1866" spans="1:29">
      <c r="A1866" t="s">
        <v>382</v>
      </c>
      <c r="B1866" t="s">
        <v>440</v>
      </c>
      <c r="C1866" t="s">
        <v>1362</v>
      </c>
      <c r="D1866" t="s">
        <v>1590</v>
      </c>
      <c r="E1866" t="s">
        <v>390</v>
      </c>
      <c r="F1866" t="s">
        <v>391</v>
      </c>
      <c r="G1866">
        <v>6103409</v>
      </c>
      <c r="H1866">
        <v>202112</v>
      </c>
      <c r="I1866" s="400">
        <v>44560</v>
      </c>
      <c r="J1866" t="s">
        <v>452</v>
      </c>
      <c r="K1866" t="s">
        <v>386</v>
      </c>
      <c r="L1866">
        <v>125338</v>
      </c>
      <c r="M1866" t="s">
        <v>2444</v>
      </c>
      <c r="O1866" t="s">
        <v>587</v>
      </c>
      <c r="P1866" t="s">
        <v>588</v>
      </c>
      <c r="Q1866" t="s">
        <v>450</v>
      </c>
      <c r="R1866">
        <v>2069084</v>
      </c>
      <c r="S1866" t="s">
        <v>387</v>
      </c>
      <c r="U1866" t="s">
        <v>2541</v>
      </c>
      <c r="V1866" t="s">
        <v>398</v>
      </c>
      <c r="W1866" s="393">
        <v>12000</v>
      </c>
      <c r="X1866" s="393">
        <v>3</v>
      </c>
      <c r="Y1866" s="393">
        <v>27.01</v>
      </c>
      <c r="Z1866" s="393">
        <v>12000</v>
      </c>
      <c r="AA1866">
        <v>0</v>
      </c>
      <c r="AB1866" s="400">
        <v>44560.691188194447</v>
      </c>
      <c r="AC1866" t="s">
        <v>324</v>
      </c>
    </row>
    <row r="1867" spans="1:29">
      <c r="A1867" t="s">
        <v>382</v>
      </c>
      <c r="B1867" t="s">
        <v>440</v>
      </c>
      <c r="C1867" t="s">
        <v>1362</v>
      </c>
      <c r="D1867" t="s">
        <v>1590</v>
      </c>
      <c r="E1867" t="s">
        <v>390</v>
      </c>
      <c r="F1867" t="s">
        <v>391</v>
      </c>
      <c r="G1867">
        <v>6103385</v>
      </c>
      <c r="H1867">
        <v>202112</v>
      </c>
      <c r="I1867" s="400">
        <v>44557</v>
      </c>
      <c r="J1867" t="s">
        <v>452</v>
      </c>
      <c r="K1867" t="s">
        <v>386</v>
      </c>
      <c r="L1867" t="s">
        <v>1195</v>
      </c>
      <c r="M1867" t="s">
        <v>1196</v>
      </c>
      <c r="O1867" t="s">
        <v>587</v>
      </c>
      <c r="P1867" t="s">
        <v>588</v>
      </c>
      <c r="Q1867" t="s">
        <v>396</v>
      </c>
      <c r="R1867">
        <v>2265776</v>
      </c>
      <c r="S1867" t="s">
        <v>387</v>
      </c>
      <c r="U1867" t="s">
        <v>2542</v>
      </c>
      <c r="V1867" t="s">
        <v>398</v>
      </c>
      <c r="W1867" s="393">
        <v>24000</v>
      </c>
      <c r="X1867" s="393">
        <v>6</v>
      </c>
      <c r="Y1867" s="393">
        <v>54.01</v>
      </c>
      <c r="Z1867" s="393">
        <v>24000</v>
      </c>
      <c r="AA1867">
        <v>0</v>
      </c>
      <c r="AB1867" s="400">
        <v>44558.918471909725</v>
      </c>
      <c r="AC1867" t="s">
        <v>326</v>
      </c>
    </row>
    <row r="1868" spans="1:29">
      <c r="A1868" t="s">
        <v>382</v>
      </c>
      <c r="B1868" t="s">
        <v>440</v>
      </c>
      <c r="C1868" t="s">
        <v>1362</v>
      </c>
      <c r="D1868" t="s">
        <v>1590</v>
      </c>
      <c r="E1868" t="s">
        <v>390</v>
      </c>
      <c r="F1868" t="s">
        <v>391</v>
      </c>
      <c r="G1868">
        <v>6103349</v>
      </c>
      <c r="H1868">
        <v>202112</v>
      </c>
      <c r="I1868" s="400">
        <v>44547</v>
      </c>
      <c r="J1868" t="s">
        <v>452</v>
      </c>
      <c r="K1868" t="s">
        <v>386</v>
      </c>
      <c r="L1868" t="s">
        <v>1195</v>
      </c>
      <c r="M1868" t="s">
        <v>1196</v>
      </c>
      <c r="O1868" t="s">
        <v>1314</v>
      </c>
      <c r="P1868" t="s">
        <v>1315</v>
      </c>
      <c r="Q1868" t="s">
        <v>450</v>
      </c>
      <c r="R1868">
        <v>2069084</v>
      </c>
      <c r="S1868" t="s">
        <v>2354</v>
      </c>
      <c r="U1868" t="s">
        <v>2355</v>
      </c>
      <c r="V1868" t="s">
        <v>398</v>
      </c>
      <c r="W1868" s="393">
        <v>1843698</v>
      </c>
      <c r="X1868" s="393">
        <v>462.05</v>
      </c>
      <c r="Y1868" s="393">
        <v>4167</v>
      </c>
      <c r="Z1868" s="393">
        <v>1843698</v>
      </c>
      <c r="AA1868">
        <v>147</v>
      </c>
      <c r="AB1868" s="400">
        <v>44552.118334340281</v>
      </c>
      <c r="AC1868" t="s">
        <v>324</v>
      </c>
    </row>
    <row r="1869" spans="1:29">
      <c r="A1869" t="s">
        <v>382</v>
      </c>
      <c r="B1869" t="s">
        <v>1157</v>
      </c>
      <c r="C1869" t="s">
        <v>1362</v>
      </c>
      <c r="D1869" t="s">
        <v>1590</v>
      </c>
      <c r="E1869" t="s">
        <v>1448</v>
      </c>
      <c r="F1869" t="s">
        <v>1449</v>
      </c>
      <c r="G1869">
        <v>7101060</v>
      </c>
      <c r="H1869">
        <v>202112</v>
      </c>
      <c r="I1869" s="400">
        <v>44560</v>
      </c>
      <c r="J1869" t="s">
        <v>1036</v>
      </c>
      <c r="K1869" t="s">
        <v>386</v>
      </c>
      <c r="L1869" t="s">
        <v>1219</v>
      </c>
      <c r="M1869" t="s">
        <v>1220</v>
      </c>
      <c r="O1869" t="s">
        <v>587</v>
      </c>
      <c r="P1869" t="s">
        <v>588</v>
      </c>
      <c r="Q1869" t="s">
        <v>396</v>
      </c>
      <c r="R1869">
        <v>2265776</v>
      </c>
      <c r="S1869" t="s">
        <v>387</v>
      </c>
      <c r="U1869" t="s">
        <v>2543</v>
      </c>
      <c r="V1869" t="s">
        <v>398</v>
      </c>
      <c r="W1869" s="393">
        <v>229000</v>
      </c>
      <c r="X1869" s="393">
        <v>56.91</v>
      </c>
      <c r="Y1869" s="393">
        <v>512.05999999999995</v>
      </c>
      <c r="Z1869" s="393">
        <v>229000</v>
      </c>
      <c r="AA1869">
        <v>0</v>
      </c>
      <c r="AB1869" s="400">
        <v>44565.977558217593</v>
      </c>
      <c r="AC1869" t="s">
        <v>326</v>
      </c>
    </row>
    <row r="1870" spans="1:29">
      <c r="A1870" t="s">
        <v>382</v>
      </c>
      <c r="B1870" t="s">
        <v>440</v>
      </c>
      <c r="C1870" t="s">
        <v>1362</v>
      </c>
      <c r="D1870" t="s">
        <v>2544</v>
      </c>
      <c r="E1870" t="s">
        <v>390</v>
      </c>
      <c r="F1870" t="s">
        <v>391</v>
      </c>
      <c r="G1870">
        <v>6103429</v>
      </c>
      <c r="H1870">
        <v>202112</v>
      </c>
      <c r="I1870" s="400">
        <v>44560</v>
      </c>
      <c r="J1870" t="s">
        <v>452</v>
      </c>
      <c r="K1870" t="s">
        <v>386</v>
      </c>
      <c r="L1870" t="s">
        <v>1175</v>
      </c>
      <c r="M1870" t="s">
        <v>1176</v>
      </c>
      <c r="O1870" t="s">
        <v>950</v>
      </c>
      <c r="P1870" t="s">
        <v>951</v>
      </c>
      <c r="Q1870" t="s">
        <v>396</v>
      </c>
      <c r="R1870">
        <v>2265776</v>
      </c>
      <c r="S1870" t="s">
        <v>2545</v>
      </c>
      <c r="U1870" t="s">
        <v>2546</v>
      </c>
      <c r="V1870" t="s">
        <v>398</v>
      </c>
      <c r="W1870" s="393">
        <v>2500000</v>
      </c>
      <c r="X1870" s="393">
        <v>621.33000000000004</v>
      </c>
      <c r="Y1870" s="393">
        <v>5590.13</v>
      </c>
      <c r="Z1870" s="393">
        <v>2500000</v>
      </c>
      <c r="AA1870">
        <v>306</v>
      </c>
      <c r="AB1870" s="400">
        <v>44565.617813425924</v>
      </c>
      <c r="AC1870" t="s">
        <v>326</v>
      </c>
    </row>
    <row r="1871" spans="1:29">
      <c r="A1871" t="s">
        <v>382</v>
      </c>
      <c r="B1871" t="s">
        <v>440</v>
      </c>
      <c r="C1871" t="s">
        <v>1362</v>
      </c>
      <c r="D1871" t="s">
        <v>2544</v>
      </c>
      <c r="E1871" t="s">
        <v>390</v>
      </c>
      <c r="F1871" t="s">
        <v>391</v>
      </c>
      <c r="G1871">
        <v>6103299</v>
      </c>
      <c r="H1871">
        <v>202112</v>
      </c>
      <c r="I1871" s="400">
        <v>44547</v>
      </c>
      <c r="J1871" t="s">
        <v>452</v>
      </c>
      <c r="K1871" t="s">
        <v>386</v>
      </c>
      <c r="L1871" t="s">
        <v>1195</v>
      </c>
      <c r="M1871" t="s">
        <v>1196</v>
      </c>
      <c r="O1871" t="s">
        <v>2547</v>
      </c>
      <c r="P1871" t="s">
        <v>2548</v>
      </c>
      <c r="Q1871" t="s">
        <v>396</v>
      </c>
      <c r="R1871">
        <v>2265776</v>
      </c>
      <c r="S1871" t="s">
        <v>387</v>
      </c>
      <c r="U1871" t="s">
        <v>2549</v>
      </c>
      <c r="V1871" t="s">
        <v>398</v>
      </c>
      <c r="W1871" s="393">
        <v>1900000</v>
      </c>
      <c r="X1871" s="393">
        <v>476.16</v>
      </c>
      <c r="Y1871" s="393">
        <v>4294.25</v>
      </c>
      <c r="Z1871" s="393">
        <v>1900000</v>
      </c>
      <c r="AA1871">
        <v>306</v>
      </c>
      <c r="AB1871" s="400">
        <v>44550.938186377316</v>
      </c>
      <c r="AC1871" t="s">
        <v>326</v>
      </c>
    </row>
    <row r="1872" spans="1:29">
      <c r="A1872" t="s">
        <v>382</v>
      </c>
      <c r="B1872" t="s">
        <v>440</v>
      </c>
      <c r="C1872" t="s">
        <v>1362</v>
      </c>
      <c r="D1872" t="s">
        <v>2544</v>
      </c>
      <c r="E1872" t="s">
        <v>390</v>
      </c>
      <c r="F1872" t="s">
        <v>391</v>
      </c>
      <c r="G1872">
        <v>6103299</v>
      </c>
      <c r="H1872">
        <v>202112</v>
      </c>
      <c r="I1872" s="400">
        <v>44547</v>
      </c>
      <c r="J1872" t="s">
        <v>452</v>
      </c>
      <c r="K1872" t="s">
        <v>386</v>
      </c>
      <c r="L1872" t="s">
        <v>1195</v>
      </c>
      <c r="M1872" t="s">
        <v>1196</v>
      </c>
      <c r="O1872" t="s">
        <v>2550</v>
      </c>
      <c r="P1872" t="s">
        <v>2551</v>
      </c>
      <c r="Q1872" t="s">
        <v>396</v>
      </c>
      <c r="R1872">
        <v>2265776</v>
      </c>
      <c r="S1872" t="s">
        <v>387</v>
      </c>
      <c r="U1872" t="s">
        <v>2552</v>
      </c>
      <c r="V1872" t="s">
        <v>398</v>
      </c>
      <c r="W1872" s="393">
        <v>900000</v>
      </c>
      <c r="X1872" s="393">
        <v>225.55</v>
      </c>
      <c r="Y1872" s="393">
        <v>2034.12</v>
      </c>
      <c r="Z1872" s="393">
        <v>900000</v>
      </c>
      <c r="AA1872">
        <v>0</v>
      </c>
      <c r="AB1872" s="400">
        <v>44550.938186377316</v>
      </c>
      <c r="AC1872" t="s">
        <v>326</v>
      </c>
    </row>
    <row r="1873" spans="1:29">
      <c r="A1873" t="s">
        <v>382</v>
      </c>
      <c r="B1873" t="s">
        <v>440</v>
      </c>
      <c r="C1873" t="s">
        <v>1362</v>
      </c>
      <c r="D1873" t="s">
        <v>2544</v>
      </c>
      <c r="E1873" t="s">
        <v>390</v>
      </c>
      <c r="F1873" t="s">
        <v>391</v>
      </c>
      <c r="G1873">
        <v>6103417</v>
      </c>
      <c r="H1873">
        <v>202112</v>
      </c>
      <c r="I1873" s="400">
        <v>44560</v>
      </c>
      <c r="J1873" t="s">
        <v>452</v>
      </c>
      <c r="K1873" t="s">
        <v>386</v>
      </c>
      <c r="L1873" t="s">
        <v>1195</v>
      </c>
      <c r="M1873" t="s">
        <v>1196</v>
      </c>
      <c r="O1873" t="s">
        <v>950</v>
      </c>
      <c r="P1873" t="s">
        <v>951</v>
      </c>
      <c r="Q1873" t="s">
        <v>396</v>
      </c>
      <c r="R1873">
        <v>2265776</v>
      </c>
      <c r="S1873" t="s">
        <v>387</v>
      </c>
      <c r="U1873" t="s">
        <v>2553</v>
      </c>
      <c r="V1873" t="s">
        <v>398</v>
      </c>
      <c r="W1873" s="393">
        <v>750000</v>
      </c>
      <c r="X1873" s="393">
        <v>187.61</v>
      </c>
      <c r="Y1873" s="393">
        <v>1687.9</v>
      </c>
      <c r="Z1873" s="393">
        <v>750000</v>
      </c>
      <c r="AA1873">
        <v>0</v>
      </c>
      <c r="AB1873" s="400">
        <v>44564.673592743056</v>
      </c>
      <c r="AC1873" t="s">
        <v>326</v>
      </c>
    </row>
    <row r="1874" spans="1:29">
      <c r="A1874" t="s">
        <v>382</v>
      </c>
      <c r="B1874" t="s">
        <v>440</v>
      </c>
      <c r="C1874" t="s">
        <v>1362</v>
      </c>
      <c r="D1874" t="s">
        <v>1607</v>
      </c>
      <c r="E1874" t="s">
        <v>390</v>
      </c>
      <c r="F1874" t="s">
        <v>391</v>
      </c>
      <c r="G1874">
        <v>6102966</v>
      </c>
      <c r="H1874">
        <v>202111</v>
      </c>
      <c r="I1874" s="400">
        <v>44529</v>
      </c>
      <c r="J1874" t="s">
        <v>452</v>
      </c>
      <c r="K1874" t="s">
        <v>386</v>
      </c>
      <c r="L1874">
        <v>119010</v>
      </c>
      <c r="M1874" t="s">
        <v>1158</v>
      </c>
      <c r="O1874" t="s">
        <v>480</v>
      </c>
      <c r="P1874" t="s">
        <v>481</v>
      </c>
      <c r="Q1874" t="s">
        <v>450</v>
      </c>
      <c r="R1874">
        <v>2069080</v>
      </c>
      <c r="S1874" t="s">
        <v>387</v>
      </c>
      <c r="U1874" t="s">
        <v>2554</v>
      </c>
      <c r="V1874" t="s">
        <v>398</v>
      </c>
      <c r="W1874" s="393">
        <v>2200</v>
      </c>
      <c r="X1874" s="393">
        <v>0.55000000000000004</v>
      </c>
      <c r="Y1874" s="393">
        <v>4.79</v>
      </c>
      <c r="Z1874" s="393">
        <v>2200</v>
      </c>
      <c r="AA1874">
        <v>0</v>
      </c>
      <c r="AB1874" s="400">
        <v>44529.882476273146</v>
      </c>
      <c r="AC1874" t="s">
        <v>324</v>
      </c>
    </row>
    <row r="1875" spans="1:29">
      <c r="A1875" t="s">
        <v>382</v>
      </c>
      <c r="B1875" t="s">
        <v>440</v>
      </c>
      <c r="C1875" t="s">
        <v>1362</v>
      </c>
      <c r="D1875" t="s">
        <v>1607</v>
      </c>
      <c r="E1875" t="s">
        <v>390</v>
      </c>
      <c r="F1875" t="s">
        <v>391</v>
      </c>
      <c r="G1875">
        <v>6103111</v>
      </c>
      <c r="H1875">
        <v>202111</v>
      </c>
      <c r="I1875" s="400">
        <v>44529</v>
      </c>
      <c r="J1875" t="s">
        <v>452</v>
      </c>
      <c r="K1875" t="s">
        <v>386</v>
      </c>
      <c r="L1875">
        <v>119010</v>
      </c>
      <c r="M1875" t="s">
        <v>1158</v>
      </c>
      <c r="O1875" t="s">
        <v>480</v>
      </c>
      <c r="P1875" t="s">
        <v>481</v>
      </c>
      <c r="Q1875" t="s">
        <v>450</v>
      </c>
      <c r="R1875">
        <v>2069080</v>
      </c>
      <c r="S1875" t="s">
        <v>387</v>
      </c>
      <c r="U1875" t="s">
        <v>2555</v>
      </c>
      <c r="V1875" t="s">
        <v>398</v>
      </c>
      <c r="W1875" s="393">
        <v>-2200</v>
      </c>
      <c r="X1875" s="393">
        <v>-0.55000000000000004</v>
      </c>
      <c r="Y1875" s="393">
        <v>-4.79</v>
      </c>
      <c r="Z1875" s="393">
        <v>-2200</v>
      </c>
      <c r="AA1875">
        <v>0</v>
      </c>
      <c r="AB1875" s="400">
        <v>44533.063123148146</v>
      </c>
      <c r="AC1875" t="s">
        <v>324</v>
      </c>
    </row>
    <row r="1876" spans="1:29">
      <c r="A1876" t="s">
        <v>382</v>
      </c>
      <c r="B1876" t="s">
        <v>440</v>
      </c>
      <c r="C1876" t="s">
        <v>1362</v>
      </c>
      <c r="D1876" t="s">
        <v>1607</v>
      </c>
      <c r="E1876" t="s">
        <v>390</v>
      </c>
      <c r="F1876" t="s">
        <v>391</v>
      </c>
      <c r="G1876">
        <v>6102854</v>
      </c>
      <c r="H1876">
        <v>202111</v>
      </c>
      <c r="I1876" s="400">
        <v>44519</v>
      </c>
      <c r="J1876" t="s">
        <v>452</v>
      </c>
      <c r="K1876" t="s">
        <v>386</v>
      </c>
      <c r="L1876" t="s">
        <v>1392</v>
      </c>
      <c r="M1876" t="s">
        <v>1393</v>
      </c>
      <c r="O1876" t="s">
        <v>2556</v>
      </c>
      <c r="P1876" t="s">
        <v>2557</v>
      </c>
      <c r="Q1876" t="s">
        <v>450</v>
      </c>
      <c r="R1876">
        <v>2069084</v>
      </c>
      <c r="S1876" t="s">
        <v>2558</v>
      </c>
      <c r="U1876" t="s">
        <v>2559</v>
      </c>
      <c r="V1876" t="s">
        <v>398</v>
      </c>
      <c r="W1876" s="393">
        <v>3000</v>
      </c>
      <c r="X1876" s="393">
        <v>0.77</v>
      </c>
      <c r="Y1876" s="393">
        <v>6.58</v>
      </c>
      <c r="Z1876" s="393">
        <v>3000</v>
      </c>
      <c r="AA1876">
        <v>0</v>
      </c>
      <c r="AB1876" s="400">
        <v>44521.61949394676</v>
      </c>
      <c r="AC1876" t="s">
        <v>324</v>
      </c>
    </row>
    <row r="1877" spans="1:29">
      <c r="A1877" t="s">
        <v>382</v>
      </c>
      <c r="B1877" t="s">
        <v>440</v>
      </c>
      <c r="C1877" t="s">
        <v>1362</v>
      </c>
      <c r="D1877" t="s">
        <v>1607</v>
      </c>
      <c r="E1877" t="s">
        <v>390</v>
      </c>
      <c r="F1877" t="s">
        <v>391</v>
      </c>
      <c r="G1877">
        <v>6103409</v>
      </c>
      <c r="H1877">
        <v>202112</v>
      </c>
      <c r="I1877" s="400">
        <v>44560</v>
      </c>
      <c r="J1877" t="s">
        <v>452</v>
      </c>
      <c r="K1877" t="s">
        <v>386</v>
      </c>
      <c r="L1877">
        <v>125338</v>
      </c>
      <c r="M1877" t="s">
        <v>2444</v>
      </c>
      <c r="O1877" t="s">
        <v>2018</v>
      </c>
      <c r="P1877" t="s">
        <v>2019</v>
      </c>
      <c r="Q1877" t="s">
        <v>450</v>
      </c>
      <c r="R1877">
        <v>2069084</v>
      </c>
      <c r="S1877" t="s">
        <v>387</v>
      </c>
      <c r="U1877" t="s">
        <v>2560</v>
      </c>
      <c r="V1877" t="s">
        <v>398</v>
      </c>
      <c r="W1877" s="393">
        <v>60</v>
      </c>
      <c r="X1877" s="393">
        <v>0.02</v>
      </c>
      <c r="Y1877" s="393">
        <v>0.14000000000000001</v>
      </c>
      <c r="Z1877" s="393">
        <v>60</v>
      </c>
      <c r="AA1877">
        <v>316</v>
      </c>
      <c r="AB1877" s="400">
        <v>44560.69118854167</v>
      </c>
      <c r="AC1877" t="s">
        <v>324</v>
      </c>
    </row>
    <row r="1878" spans="1:29">
      <c r="A1878" t="s">
        <v>382</v>
      </c>
      <c r="B1878" t="s">
        <v>440</v>
      </c>
      <c r="C1878" t="s">
        <v>1362</v>
      </c>
      <c r="D1878" t="s">
        <v>1607</v>
      </c>
      <c r="E1878" t="s">
        <v>390</v>
      </c>
      <c r="F1878" t="s">
        <v>391</v>
      </c>
      <c r="G1878">
        <v>6103409</v>
      </c>
      <c r="H1878">
        <v>202112</v>
      </c>
      <c r="I1878" s="400">
        <v>44560</v>
      </c>
      <c r="J1878" t="s">
        <v>452</v>
      </c>
      <c r="K1878" t="s">
        <v>386</v>
      </c>
      <c r="L1878">
        <v>125338</v>
      </c>
      <c r="M1878" t="s">
        <v>2444</v>
      </c>
      <c r="O1878" t="s">
        <v>2018</v>
      </c>
      <c r="P1878" t="s">
        <v>2019</v>
      </c>
      <c r="Q1878" t="s">
        <v>450</v>
      </c>
      <c r="R1878">
        <v>2069084</v>
      </c>
      <c r="S1878" t="s">
        <v>387</v>
      </c>
      <c r="U1878" t="s">
        <v>2560</v>
      </c>
      <c r="V1878" t="s">
        <v>398</v>
      </c>
      <c r="W1878" s="393">
        <v>59777</v>
      </c>
      <c r="X1878" s="393">
        <v>14.95</v>
      </c>
      <c r="Y1878" s="393">
        <v>134.53</v>
      </c>
      <c r="Z1878" s="393">
        <v>59777</v>
      </c>
      <c r="AA1878">
        <v>316</v>
      </c>
      <c r="AB1878" s="400">
        <v>44560.691188344907</v>
      </c>
      <c r="AC1878" t="s">
        <v>324</v>
      </c>
    </row>
    <row r="1879" spans="1:29">
      <c r="A1879" t="s">
        <v>382</v>
      </c>
      <c r="B1879" t="s">
        <v>440</v>
      </c>
      <c r="C1879" t="s">
        <v>1362</v>
      </c>
      <c r="D1879" t="s">
        <v>1607</v>
      </c>
      <c r="E1879" t="s">
        <v>390</v>
      </c>
      <c r="F1879" t="s">
        <v>391</v>
      </c>
      <c r="G1879">
        <v>6103409</v>
      </c>
      <c r="H1879">
        <v>202112</v>
      </c>
      <c r="I1879" s="400">
        <v>44560</v>
      </c>
      <c r="J1879" t="s">
        <v>452</v>
      </c>
      <c r="K1879" t="s">
        <v>386</v>
      </c>
      <c r="L1879">
        <v>125338</v>
      </c>
      <c r="M1879" t="s">
        <v>2444</v>
      </c>
      <c r="O1879" t="s">
        <v>1001</v>
      </c>
      <c r="P1879" t="s">
        <v>1002</v>
      </c>
      <c r="Q1879" t="s">
        <v>450</v>
      </c>
      <c r="R1879">
        <v>2069084</v>
      </c>
      <c r="S1879" t="s">
        <v>387</v>
      </c>
      <c r="U1879" t="s">
        <v>2561</v>
      </c>
      <c r="V1879" t="s">
        <v>398</v>
      </c>
      <c r="W1879" s="393">
        <v>9000</v>
      </c>
      <c r="X1879" s="393">
        <v>2.25</v>
      </c>
      <c r="Y1879" s="393">
        <v>20.25</v>
      </c>
      <c r="Z1879" s="393">
        <v>9000</v>
      </c>
      <c r="AA1879">
        <v>0</v>
      </c>
      <c r="AB1879" s="400">
        <v>44560.691188194447</v>
      </c>
      <c r="AC1879" t="s">
        <v>324</v>
      </c>
    </row>
    <row r="1880" spans="1:29">
      <c r="A1880" t="s">
        <v>382</v>
      </c>
      <c r="B1880" t="s">
        <v>440</v>
      </c>
      <c r="C1880" t="s">
        <v>1362</v>
      </c>
      <c r="D1880" t="s">
        <v>1607</v>
      </c>
      <c r="E1880" t="s">
        <v>390</v>
      </c>
      <c r="F1880" t="s">
        <v>391</v>
      </c>
      <c r="G1880">
        <v>6103409</v>
      </c>
      <c r="H1880">
        <v>202112</v>
      </c>
      <c r="I1880" s="400">
        <v>44560</v>
      </c>
      <c r="J1880" t="s">
        <v>452</v>
      </c>
      <c r="K1880" t="s">
        <v>386</v>
      </c>
      <c r="L1880">
        <v>125338</v>
      </c>
      <c r="M1880" t="s">
        <v>2444</v>
      </c>
      <c r="O1880" t="s">
        <v>1001</v>
      </c>
      <c r="P1880" t="s">
        <v>1002</v>
      </c>
      <c r="Q1880" t="s">
        <v>450</v>
      </c>
      <c r="R1880">
        <v>2069084</v>
      </c>
      <c r="S1880" t="s">
        <v>387</v>
      </c>
      <c r="U1880" t="s">
        <v>2562</v>
      </c>
      <c r="V1880" t="s">
        <v>398</v>
      </c>
      <c r="W1880" s="393">
        <v>9000</v>
      </c>
      <c r="X1880" s="393">
        <v>2.25</v>
      </c>
      <c r="Y1880" s="393">
        <v>20.25</v>
      </c>
      <c r="Z1880" s="393">
        <v>9000</v>
      </c>
      <c r="AA1880">
        <v>0</v>
      </c>
      <c r="AB1880" s="400">
        <v>44560.691188194447</v>
      </c>
      <c r="AC1880" t="s">
        <v>324</v>
      </c>
    </row>
    <row r="1881" spans="1:29">
      <c r="A1881" t="s">
        <v>382</v>
      </c>
      <c r="B1881" t="s">
        <v>1214</v>
      </c>
      <c r="C1881" t="s">
        <v>2563</v>
      </c>
      <c r="D1881" t="s">
        <v>2564</v>
      </c>
      <c r="E1881" t="s">
        <v>2565</v>
      </c>
      <c r="F1881" t="s">
        <v>2566</v>
      </c>
      <c r="G1881">
        <v>22100488</v>
      </c>
      <c r="H1881">
        <v>202112</v>
      </c>
      <c r="I1881" s="400">
        <v>44559</v>
      </c>
      <c r="J1881" t="s">
        <v>2567</v>
      </c>
      <c r="K1881" t="s">
        <v>386</v>
      </c>
      <c r="M1881" t="s">
        <v>387</v>
      </c>
      <c r="O1881" t="s">
        <v>2568</v>
      </c>
      <c r="P1881" t="s">
        <v>2569</v>
      </c>
      <c r="Q1881" t="s">
        <v>450</v>
      </c>
      <c r="R1881">
        <v>2069082</v>
      </c>
      <c r="S1881" t="s">
        <v>2570</v>
      </c>
      <c r="U1881" t="s">
        <v>2571</v>
      </c>
      <c r="V1881" t="s">
        <v>398</v>
      </c>
      <c r="W1881" s="393">
        <v>1306250</v>
      </c>
      <c r="X1881" s="393">
        <v>326.75</v>
      </c>
      <c r="Y1881" s="393">
        <v>2939.75</v>
      </c>
      <c r="Z1881" s="393">
        <v>1306250</v>
      </c>
      <c r="AA1881">
        <v>0</v>
      </c>
      <c r="AB1881" s="400">
        <v>44559.746979895834</v>
      </c>
      <c r="AC1881" t="s">
        <v>324</v>
      </c>
    </row>
    <row r="1882" spans="1:29">
      <c r="A1882" t="s">
        <v>382</v>
      </c>
      <c r="B1882" t="s">
        <v>1214</v>
      </c>
      <c r="C1882" t="s">
        <v>2563</v>
      </c>
      <c r="D1882" t="s">
        <v>2572</v>
      </c>
      <c r="E1882" t="s">
        <v>2565</v>
      </c>
      <c r="F1882" t="s">
        <v>2566</v>
      </c>
      <c r="G1882">
        <v>22100488</v>
      </c>
      <c r="H1882">
        <v>202112</v>
      </c>
      <c r="I1882" s="400">
        <v>44559</v>
      </c>
      <c r="J1882" t="s">
        <v>2567</v>
      </c>
      <c r="K1882" t="s">
        <v>386</v>
      </c>
      <c r="M1882" t="s">
        <v>387</v>
      </c>
      <c r="O1882" t="s">
        <v>2568</v>
      </c>
      <c r="P1882" t="s">
        <v>2569</v>
      </c>
      <c r="Q1882" t="s">
        <v>450</v>
      </c>
      <c r="R1882">
        <v>2069082</v>
      </c>
      <c r="S1882" t="s">
        <v>2570</v>
      </c>
      <c r="U1882" t="s">
        <v>2571</v>
      </c>
      <c r="V1882" t="s">
        <v>398</v>
      </c>
      <c r="W1882" s="393">
        <v>6875000</v>
      </c>
      <c r="X1882" s="393">
        <v>1719.71</v>
      </c>
      <c r="Y1882" s="393">
        <v>15472.39</v>
      </c>
      <c r="Z1882" s="393">
        <v>6875000</v>
      </c>
      <c r="AA1882">
        <v>145</v>
      </c>
      <c r="AB1882" s="400">
        <v>44559.746979745367</v>
      </c>
      <c r="AC1882" t="s">
        <v>324</v>
      </c>
    </row>
    <row r="1883" spans="1:29">
      <c r="A1883" t="s">
        <v>382</v>
      </c>
      <c r="B1883" t="s">
        <v>382</v>
      </c>
      <c r="C1883" t="s">
        <v>2573</v>
      </c>
      <c r="D1883" t="s">
        <v>2574</v>
      </c>
      <c r="E1883" t="s">
        <v>390</v>
      </c>
      <c r="F1883" t="s">
        <v>391</v>
      </c>
      <c r="G1883">
        <v>6103541</v>
      </c>
      <c r="H1883">
        <v>202112</v>
      </c>
      <c r="I1883" s="400">
        <v>44561</v>
      </c>
      <c r="J1883">
        <v>119010</v>
      </c>
      <c r="K1883" t="s">
        <v>386</v>
      </c>
      <c r="M1883" t="s">
        <v>387</v>
      </c>
      <c r="O1883" t="s">
        <v>394</v>
      </c>
      <c r="P1883" t="s">
        <v>395</v>
      </c>
      <c r="Q1883" t="s">
        <v>396</v>
      </c>
      <c r="R1883" t="s">
        <v>387</v>
      </c>
      <c r="S1883" t="s">
        <v>392</v>
      </c>
      <c r="U1883" t="s">
        <v>2575</v>
      </c>
      <c r="V1883" t="s">
        <v>398</v>
      </c>
      <c r="W1883" s="393">
        <v>-412298.83</v>
      </c>
      <c r="X1883" s="393">
        <v>-115.03</v>
      </c>
      <c r="Y1883" s="393">
        <v>-970.96</v>
      </c>
      <c r="Z1883" s="393">
        <v>-412298.83</v>
      </c>
      <c r="AA1883">
        <v>0</v>
      </c>
      <c r="AB1883" s="400">
        <v>44580.209361574074</v>
      </c>
      <c r="AC1883" t="s">
        <v>2576</v>
      </c>
    </row>
    <row r="1884" spans="1:29">
      <c r="A1884" t="s">
        <v>382</v>
      </c>
      <c r="B1884" t="s">
        <v>440</v>
      </c>
      <c r="C1884" t="s">
        <v>1637</v>
      </c>
      <c r="D1884" t="s">
        <v>1638</v>
      </c>
      <c r="E1884" t="s">
        <v>390</v>
      </c>
      <c r="F1884" t="s">
        <v>391</v>
      </c>
      <c r="G1884">
        <v>6103480</v>
      </c>
      <c r="H1884">
        <v>202112</v>
      </c>
      <c r="I1884" s="400">
        <v>44560</v>
      </c>
      <c r="J1884" t="s">
        <v>1016</v>
      </c>
      <c r="K1884" t="s">
        <v>386</v>
      </c>
      <c r="M1884" t="s">
        <v>387</v>
      </c>
      <c r="O1884" t="s">
        <v>480</v>
      </c>
      <c r="P1884" t="s">
        <v>481</v>
      </c>
      <c r="Q1884" t="s">
        <v>450</v>
      </c>
      <c r="R1884">
        <v>2069080</v>
      </c>
      <c r="S1884" t="s">
        <v>387</v>
      </c>
      <c r="U1884" t="s">
        <v>2577</v>
      </c>
      <c r="V1884" t="s">
        <v>398</v>
      </c>
      <c r="W1884" s="393">
        <v>303266.5</v>
      </c>
      <c r="X1884" s="393">
        <v>75.37</v>
      </c>
      <c r="Y1884" s="393">
        <v>678.12</v>
      </c>
      <c r="Z1884" s="393">
        <v>303266.5</v>
      </c>
      <c r="AA1884">
        <v>0</v>
      </c>
      <c r="AB1884" s="400">
        <v>44567.128697800923</v>
      </c>
      <c r="AC1884" t="s">
        <v>324</v>
      </c>
    </row>
    <row r="1885" spans="1:29">
      <c r="A1885" t="s">
        <v>382</v>
      </c>
      <c r="B1885" t="s">
        <v>440</v>
      </c>
      <c r="C1885" t="s">
        <v>1637</v>
      </c>
      <c r="D1885" t="s">
        <v>1638</v>
      </c>
      <c r="E1885" t="s">
        <v>390</v>
      </c>
      <c r="F1885" t="s">
        <v>391</v>
      </c>
      <c r="G1885">
        <v>6103479</v>
      </c>
      <c r="H1885">
        <v>202112</v>
      </c>
      <c r="I1885" s="400">
        <v>44560</v>
      </c>
      <c r="J1885" t="s">
        <v>1016</v>
      </c>
      <c r="K1885" t="s">
        <v>386</v>
      </c>
      <c r="M1885" t="s">
        <v>387</v>
      </c>
      <c r="O1885" t="s">
        <v>480</v>
      </c>
      <c r="P1885" t="s">
        <v>481</v>
      </c>
      <c r="Q1885" t="s">
        <v>450</v>
      </c>
      <c r="R1885">
        <v>2069080</v>
      </c>
      <c r="S1885" t="s">
        <v>387</v>
      </c>
      <c r="U1885" t="s">
        <v>2578</v>
      </c>
      <c r="V1885" t="s">
        <v>398</v>
      </c>
      <c r="W1885" s="393">
        <v>446.5</v>
      </c>
      <c r="X1885" s="393">
        <v>0.11</v>
      </c>
      <c r="Y1885" s="393">
        <v>1</v>
      </c>
      <c r="Z1885" s="393">
        <v>446.5</v>
      </c>
      <c r="AA1885">
        <v>0</v>
      </c>
      <c r="AB1885" s="400">
        <v>44567.074358877318</v>
      </c>
      <c r="AC1885" t="s">
        <v>324</v>
      </c>
    </row>
    <row r="1886" spans="1:29">
      <c r="A1886" t="s">
        <v>382</v>
      </c>
      <c r="B1886" t="s">
        <v>440</v>
      </c>
      <c r="C1886" t="s">
        <v>1637</v>
      </c>
      <c r="D1886" t="s">
        <v>1638</v>
      </c>
      <c r="E1886" t="s">
        <v>390</v>
      </c>
      <c r="F1886" t="s">
        <v>391</v>
      </c>
      <c r="G1886">
        <v>6103479</v>
      </c>
      <c r="H1886">
        <v>202112</v>
      </c>
      <c r="I1886" s="400">
        <v>44560</v>
      </c>
      <c r="J1886" t="s">
        <v>1016</v>
      </c>
      <c r="K1886" t="s">
        <v>386</v>
      </c>
      <c r="M1886" t="s">
        <v>387</v>
      </c>
      <c r="O1886" t="s">
        <v>480</v>
      </c>
      <c r="P1886" t="s">
        <v>481</v>
      </c>
      <c r="Q1886" t="s">
        <v>450</v>
      </c>
      <c r="R1886">
        <v>2069080</v>
      </c>
      <c r="S1886" t="s">
        <v>387</v>
      </c>
      <c r="U1886" t="s">
        <v>2578</v>
      </c>
      <c r="V1886" t="s">
        <v>398</v>
      </c>
      <c r="W1886" s="393">
        <v>446.5</v>
      </c>
      <c r="X1886" s="393">
        <v>0.11</v>
      </c>
      <c r="Y1886" s="393">
        <v>1</v>
      </c>
      <c r="Z1886" s="393">
        <v>446.5</v>
      </c>
      <c r="AA1886">
        <v>0</v>
      </c>
      <c r="AB1886" s="400">
        <v>44567.074358877318</v>
      </c>
      <c r="AC1886" t="s">
        <v>324</v>
      </c>
    </row>
    <row r="1887" spans="1:29">
      <c r="A1887" t="s">
        <v>382</v>
      </c>
      <c r="B1887" t="s">
        <v>440</v>
      </c>
      <c r="C1887" t="s">
        <v>1637</v>
      </c>
      <c r="D1887" t="s">
        <v>1649</v>
      </c>
      <c r="E1887" t="s">
        <v>390</v>
      </c>
      <c r="F1887" t="s">
        <v>391</v>
      </c>
      <c r="G1887">
        <v>6103480</v>
      </c>
      <c r="H1887">
        <v>202112</v>
      </c>
      <c r="I1887" s="400">
        <v>44560</v>
      </c>
      <c r="J1887" t="s">
        <v>1016</v>
      </c>
      <c r="K1887" t="s">
        <v>386</v>
      </c>
      <c r="M1887" t="s">
        <v>387</v>
      </c>
      <c r="O1887" t="s">
        <v>480</v>
      </c>
      <c r="P1887" t="s">
        <v>481</v>
      </c>
      <c r="Q1887" t="s">
        <v>450</v>
      </c>
      <c r="R1887">
        <v>2069080</v>
      </c>
      <c r="S1887" t="s">
        <v>387</v>
      </c>
      <c r="U1887" t="s">
        <v>2579</v>
      </c>
      <c r="V1887" t="s">
        <v>398</v>
      </c>
      <c r="W1887" s="393">
        <v>5860316.46</v>
      </c>
      <c r="X1887" s="393">
        <v>1456.46</v>
      </c>
      <c r="Y1887" s="393">
        <v>13103.96</v>
      </c>
      <c r="Z1887" s="393">
        <v>5860316.46</v>
      </c>
      <c r="AA1887">
        <v>0</v>
      </c>
      <c r="AB1887" s="400">
        <v>44567.128697800923</v>
      </c>
      <c r="AC1887" t="s">
        <v>324</v>
      </c>
    </row>
    <row r="1888" spans="1:29">
      <c r="A1888" t="s">
        <v>382</v>
      </c>
      <c r="B1888" t="s">
        <v>440</v>
      </c>
      <c r="C1888" t="s">
        <v>1637</v>
      </c>
      <c r="D1888" t="s">
        <v>1649</v>
      </c>
      <c r="E1888" t="s">
        <v>390</v>
      </c>
      <c r="F1888" t="s">
        <v>391</v>
      </c>
      <c r="G1888">
        <v>6103531</v>
      </c>
      <c r="H1888">
        <v>202112</v>
      </c>
      <c r="I1888" s="400">
        <v>44561</v>
      </c>
      <c r="J1888">
        <v>119010</v>
      </c>
      <c r="K1888" t="s">
        <v>386</v>
      </c>
      <c r="M1888" t="s">
        <v>387</v>
      </c>
      <c r="O1888" t="s">
        <v>480</v>
      </c>
      <c r="P1888" t="s">
        <v>481</v>
      </c>
      <c r="Q1888" t="s">
        <v>450</v>
      </c>
      <c r="R1888">
        <v>2069080</v>
      </c>
      <c r="S1888" t="s">
        <v>387</v>
      </c>
      <c r="U1888" t="s">
        <v>2580</v>
      </c>
      <c r="V1888" t="s">
        <v>398</v>
      </c>
      <c r="W1888" s="393">
        <v>2855279.3</v>
      </c>
      <c r="X1888" s="393">
        <v>762.36</v>
      </c>
      <c r="Y1888" s="393">
        <v>6258.77</v>
      </c>
      <c r="Z1888" s="393">
        <v>2855279.3</v>
      </c>
      <c r="AA1888">
        <v>0</v>
      </c>
      <c r="AB1888" s="400">
        <v>44575.987570173609</v>
      </c>
      <c r="AC1888" t="s">
        <v>324</v>
      </c>
    </row>
    <row r="1889" spans="1:29">
      <c r="A1889" t="s">
        <v>382</v>
      </c>
      <c r="B1889" t="s">
        <v>440</v>
      </c>
      <c r="C1889" t="s">
        <v>1637</v>
      </c>
      <c r="D1889" t="s">
        <v>1649</v>
      </c>
      <c r="E1889" t="s">
        <v>390</v>
      </c>
      <c r="F1889" t="s">
        <v>391</v>
      </c>
      <c r="G1889">
        <v>6103531</v>
      </c>
      <c r="H1889">
        <v>202112</v>
      </c>
      <c r="I1889" s="400">
        <v>44561</v>
      </c>
      <c r="J1889">
        <v>119010</v>
      </c>
      <c r="K1889" t="s">
        <v>386</v>
      </c>
      <c r="M1889" t="s">
        <v>387</v>
      </c>
      <c r="O1889" t="s">
        <v>480</v>
      </c>
      <c r="P1889" t="s">
        <v>481</v>
      </c>
      <c r="Q1889" t="s">
        <v>450</v>
      </c>
      <c r="R1889">
        <v>2069080</v>
      </c>
      <c r="S1889" t="s">
        <v>387</v>
      </c>
      <c r="U1889" t="s">
        <v>2581</v>
      </c>
      <c r="V1889" t="s">
        <v>398</v>
      </c>
      <c r="W1889" s="393">
        <v>2300000</v>
      </c>
      <c r="X1889" s="393">
        <v>621</v>
      </c>
      <c r="Y1889" s="393">
        <v>5145.1000000000004</v>
      </c>
      <c r="Z1889" s="393">
        <v>2300000</v>
      </c>
      <c r="AA1889">
        <v>0</v>
      </c>
      <c r="AB1889" s="400">
        <v>44575.987570173609</v>
      </c>
      <c r="AC1889" t="s">
        <v>324</v>
      </c>
    </row>
    <row r="1890" spans="1:29">
      <c r="A1890" t="s">
        <v>382</v>
      </c>
      <c r="B1890" t="s">
        <v>440</v>
      </c>
      <c r="C1890" t="s">
        <v>1637</v>
      </c>
      <c r="D1890" t="s">
        <v>1657</v>
      </c>
      <c r="E1890" t="s">
        <v>390</v>
      </c>
      <c r="F1890" t="s">
        <v>391</v>
      </c>
      <c r="G1890">
        <v>6103111</v>
      </c>
      <c r="H1890">
        <v>202111</v>
      </c>
      <c r="I1890" s="400">
        <v>44529</v>
      </c>
      <c r="J1890" t="s">
        <v>452</v>
      </c>
      <c r="K1890" t="s">
        <v>386</v>
      </c>
      <c r="M1890" t="s">
        <v>387</v>
      </c>
      <c r="O1890" t="s">
        <v>480</v>
      </c>
      <c r="P1890" t="s">
        <v>481</v>
      </c>
      <c r="Q1890" t="s">
        <v>450</v>
      </c>
      <c r="R1890">
        <v>2069080</v>
      </c>
      <c r="S1890" t="s">
        <v>387</v>
      </c>
      <c r="U1890" t="s">
        <v>2555</v>
      </c>
      <c r="V1890" t="s">
        <v>398</v>
      </c>
      <c r="W1890" s="393">
        <v>2200</v>
      </c>
      <c r="X1890" s="393">
        <v>0.55000000000000004</v>
      </c>
      <c r="Y1890" s="393">
        <v>4.79</v>
      </c>
      <c r="Z1890" s="393">
        <v>2200</v>
      </c>
      <c r="AA1890">
        <v>0</v>
      </c>
      <c r="AB1890" s="400">
        <v>44533.063123148146</v>
      </c>
      <c r="AC1890" t="s">
        <v>324</v>
      </c>
    </row>
    <row r="1891" spans="1:29">
      <c r="A1891" t="s">
        <v>382</v>
      </c>
      <c r="B1891" t="s">
        <v>440</v>
      </c>
      <c r="C1891" t="s">
        <v>1637</v>
      </c>
      <c r="D1891" t="s">
        <v>1657</v>
      </c>
      <c r="E1891" t="s">
        <v>390</v>
      </c>
      <c r="F1891" t="s">
        <v>391</v>
      </c>
      <c r="G1891">
        <v>6102991</v>
      </c>
      <c r="H1891">
        <v>202111</v>
      </c>
      <c r="I1891" s="400">
        <v>44530</v>
      </c>
      <c r="J1891" t="s">
        <v>452</v>
      </c>
      <c r="K1891" t="s">
        <v>386</v>
      </c>
      <c r="M1891" t="s">
        <v>387</v>
      </c>
      <c r="O1891" t="s">
        <v>480</v>
      </c>
      <c r="P1891" t="s">
        <v>481</v>
      </c>
      <c r="Q1891" t="s">
        <v>450</v>
      </c>
      <c r="R1891">
        <v>2069080</v>
      </c>
      <c r="S1891" t="s">
        <v>2582</v>
      </c>
      <c r="U1891" t="s">
        <v>2583</v>
      </c>
      <c r="V1891" t="s">
        <v>398</v>
      </c>
      <c r="W1891" s="393">
        <v>2400</v>
      </c>
      <c r="X1891" s="393">
        <v>0.6</v>
      </c>
      <c r="Y1891" s="393">
        <v>5.23</v>
      </c>
      <c r="Z1891" s="393">
        <v>2400</v>
      </c>
      <c r="AA1891">
        <v>0</v>
      </c>
      <c r="AB1891" s="400">
        <v>44530.86060709491</v>
      </c>
      <c r="AC1891" t="s">
        <v>324</v>
      </c>
    </row>
    <row r="1892" spans="1:29">
      <c r="A1892" t="s">
        <v>382</v>
      </c>
      <c r="B1892" t="s">
        <v>440</v>
      </c>
      <c r="C1892" t="s">
        <v>1637</v>
      </c>
      <c r="D1892" t="s">
        <v>1657</v>
      </c>
      <c r="E1892" t="s">
        <v>390</v>
      </c>
      <c r="F1892" t="s">
        <v>391</v>
      </c>
      <c r="G1892">
        <v>6102991</v>
      </c>
      <c r="H1892">
        <v>202111</v>
      </c>
      <c r="I1892" s="400">
        <v>44530</v>
      </c>
      <c r="J1892" t="s">
        <v>452</v>
      </c>
      <c r="K1892" t="s">
        <v>386</v>
      </c>
      <c r="M1892" t="s">
        <v>387</v>
      </c>
      <c r="O1892" t="s">
        <v>480</v>
      </c>
      <c r="P1892" t="s">
        <v>481</v>
      </c>
      <c r="Q1892" t="s">
        <v>450</v>
      </c>
      <c r="R1892">
        <v>2069080</v>
      </c>
      <c r="S1892" t="s">
        <v>2584</v>
      </c>
      <c r="U1892" t="s">
        <v>2585</v>
      </c>
      <c r="V1892" t="s">
        <v>398</v>
      </c>
      <c r="W1892" s="393">
        <v>2400</v>
      </c>
      <c r="X1892" s="393">
        <v>0.6</v>
      </c>
      <c r="Y1892" s="393">
        <v>5.23</v>
      </c>
      <c r="Z1892" s="393">
        <v>2400</v>
      </c>
      <c r="AA1892">
        <v>0</v>
      </c>
      <c r="AB1892" s="400">
        <v>44530.86060709491</v>
      </c>
      <c r="AC1892" t="s">
        <v>324</v>
      </c>
    </row>
    <row r="1893" spans="1:29">
      <c r="A1893" t="s">
        <v>382</v>
      </c>
      <c r="B1893" t="s">
        <v>440</v>
      </c>
      <c r="C1893" t="s">
        <v>1637</v>
      </c>
      <c r="D1893" t="s">
        <v>1657</v>
      </c>
      <c r="E1893" t="s">
        <v>390</v>
      </c>
      <c r="F1893" t="s">
        <v>391</v>
      </c>
      <c r="G1893">
        <v>6102991</v>
      </c>
      <c r="H1893">
        <v>202111</v>
      </c>
      <c r="I1893" s="400">
        <v>44530</v>
      </c>
      <c r="J1893" t="s">
        <v>452</v>
      </c>
      <c r="K1893" t="s">
        <v>386</v>
      </c>
      <c r="M1893" t="s">
        <v>387</v>
      </c>
      <c r="O1893" t="s">
        <v>480</v>
      </c>
      <c r="P1893" t="s">
        <v>481</v>
      </c>
      <c r="Q1893" t="s">
        <v>450</v>
      </c>
      <c r="R1893">
        <v>2069080</v>
      </c>
      <c r="S1893" t="s">
        <v>2586</v>
      </c>
      <c r="U1893" t="s">
        <v>2587</v>
      </c>
      <c r="V1893" t="s">
        <v>398</v>
      </c>
      <c r="W1893" s="393">
        <v>2697</v>
      </c>
      <c r="X1893" s="393">
        <v>0.68</v>
      </c>
      <c r="Y1893" s="393">
        <v>5.87</v>
      </c>
      <c r="Z1893" s="393">
        <v>2697</v>
      </c>
      <c r="AA1893">
        <v>0</v>
      </c>
      <c r="AB1893" s="400">
        <v>44530.86060709491</v>
      </c>
      <c r="AC1893" t="s">
        <v>324</v>
      </c>
    </row>
    <row r="1894" spans="1:29">
      <c r="A1894" t="s">
        <v>382</v>
      </c>
      <c r="B1894" t="s">
        <v>440</v>
      </c>
      <c r="C1894" t="s">
        <v>1637</v>
      </c>
      <c r="D1894" t="s">
        <v>1657</v>
      </c>
      <c r="E1894" t="s">
        <v>390</v>
      </c>
      <c r="F1894" t="s">
        <v>391</v>
      </c>
      <c r="G1894">
        <v>6103479</v>
      </c>
      <c r="H1894">
        <v>202112</v>
      </c>
      <c r="I1894" s="400">
        <v>44560</v>
      </c>
      <c r="J1894" t="s">
        <v>1016</v>
      </c>
      <c r="K1894" t="s">
        <v>386</v>
      </c>
      <c r="M1894" t="s">
        <v>387</v>
      </c>
      <c r="O1894" t="s">
        <v>480</v>
      </c>
      <c r="P1894" t="s">
        <v>481</v>
      </c>
      <c r="Q1894" t="s">
        <v>450</v>
      </c>
      <c r="R1894">
        <v>2069080</v>
      </c>
      <c r="S1894" t="s">
        <v>387</v>
      </c>
      <c r="U1894" t="s">
        <v>2588</v>
      </c>
      <c r="V1894" t="s">
        <v>398</v>
      </c>
      <c r="W1894" s="393">
        <v>2350</v>
      </c>
      <c r="X1894" s="393">
        <v>0.57999999999999996</v>
      </c>
      <c r="Y1894" s="393">
        <v>5.25</v>
      </c>
      <c r="Z1894" s="393">
        <v>2350</v>
      </c>
      <c r="AA1894">
        <v>0</v>
      </c>
      <c r="AB1894" s="400">
        <v>44567.074358680555</v>
      </c>
      <c r="AC1894" t="s">
        <v>324</v>
      </c>
    </row>
    <row r="1895" spans="1:29">
      <c r="A1895" t="s">
        <v>382</v>
      </c>
      <c r="B1895" t="s">
        <v>440</v>
      </c>
      <c r="C1895" t="s">
        <v>1637</v>
      </c>
      <c r="D1895" t="s">
        <v>1657</v>
      </c>
      <c r="E1895" t="s">
        <v>390</v>
      </c>
      <c r="F1895" t="s">
        <v>391</v>
      </c>
      <c r="G1895">
        <v>6103479</v>
      </c>
      <c r="H1895">
        <v>202112</v>
      </c>
      <c r="I1895" s="400">
        <v>44560</v>
      </c>
      <c r="J1895" t="s">
        <v>1016</v>
      </c>
      <c r="K1895" t="s">
        <v>386</v>
      </c>
      <c r="M1895" t="s">
        <v>387</v>
      </c>
      <c r="O1895" t="s">
        <v>480</v>
      </c>
      <c r="P1895" t="s">
        <v>481</v>
      </c>
      <c r="Q1895" t="s">
        <v>450</v>
      </c>
      <c r="R1895">
        <v>2069080</v>
      </c>
      <c r="S1895" t="s">
        <v>387</v>
      </c>
      <c r="U1895" t="s">
        <v>2588</v>
      </c>
      <c r="V1895" t="s">
        <v>398</v>
      </c>
      <c r="W1895" s="393">
        <v>2350</v>
      </c>
      <c r="X1895" s="393">
        <v>0.57999999999999996</v>
      </c>
      <c r="Y1895" s="393">
        <v>5.25</v>
      </c>
      <c r="Z1895" s="393">
        <v>2350</v>
      </c>
      <c r="AA1895">
        <v>0</v>
      </c>
      <c r="AB1895" s="400">
        <v>44567.074358877318</v>
      </c>
      <c r="AC1895" t="s">
        <v>324</v>
      </c>
    </row>
    <row r="1896" spans="1:29">
      <c r="A1896" t="s">
        <v>382</v>
      </c>
      <c r="B1896" t="s">
        <v>440</v>
      </c>
      <c r="C1896" t="s">
        <v>1637</v>
      </c>
      <c r="D1896" t="s">
        <v>1657</v>
      </c>
      <c r="E1896" t="s">
        <v>390</v>
      </c>
      <c r="F1896" t="s">
        <v>391</v>
      </c>
      <c r="G1896">
        <v>6103480</v>
      </c>
      <c r="H1896">
        <v>202112</v>
      </c>
      <c r="I1896" s="400">
        <v>44560</v>
      </c>
      <c r="J1896" t="s">
        <v>1016</v>
      </c>
      <c r="K1896" t="s">
        <v>386</v>
      </c>
      <c r="M1896" t="s">
        <v>387</v>
      </c>
      <c r="O1896" t="s">
        <v>480</v>
      </c>
      <c r="P1896" t="s">
        <v>481</v>
      </c>
      <c r="Q1896" t="s">
        <v>450</v>
      </c>
      <c r="R1896">
        <v>2069080</v>
      </c>
      <c r="S1896" t="s">
        <v>387</v>
      </c>
      <c r="U1896" t="s">
        <v>2589</v>
      </c>
      <c r="V1896" t="s">
        <v>398</v>
      </c>
      <c r="W1896" s="393">
        <v>1596150</v>
      </c>
      <c r="X1896" s="393">
        <v>396.69</v>
      </c>
      <c r="Y1896" s="393">
        <v>3569.07</v>
      </c>
      <c r="Z1896" s="393">
        <v>1596150</v>
      </c>
      <c r="AA1896">
        <v>0</v>
      </c>
      <c r="AB1896" s="400">
        <v>44567.128697800923</v>
      </c>
      <c r="AC1896" t="s">
        <v>324</v>
      </c>
    </row>
    <row r="1897" spans="1:29">
      <c r="A1897" t="s">
        <v>382</v>
      </c>
      <c r="B1897" t="s">
        <v>440</v>
      </c>
      <c r="C1897" t="s">
        <v>1637</v>
      </c>
      <c r="D1897" t="s">
        <v>1657</v>
      </c>
      <c r="E1897" t="s">
        <v>390</v>
      </c>
      <c r="F1897" t="s">
        <v>391</v>
      </c>
      <c r="G1897">
        <v>6103352</v>
      </c>
      <c r="H1897">
        <v>202112</v>
      </c>
      <c r="I1897" s="400">
        <v>44547</v>
      </c>
      <c r="J1897" t="s">
        <v>452</v>
      </c>
      <c r="K1897" t="s">
        <v>386</v>
      </c>
      <c r="M1897" t="s">
        <v>387</v>
      </c>
      <c r="O1897" t="s">
        <v>1314</v>
      </c>
      <c r="P1897" t="s">
        <v>1315</v>
      </c>
      <c r="Q1897" t="s">
        <v>450</v>
      </c>
      <c r="R1897">
        <v>2069080</v>
      </c>
      <c r="S1897" t="s">
        <v>2590</v>
      </c>
      <c r="U1897" t="s">
        <v>2591</v>
      </c>
      <c r="V1897" t="s">
        <v>398</v>
      </c>
      <c r="W1897" s="393">
        <v>2200</v>
      </c>
      <c r="X1897" s="393">
        <v>0.55000000000000004</v>
      </c>
      <c r="Y1897" s="393">
        <v>4.97</v>
      </c>
      <c r="Z1897" s="393">
        <v>2200</v>
      </c>
      <c r="AA1897">
        <v>0</v>
      </c>
      <c r="AB1897" s="400">
        <v>44552.182548229168</v>
      </c>
      <c r="AC1897" t="s">
        <v>324</v>
      </c>
    </row>
    <row r="1898" spans="1:29">
      <c r="A1898" t="s">
        <v>382</v>
      </c>
      <c r="B1898" t="s">
        <v>440</v>
      </c>
      <c r="C1898" t="s">
        <v>1637</v>
      </c>
      <c r="D1898" t="s">
        <v>1657</v>
      </c>
      <c r="E1898" t="s">
        <v>390</v>
      </c>
      <c r="F1898" t="s">
        <v>391</v>
      </c>
      <c r="G1898">
        <v>6103501</v>
      </c>
      <c r="H1898">
        <v>202112</v>
      </c>
      <c r="I1898" s="400">
        <v>44561</v>
      </c>
      <c r="J1898">
        <v>122536</v>
      </c>
      <c r="K1898" t="s">
        <v>386</v>
      </c>
      <c r="M1898" t="s">
        <v>387</v>
      </c>
      <c r="O1898" t="s">
        <v>480</v>
      </c>
      <c r="P1898" t="s">
        <v>481</v>
      </c>
      <c r="Q1898" t="s">
        <v>450</v>
      </c>
      <c r="R1898">
        <v>2069080</v>
      </c>
      <c r="S1898" t="s">
        <v>387</v>
      </c>
      <c r="U1898" t="s">
        <v>2592</v>
      </c>
      <c r="V1898" t="s">
        <v>398</v>
      </c>
      <c r="W1898" s="393">
        <v>6840</v>
      </c>
      <c r="X1898" s="393">
        <v>1.72</v>
      </c>
      <c r="Y1898" s="393">
        <v>15.16</v>
      </c>
      <c r="Z1898" s="393">
        <v>6840</v>
      </c>
      <c r="AA1898">
        <v>0</v>
      </c>
      <c r="AB1898" s="400">
        <v>44568.777738738427</v>
      </c>
      <c r="AC1898" t="s">
        <v>324</v>
      </c>
    </row>
    <row r="1899" spans="1:29">
      <c r="A1899" t="s">
        <v>382</v>
      </c>
      <c r="B1899" t="s">
        <v>440</v>
      </c>
      <c r="C1899" t="s">
        <v>1637</v>
      </c>
      <c r="D1899" t="s">
        <v>1657</v>
      </c>
      <c r="E1899" t="s">
        <v>390</v>
      </c>
      <c r="F1899" t="s">
        <v>391</v>
      </c>
      <c r="G1899">
        <v>6103501</v>
      </c>
      <c r="H1899">
        <v>202112</v>
      </c>
      <c r="I1899" s="400">
        <v>44561</v>
      </c>
      <c r="J1899">
        <v>122536</v>
      </c>
      <c r="K1899" t="s">
        <v>386</v>
      </c>
      <c r="M1899" t="s">
        <v>387</v>
      </c>
      <c r="O1899" t="s">
        <v>480</v>
      </c>
      <c r="P1899" t="s">
        <v>481</v>
      </c>
      <c r="Q1899" t="s">
        <v>450</v>
      </c>
      <c r="R1899">
        <v>2069080</v>
      </c>
      <c r="S1899" t="s">
        <v>387</v>
      </c>
      <c r="U1899" t="s">
        <v>2593</v>
      </c>
      <c r="V1899" t="s">
        <v>398</v>
      </c>
      <c r="W1899" s="393">
        <v>23910</v>
      </c>
      <c r="X1899" s="393">
        <v>6.01</v>
      </c>
      <c r="Y1899" s="393">
        <v>52.99</v>
      </c>
      <c r="Z1899" s="393">
        <v>23910</v>
      </c>
      <c r="AA1899">
        <v>0</v>
      </c>
      <c r="AB1899" s="400">
        <v>44568.77773854167</v>
      </c>
      <c r="AC1899" t="s">
        <v>324</v>
      </c>
    </row>
    <row r="1900" spans="1:29">
      <c r="A1900" t="s">
        <v>382</v>
      </c>
      <c r="B1900" t="s">
        <v>440</v>
      </c>
      <c r="C1900" t="s">
        <v>1637</v>
      </c>
      <c r="D1900" t="s">
        <v>1668</v>
      </c>
      <c r="E1900" t="s">
        <v>390</v>
      </c>
      <c r="F1900" t="s">
        <v>391</v>
      </c>
      <c r="G1900">
        <v>6102332</v>
      </c>
      <c r="H1900">
        <v>202110</v>
      </c>
      <c r="I1900" s="400">
        <v>44480</v>
      </c>
      <c r="J1900">
        <v>125062</v>
      </c>
      <c r="K1900" t="s">
        <v>386</v>
      </c>
      <c r="M1900" t="s">
        <v>387</v>
      </c>
      <c r="O1900" t="s">
        <v>2594</v>
      </c>
      <c r="P1900" t="s">
        <v>2595</v>
      </c>
      <c r="Q1900" t="s">
        <v>450</v>
      </c>
      <c r="R1900">
        <v>2069080</v>
      </c>
      <c r="S1900" t="s">
        <v>2596</v>
      </c>
      <c r="U1900" t="s">
        <v>2597</v>
      </c>
      <c r="V1900" t="s">
        <v>398</v>
      </c>
      <c r="W1900" s="393">
        <v>1</v>
      </c>
      <c r="X1900" s="393">
        <v>0</v>
      </c>
      <c r="Y1900" s="393">
        <v>0</v>
      </c>
      <c r="Z1900" s="393">
        <v>1</v>
      </c>
      <c r="AA1900">
        <v>0</v>
      </c>
      <c r="AB1900" s="400">
        <v>44483.946814733798</v>
      </c>
      <c r="AC1900" t="s">
        <v>324</v>
      </c>
    </row>
    <row r="1901" spans="1:29">
      <c r="A1901" t="s">
        <v>381</v>
      </c>
      <c r="B1901" t="s">
        <v>382</v>
      </c>
      <c r="C1901" t="s">
        <v>1338</v>
      </c>
      <c r="D1901" t="s">
        <v>1338</v>
      </c>
      <c r="E1901" t="s">
        <v>383</v>
      </c>
      <c r="F1901" t="s">
        <v>384</v>
      </c>
      <c r="G1901">
        <v>11016020</v>
      </c>
      <c r="H1901">
        <v>202109</v>
      </c>
      <c r="I1901" s="400">
        <v>44467</v>
      </c>
      <c r="J1901" t="s">
        <v>1674</v>
      </c>
      <c r="K1901" t="s">
        <v>386</v>
      </c>
      <c r="M1901" t="s">
        <v>387</v>
      </c>
      <c r="O1901" t="s">
        <v>387</v>
      </c>
      <c r="P1901" t="s">
        <v>387</v>
      </c>
      <c r="Q1901" t="s">
        <v>450</v>
      </c>
      <c r="R1901">
        <v>2069098</v>
      </c>
      <c r="S1901" t="s">
        <v>2598</v>
      </c>
      <c r="U1901" t="s">
        <v>2599</v>
      </c>
      <c r="V1901" t="s">
        <v>376</v>
      </c>
      <c r="W1901" s="393">
        <v>565.51</v>
      </c>
      <c r="X1901" s="393">
        <v>65.069999999999993</v>
      </c>
      <c r="Y1901" s="393">
        <v>565.51</v>
      </c>
      <c r="Z1901" s="393">
        <v>54.94</v>
      </c>
      <c r="AA1901">
        <v>0</v>
      </c>
      <c r="AB1901" s="400">
        <v>44477.961757870369</v>
      </c>
      <c r="AC1901" t="s">
        <v>324</v>
      </c>
    </row>
    <row r="1902" spans="1:29">
      <c r="A1902" t="s">
        <v>381</v>
      </c>
      <c r="B1902" t="s">
        <v>382</v>
      </c>
      <c r="C1902" t="s">
        <v>1338</v>
      </c>
      <c r="D1902" t="s">
        <v>1338</v>
      </c>
      <c r="E1902" t="s">
        <v>383</v>
      </c>
      <c r="F1902" t="s">
        <v>384</v>
      </c>
      <c r="G1902">
        <v>11016020</v>
      </c>
      <c r="H1902">
        <v>202109</v>
      </c>
      <c r="I1902" s="400">
        <v>44467</v>
      </c>
      <c r="J1902" t="s">
        <v>1674</v>
      </c>
      <c r="K1902" t="s">
        <v>386</v>
      </c>
      <c r="M1902" t="s">
        <v>387</v>
      </c>
      <c r="O1902" t="s">
        <v>387</v>
      </c>
      <c r="P1902" t="s">
        <v>387</v>
      </c>
      <c r="Q1902" t="s">
        <v>450</v>
      </c>
      <c r="R1902">
        <v>2069098</v>
      </c>
      <c r="S1902" t="s">
        <v>2598</v>
      </c>
      <c r="U1902" t="s">
        <v>2600</v>
      </c>
      <c r="V1902" t="s">
        <v>376</v>
      </c>
      <c r="W1902" s="393">
        <v>565.51</v>
      </c>
      <c r="X1902" s="393">
        <v>65.069999999999993</v>
      </c>
      <c r="Y1902" s="393">
        <v>565.51</v>
      </c>
      <c r="Z1902" s="393">
        <v>54.94</v>
      </c>
      <c r="AA1902">
        <v>0</v>
      </c>
      <c r="AB1902" s="400">
        <v>44477.961757870369</v>
      </c>
      <c r="AC1902" t="s">
        <v>324</v>
      </c>
    </row>
    <row r="1903" spans="1:29">
      <c r="A1903" t="s">
        <v>382</v>
      </c>
      <c r="B1903" t="s">
        <v>382</v>
      </c>
      <c r="C1903" t="s">
        <v>425</v>
      </c>
      <c r="D1903" t="s">
        <v>426</v>
      </c>
      <c r="E1903" t="s">
        <v>427</v>
      </c>
      <c r="F1903" t="s">
        <v>428</v>
      </c>
      <c r="G1903">
        <v>1200090</v>
      </c>
      <c r="H1903">
        <v>202201</v>
      </c>
      <c r="I1903" s="400">
        <v>44589</v>
      </c>
      <c r="J1903" t="s">
        <v>429</v>
      </c>
      <c r="K1903" t="s">
        <v>386</v>
      </c>
      <c r="L1903" t="s">
        <v>392</v>
      </c>
      <c r="M1903" t="s">
        <v>393</v>
      </c>
      <c r="O1903" t="s">
        <v>394</v>
      </c>
      <c r="P1903" t="s">
        <v>395</v>
      </c>
      <c r="Q1903" t="s">
        <v>396</v>
      </c>
      <c r="R1903" s="458">
        <v>2582121</v>
      </c>
      <c r="S1903" t="s">
        <v>430</v>
      </c>
      <c r="U1903" t="s">
        <v>2601</v>
      </c>
      <c r="V1903" t="s">
        <v>398</v>
      </c>
      <c r="W1903" s="393">
        <v>214318549.00999999</v>
      </c>
      <c r="X1903" s="393">
        <v>53526.06</v>
      </c>
      <c r="Y1903" s="393">
        <v>476713.03</v>
      </c>
      <c r="Z1903" s="393">
        <v>214318549.00999999</v>
      </c>
      <c r="AA1903">
        <v>0</v>
      </c>
      <c r="AB1903" s="400">
        <v>44599.759657025461</v>
      </c>
      <c r="AC1903" t="str">
        <f>+VLOOKUP(R1903,DRAFT!A:Q,17,0)</f>
        <v>2</v>
      </c>
    </row>
    <row r="1904" spans="1:29">
      <c r="A1904" t="s">
        <v>382</v>
      </c>
      <c r="B1904" t="s">
        <v>382</v>
      </c>
      <c r="C1904" t="s">
        <v>425</v>
      </c>
      <c r="D1904" t="s">
        <v>426</v>
      </c>
      <c r="E1904" t="s">
        <v>427</v>
      </c>
      <c r="F1904" t="s">
        <v>428</v>
      </c>
      <c r="G1904">
        <v>1200283</v>
      </c>
      <c r="H1904">
        <v>202202</v>
      </c>
      <c r="I1904" s="400">
        <v>44596</v>
      </c>
      <c r="J1904" t="s">
        <v>429</v>
      </c>
      <c r="K1904" t="s">
        <v>386</v>
      </c>
      <c r="L1904" t="s">
        <v>399</v>
      </c>
      <c r="M1904" t="s">
        <v>400</v>
      </c>
      <c r="O1904" t="s">
        <v>401</v>
      </c>
      <c r="P1904" t="s">
        <v>402</v>
      </c>
      <c r="Q1904" t="s">
        <v>396</v>
      </c>
      <c r="R1904" s="458">
        <v>2582122</v>
      </c>
      <c r="S1904" t="s">
        <v>399</v>
      </c>
      <c r="U1904" t="s">
        <v>2602</v>
      </c>
      <c r="V1904" t="s">
        <v>398</v>
      </c>
      <c r="W1904" s="393">
        <v>350916256</v>
      </c>
      <c r="X1904" s="393">
        <v>89336.26</v>
      </c>
      <c r="Y1904" s="393">
        <v>790063.39</v>
      </c>
      <c r="Z1904" s="393">
        <v>350916256</v>
      </c>
      <c r="AA1904">
        <v>0</v>
      </c>
      <c r="AB1904" s="400">
        <v>44624.895968252313</v>
      </c>
      <c r="AC1904" t="str">
        <f>+VLOOKUP(R1904,DRAFT!A:Q,17,0)</f>
        <v>3</v>
      </c>
    </row>
    <row r="1905" spans="1:29">
      <c r="A1905" t="s">
        <v>382</v>
      </c>
      <c r="B1905" t="s">
        <v>440</v>
      </c>
      <c r="C1905" t="s">
        <v>486</v>
      </c>
      <c r="D1905" t="s">
        <v>487</v>
      </c>
      <c r="E1905" t="s">
        <v>390</v>
      </c>
      <c r="F1905" t="s">
        <v>391</v>
      </c>
      <c r="G1905">
        <v>6200244</v>
      </c>
      <c r="H1905">
        <v>202202</v>
      </c>
      <c r="I1905" s="400">
        <v>44603</v>
      </c>
      <c r="J1905">
        <v>127949</v>
      </c>
      <c r="K1905" t="s">
        <v>386</v>
      </c>
      <c r="M1905" t="s">
        <v>387</v>
      </c>
      <c r="O1905" t="s">
        <v>1066</v>
      </c>
      <c r="P1905" t="s">
        <v>1067</v>
      </c>
      <c r="Q1905" t="s">
        <v>396</v>
      </c>
      <c r="R1905" s="458">
        <v>2069133</v>
      </c>
      <c r="S1905" t="s">
        <v>387</v>
      </c>
      <c r="U1905" t="s">
        <v>2606</v>
      </c>
      <c r="V1905" t="s">
        <v>398</v>
      </c>
      <c r="W1905" s="393">
        <v>1500000</v>
      </c>
      <c r="X1905" s="393">
        <v>380.78</v>
      </c>
      <c r="Y1905" s="393">
        <v>3358.47</v>
      </c>
      <c r="Z1905" s="393">
        <v>1500000</v>
      </c>
      <c r="AA1905">
        <v>301</v>
      </c>
      <c r="AB1905" s="400">
        <v>44620.98200841435</v>
      </c>
      <c r="AC1905" t="str">
        <f>+VLOOKUP(R1905,DRAFT!A:Q,17,0)</f>
        <v>1.3.2</v>
      </c>
    </row>
    <row r="1906" spans="1:29">
      <c r="A1906" t="s">
        <v>382</v>
      </c>
      <c r="B1906" t="s">
        <v>440</v>
      </c>
      <c r="C1906" t="s">
        <v>486</v>
      </c>
      <c r="D1906" t="s">
        <v>487</v>
      </c>
      <c r="E1906" t="s">
        <v>390</v>
      </c>
      <c r="F1906" t="s">
        <v>391</v>
      </c>
      <c r="G1906">
        <v>6200266</v>
      </c>
      <c r="H1906">
        <v>202202</v>
      </c>
      <c r="I1906" s="400">
        <v>44613</v>
      </c>
      <c r="J1906">
        <v>127949</v>
      </c>
      <c r="K1906" t="s">
        <v>386</v>
      </c>
      <c r="M1906" t="s">
        <v>387</v>
      </c>
      <c r="O1906" t="s">
        <v>1066</v>
      </c>
      <c r="P1906" t="s">
        <v>1067</v>
      </c>
      <c r="Q1906" t="s">
        <v>396</v>
      </c>
      <c r="R1906" s="458">
        <v>2069133</v>
      </c>
      <c r="S1906" t="s">
        <v>387</v>
      </c>
      <c r="U1906" t="s">
        <v>2607</v>
      </c>
      <c r="V1906" t="s">
        <v>398</v>
      </c>
      <c r="W1906" s="393">
        <v>1500000</v>
      </c>
      <c r="X1906" s="393">
        <v>378.44</v>
      </c>
      <c r="Y1906" s="393">
        <v>3374.88</v>
      </c>
      <c r="Z1906" s="393">
        <v>1500000</v>
      </c>
      <c r="AA1906">
        <v>301</v>
      </c>
      <c r="AB1906" s="400">
        <v>44622.869232210651</v>
      </c>
      <c r="AC1906" t="str">
        <f>+VLOOKUP(R1906,DRAFT!A:Q,17,0)</f>
        <v>1.3.2</v>
      </c>
    </row>
    <row r="1907" spans="1:29">
      <c r="A1907" t="s">
        <v>382</v>
      </c>
      <c r="B1907" t="s">
        <v>440</v>
      </c>
      <c r="C1907" t="s">
        <v>486</v>
      </c>
      <c r="D1907" t="s">
        <v>487</v>
      </c>
      <c r="E1907" t="s">
        <v>390</v>
      </c>
      <c r="F1907" t="s">
        <v>391</v>
      </c>
      <c r="G1907">
        <v>6200430</v>
      </c>
      <c r="H1907">
        <v>202202</v>
      </c>
      <c r="I1907" s="400">
        <v>44599</v>
      </c>
      <c r="J1907">
        <v>122536</v>
      </c>
      <c r="K1907" t="s">
        <v>386</v>
      </c>
      <c r="M1907" t="s">
        <v>387</v>
      </c>
      <c r="O1907" t="s">
        <v>1980</v>
      </c>
      <c r="P1907" t="s">
        <v>1981</v>
      </c>
      <c r="Q1907" t="s">
        <v>396</v>
      </c>
      <c r="R1907" s="458">
        <v>2540511</v>
      </c>
      <c r="S1907" t="s">
        <v>387</v>
      </c>
      <c r="U1907" t="s">
        <v>2604</v>
      </c>
      <c r="V1907" t="s">
        <v>398</v>
      </c>
      <c r="W1907" s="393">
        <v>2200000</v>
      </c>
      <c r="X1907" s="393">
        <v>560.08000000000004</v>
      </c>
      <c r="Y1907" s="393">
        <v>4953.1499999999996</v>
      </c>
      <c r="Z1907" s="393">
        <v>2200000</v>
      </c>
      <c r="AA1907">
        <v>301</v>
      </c>
      <c r="AB1907" s="400">
        <v>44627.724196215277</v>
      </c>
      <c r="AC1907" t="str">
        <f>+VLOOKUP(R1907,DRAFT!A:Q,17,0)</f>
        <v>1.2.1</v>
      </c>
    </row>
    <row r="1908" spans="1:29">
      <c r="A1908" t="s">
        <v>382</v>
      </c>
      <c r="B1908" t="s">
        <v>440</v>
      </c>
      <c r="C1908" t="s">
        <v>486</v>
      </c>
      <c r="D1908" t="s">
        <v>487</v>
      </c>
      <c r="E1908" t="s">
        <v>390</v>
      </c>
      <c r="F1908" t="s">
        <v>391</v>
      </c>
      <c r="G1908">
        <v>6200430</v>
      </c>
      <c r="H1908">
        <v>202202</v>
      </c>
      <c r="I1908" s="400">
        <v>44599</v>
      </c>
      <c r="J1908">
        <v>122536</v>
      </c>
      <c r="K1908" t="s">
        <v>386</v>
      </c>
      <c r="M1908" t="s">
        <v>387</v>
      </c>
      <c r="O1908" t="s">
        <v>1983</v>
      </c>
      <c r="P1908" t="s">
        <v>1984</v>
      </c>
      <c r="Q1908" t="s">
        <v>396</v>
      </c>
      <c r="R1908" s="458">
        <v>2540511</v>
      </c>
      <c r="S1908" t="s">
        <v>387</v>
      </c>
      <c r="U1908" t="s">
        <v>2605</v>
      </c>
      <c r="V1908" t="s">
        <v>398</v>
      </c>
      <c r="W1908" s="393">
        <v>2200000</v>
      </c>
      <c r="X1908" s="393">
        <v>560.08000000000004</v>
      </c>
      <c r="Y1908" s="393">
        <v>4953.1499999999996</v>
      </c>
      <c r="Z1908" s="393">
        <v>2200000</v>
      </c>
      <c r="AA1908">
        <v>301</v>
      </c>
      <c r="AB1908" s="400">
        <v>44627.724196215277</v>
      </c>
      <c r="AC1908" t="str">
        <f>+VLOOKUP(R1908,DRAFT!A:Q,17,0)</f>
        <v>1.2.1</v>
      </c>
    </row>
    <row r="1909" spans="1:29">
      <c r="A1909" t="s">
        <v>382</v>
      </c>
      <c r="B1909" t="s">
        <v>1214</v>
      </c>
      <c r="C1909" t="s">
        <v>486</v>
      </c>
      <c r="D1909" t="s">
        <v>487</v>
      </c>
      <c r="E1909" t="s">
        <v>2565</v>
      </c>
      <c r="F1909" t="s">
        <v>2566</v>
      </c>
      <c r="G1909">
        <v>22200034</v>
      </c>
      <c r="H1909">
        <v>202202</v>
      </c>
      <c r="I1909" s="400">
        <v>44603</v>
      </c>
      <c r="J1909" t="s">
        <v>2567</v>
      </c>
      <c r="K1909" t="s">
        <v>386</v>
      </c>
      <c r="M1909" t="s">
        <v>387</v>
      </c>
      <c r="O1909" t="s">
        <v>2608</v>
      </c>
      <c r="P1909" t="s">
        <v>2609</v>
      </c>
      <c r="Q1909" t="s">
        <v>396</v>
      </c>
      <c r="R1909" s="458">
        <v>2540511</v>
      </c>
      <c r="S1909" t="s">
        <v>387</v>
      </c>
      <c r="U1909" t="s">
        <v>2610</v>
      </c>
      <c r="V1909" t="s">
        <v>398</v>
      </c>
      <c r="W1909" s="393">
        <v>3000000</v>
      </c>
      <c r="X1909" s="393">
        <v>761.55</v>
      </c>
      <c r="Y1909" s="393">
        <v>6716.94</v>
      </c>
      <c r="Z1909" s="393">
        <v>3000000</v>
      </c>
      <c r="AA1909">
        <v>0</v>
      </c>
      <c r="AB1909" s="400">
        <v>44620.759870601854</v>
      </c>
      <c r="AC1909" t="str">
        <f>+VLOOKUP(R1909,DRAFT!A:Q,17,0)</f>
        <v>1.2.1</v>
      </c>
    </row>
    <row r="1910" spans="1:29">
      <c r="A1910" t="s">
        <v>382</v>
      </c>
      <c r="B1910" t="s">
        <v>440</v>
      </c>
      <c r="C1910" t="s">
        <v>486</v>
      </c>
      <c r="D1910" t="s">
        <v>487</v>
      </c>
      <c r="E1910" t="s">
        <v>390</v>
      </c>
      <c r="F1910" t="s">
        <v>391</v>
      </c>
      <c r="G1910">
        <v>6200425</v>
      </c>
      <c r="H1910">
        <v>202202</v>
      </c>
      <c r="I1910" s="400">
        <v>44613</v>
      </c>
      <c r="J1910">
        <v>127949</v>
      </c>
      <c r="K1910" t="s">
        <v>386</v>
      </c>
      <c r="M1910" t="s">
        <v>387</v>
      </c>
      <c r="O1910" t="s">
        <v>1066</v>
      </c>
      <c r="P1910" t="s">
        <v>1067</v>
      </c>
      <c r="Q1910" t="s">
        <v>396</v>
      </c>
      <c r="R1910" s="458">
        <v>2069133</v>
      </c>
      <c r="S1910" t="s">
        <v>387</v>
      </c>
      <c r="U1910" t="s">
        <v>2603</v>
      </c>
      <c r="V1910" t="s">
        <v>398</v>
      </c>
      <c r="W1910" s="393">
        <v>-1500000</v>
      </c>
      <c r="X1910" s="393">
        <v>-378.44</v>
      </c>
      <c r="Y1910" s="393">
        <v>-3374.88</v>
      </c>
      <c r="Z1910" s="393">
        <v>-1500000</v>
      </c>
      <c r="AA1910">
        <v>301</v>
      </c>
      <c r="AB1910" s="400">
        <v>44627.54885648148</v>
      </c>
      <c r="AC1910" t="str">
        <f>+VLOOKUP(R1910,DRAFT!A:Q,17,0)</f>
        <v>1.3.2</v>
      </c>
    </row>
    <row r="1911" spans="1:29">
      <c r="A1911" t="s">
        <v>382</v>
      </c>
      <c r="B1911" t="s">
        <v>440</v>
      </c>
      <c r="C1911" t="s">
        <v>486</v>
      </c>
      <c r="D1911" t="s">
        <v>487</v>
      </c>
      <c r="E1911" t="s">
        <v>390</v>
      </c>
      <c r="F1911" t="s">
        <v>391</v>
      </c>
      <c r="G1911">
        <v>6200636</v>
      </c>
      <c r="H1911">
        <v>202203</v>
      </c>
      <c r="I1911" s="400">
        <v>44638</v>
      </c>
      <c r="J1911">
        <v>122536</v>
      </c>
      <c r="K1911" t="s">
        <v>386</v>
      </c>
      <c r="M1911" t="s">
        <v>387</v>
      </c>
      <c r="O1911" t="s">
        <v>1971</v>
      </c>
      <c r="P1911" t="s">
        <v>1972</v>
      </c>
      <c r="Q1911" t="s">
        <v>396</v>
      </c>
      <c r="R1911" s="458">
        <v>2540508</v>
      </c>
      <c r="S1911" t="s">
        <v>387</v>
      </c>
      <c r="U1911" t="s">
        <v>2611</v>
      </c>
      <c r="V1911" t="s">
        <v>398</v>
      </c>
      <c r="W1911" s="393">
        <v>2500000</v>
      </c>
      <c r="X1911" s="393">
        <v>653.28</v>
      </c>
      <c r="Y1911" s="393">
        <v>5815.05</v>
      </c>
      <c r="Z1911" s="393">
        <v>2500000</v>
      </c>
      <c r="AA1911">
        <v>301</v>
      </c>
      <c r="AB1911" s="400">
        <v>44642.928472106483</v>
      </c>
      <c r="AC1911" t="str">
        <f>+VLOOKUP(R1911,DRAFT!A:Q,17,0)</f>
        <v>1.2.2</v>
      </c>
    </row>
    <row r="1912" spans="1:29">
      <c r="A1912" t="s">
        <v>382</v>
      </c>
      <c r="B1912" t="s">
        <v>440</v>
      </c>
      <c r="C1912" t="s">
        <v>486</v>
      </c>
      <c r="D1912" t="s">
        <v>487</v>
      </c>
      <c r="E1912" t="s">
        <v>390</v>
      </c>
      <c r="F1912" t="s">
        <v>391</v>
      </c>
      <c r="G1912">
        <v>6200636</v>
      </c>
      <c r="H1912">
        <v>202203</v>
      </c>
      <c r="I1912" s="400">
        <v>44638</v>
      </c>
      <c r="J1912">
        <v>122536</v>
      </c>
      <c r="K1912" t="s">
        <v>386</v>
      </c>
      <c r="M1912" t="s">
        <v>387</v>
      </c>
      <c r="O1912" t="s">
        <v>2612</v>
      </c>
      <c r="P1912" t="s">
        <v>2613</v>
      </c>
      <c r="Q1912" t="s">
        <v>396</v>
      </c>
      <c r="R1912" s="458">
        <v>2540509</v>
      </c>
      <c r="S1912" t="s">
        <v>387</v>
      </c>
      <c r="U1912" t="s">
        <v>2614</v>
      </c>
      <c r="V1912" t="s">
        <v>398</v>
      </c>
      <c r="W1912" s="393">
        <v>2000000</v>
      </c>
      <c r="X1912" s="393">
        <v>522.62</v>
      </c>
      <c r="Y1912" s="393">
        <v>4652.04</v>
      </c>
      <c r="Z1912" s="393">
        <v>2000000</v>
      </c>
      <c r="AA1912">
        <v>301</v>
      </c>
      <c r="AB1912" s="400">
        <v>44642.928472106483</v>
      </c>
      <c r="AC1912" t="str">
        <f>+VLOOKUP(R1912,DRAFT!A:Q,17,0)</f>
        <v>1.2.2</v>
      </c>
    </row>
    <row r="1913" spans="1:29">
      <c r="A1913" t="s">
        <v>382</v>
      </c>
      <c r="B1913" t="s">
        <v>440</v>
      </c>
      <c r="C1913" t="s">
        <v>486</v>
      </c>
      <c r="D1913" t="s">
        <v>487</v>
      </c>
      <c r="E1913" t="s">
        <v>390</v>
      </c>
      <c r="F1913" t="s">
        <v>391</v>
      </c>
      <c r="G1913">
        <v>6200596</v>
      </c>
      <c r="H1913">
        <v>202203</v>
      </c>
      <c r="I1913" s="400">
        <v>44631</v>
      </c>
      <c r="J1913">
        <v>122536</v>
      </c>
      <c r="K1913" t="s">
        <v>386</v>
      </c>
      <c r="M1913" t="s">
        <v>387</v>
      </c>
      <c r="O1913" t="s">
        <v>1959</v>
      </c>
      <c r="P1913" t="s">
        <v>1960</v>
      </c>
      <c r="Q1913" t="s">
        <v>396</v>
      </c>
      <c r="R1913" s="458">
        <v>2540511</v>
      </c>
      <c r="S1913" t="s">
        <v>387</v>
      </c>
      <c r="U1913" t="s">
        <v>2620</v>
      </c>
      <c r="V1913" t="s">
        <v>398</v>
      </c>
      <c r="W1913" s="393">
        <v>2400000</v>
      </c>
      <c r="X1913" s="393">
        <v>580.49</v>
      </c>
      <c r="Y1913" s="393">
        <v>5713.03</v>
      </c>
      <c r="Z1913" s="393">
        <v>2400000</v>
      </c>
      <c r="AA1913">
        <v>301</v>
      </c>
      <c r="AB1913" s="400">
        <v>44638.684186423612</v>
      </c>
      <c r="AC1913" t="str">
        <f>+VLOOKUP(R1913,DRAFT!A:Q,17,0)</f>
        <v>1.2.1</v>
      </c>
    </row>
    <row r="1914" spans="1:29">
      <c r="A1914" t="s">
        <v>382</v>
      </c>
      <c r="B1914" t="s">
        <v>440</v>
      </c>
      <c r="C1914" t="s">
        <v>486</v>
      </c>
      <c r="D1914" t="s">
        <v>487</v>
      </c>
      <c r="E1914" t="s">
        <v>390</v>
      </c>
      <c r="F1914" t="s">
        <v>391</v>
      </c>
      <c r="G1914">
        <v>6200581</v>
      </c>
      <c r="H1914">
        <v>202203</v>
      </c>
      <c r="I1914" s="400">
        <v>44634</v>
      </c>
      <c r="J1914" t="s">
        <v>452</v>
      </c>
      <c r="K1914" t="s">
        <v>386</v>
      </c>
      <c r="M1914" t="s">
        <v>387</v>
      </c>
      <c r="O1914" t="s">
        <v>2615</v>
      </c>
      <c r="P1914" t="s">
        <v>2616</v>
      </c>
      <c r="Q1914" t="s">
        <v>396</v>
      </c>
      <c r="R1914" s="458">
        <v>2265787</v>
      </c>
      <c r="S1914" t="s">
        <v>387</v>
      </c>
      <c r="U1914" t="s">
        <v>2617</v>
      </c>
      <c r="V1914" t="s">
        <v>398</v>
      </c>
      <c r="W1914" s="393">
        <v>12605042</v>
      </c>
      <c r="X1914" s="393">
        <v>3220.71</v>
      </c>
      <c r="Y1914" s="393">
        <v>28775.17</v>
      </c>
      <c r="Z1914" s="393">
        <v>12605042</v>
      </c>
      <c r="AA1914">
        <v>166</v>
      </c>
      <c r="AB1914" s="400">
        <v>44637.737706018517</v>
      </c>
      <c r="AC1914" t="str">
        <f>+VLOOKUP(R1914,DRAFT!A:Q,17,0)</f>
        <v>MAE</v>
      </c>
    </row>
    <row r="1915" spans="1:29">
      <c r="A1915" t="s">
        <v>382</v>
      </c>
      <c r="B1915" t="s">
        <v>440</v>
      </c>
      <c r="C1915" t="s">
        <v>486</v>
      </c>
      <c r="D1915" t="s">
        <v>487</v>
      </c>
      <c r="E1915" t="s">
        <v>390</v>
      </c>
      <c r="F1915" t="s">
        <v>391</v>
      </c>
      <c r="G1915">
        <v>6200692</v>
      </c>
      <c r="H1915">
        <v>202203</v>
      </c>
      <c r="I1915" s="400">
        <v>44634</v>
      </c>
      <c r="J1915" t="s">
        <v>452</v>
      </c>
      <c r="K1915" t="s">
        <v>386</v>
      </c>
      <c r="M1915" t="s">
        <v>387</v>
      </c>
      <c r="O1915" t="s">
        <v>2615</v>
      </c>
      <c r="P1915" t="s">
        <v>2616</v>
      </c>
      <c r="Q1915" t="s">
        <v>396</v>
      </c>
      <c r="R1915" s="458">
        <v>2265787</v>
      </c>
      <c r="S1915" t="s">
        <v>387</v>
      </c>
      <c r="U1915" t="s">
        <v>2619</v>
      </c>
      <c r="V1915" t="s">
        <v>398</v>
      </c>
      <c r="W1915" s="393">
        <v>-12605042</v>
      </c>
      <c r="X1915" s="393">
        <v>-3048.78</v>
      </c>
      <c r="Y1915" s="393">
        <v>-30005.42</v>
      </c>
      <c r="Z1915" s="393">
        <v>-12605042</v>
      </c>
      <c r="AA1915">
        <v>166</v>
      </c>
      <c r="AB1915" s="400">
        <v>44644.562914386574</v>
      </c>
      <c r="AC1915" t="str">
        <f>+VLOOKUP(R1915,DRAFT!A:Q,17,0)</f>
        <v>MAE</v>
      </c>
    </row>
    <row r="1916" spans="1:29">
      <c r="A1916" t="s">
        <v>382</v>
      </c>
      <c r="B1916" t="s">
        <v>440</v>
      </c>
      <c r="C1916" t="s">
        <v>486</v>
      </c>
      <c r="D1916" t="s">
        <v>487</v>
      </c>
      <c r="E1916" t="s">
        <v>390</v>
      </c>
      <c r="F1916" t="s">
        <v>391</v>
      </c>
      <c r="G1916">
        <v>6200692</v>
      </c>
      <c r="H1916">
        <v>202203</v>
      </c>
      <c r="I1916" s="400">
        <v>44634</v>
      </c>
      <c r="J1916" t="s">
        <v>452</v>
      </c>
      <c r="K1916" t="s">
        <v>386</v>
      </c>
      <c r="M1916" t="s">
        <v>387</v>
      </c>
      <c r="O1916" t="s">
        <v>2615</v>
      </c>
      <c r="P1916" t="s">
        <v>2616</v>
      </c>
      <c r="Q1916" t="s">
        <v>396</v>
      </c>
      <c r="R1916" s="458">
        <v>2265782</v>
      </c>
      <c r="S1916" t="s">
        <v>387</v>
      </c>
      <c r="U1916" t="s">
        <v>2617</v>
      </c>
      <c r="V1916" t="s">
        <v>398</v>
      </c>
      <c r="W1916" s="393">
        <v>12605042</v>
      </c>
      <c r="X1916" s="393">
        <v>3048.78</v>
      </c>
      <c r="Y1916" s="393">
        <v>30005.42</v>
      </c>
      <c r="Z1916" s="393">
        <v>12605042</v>
      </c>
      <c r="AA1916">
        <v>166</v>
      </c>
      <c r="AB1916" s="400">
        <v>44644.562914386574</v>
      </c>
      <c r="AC1916" t="str">
        <f>+VLOOKUP(R1916,DRAFT!A:Q,17,0)</f>
        <v>MAE</v>
      </c>
    </row>
    <row r="1917" spans="1:29">
      <c r="A1917" t="s">
        <v>382</v>
      </c>
      <c r="B1917" t="s">
        <v>440</v>
      </c>
      <c r="C1917" t="s">
        <v>486</v>
      </c>
      <c r="D1917" t="s">
        <v>487</v>
      </c>
      <c r="E1917" t="s">
        <v>390</v>
      </c>
      <c r="F1917" t="s">
        <v>391</v>
      </c>
      <c r="G1917">
        <v>6200667</v>
      </c>
      <c r="H1917">
        <v>202203</v>
      </c>
      <c r="I1917" s="400">
        <v>44624</v>
      </c>
      <c r="J1917">
        <v>122536</v>
      </c>
      <c r="K1917" t="s">
        <v>386</v>
      </c>
      <c r="M1917" t="s">
        <v>387</v>
      </c>
      <c r="O1917" t="s">
        <v>1980</v>
      </c>
      <c r="P1917" t="s">
        <v>1981</v>
      </c>
      <c r="Q1917" t="s">
        <v>396</v>
      </c>
      <c r="R1917" s="458">
        <v>2540511</v>
      </c>
      <c r="S1917" t="s">
        <v>387</v>
      </c>
      <c r="U1917" t="s">
        <v>2618</v>
      </c>
      <c r="V1917" t="s">
        <v>398</v>
      </c>
      <c r="W1917" s="393">
        <v>2600000</v>
      </c>
      <c r="X1917" s="393">
        <v>673.06</v>
      </c>
      <c r="Y1917" s="393">
        <v>6002.44</v>
      </c>
      <c r="Z1917" s="393">
        <v>2600000</v>
      </c>
      <c r="AA1917">
        <v>301</v>
      </c>
      <c r="AB1917" s="400">
        <v>44643.733712499998</v>
      </c>
      <c r="AC1917" t="str">
        <f>+VLOOKUP(R1917,DRAFT!A:Q,17,0)</f>
        <v>1.2.1</v>
      </c>
    </row>
    <row r="1918" spans="1:29">
      <c r="A1918" t="s">
        <v>382</v>
      </c>
      <c r="B1918" t="s">
        <v>440</v>
      </c>
      <c r="C1918" t="s">
        <v>486</v>
      </c>
      <c r="D1918" t="s">
        <v>487</v>
      </c>
      <c r="E1918" t="s">
        <v>390</v>
      </c>
      <c r="F1918" t="s">
        <v>391</v>
      </c>
      <c r="G1918">
        <v>6201010</v>
      </c>
      <c r="H1918">
        <v>202204</v>
      </c>
      <c r="I1918" s="400">
        <v>44656</v>
      </c>
      <c r="J1918" t="s">
        <v>452</v>
      </c>
      <c r="K1918" t="s">
        <v>386</v>
      </c>
      <c r="M1918" t="s">
        <v>387</v>
      </c>
      <c r="O1918" t="s">
        <v>3886</v>
      </c>
      <c r="P1918" t="s">
        <v>3887</v>
      </c>
      <c r="Q1918" t="s">
        <v>396</v>
      </c>
      <c r="R1918" s="458">
        <v>2069132</v>
      </c>
      <c r="S1918" t="s">
        <v>387</v>
      </c>
      <c r="U1918" t="s">
        <v>3888</v>
      </c>
      <c r="V1918" t="s">
        <v>398</v>
      </c>
      <c r="W1918" s="393">
        <v>6000000</v>
      </c>
      <c r="X1918" s="393">
        <v>1600.8</v>
      </c>
      <c r="Y1918" s="393">
        <v>13833</v>
      </c>
      <c r="Z1918" s="393">
        <v>6000000</v>
      </c>
      <c r="AA1918">
        <v>303</v>
      </c>
      <c r="AB1918" s="400">
        <v>44670.723062303237</v>
      </c>
      <c r="AC1918" t="str">
        <f>+VLOOKUP(R1918,DRAFT!A:Q,17,0)</f>
        <v>1.3.2</v>
      </c>
    </row>
    <row r="1919" spans="1:29">
      <c r="A1919" t="s">
        <v>382</v>
      </c>
      <c r="B1919" t="s">
        <v>440</v>
      </c>
      <c r="C1919" t="s">
        <v>486</v>
      </c>
      <c r="D1919" t="s">
        <v>487</v>
      </c>
      <c r="E1919" t="s">
        <v>390</v>
      </c>
      <c r="F1919" t="s">
        <v>391</v>
      </c>
      <c r="G1919">
        <v>6201010</v>
      </c>
      <c r="H1919">
        <v>202204</v>
      </c>
      <c r="I1919" s="400">
        <v>44656</v>
      </c>
      <c r="J1919" t="s">
        <v>452</v>
      </c>
      <c r="K1919" t="s">
        <v>386</v>
      </c>
      <c r="M1919" t="s">
        <v>387</v>
      </c>
      <c r="O1919" t="s">
        <v>3889</v>
      </c>
      <c r="P1919" t="s">
        <v>3890</v>
      </c>
      <c r="Q1919" t="s">
        <v>396</v>
      </c>
      <c r="R1919" s="458">
        <v>2069132</v>
      </c>
      <c r="S1919" t="s">
        <v>387</v>
      </c>
      <c r="U1919" t="s">
        <v>3891</v>
      </c>
      <c r="V1919" t="s">
        <v>398</v>
      </c>
      <c r="W1919" s="393">
        <v>6000000</v>
      </c>
      <c r="X1919" s="393">
        <v>1600.8</v>
      </c>
      <c r="Y1919" s="393">
        <v>13833</v>
      </c>
      <c r="Z1919" s="393">
        <v>6000000</v>
      </c>
      <c r="AA1919">
        <v>303</v>
      </c>
      <c r="AB1919" s="400">
        <v>44670.723062303237</v>
      </c>
      <c r="AC1919" t="str">
        <f>+VLOOKUP(R1919,DRAFT!A:Q,17,0)</f>
        <v>1.3.2</v>
      </c>
    </row>
    <row r="1920" spans="1:29">
      <c r="A1920" t="s">
        <v>382</v>
      </c>
      <c r="B1920" t="s">
        <v>440</v>
      </c>
      <c r="C1920" t="s">
        <v>486</v>
      </c>
      <c r="D1920" t="s">
        <v>487</v>
      </c>
      <c r="E1920" t="s">
        <v>390</v>
      </c>
      <c r="F1920" t="s">
        <v>391</v>
      </c>
      <c r="G1920">
        <v>6201178</v>
      </c>
      <c r="H1920">
        <v>202204</v>
      </c>
      <c r="I1920" s="400">
        <v>44672</v>
      </c>
      <c r="J1920" t="s">
        <v>452</v>
      </c>
      <c r="K1920" t="s">
        <v>386</v>
      </c>
      <c r="M1920" t="s">
        <v>387</v>
      </c>
      <c r="O1920" t="s">
        <v>3889</v>
      </c>
      <c r="P1920" t="s">
        <v>3890</v>
      </c>
      <c r="Q1920" t="s">
        <v>396</v>
      </c>
      <c r="R1920" s="458">
        <v>2069132</v>
      </c>
      <c r="S1920" t="s">
        <v>387</v>
      </c>
      <c r="U1920" t="s">
        <v>3895</v>
      </c>
      <c r="V1920" t="s">
        <v>398</v>
      </c>
      <c r="W1920" s="393">
        <v>-6000000</v>
      </c>
      <c r="X1920" s="393">
        <v>-1600.8</v>
      </c>
      <c r="Y1920" s="393">
        <v>-13833</v>
      </c>
      <c r="Z1920" s="393">
        <v>-6000000</v>
      </c>
      <c r="AA1920">
        <v>0</v>
      </c>
      <c r="AB1920" s="400">
        <v>44674.698690474535</v>
      </c>
      <c r="AC1920" t="str">
        <f>+VLOOKUP(R1920,DRAFT!A:Q,17,0)</f>
        <v>1.3.2</v>
      </c>
    </row>
    <row r="1921" spans="1:29">
      <c r="A1921" t="s">
        <v>382</v>
      </c>
      <c r="B1921" t="s">
        <v>440</v>
      </c>
      <c r="C1921" t="s">
        <v>486</v>
      </c>
      <c r="D1921" t="s">
        <v>487</v>
      </c>
      <c r="E1921" t="s">
        <v>390</v>
      </c>
      <c r="F1921" t="s">
        <v>391</v>
      </c>
      <c r="G1921">
        <v>6201178</v>
      </c>
      <c r="H1921">
        <v>202204</v>
      </c>
      <c r="I1921" s="400">
        <v>44672</v>
      </c>
      <c r="J1921" t="s">
        <v>452</v>
      </c>
      <c r="K1921" t="s">
        <v>386</v>
      </c>
      <c r="M1921" t="s">
        <v>387</v>
      </c>
      <c r="O1921" t="s">
        <v>3889</v>
      </c>
      <c r="P1921" t="s">
        <v>3890</v>
      </c>
      <c r="Q1921" t="s">
        <v>396</v>
      </c>
      <c r="R1921" s="458">
        <v>2069133</v>
      </c>
      <c r="S1921" t="s">
        <v>387</v>
      </c>
      <c r="U1921" t="s">
        <v>3895</v>
      </c>
      <c r="V1921" t="s">
        <v>398</v>
      </c>
      <c r="W1921" s="393">
        <v>6000000</v>
      </c>
      <c r="X1921" s="393">
        <v>1600.8</v>
      </c>
      <c r="Y1921" s="393">
        <v>13833</v>
      </c>
      <c r="Z1921" s="393">
        <v>6000000</v>
      </c>
      <c r="AA1921">
        <v>0</v>
      </c>
      <c r="AB1921" s="400">
        <v>44674.698690474535</v>
      </c>
      <c r="AC1921" t="str">
        <f>+VLOOKUP(R1921,DRAFT!A:Q,17,0)</f>
        <v>1.3.2</v>
      </c>
    </row>
    <row r="1922" spans="1:29">
      <c r="A1922" t="s">
        <v>382</v>
      </c>
      <c r="B1922" t="s">
        <v>440</v>
      </c>
      <c r="C1922" t="s">
        <v>486</v>
      </c>
      <c r="D1922" t="s">
        <v>487</v>
      </c>
      <c r="E1922" t="s">
        <v>390</v>
      </c>
      <c r="F1922" t="s">
        <v>391</v>
      </c>
      <c r="G1922">
        <v>6201178</v>
      </c>
      <c r="H1922">
        <v>202204</v>
      </c>
      <c r="I1922" s="400">
        <v>44672</v>
      </c>
      <c r="J1922" t="s">
        <v>452</v>
      </c>
      <c r="K1922" t="s">
        <v>386</v>
      </c>
      <c r="M1922" t="s">
        <v>387</v>
      </c>
      <c r="O1922" t="s">
        <v>3886</v>
      </c>
      <c r="P1922" t="s">
        <v>3887</v>
      </c>
      <c r="Q1922" t="s">
        <v>396</v>
      </c>
      <c r="R1922" s="458">
        <v>2069132</v>
      </c>
      <c r="S1922" t="s">
        <v>387</v>
      </c>
      <c r="U1922" t="s">
        <v>3896</v>
      </c>
      <c r="V1922" t="s">
        <v>398</v>
      </c>
      <c r="W1922" s="393">
        <v>-6000000</v>
      </c>
      <c r="X1922" s="393">
        <v>-1600.8</v>
      </c>
      <c r="Y1922" s="393">
        <v>-13833</v>
      </c>
      <c r="Z1922" s="393">
        <v>-6000000</v>
      </c>
      <c r="AA1922">
        <v>0</v>
      </c>
      <c r="AB1922" s="400">
        <v>44674.698690474535</v>
      </c>
      <c r="AC1922" t="str">
        <f>+VLOOKUP(R1922,DRAFT!A:Q,17,0)</f>
        <v>1.3.2</v>
      </c>
    </row>
    <row r="1923" spans="1:29">
      <c r="A1923" t="s">
        <v>382</v>
      </c>
      <c r="B1923" t="s">
        <v>440</v>
      </c>
      <c r="C1923" t="s">
        <v>486</v>
      </c>
      <c r="D1923" t="s">
        <v>487</v>
      </c>
      <c r="E1923" t="s">
        <v>390</v>
      </c>
      <c r="F1923" t="s">
        <v>391</v>
      </c>
      <c r="G1923">
        <v>6201274</v>
      </c>
      <c r="H1923">
        <v>202204</v>
      </c>
      <c r="I1923" s="400">
        <v>44679</v>
      </c>
      <c r="J1923" t="s">
        <v>452</v>
      </c>
      <c r="K1923" t="s">
        <v>386</v>
      </c>
      <c r="M1923" t="s">
        <v>387</v>
      </c>
      <c r="O1923" t="s">
        <v>3892</v>
      </c>
      <c r="P1923" t="s">
        <v>3893</v>
      </c>
      <c r="Q1923" t="s">
        <v>396</v>
      </c>
      <c r="R1923" s="458">
        <v>2069133</v>
      </c>
      <c r="S1923" t="s">
        <v>387</v>
      </c>
      <c r="U1923" t="s">
        <v>3897</v>
      </c>
      <c r="V1923" t="s">
        <v>398</v>
      </c>
      <c r="W1923" s="393">
        <v>6000000</v>
      </c>
      <c r="X1923" s="393">
        <v>1596.3</v>
      </c>
      <c r="Y1923" s="393">
        <v>13687.8</v>
      </c>
      <c r="Z1923" s="393">
        <v>6000000</v>
      </c>
      <c r="AA1923">
        <v>303</v>
      </c>
      <c r="AB1923" s="400">
        <v>44685.015685648148</v>
      </c>
      <c r="AC1923" t="str">
        <f>+VLOOKUP(R1923,DRAFT!A:Q,17,0)</f>
        <v>1.3.2</v>
      </c>
    </row>
    <row r="1924" spans="1:29">
      <c r="A1924" t="s">
        <v>382</v>
      </c>
      <c r="B1924" t="s">
        <v>440</v>
      </c>
      <c r="C1924" t="s">
        <v>486</v>
      </c>
      <c r="D1924" t="s">
        <v>487</v>
      </c>
      <c r="E1924" t="s">
        <v>390</v>
      </c>
      <c r="F1924" t="s">
        <v>391</v>
      </c>
      <c r="G1924">
        <v>6201178</v>
      </c>
      <c r="H1924">
        <v>202204</v>
      </c>
      <c r="I1924" s="400">
        <v>44672</v>
      </c>
      <c r="J1924" t="s">
        <v>452</v>
      </c>
      <c r="K1924" t="s">
        <v>386</v>
      </c>
      <c r="M1924" t="s">
        <v>387</v>
      </c>
      <c r="O1924" t="s">
        <v>3886</v>
      </c>
      <c r="P1924" t="s">
        <v>3887</v>
      </c>
      <c r="Q1924" t="s">
        <v>396</v>
      </c>
      <c r="R1924" s="458">
        <v>2069133</v>
      </c>
      <c r="S1924" t="s">
        <v>387</v>
      </c>
      <c r="U1924" t="s">
        <v>3896</v>
      </c>
      <c r="V1924" t="s">
        <v>398</v>
      </c>
      <c r="W1924" s="393">
        <v>6000000</v>
      </c>
      <c r="X1924" s="393">
        <v>1600.8</v>
      </c>
      <c r="Y1924" s="393">
        <v>13833</v>
      </c>
      <c r="Z1924" s="393">
        <v>6000000</v>
      </c>
      <c r="AA1924">
        <v>0</v>
      </c>
      <c r="AB1924" s="400">
        <v>44674.698690474535</v>
      </c>
      <c r="AC1924" t="str">
        <f>+VLOOKUP(R1924,DRAFT!A:Q,17,0)</f>
        <v>1.3.2</v>
      </c>
    </row>
    <row r="1925" spans="1:29">
      <c r="A1925" t="s">
        <v>382</v>
      </c>
      <c r="B1925" t="s">
        <v>440</v>
      </c>
      <c r="C1925" t="s">
        <v>486</v>
      </c>
      <c r="D1925" t="s">
        <v>487</v>
      </c>
      <c r="E1925" t="s">
        <v>390</v>
      </c>
      <c r="F1925" t="s">
        <v>391</v>
      </c>
      <c r="G1925">
        <v>6201308</v>
      </c>
      <c r="H1925">
        <v>202204</v>
      </c>
      <c r="I1925" s="400">
        <v>44679</v>
      </c>
      <c r="J1925" t="s">
        <v>452</v>
      </c>
      <c r="K1925" t="s">
        <v>386</v>
      </c>
      <c r="M1925" t="s">
        <v>387</v>
      </c>
      <c r="O1925" t="s">
        <v>3892</v>
      </c>
      <c r="P1925" t="s">
        <v>3893</v>
      </c>
      <c r="Q1925" t="s">
        <v>396</v>
      </c>
      <c r="R1925" s="458">
        <v>2069133</v>
      </c>
      <c r="S1925" t="s">
        <v>387</v>
      </c>
      <c r="U1925" t="s">
        <v>3894</v>
      </c>
      <c r="V1925" t="s">
        <v>398</v>
      </c>
      <c r="W1925" s="393">
        <v>6000000</v>
      </c>
      <c r="X1925" s="393">
        <v>1596.3</v>
      </c>
      <c r="Y1925" s="393">
        <v>13687.8</v>
      </c>
      <c r="Z1925" s="393">
        <v>6000000</v>
      </c>
      <c r="AA1925">
        <v>303</v>
      </c>
      <c r="AB1925" s="400">
        <v>44687.144954317133</v>
      </c>
      <c r="AC1925" t="str">
        <f>+VLOOKUP(R1925,DRAFT!A:Q,17,0)</f>
        <v>1.3.2</v>
      </c>
    </row>
    <row r="1926" spans="1:29">
      <c r="A1926" t="s">
        <v>382</v>
      </c>
      <c r="B1926" t="s">
        <v>440</v>
      </c>
      <c r="C1926" t="s">
        <v>486</v>
      </c>
      <c r="D1926" t="s">
        <v>508</v>
      </c>
      <c r="E1926" t="s">
        <v>390</v>
      </c>
      <c r="F1926" t="s">
        <v>391</v>
      </c>
      <c r="G1926">
        <v>6200029</v>
      </c>
      <c r="H1926">
        <v>202201</v>
      </c>
      <c r="I1926" s="400">
        <v>44575</v>
      </c>
      <c r="J1926">
        <v>124932</v>
      </c>
      <c r="K1926" t="s">
        <v>386</v>
      </c>
      <c r="M1926" t="s">
        <v>387</v>
      </c>
      <c r="O1926" t="s">
        <v>2621</v>
      </c>
      <c r="P1926" t="s">
        <v>2622</v>
      </c>
      <c r="Q1926" t="s">
        <v>396</v>
      </c>
      <c r="R1926" s="458">
        <v>2069133</v>
      </c>
      <c r="S1926" t="s">
        <v>387</v>
      </c>
      <c r="U1926" t="s">
        <v>2623</v>
      </c>
      <c r="V1926" t="s">
        <v>398</v>
      </c>
      <c r="W1926" s="393">
        <v>681282</v>
      </c>
      <c r="X1926" s="393">
        <v>171.6</v>
      </c>
      <c r="Y1926" s="393">
        <v>1508.56</v>
      </c>
      <c r="Z1926" s="393">
        <v>681282</v>
      </c>
      <c r="AA1926">
        <v>0</v>
      </c>
      <c r="AB1926" s="400">
        <v>44593.872003159719</v>
      </c>
      <c r="AC1926" t="str">
        <f>+VLOOKUP(R1926,DRAFT!A:Q,17,0)</f>
        <v>1.3.2</v>
      </c>
    </row>
    <row r="1927" spans="1:29">
      <c r="A1927" t="s">
        <v>382</v>
      </c>
      <c r="B1927" t="s">
        <v>440</v>
      </c>
      <c r="C1927" t="s">
        <v>486</v>
      </c>
      <c r="D1927" t="s">
        <v>508</v>
      </c>
      <c r="E1927" t="s">
        <v>390</v>
      </c>
      <c r="F1927" t="s">
        <v>391</v>
      </c>
      <c r="G1927">
        <v>6200430</v>
      </c>
      <c r="H1927">
        <v>202202</v>
      </c>
      <c r="I1927" s="400">
        <v>44599</v>
      </c>
      <c r="J1927">
        <v>122536</v>
      </c>
      <c r="K1927" t="s">
        <v>386</v>
      </c>
      <c r="M1927" t="s">
        <v>387</v>
      </c>
      <c r="O1927" t="s">
        <v>2621</v>
      </c>
      <c r="P1927" t="s">
        <v>2622</v>
      </c>
      <c r="Q1927" t="s">
        <v>396</v>
      </c>
      <c r="R1927" s="458">
        <v>2069133</v>
      </c>
      <c r="S1927" t="s">
        <v>387</v>
      </c>
      <c r="U1927" t="s">
        <v>2624</v>
      </c>
      <c r="V1927" t="s">
        <v>398</v>
      </c>
      <c r="W1927" s="393">
        <v>681289</v>
      </c>
      <c r="X1927" s="393">
        <v>173.44</v>
      </c>
      <c r="Y1927" s="393">
        <v>1533.87</v>
      </c>
      <c r="Z1927" s="393">
        <v>681289</v>
      </c>
      <c r="AA1927">
        <v>0</v>
      </c>
      <c r="AB1927" s="400">
        <v>44627.724196377312</v>
      </c>
      <c r="AC1927" t="str">
        <f>+VLOOKUP(R1927,DRAFT!A:Q,17,0)</f>
        <v>1.3.2</v>
      </c>
    </row>
    <row r="1928" spans="1:29">
      <c r="A1928" t="s">
        <v>382</v>
      </c>
      <c r="B1928" t="s">
        <v>440</v>
      </c>
      <c r="C1928" t="s">
        <v>486</v>
      </c>
      <c r="D1928" t="s">
        <v>508</v>
      </c>
      <c r="E1928" t="s">
        <v>390</v>
      </c>
      <c r="F1928" t="s">
        <v>391</v>
      </c>
      <c r="G1928">
        <v>6200782</v>
      </c>
      <c r="H1928">
        <v>202203</v>
      </c>
      <c r="I1928" s="400">
        <v>44645</v>
      </c>
      <c r="J1928">
        <v>122536</v>
      </c>
      <c r="K1928" t="s">
        <v>386</v>
      </c>
      <c r="M1928" t="s">
        <v>387</v>
      </c>
      <c r="O1928" t="s">
        <v>2625</v>
      </c>
      <c r="P1928" t="s">
        <v>2626</v>
      </c>
      <c r="Q1928" t="s">
        <v>396</v>
      </c>
      <c r="R1928" s="458">
        <v>2265783</v>
      </c>
      <c r="S1928" t="s">
        <v>387</v>
      </c>
      <c r="U1928" t="s">
        <v>2627</v>
      </c>
      <c r="V1928" t="s">
        <v>398</v>
      </c>
      <c r="W1928" s="393">
        <v>21267</v>
      </c>
      <c r="X1928" s="393">
        <v>5.66</v>
      </c>
      <c r="Y1928" s="393">
        <v>49.52</v>
      </c>
      <c r="Z1928" s="393">
        <v>21267</v>
      </c>
      <c r="AA1928">
        <v>0</v>
      </c>
      <c r="AB1928" s="400">
        <v>44653.847196909723</v>
      </c>
      <c r="AC1928" t="str">
        <f>+VLOOKUP(R1928,DRAFT!A:Q,17,0)</f>
        <v>MAE</v>
      </c>
    </row>
    <row r="1929" spans="1:29">
      <c r="A1929" t="s">
        <v>382</v>
      </c>
      <c r="B1929" t="s">
        <v>440</v>
      </c>
      <c r="C1929" t="s">
        <v>486</v>
      </c>
      <c r="D1929" t="s">
        <v>508</v>
      </c>
      <c r="E1929" t="s">
        <v>390</v>
      </c>
      <c r="F1929" t="s">
        <v>391</v>
      </c>
      <c r="G1929">
        <v>6200692</v>
      </c>
      <c r="H1929">
        <v>202203</v>
      </c>
      <c r="I1929" s="400">
        <v>44634</v>
      </c>
      <c r="J1929" t="s">
        <v>452</v>
      </c>
      <c r="K1929" t="s">
        <v>386</v>
      </c>
      <c r="M1929" t="s">
        <v>387</v>
      </c>
      <c r="O1929" t="s">
        <v>2615</v>
      </c>
      <c r="P1929" t="s">
        <v>2616</v>
      </c>
      <c r="Q1929" t="s">
        <v>396</v>
      </c>
      <c r="R1929" s="458">
        <v>2265787</v>
      </c>
      <c r="S1929" t="s">
        <v>387</v>
      </c>
      <c r="U1929" t="s">
        <v>2619</v>
      </c>
      <c r="V1929" t="s">
        <v>398</v>
      </c>
      <c r="W1929" s="393">
        <v>-2394958</v>
      </c>
      <c r="X1929" s="393">
        <v>-579.27</v>
      </c>
      <c r="Y1929" s="393">
        <v>-5701.03</v>
      </c>
      <c r="Z1929" s="393">
        <v>-2394958</v>
      </c>
      <c r="AA1929">
        <v>0</v>
      </c>
      <c r="AB1929" s="400">
        <v>44644.56291458333</v>
      </c>
      <c r="AC1929" t="str">
        <f>+VLOOKUP(R1929,DRAFT!A:Q,17,0)</f>
        <v>MAE</v>
      </c>
    </row>
    <row r="1930" spans="1:29">
      <c r="A1930" t="s">
        <v>382</v>
      </c>
      <c r="B1930" t="s">
        <v>440</v>
      </c>
      <c r="C1930" t="s">
        <v>486</v>
      </c>
      <c r="D1930" t="s">
        <v>508</v>
      </c>
      <c r="E1930" t="s">
        <v>390</v>
      </c>
      <c r="F1930" t="s">
        <v>391</v>
      </c>
      <c r="G1930">
        <v>6200692</v>
      </c>
      <c r="H1930">
        <v>202203</v>
      </c>
      <c r="I1930" s="400">
        <v>44634</v>
      </c>
      <c r="J1930" t="s">
        <v>452</v>
      </c>
      <c r="K1930" t="s">
        <v>386</v>
      </c>
      <c r="M1930" t="s">
        <v>387</v>
      </c>
      <c r="O1930" t="s">
        <v>2615</v>
      </c>
      <c r="P1930" t="s">
        <v>2616</v>
      </c>
      <c r="Q1930" t="s">
        <v>396</v>
      </c>
      <c r="R1930" s="458">
        <v>2265782</v>
      </c>
      <c r="S1930" t="s">
        <v>387</v>
      </c>
      <c r="U1930" t="s">
        <v>2617</v>
      </c>
      <c r="V1930" t="s">
        <v>398</v>
      </c>
      <c r="W1930" s="393">
        <v>2394958</v>
      </c>
      <c r="X1930" s="393">
        <v>579.27</v>
      </c>
      <c r="Y1930" s="393">
        <v>5701.03</v>
      </c>
      <c r="Z1930" s="393">
        <v>2394958</v>
      </c>
      <c r="AA1930">
        <v>0</v>
      </c>
      <c r="AB1930" s="400">
        <v>44644.56291458333</v>
      </c>
      <c r="AC1930" t="str">
        <f>+VLOOKUP(R1930,DRAFT!A:Q,17,0)</f>
        <v>MAE</v>
      </c>
    </row>
    <row r="1931" spans="1:29">
      <c r="A1931" t="s">
        <v>382</v>
      </c>
      <c r="B1931" t="s">
        <v>440</v>
      </c>
      <c r="C1931" t="s">
        <v>486</v>
      </c>
      <c r="D1931" t="s">
        <v>508</v>
      </c>
      <c r="E1931" t="s">
        <v>390</v>
      </c>
      <c r="F1931" t="s">
        <v>391</v>
      </c>
      <c r="G1931">
        <v>6200581</v>
      </c>
      <c r="H1931">
        <v>202203</v>
      </c>
      <c r="I1931" s="400">
        <v>44634</v>
      </c>
      <c r="J1931" t="s">
        <v>452</v>
      </c>
      <c r="K1931" t="s">
        <v>386</v>
      </c>
      <c r="M1931" t="s">
        <v>387</v>
      </c>
      <c r="O1931" t="s">
        <v>2615</v>
      </c>
      <c r="P1931" t="s">
        <v>2616</v>
      </c>
      <c r="Q1931" t="s">
        <v>396</v>
      </c>
      <c r="R1931" s="458">
        <v>2265787</v>
      </c>
      <c r="S1931" t="s">
        <v>387</v>
      </c>
      <c r="U1931" t="s">
        <v>2617</v>
      </c>
      <c r="V1931" t="s">
        <v>398</v>
      </c>
      <c r="W1931" s="393">
        <v>2394958</v>
      </c>
      <c r="X1931" s="393">
        <v>611.94000000000005</v>
      </c>
      <c r="Y1931" s="393">
        <v>5467.28</v>
      </c>
      <c r="Z1931" s="393">
        <v>2394958</v>
      </c>
      <c r="AA1931">
        <v>0</v>
      </c>
      <c r="AB1931" s="400">
        <v>44637.737706562497</v>
      </c>
      <c r="AC1931" t="str">
        <f>+VLOOKUP(R1931,DRAFT!A:Q,17,0)</f>
        <v>MAE</v>
      </c>
    </row>
    <row r="1932" spans="1:29">
      <c r="A1932" t="s">
        <v>382</v>
      </c>
      <c r="B1932" t="s">
        <v>440</v>
      </c>
      <c r="C1932" t="s">
        <v>486</v>
      </c>
      <c r="D1932" t="s">
        <v>508</v>
      </c>
      <c r="E1932" t="s">
        <v>390</v>
      </c>
      <c r="F1932" t="s">
        <v>391</v>
      </c>
      <c r="G1932">
        <v>6200767</v>
      </c>
      <c r="H1932">
        <v>202203</v>
      </c>
      <c r="I1932" s="400">
        <v>44631</v>
      </c>
      <c r="J1932">
        <v>122536</v>
      </c>
      <c r="K1932" t="s">
        <v>386</v>
      </c>
      <c r="M1932" t="s">
        <v>387</v>
      </c>
      <c r="O1932" t="s">
        <v>1380</v>
      </c>
      <c r="P1932" t="s">
        <v>1381</v>
      </c>
      <c r="Q1932" t="s">
        <v>396</v>
      </c>
      <c r="R1932" s="458">
        <v>2265779</v>
      </c>
      <c r="S1932" t="s">
        <v>387</v>
      </c>
      <c r="U1932" t="s">
        <v>2628</v>
      </c>
      <c r="V1932" t="s">
        <v>398</v>
      </c>
      <c r="W1932" s="393">
        <v>16170</v>
      </c>
      <c r="X1932" s="393">
        <v>3.91</v>
      </c>
      <c r="Y1932" s="393">
        <v>38.49</v>
      </c>
      <c r="Z1932" s="393">
        <v>16170</v>
      </c>
      <c r="AA1932">
        <v>0</v>
      </c>
      <c r="AB1932" s="400">
        <v>44651.845312500001</v>
      </c>
      <c r="AC1932" t="str">
        <f>+VLOOKUP(R1932,DRAFT!A:Q,17,0)</f>
        <v>MAE</v>
      </c>
    </row>
    <row r="1933" spans="1:29">
      <c r="A1933" t="s">
        <v>382</v>
      </c>
      <c r="B1933" t="s">
        <v>440</v>
      </c>
      <c r="C1933" t="s">
        <v>486</v>
      </c>
      <c r="D1933" t="s">
        <v>508</v>
      </c>
      <c r="E1933" t="s">
        <v>390</v>
      </c>
      <c r="F1933" t="s">
        <v>391</v>
      </c>
      <c r="G1933">
        <v>6200767</v>
      </c>
      <c r="H1933">
        <v>202203</v>
      </c>
      <c r="I1933" s="400">
        <v>44631</v>
      </c>
      <c r="J1933">
        <v>122536</v>
      </c>
      <c r="K1933" t="s">
        <v>386</v>
      </c>
      <c r="M1933" t="s">
        <v>387</v>
      </c>
      <c r="O1933" t="s">
        <v>512</v>
      </c>
      <c r="P1933" t="s">
        <v>513</v>
      </c>
      <c r="Q1933" t="s">
        <v>396</v>
      </c>
      <c r="R1933" s="458">
        <v>2265779</v>
      </c>
      <c r="S1933" t="s">
        <v>387</v>
      </c>
      <c r="U1933" t="s">
        <v>2628</v>
      </c>
      <c r="V1933" t="s">
        <v>398</v>
      </c>
      <c r="W1933" s="393">
        <v>3037</v>
      </c>
      <c r="X1933" s="393">
        <v>0.73</v>
      </c>
      <c r="Y1933" s="393">
        <v>7.23</v>
      </c>
      <c r="Z1933" s="393">
        <v>3037</v>
      </c>
      <c r="AA1933">
        <v>0</v>
      </c>
      <c r="AB1933" s="400">
        <v>44651.845312500001</v>
      </c>
      <c r="AC1933" t="str">
        <f>+VLOOKUP(R1933,DRAFT!A:Q,17,0)</f>
        <v>MAE</v>
      </c>
    </row>
    <row r="1934" spans="1:29">
      <c r="A1934" t="s">
        <v>382</v>
      </c>
      <c r="B1934" t="s">
        <v>440</v>
      </c>
      <c r="C1934" t="s">
        <v>486</v>
      </c>
      <c r="D1934" t="s">
        <v>508</v>
      </c>
      <c r="E1934" t="s">
        <v>390</v>
      </c>
      <c r="F1934" t="s">
        <v>391</v>
      </c>
      <c r="G1934">
        <v>6201139</v>
      </c>
      <c r="H1934">
        <v>202204</v>
      </c>
      <c r="I1934" s="400">
        <v>44659</v>
      </c>
      <c r="J1934" t="s">
        <v>3947</v>
      </c>
      <c r="K1934" t="s">
        <v>386</v>
      </c>
      <c r="M1934" t="s">
        <v>387</v>
      </c>
      <c r="O1934" t="s">
        <v>512</v>
      </c>
      <c r="P1934" t="s">
        <v>513</v>
      </c>
      <c r="Q1934" t="s">
        <v>396</v>
      </c>
      <c r="R1934" s="458">
        <v>2265779</v>
      </c>
      <c r="S1934" t="s">
        <v>3948</v>
      </c>
      <c r="U1934" t="s">
        <v>3949</v>
      </c>
      <c r="V1934" t="s">
        <v>398</v>
      </c>
      <c r="W1934" s="393">
        <v>1962</v>
      </c>
      <c r="X1934" s="393">
        <v>0.52</v>
      </c>
      <c r="Y1934" s="393">
        <v>4.5199999999999996</v>
      </c>
      <c r="Z1934" s="393">
        <v>1962</v>
      </c>
      <c r="AA1934">
        <v>0</v>
      </c>
      <c r="AB1934" s="400">
        <v>44672.058287465275</v>
      </c>
      <c r="AC1934" t="str">
        <f>+VLOOKUP(R1934,DRAFT!A:Q,17,0)</f>
        <v>MAE</v>
      </c>
    </row>
    <row r="1935" spans="1:29">
      <c r="A1935" t="s">
        <v>382</v>
      </c>
      <c r="B1935" t="s">
        <v>440</v>
      </c>
      <c r="C1935" t="s">
        <v>486</v>
      </c>
      <c r="D1935" t="s">
        <v>508</v>
      </c>
      <c r="E1935" t="s">
        <v>390</v>
      </c>
      <c r="F1935" t="s">
        <v>391</v>
      </c>
      <c r="G1935">
        <v>6201139</v>
      </c>
      <c r="H1935">
        <v>202204</v>
      </c>
      <c r="I1935" s="400">
        <v>44659</v>
      </c>
      <c r="J1935" t="s">
        <v>3947</v>
      </c>
      <c r="K1935" t="s">
        <v>386</v>
      </c>
      <c r="M1935" t="s">
        <v>387</v>
      </c>
      <c r="O1935" t="s">
        <v>1380</v>
      </c>
      <c r="P1935" t="s">
        <v>1381</v>
      </c>
      <c r="Q1935" t="s">
        <v>396</v>
      </c>
      <c r="R1935" s="458">
        <v>2265779</v>
      </c>
      <c r="S1935" t="s">
        <v>3948</v>
      </c>
      <c r="U1935" t="s">
        <v>3949</v>
      </c>
      <c r="V1935" t="s">
        <v>398</v>
      </c>
      <c r="W1935" s="393">
        <v>14200</v>
      </c>
      <c r="X1935" s="393">
        <v>3.79</v>
      </c>
      <c r="Y1935" s="393">
        <v>32.74</v>
      </c>
      <c r="Z1935" s="393">
        <v>14200</v>
      </c>
      <c r="AA1935">
        <v>0</v>
      </c>
      <c r="AB1935" s="400">
        <v>44672.058287465275</v>
      </c>
      <c r="AC1935" t="str">
        <f>+VLOOKUP(R1935,DRAFT!A:Q,17,0)</f>
        <v>MAE</v>
      </c>
    </row>
    <row r="1936" spans="1:29">
      <c r="A1936" t="s">
        <v>382</v>
      </c>
      <c r="B1936" t="s">
        <v>440</v>
      </c>
      <c r="C1936" t="s">
        <v>486</v>
      </c>
      <c r="D1936" t="s">
        <v>508</v>
      </c>
      <c r="E1936" t="s">
        <v>390</v>
      </c>
      <c r="F1936" t="s">
        <v>391</v>
      </c>
      <c r="G1936">
        <v>6201179</v>
      </c>
      <c r="H1936">
        <v>202204</v>
      </c>
      <c r="I1936" s="400">
        <v>44672</v>
      </c>
      <c r="J1936" t="s">
        <v>452</v>
      </c>
      <c r="K1936" t="s">
        <v>386</v>
      </c>
      <c r="M1936" t="s">
        <v>387</v>
      </c>
      <c r="O1936" t="s">
        <v>544</v>
      </c>
      <c r="P1936" t="s">
        <v>545</v>
      </c>
      <c r="Q1936" t="s">
        <v>396</v>
      </c>
      <c r="R1936" s="458">
        <v>2265779</v>
      </c>
      <c r="S1936" t="s">
        <v>387</v>
      </c>
      <c r="U1936" t="s">
        <v>3946</v>
      </c>
      <c r="V1936" t="s">
        <v>398</v>
      </c>
      <c r="W1936" s="393">
        <v>8322</v>
      </c>
      <c r="X1936" s="393">
        <v>2.2200000000000002</v>
      </c>
      <c r="Y1936" s="393">
        <v>19.190000000000001</v>
      </c>
      <c r="Z1936" s="393">
        <v>8322</v>
      </c>
      <c r="AA1936">
        <v>0</v>
      </c>
      <c r="AB1936" s="400">
        <v>44674.709575034722</v>
      </c>
      <c r="AC1936" t="str">
        <f>+VLOOKUP(R1936,DRAFT!A:Q,17,0)</f>
        <v>MAE</v>
      </c>
    </row>
    <row r="1937" spans="1:29">
      <c r="A1937" t="s">
        <v>382</v>
      </c>
      <c r="B1937" t="s">
        <v>440</v>
      </c>
      <c r="C1937" t="s">
        <v>486</v>
      </c>
      <c r="D1937" t="s">
        <v>508</v>
      </c>
      <c r="E1937" t="s">
        <v>390</v>
      </c>
      <c r="F1937" t="s">
        <v>391</v>
      </c>
      <c r="G1937">
        <v>6201179</v>
      </c>
      <c r="H1937">
        <v>202204</v>
      </c>
      <c r="I1937" s="400">
        <v>44672</v>
      </c>
      <c r="J1937" t="s">
        <v>452</v>
      </c>
      <c r="K1937" t="s">
        <v>386</v>
      </c>
      <c r="M1937" t="s">
        <v>387</v>
      </c>
      <c r="O1937" t="s">
        <v>544</v>
      </c>
      <c r="P1937" t="s">
        <v>545</v>
      </c>
      <c r="Q1937" t="s">
        <v>396</v>
      </c>
      <c r="R1937" s="458">
        <v>2265783</v>
      </c>
      <c r="S1937" t="s">
        <v>387</v>
      </c>
      <c r="U1937" t="s">
        <v>3945</v>
      </c>
      <c r="V1937" t="s">
        <v>398</v>
      </c>
      <c r="W1937" s="393">
        <v>65862</v>
      </c>
      <c r="X1937" s="393">
        <v>17.57</v>
      </c>
      <c r="Y1937" s="393">
        <v>151.84</v>
      </c>
      <c r="Z1937" s="393">
        <v>65862</v>
      </c>
      <c r="AA1937">
        <v>0</v>
      </c>
      <c r="AB1937" s="400">
        <v>44674.709575034722</v>
      </c>
      <c r="AC1937" t="str">
        <f>+VLOOKUP(R1937,DRAFT!A:Q,17,0)</f>
        <v>MAE</v>
      </c>
    </row>
    <row r="1938" spans="1:29">
      <c r="A1938" t="s">
        <v>382</v>
      </c>
      <c r="B1938" t="s">
        <v>1157</v>
      </c>
      <c r="C1938" t="s">
        <v>486</v>
      </c>
      <c r="D1938" t="s">
        <v>2629</v>
      </c>
      <c r="E1938" t="s">
        <v>390</v>
      </c>
      <c r="F1938" t="s">
        <v>391</v>
      </c>
      <c r="G1938">
        <v>6200449</v>
      </c>
      <c r="H1938">
        <v>202202</v>
      </c>
      <c r="I1938" s="400">
        <v>44620</v>
      </c>
      <c r="J1938" t="s">
        <v>1036</v>
      </c>
      <c r="K1938" t="s">
        <v>386</v>
      </c>
      <c r="M1938" t="s">
        <v>387</v>
      </c>
      <c r="O1938" t="s">
        <v>906</v>
      </c>
      <c r="P1938" t="s">
        <v>907</v>
      </c>
      <c r="Q1938" t="s">
        <v>396</v>
      </c>
      <c r="R1938" s="458">
        <v>2540509</v>
      </c>
      <c r="S1938" t="s">
        <v>387</v>
      </c>
      <c r="U1938" t="s">
        <v>2630</v>
      </c>
      <c r="V1938" t="s">
        <v>398</v>
      </c>
      <c r="W1938" s="393">
        <v>4444</v>
      </c>
      <c r="X1938" s="393">
        <v>1.1399999999999999</v>
      </c>
      <c r="Y1938" s="393">
        <v>10.14</v>
      </c>
      <c r="Z1938" s="393">
        <v>4444</v>
      </c>
      <c r="AA1938">
        <v>0</v>
      </c>
      <c r="AB1938" s="400">
        <v>44627.992787766205</v>
      </c>
      <c r="AC1938" t="str">
        <f>+VLOOKUP(R1938,DRAFT!A:Q,17,0)</f>
        <v>1.2.2</v>
      </c>
    </row>
    <row r="1939" spans="1:29">
      <c r="A1939" t="s">
        <v>382</v>
      </c>
      <c r="B1939" t="s">
        <v>1157</v>
      </c>
      <c r="C1939" t="s">
        <v>486</v>
      </c>
      <c r="D1939" t="s">
        <v>2629</v>
      </c>
      <c r="E1939" t="s">
        <v>390</v>
      </c>
      <c r="F1939" t="s">
        <v>391</v>
      </c>
      <c r="G1939">
        <v>6200449</v>
      </c>
      <c r="H1939">
        <v>202202</v>
      </c>
      <c r="I1939" s="400">
        <v>44620</v>
      </c>
      <c r="J1939" t="s">
        <v>1036</v>
      </c>
      <c r="K1939" t="s">
        <v>386</v>
      </c>
      <c r="M1939" t="s">
        <v>387</v>
      </c>
      <c r="O1939" t="s">
        <v>2076</v>
      </c>
      <c r="P1939" t="s">
        <v>2077</v>
      </c>
      <c r="Q1939" t="s">
        <v>396</v>
      </c>
      <c r="R1939" s="458">
        <v>2540509</v>
      </c>
      <c r="S1939" t="s">
        <v>387</v>
      </c>
      <c r="U1939" t="s">
        <v>2631</v>
      </c>
      <c r="V1939" t="s">
        <v>398</v>
      </c>
      <c r="W1939" s="393">
        <v>2518</v>
      </c>
      <c r="X1939" s="393">
        <v>0.64</v>
      </c>
      <c r="Y1939" s="393">
        <v>5.75</v>
      </c>
      <c r="Z1939" s="393">
        <v>2518</v>
      </c>
      <c r="AA1939">
        <v>0</v>
      </c>
      <c r="AB1939" s="400">
        <v>44627.992787766205</v>
      </c>
      <c r="AC1939" t="str">
        <f>+VLOOKUP(R1939,DRAFT!A:Q,17,0)</f>
        <v>1.2.2</v>
      </c>
    </row>
    <row r="1940" spans="1:29">
      <c r="A1940" t="s">
        <v>382</v>
      </c>
      <c r="B1940" t="s">
        <v>1157</v>
      </c>
      <c r="C1940" t="s">
        <v>486</v>
      </c>
      <c r="D1940" t="s">
        <v>2629</v>
      </c>
      <c r="E1940" t="s">
        <v>390</v>
      </c>
      <c r="F1940" t="s">
        <v>391</v>
      </c>
      <c r="G1940">
        <v>6200449</v>
      </c>
      <c r="H1940">
        <v>202202</v>
      </c>
      <c r="I1940" s="400">
        <v>44620</v>
      </c>
      <c r="J1940" t="s">
        <v>1036</v>
      </c>
      <c r="K1940" t="s">
        <v>386</v>
      </c>
      <c r="M1940" t="s">
        <v>387</v>
      </c>
      <c r="O1940" t="s">
        <v>906</v>
      </c>
      <c r="P1940" t="s">
        <v>907</v>
      </c>
      <c r="Q1940" t="s">
        <v>396</v>
      </c>
      <c r="R1940" s="458">
        <v>2540509</v>
      </c>
      <c r="S1940" t="s">
        <v>387</v>
      </c>
      <c r="U1940" t="s">
        <v>2632</v>
      </c>
      <c r="V1940" t="s">
        <v>398</v>
      </c>
      <c r="W1940" s="393">
        <v>1111</v>
      </c>
      <c r="X1940" s="393">
        <v>0.28000000000000003</v>
      </c>
      <c r="Y1940" s="393">
        <v>2.54</v>
      </c>
      <c r="Z1940" s="393">
        <v>1111</v>
      </c>
      <c r="AA1940">
        <v>0</v>
      </c>
      <c r="AB1940" s="400">
        <v>44627.992787766205</v>
      </c>
      <c r="AC1940" t="str">
        <f>+VLOOKUP(R1940,DRAFT!A:Q,17,0)</f>
        <v>1.2.2</v>
      </c>
    </row>
    <row r="1941" spans="1:29">
      <c r="A1941" t="s">
        <v>382</v>
      </c>
      <c r="B1941" t="s">
        <v>440</v>
      </c>
      <c r="C1941" t="s">
        <v>486</v>
      </c>
      <c r="D1941" t="s">
        <v>2629</v>
      </c>
      <c r="E1941" t="s">
        <v>390</v>
      </c>
      <c r="F1941" t="s">
        <v>391</v>
      </c>
      <c r="G1941">
        <v>6201046</v>
      </c>
      <c r="H1941">
        <v>202204</v>
      </c>
      <c r="I1941" s="400">
        <v>44659</v>
      </c>
      <c r="J1941">
        <v>122536</v>
      </c>
      <c r="K1941" t="s">
        <v>386</v>
      </c>
      <c r="M1941" t="s">
        <v>387</v>
      </c>
      <c r="O1941" t="s">
        <v>906</v>
      </c>
      <c r="P1941" t="s">
        <v>907</v>
      </c>
      <c r="Q1941" t="s">
        <v>396</v>
      </c>
      <c r="R1941" s="458">
        <v>2069133</v>
      </c>
      <c r="S1941" t="s">
        <v>387</v>
      </c>
      <c r="U1941" t="s">
        <v>3950</v>
      </c>
      <c r="V1941" t="s">
        <v>398</v>
      </c>
      <c r="W1941" s="393">
        <v>12740</v>
      </c>
      <c r="X1941" s="393">
        <v>3.4</v>
      </c>
      <c r="Y1941" s="393">
        <v>29.37</v>
      </c>
      <c r="Z1941" s="393">
        <v>12740</v>
      </c>
      <c r="AA1941">
        <v>0</v>
      </c>
      <c r="AB1941" s="400">
        <v>44670.999029166669</v>
      </c>
      <c r="AC1941" t="str">
        <f>+VLOOKUP(R1941,DRAFT!A:Q,17,0)</f>
        <v>1.3.2</v>
      </c>
    </row>
    <row r="1942" spans="1:29">
      <c r="A1942" t="s">
        <v>382</v>
      </c>
      <c r="B1942" t="s">
        <v>440</v>
      </c>
      <c r="C1942" t="s">
        <v>486</v>
      </c>
      <c r="D1942" t="s">
        <v>547</v>
      </c>
      <c r="E1942" t="s">
        <v>390</v>
      </c>
      <c r="F1942" t="s">
        <v>391</v>
      </c>
      <c r="G1942">
        <v>6200277</v>
      </c>
      <c r="H1942">
        <v>202202</v>
      </c>
      <c r="I1942" s="400">
        <v>44617</v>
      </c>
      <c r="J1942">
        <v>127949</v>
      </c>
      <c r="K1942" t="s">
        <v>386</v>
      </c>
      <c r="M1942" t="s">
        <v>387</v>
      </c>
      <c r="O1942" t="s">
        <v>1997</v>
      </c>
      <c r="P1942" t="s">
        <v>1998</v>
      </c>
      <c r="Q1942" t="s">
        <v>396</v>
      </c>
      <c r="R1942" s="458">
        <v>2540511</v>
      </c>
      <c r="S1942" t="s">
        <v>387</v>
      </c>
      <c r="U1942" t="s">
        <v>2634</v>
      </c>
      <c r="V1942" t="s">
        <v>398</v>
      </c>
      <c r="W1942" s="393">
        <v>2300000</v>
      </c>
      <c r="X1942" s="393">
        <v>587.66999999999996</v>
      </c>
      <c r="Y1942" s="393">
        <v>5250.51</v>
      </c>
      <c r="Z1942" s="393">
        <v>2300000</v>
      </c>
      <c r="AA1942">
        <v>312</v>
      </c>
      <c r="AB1942" s="400">
        <v>44623.064187418982</v>
      </c>
      <c r="AC1942" t="str">
        <f>+VLOOKUP(R1942,DRAFT!A:Q,17,0)</f>
        <v>1.2.1</v>
      </c>
    </row>
    <row r="1943" spans="1:29">
      <c r="A1943" t="s">
        <v>382</v>
      </c>
      <c r="B1943" t="s">
        <v>440</v>
      </c>
      <c r="C1943" t="s">
        <v>486</v>
      </c>
      <c r="D1943" t="s">
        <v>547</v>
      </c>
      <c r="E1943" t="s">
        <v>390</v>
      </c>
      <c r="F1943" t="s">
        <v>391</v>
      </c>
      <c r="G1943">
        <v>6200277</v>
      </c>
      <c r="H1943">
        <v>202202</v>
      </c>
      <c r="I1943" s="400">
        <v>44617</v>
      </c>
      <c r="J1943">
        <v>127949</v>
      </c>
      <c r="K1943" t="s">
        <v>386</v>
      </c>
      <c r="M1943" t="s">
        <v>387</v>
      </c>
      <c r="O1943" t="s">
        <v>565</v>
      </c>
      <c r="P1943" t="s">
        <v>566</v>
      </c>
      <c r="Q1943" t="s">
        <v>396</v>
      </c>
      <c r="R1943" s="458">
        <v>2069133</v>
      </c>
      <c r="S1943" t="s">
        <v>387</v>
      </c>
      <c r="U1943" t="s">
        <v>2633</v>
      </c>
      <c r="V1943" t="s">
        <v>398</v>
      </c>
      <c r="W1943" s="393">
        <v>2000000</v>
      </c>
      <c r="X1943" s="393">
        <v>511.02</v>
      </c>
      <c r="Y1943" s="393">
        <v>4565.66</v>
      </c>
      <c r="Z1943" s="393">
        <v>2000000</v>
      </c>
      <c r="AA1943">
        <v>312</v>
      </c>
      <c r="AB1943" s="400">
        <v>44623.064187418982</v>
      </c>
      <c r="AC1943" t="str">
        <f>+VLOOKUP(R1943,DRAFT!A:Q,17,0)</f>
        <v>1.3.2</v>
      </c>
    </row>
    <row r="1944" spans="1:29">
      <c r="A1944" t="s">
        <v>382</v>
      </c>
      <c r="B1944" t="s">
        <v>440</v>
      </c>
      <c r="C1944" t="s">
        <v>486</v>
      </c>
      <c r="D1944" t="s">
        <v>547</v>
      </c>
      <c r="E1944" t="s">
        <v>390</v>
      </c>
      <c r="F1944" t="s">
        <v>391</v>
      </c>
      <c r="G1944">
        <v>6200768</v>
      </c>
      <c r="H1944">
        <v>202203</v>
      </c>
      <c r="I1944" s="400">
        <v>44645</v>
      </c>
      <c r="J1944">
        <v>122536</v>
      </c>
      <c r="K1944" t="s">
        <v>386</v>
      </c>
      <c r="M1944" t="s">
        <v>387</v>
      </c>
      <c r="O1944" t="s">
        <v>565</v>
      </c>
      <c r="P1944" t="s">
        <v>566</v>
      </c>
      <c r="Q1944" t="s">
        <v>396</v>
      </c>
      <c r="R1944" s="458">
        <v>2069133</v>
      </c>
      <c r="S1944" t="s">
        <v>387</v>
      </c>
      <c r="U1944" t="s">
        <v>2635</v>
      </c>
      <c r="V1944" t="s">
        <v>398</v>
      </c>
      <c r="W1944" s="393">
        <v>1200000</v>
      </c>
      <c r="X1944" s="393">
        <v>319.44</v>
      </c>
      <c r="Y1944" s="393">
        <v>2793.98</v>
      </c>
      <c r="Z1944" s="393">
        <v>1200000</v>
      </c>
      <c r="AA1944">
        <v>312</v>
      </c>
      <c r="AB1944" s="400">
        <v>44651.951420868056</v>
      </c>
      <c r="AC1944" t="str">
        <f>+VLOOKUP(R1944,DRAFT!A:Q,17,0)</f>
        <v>1.3.2</v>
      </c>
    </row>
    <row r="1945" spans="1:29">
      <c r="A1945" t="s">
        <v>382</v>
      </c>
      <c r="B1945" t="s">
        <v>440</v>
      </c>
      <c r="C1945" t="s">
        <v>486</v>
      </c>
      <c r="D1945" t="s">
        <v>547</v>
      </c>
      <c r="E1945" t="s">
        <v>390</v>
      </c>
      <c r="F1945" t="s">
        <v>391</v>
      </c>
      <c r="G1945">
        <v>6201308</v>
      </c>
      <c r="H1945">
        <v>202204</v>
      </c>
      <c r="I1945" s="400">
        <v>44679</v>
      </c>
      <c r="J1945" t="s">
        <v>452</v>
      </c>
      <c r="K1945" t="s">
        <v>386</v>
      </c>
      <c r="M1945" t="s">
        <v>387</v>
      </c>
      <c r="O1945" t="s">
        <v>565</v>
      </c>
      <c r="P1945" t="s">
        <v>566</v>
      </c>
      <c r="Q1945" t="s">
        <v>396</v>
      </c>
      <c r="R1945" s="458">
        <v>2265779</v>
      </c>
      <c r="S1945" t="s">
        <v>3957</v>
      </c>
      <c r="U1945" t="s">
        <v>3958</v>
      </c>
      <c r="V1945" t="s">
        <v>398</v>
      </c>
      <c r="W1945" s="393">
        <v>1200000</v>
      </c>
      <c r="X1945" s="393">
        <v>319.26</v>
      </c>
      <c r="Y1945" s="393">
        <v>2737.56</v>
      </c>
      <c r="Z1945" s="393">
        <v>1200000</v>
      </c>
      <c r="AA1945">
        <v>312</v>
      </c>
      <c r="AB1945" s="400">
        <v>44687.144954479169</v>
      </c>
      <c r="AC1945" t="str">
        <f>+VLOOKUP(R1945,DRAFT!A:Q,17,0)</f>
        <v>MAE</v>
      </c>
    </row>
    <row r="1946" spans="1:29">
      <c r="A1946" t="s">
        <v>382</v>
      </c>
      <c r="B1946" t="s">
        <v>440</v>
      </c>
      <c r="C1946" t="s">
        <v>486</v>
      </c>
      <c r="D1946" t="s">
        <v>547</v>
      </c>
      <c r="E1946" t="s">
        <v>390</v>
      </c>
      <c r="F1946" t="s">
        <v>391</v>
      </c>
      <c r="G1946">
        <v>6201274</v>
      </c>
      <c r="H1946">
        <v>202204</v>
      </c>
      <c r="I1946" s="400">
        <v>44679</v>
      </c>
      <c r="J1946" t="s">
        <v>452</v>
      </c>
      <c r="K1946" t="s">
        <v>386</v>
      </c>
      <c r="M1946" t="s">
        <v>387</v>
      </c>
      <c r="O1946" t="s">
        <v>849</v>
      </c>
      <c r="P1946" t="s">
        <v>850</v>
      </c>
      <c r="Q1946" t="s">
        <v>396</v>
      </c>
      <c r="R1946" s="458">
        <v>2265779</v>
      </c>
      <c r="S1946" t="s">
        <v>387</v>
      </c>
      <c r="U1946" t="s">
        <v>3959</v>
      </c>
      <c r="V1946" t="s">
        <v>398</v>
      </c>
      <c r="W1946" s="393">
        <v>360000</v>
      </c>
      <c r="X1946" s="393">
        <v>95.78</v>
      </c>
      <c r="Y1946" s="393">
        <v>821.27</v>
      </c>
      <c r="Z1946" s="393">
        <v>360000</v>
      </c>
      <c r="AA1946">
        <v>318</v>
      </c>
      <c r="AB1946" s="400">
        <v>44685.015685451392</v>
      </c>
      <c r="AC1946" t="str">
        <f>+VLOOKUP(R1946,DRAFT!A:Q,17,0)</f>
        <v>MAE</v>
      </c>
    </row>
    <row r="1947" spans="1:29">
      <c r="A1947" t="s">
        <v>382</v>
      </c>
      <c r="B1947" t="s">
        <v>440</v>
      </c>
      <c r="C1947" t="s">
        <v>486</v>
      </c>
      <c r="D1947" t="s">
        <v>547</v>
      </c>
      <c r="E1947" t="s">
        <v>390</v>
      </c>
      <c r="F1947" t="s">
        <v>391</v>
      </c>
      <c r="G1947">
        <v>6201280</v>
      </c>
      <c r="H1947">
        <v>202204</v>
      </c>
      <c r="I1947" s="400">
        <v>44679</v>
      </c>
      <c r="J1947" t="s">
        <v>452</v>
      </c>
      <c r="K1947" t="s">
        <v>386</v>
      </c>
      <c r="M1947" t="s">
        <v>387</v>
      </c>
      <c r="O1947" t="s">
        <v>565</v>
      </c>
      <c r="P1947" t="s">
        <v>566</v>
      </c>
      <c r="Q1947" t="s">
        <v>396</v>
      </c>
      <c r="R1947" s="458">
        <v>2265783</v>
      </c>
      <c r="S1947" t="s">
        <v>387</v>
      </c>
      <c r="U1947" t="s">
        <v>3954</v>
      </c>
      <c r="V1947" t="s">
        <v>398</v>
      </c>
      <c r="W1947" s="393">
        <v>1200000</v>
      </c>
      <c r="X1947" s="393">
        <v>319.26</v>
      </c>
      <c r="Y1947" s="393">
        <v>2737.56</v>
      </c>
      <c r="Z1947" s="393">
        <v>1200000</v>
      </c>
      <c r="AA1947">
        <v>312</v>
      </c>
      <c r="AB1947" s="400">
        <v>44685.168474999999</v>
      </c>
      <c r="AC1947" t="str">
        <f>+VLOOKUP(R1947,DRAFT!A:Q,17,0)</f>
        <v>MAE</v>
      </c>
    </row>
    <row r="1948" spans="1:29">
      <c r="A1948" t="s">
        <v>382</v>
      </c>
      <c r="B1948" t="s">
        <v>440</v>
      </c>
      <c r="C1948" t="s">
        <v>486</v>
      </c>
      <c r="D1948" t="s">
        <v>547</v>
      </c>
      <c r="E1948" t="s">
        <v>390</v>
      </c>
      <c r="F1948" t="s">
        <v>391</v>
      </c>
      <c r="G1948">
        <v>6201274</v>
      </c>
      <c r="H1948">
        <v>202204</v>
      </c>
      <c r="I1948" s="400">
        <v>44679</v>
      </c>
      <c r="J1948" t="s">
        <v>452</v>
      </c>
      <c r="K1948" t="s">
        <v>386</v>
      </c>
      <c r="M1948" t="s">
        <v>387</v>
      </c>
      <c r="O1948" t="s">
        <v>849</v>
      </c>
      <c r="P1948" t="s">
        <v>850</v>
      </c>
      <c r="Q1948" t="s">
        <v>396</v>
      </c>
      <c r="R1948" s="458">
        <v>2265782</v>
      </c>
      <c r="S1948" t="s">
        <v>387</v>
      </c>
      <c r="U1948" t="s">
        <v>3955</v>
      </c>
      <c r="V1948" t="s">
        <v>398</v>
      </c>
      <c r="W1948" s="393">
        <v>720000</v>
      </c>
      <c r="X1948" s="393">
        <v>191.56</v>
      </c>
      <c r="Y1948" s="393">
        <v>1642.54</v>
      </c>
      <c r="Z1948" s="393">
        <v>720000</v>
      </c>
      <c r="AA1948">
        <v>318</v>
      </c>
      <c r="AB1948" s="400">
        <v>44685.015685266204</v>
      </c>
      <c r="AC1948" t="str">
        <f>+VLOOKUP(R1948,DRAFT!A:Q,17,0)</f>
        <v>MAE</v>
      </c>
    </row>
    <row r="1949" spans="1:29">
      <c r="A1949" t="s">
        <v>382</v>
      </c>
      <c r="B1949" t="s">
        <v>440</v>
      </c>
      <c r="C1949" t="s">
        <v>486</v>
      </c>
      <c r="D1949" t="s">
        <v>547</v>
      </c>
      <c r="E1949" t="s">
        <v>390</v>
      </c>
      <c r="F1949" t="s">
        <v>391</v>
      </c>
      <c r="G1949">
        <v>6201274</v>
      </c>
      <c r="H1949">
        <v>202204</v>
      </c>
      <c r="I1949" s="400">
        <v>44679</v>
      </c>
      <c r="J1949" t="s">
        <v>452</v>
      </c>
      <c r="K1949" t="s">
        <v>386</v>
      </c>
      <c r="M1949" t="s">
        <v>387</v>
      </c>
      <c r="O1949" t="s">
        <v>849</v>
      </c>
      <c r="P1949" t="s">
        <v>850</v>
      </c>
      <c r="Q1949" t="s">
        <v>396</v>
      </c>
      <c r="R1949" s="458">
        <v>2265779</v>
      </c>
      <c r="S1949" t="s">
        <v>387</v>
      </c>
      <c r="U1949" t="s">
        <v>3956</v>
      </c>
      <c r="V1949" t="s">
        <v>398</v>
      </c>
      <c r="W1949" s="393">
        <v>720000</v>
      </c>
      <c r="X1949" s="393">
        <v>191.56</v>
      </c>
      <c r="Y1949" s="393">
        <v>1642.54</v>
      </c>
      <c r="Z1949" s="393">
        <v>720000</v>
      </c>
      <c r="AA1949">
        <v>318</v>
      </c>
      <c r="AB1949" s="400">
        <v>44685.015685266204</v>
      </c>
      <c r="AC1949" t="str">
        <f>+VLOOKUP(R1949,DRAFT!A:Q,17,0)</f>
        <v>MAE</v>
      </c>
    </row>
    <row r="1950" spans="1:29">
      <c r="A1950" t="s">
        <v>382</v>
      </c>
      <c r="B1950" t="s">
        <v>440</v>
      </c>
      <c r="C1950" t="s">
        <v>486</v>
      </c>
      <c r="D1950" t="s">
        <v>547</v>
      </c>
      <c r="E1950" t="s">
        <v>390</v>
      </c>
      <c r="F1950" t="s">
        <v>391</v>
      </c>
      <c r="G1950">
        <v>6201280</v>
      </c>
      <c r="H1950">
        <v>202204</v>
      </c>
      <c r="I1950" s="400">
        <v>44679</v>
      </c>
      <c r="J1950" t="s">
        <v>452</v>
      </c>
      <c r="K1950" t="s">
        <v>386</v>
      </c>
      <c r="M1950" t="s">
        <v>387</v>
      </c>
      <c r="O1950" t="s">
        <v>557</v>
      </c>
      <c r="P1950" t="s">
        <v>558</v>
      </c>
      <c r="Q1950" t="s">
        <v>396</v>
      </c>
      <c r="R1950" s="458">
        <v>2265779</v>
      </c>
      <c r="S1950" t="s">
        <v>387</v>
      </c>
      <c r="U1950" t="s">
        <v>3953</v>
      </c>
      <c r="V1950" t="s">
        <v>398</v>
      </c>
      <c r="W1950" s="393">
        <v>1080060</v>
      </c>
      <c r="X1950" s="393">
        <v>287.35000000000002</v>
      </c>
      <c r="Y1950" s="393">
        <v>2463.94</v>
      </c>
      <c r="Z1950" s="393">
        <v>1080060</v>
      </c>
      <c r="AA1950">
        <v>312</v>
      </c>
      <c r="AB1950" s="400">
        <v>44685.168475347222</v>
      </c>
      <c r="AC1950" t="str">
        <f>+VLOOKUP(R1950,DRAFT!A:Q,17,0)</f>
        <v>MAE</v>
      </c>
    </row>
    <row r="1951" spans="1:29">
      <c r="A1951" t="s">
        <v>382</v>
      </c>
      <c r="B1951" t="s">
        <v>440</v>
      </c>
      <c r="C1951" t="s">
        <v>486</v>
      </c>
      <c r="D1951" t="s">
        <v>547</v>
      </c>
      <c r="E1951" t="s">
        <v>390</v>
      </c>
      <c r="F1951" t="s">
        <v>391</v>
      </c>
      <c r="G1951">
        <v>6201444</v>
      </c>
      <c r="H1951">
        <v>202204</v>
      </c>
      <c r="I1951" s="400">
        <v>44679</v>
      </c>
      <c r="J1951" t="s">
        <v>452</v>
      </c>
      <c r="K1951" t="s">
        <v>386</v>
      </c>
      <c r="M1951" t="s">
        <v>387</v>
      </c>
      <c r="O1951" t="s">
        <v>565</v>
      </c>
      <c r="P1951" t="s">
        <v>566</v>
      </c>
      <c r="Q1951" t="s">
        <v>396</v>
      </c>
      <c r="R1951" s="458">
        <v>2265779</v>
      </c>
      <c r="S1951" t="s">
        <v>387</v>
      </c>
      <c r="U1951" t="s">
        <v>3951</v>
      </c>
      <c r="V1951" t="s">
        <v>398</v>
      </c>
      <c r="W1951" s="393">
        <v>-1200000</v>
      </c>
      <c r="X1951" s="393">
        <v>-319.26</v>
      </c>
      <c r="Y1951" s="393">
        <v>-2745.16</v>
      </c>
      <c r="Z1951" s="393">
        <v>-1200000</v>
      </c>
      <c r="AA1951">
        <v>312</v>
      </c>
      <c r="AB1951" s="400">
        <v>44691.682415740739</v>
      </c>
      <c r="AC1951" t="str">
        <f>+VLOOKUP(R1951,DRAFT!A:Q,17,0)</f>
        <v>MAE</v>
      </c>
    </row>
    <row r="1952" spans="1:29">
      <c r="A1952" t="s">
        <v>382</v>
      </c>
      <c r="B1952" t="s">
        <v>440</v>
      </c>
      <c r="C1952" t="s">
        <v>486</v>
      </c>
      <c r="D1952" t="s">
        <v>547</v>
      </c>
      <c r="E1952" t="s">
        <v>390</v>
      </c>
      <c r="F1952" t="s">
        <v>391</v>
      </c>
      <c r="G1952">
        <v>6201444</v>
      </c>
      <c r="H1952">
        <v>202204</v>
      </c>
      <c r="I1952" s="400">
        <v>44679</v>
      </c>
      <c r="J1952" t="s">
        <v>452</v>
      </c>
      <c r="K1952" t="s">
        <v>386</v>
      </c>
      <c r="M1952" t="s">
        <v>387</v>
      </c>
      <c r="O1952" t="s">
        <v>565</v>
      </c>
      <c r="P1952" t="s">
        <v>566</v>
      </c>
      <c r="Q1952" t="s">
        <v>396</v>
      </c>
      <c r="R1952" s="458">
        <v>2265779</v>
      </c>
      <c r="S1952" t="s">
        <v>387</v>
      </c>
      <c r="U1952" t="s">
        <v>3952</v>
      </c>
      <c r="V1952" t="s">
        <v>398</v>
      </c>
      <c r="W1952" s="393">
        <v>1200000</v>
      </c>
      <c r="X1952" s="393">
        <v>319.26</v>
      </c>
      <c r="Y1952" s="393">
        <v>2745.16</v>
      </c>
      <c r="Z1952" s="393">
        <v>1200000</v>
      </c>
      <c r="AA1952">
        <v>312</v>
      </c>
      <c r="AB1952" s="400">
        <v>44691.682415740739</v>
      </c>
      <c r="AC1952" t="str">
        <f>+VLOOKUP(R1952,DRAFT!A:Q,17,0)</f>
        <v>MAE</v>
      </c>
    </row>
    <row r="1953" spans="1:29">
      <c r="A1953" t="s">
        <v>382</v>
      </c>
      <c r="B1953" t="s">
        <v>440</v>
      </c>
      <c r="C1953" t="s">
        <v>486</v>
      </c>
      <c r="D1953" t="s">
        <v>571</v>
      </c>
      <c r="E1953" t="s">
        <v>390</v>
      </c>
      <c r="F1953" t="s">
        <v>391</v>
      </c>
      <c r="G1953">
        <v>6200042</v>
      </c>
      <c r="H1953">
        <v>202201</v>
      </c>
      <c r="I1953" s="400">
        <v>44589</v>
      </c>
      <c r="J1953">
        <v>124932</v>
      </c>
      <c r="K1953" t="s">
        <v>386</v>
      </c>
      <c r="M1953" t="s">
        <v>387</v>
      </c>
      <c r="O1953" t="s">
        <v>950</v>
      </c>
      <c r="P1953" t="s">
        <v>951</v>
      </c>
      <c r="Q1953" t="s">
        <v>396</v>
      </c>
      <c r="R1953" s="458">
        <v>2540511</v>
      </c>
      <c r="S1953" t="s">
        <v>387</v>
      </c>
      <c r="U1953" t="s">
        <v>2636</v>
      </c>
      <c r="V1953" t="s">
        <v>398</v>
      </c>
      <c r="W1953" s="393">
        <v>1500000</v>
      </c>
      <c r="X1953" s="393">
        <v>374.63</v>
      </c>
      <c r="Y1953" s="393">
        <v>3336.48</v>
      </c>
      <c r="Z1953" s="393">
        <v>1500000</v>
      </c>
      <c r="AA1953">
        <v>306</v>
      </c>
      <c r="AB1953" s="400">
        <v>44594.612399768521</v>
      </c>
      <c r="AC1953" t="str">
        <f>+VLOOKUP(R1953,DRAFT!A:Q,17,0)</f>
        <v>1.2.1</v>
      </c>
    </row>
    <row r="1954" spans="1:29">
      <c r="A1954" t="s">
        <v>382</v>
      </c>
      <c r="B1954" t="s">
        <v>1157</v>
      </c>
      <c r="C1954" t="s">
        <v>486</v>
      </c>
      <c r="D1954" t="s">
        <v>571</v>
      </c>
      <c r="E1954" t="s">
        <v>390</v>
      </c>
      <c r="F1954" t="s">
        <v>391</v>
      </c>
      <c r="G1954">
        <v>6200449</v>
      </c>
      <c r="H1954">
        <v>202202</v>
      </c>
      <c r="I1954" s="400">
        <v>44620</v>
      </c>
      <c r="J1954" t="s">
        <v>1036</v>
      </c>
      <c r="K1954" t="s">
        <v>386</v>
      </c>
      <c r="M1954" t="s">
        <v>387</v>
      </c>
      <c r="O1954" t="s">
        <v>658</v>
      </c>
      <c r="P1954" t="s">
        <v>659</v>
      </c>
      <c r="Q1954" t="s">
        <v>396</v>
      </c>
      <c r="R1954" s="458">
        <v>2540509</v>
      </c>
      <c r="S1954" t="s">
        <v>387</v>
      </c>
      <c r="U1954" t="s">
        <v>2756</v>
      </c>
      <c r="V1954" t="s">
        <v>398</v>
      </c>
      <c r="W1954" s="393">
        <v>12000</v>
      </c>
      <c r="X1954" s="393">
        <v>3.07</v>
      </c>
      <c r="Y1954" s="393">
        <v>27.39</v>
      </c>
      <c r="Z1954" s="393">
        <v>12000</v>
      </c>
      <c r="AA1954">
        <v>0</v>
      </c>
      <c r="AB1954" s="400">
        <v>44627.992787581017</v>
      </c>
      <c r="AC1954" t="str">
        <f>+VLOOKUP(R1954,DRAFT!A:Q,17,0)</f>
        <v>1.2.2</v>
      </c>
    </row>
    <row r="1955" spans="1:29">
      <c r="A1955" t="s">
        <v>382</v>
      </c>
      <c r="B1955" t="s">
        <v>1157</v>
      </c>
      <c r="C1955" t="s">
        <v>486</v>
      </c>
      <c r="D1955" t="s">
        <v>571</v>
      </c>
      <c r="E1955" t="s">
        <v>390</v>
      </c>
      <c r="F1955" t="s">
        <v>391</v>
      </c>
      <c r="G1955">
        <v>6200449</v>
      </c>
      <c r="H1955">
        <v>202202</v>
      </c>
      <c r="I1955" s="400">
        <v>44620</v>
      </c>
      <c r="J1955" t="s">
        <v>1036</v>
      </c>
      <c r="K1955" t="s">
        <v>386</v>
      </c>
      <c r="M1955" t="s">
        <v>387</v>
      </c>
      <c r="O1955" t="s">
        <v>2067</v>
      </c>
      <c r="P1955" t="s">
        <v>2068</v>
      </c>
      <c r="Q1955" t="s">
        <v>396</v>
      </c>
      <c r="R1955" s="458">
        <v>2540509</v>
      </c>
      <c r="S1955" t="s">
        <v>387</v>
      </c>
      <c r="U1955" t="s">
        <v>2757</v>
      </c>
      <c r="V1955" t="s">
        <v>398</v>
      </c>
      <c r="W1955" s="393">
        <v>10500</v>
      </c>
      <c r="X1955" s="393">
        <v>2.68</v>
      </c>
      <c r="Y1955" s="393">
        <v>23.97</v>
      </c>
      <c r="Z1955" s="393">
        <v>10500</v>
      </c>
      <c r="AA1955">
        <v>0</v>
      </c>
      <c r="AB1955" s="400">
        <v>44627.992787581017</v>
      </c>
      <c r="AC1955" t="str">
        <f>+VLOOKUP(R1955,DRAFT!A:Q,17,0)</f>
        <v>1.2.2</v>
      </c>
    </row>
    <row r="1956" spans="1:29">
      <c r="A1956" t="s">
        <v>382</v>
      </c>
      <c r="B1956" t="s">
        <v>1157</v>
      </c>
      <c r="C1956" t="s">
        <v>486</v>
      </c>
      <c r="D1956" t="s">
        <v>571</v>
      </c>
      <c r="E1956" t="s">
        <v>390</v>
      </c>
      <c r="F1956" t="s">
        <v>391</v>
      </c>
      <c r="G1956">
        <v>6200449</v>
      </c>
      <c r="H1956">
        <v>202202</v>
      </c>
      <c r="I1956" s="400">
        <v>44620</v>
      </c>
      <c r="J1956" t="s">
        <v>1036</v>
      </c>
      <c r="K1956" t="s">
        <v>386</v>
      </c>
      <c r="M1956" t="s">
        <v>387</v>
      </c>
      <c r="O1956" t="s">
        <v>587</v>
      </c>
      <c r="P1956" t="s">
        <v>588</v>
      </c>
      <c r="Q1956" t="s">
        <v>396</v>
      </c>
      <c r="R1956" s="458">
        <v>2540509</v>
      </c>
      <c r="S1956" t="s">
        <v>387</v>
      </c>
      <c r="U1956" t="s">
        <v>2758</v>
      </c>
      <c r="V1956" t="s">
        <v>398</v>
      </c>
      <c r="W1956" s="393">
        <v>30000</v>
      </c>
      <c r="X1956" s="393">
        <v>7.67</v>
      </c>
      <c r="Y1956" s="393">
        <v>68.48</v>
      </c>
      <c r="Z1956" s="393">
        <v>30000</v>
      </c>
      <c r="AA1956">
        <v>0</v>
      </c>
      <c r="AB1956" s="400">
        <v>44627.992787581017</v>
      </c>
      <c r="AC1956" t="str">
        <f>+VLOOKUP(R1956,DRAFT!A:Q,17,0)</f>
        <v>1.2.2</v>
      </c>
    </row>
    <row r="1957" spans="1:29">
      <c r="A1957" t="s">
        <v>382</v>
      </c>
      <c r="B1957" t="s">
        <v>1157</v>
      </c>
      <c r="C1957" t="s">
        <v>486</v>
      </c>
      <c r="D1957" t="s">
        <v>571</v>
      </c>
      <c r="E1957" t="s">
        <v>390</v>
      </c>
      <c r="F1957" t="s">
        <v>391</v>
      </c>
      <c r="G1957">
        <v>6200449</v>
      </c>
      <c r="H1957">
        <v>202202</v>
      </c>
      <c r="I1957" s="400">
        <v>44620</v>
      </c>
      <c r="J1957" t="s">
        <v>1036</v>
      </c>
      <c r="K1957" t="s">
        <v>386</v>
      </c>
      <c r="M1957" t="s">
        <v>387</v>
      </c>
      <c r="O1957" t="s">
        <v>749</v>
      </c>
      <c r="P1957" t="s">
        <v>750</v>
      </c>
      <c r="Q1957" t="s">
        <v>396</v>
      </c>
      <c r="R1957" s="458">
        <v>2540509</v>
      </c>
      <c r="S1957" t="s">
        <v>387</v>
      </c>
      <c r="U1957" t="s">
        <v>2759</v>
      </c>
      <c r="V1957" t="s">
        <v>398</v>
      </c>
      <c r="W1957" s="393">
        <v>1</v>
      </c>
      <c r="X1957" s="393">
        <v>0</v>
      </c>
      <c r="Y1957" s="393">
        <v>0</v>
      </c>
      <c r="Z1957" s="393">
        <v>1</v>
      </c>
      <c r="AA1957">
        <v>0</v>
      </c>
      <c r="AB1957" s="400">
        <v>44627.992787766205</v>
      </c>
      <c r="AC1957" t="str">
        <f>+VLOOKUP(R1957,DRAFT!A:Q,17,0)</f>
        <v>1.2.2</v>
      </c>
    </row>
    <row r="1958" spans="1:29">
      <c r="A1958" t="s">
        <v>382</v>
      </c>
      <c r="B1958" t="s">
        <v>1157</v>
      </c>
      <c r="C1958" t="s">
        <v>486</v>
      </c>
      <c r="D1958" t="s">
        <v>571</v>
      </c>
      <c r="E1958" t="s">
        <v>390</v>
      </c>
      <c r="F1958" t="s">
        <v>391</v>
      </c>
      <c r="G1958">
        <v>6200449</v>
      </c>
      <c r="H1958">
        <v>202202</v>
      </c>
      <c r="I1958" s="400">
        <v>44620</v>
      </c>
      <c r="J1958" t="s">
        <v>1036</v>
      </c>
      <c r="K1958" t="s">
        <v>386</v>
      </c>
      <c r="M1958" t="s">
        <v>387</v>
      </c>
      <c r="O1958" t="s">
        <v>2736</v>
      </c>
      <c r="P1958" t="s">
        <v>2737</v>
      </c>
      <c r="Q1958" t="s">
        <v>396</v>
      </c>
      <c r="R1958" s="458">
        <v>2540509</v>
      </c>
      <c r="S1958" t="s">
        <v>387</v>
      </c>
      <c r="U1958" t="s">
        <v>2760</v>
      </c>
      <c r="V1958" t="s">
        <v>398</v>
      </c>
      <c r="W1958" s="393">
        <v>30000</v>
      </c>
      <c r="X1958" s="393">
        <v>7.67</v>
      </c>
      <c r="Y1958" s="393">
        <v>68.48</v>
      </c>
      <c r="Z1958" s="393">
        <v>30000</v>
      </c>
      <c r="AA1958">
        <v>0</v>
      </c>
      <c r="AB1958" s="400">
        <v>44627.992787384261</v>
      </c>
      <c r="AC1958" t="str">
        <f>+VLOOKUP(R1958,DRAFT!A:Q,17,0)</f>
        <v>1.2.2</v>
      </c>
    </row>
    <row r="1959" spans="1:29">
      <c r="A1959" t="s">
        <v>382</v>
      </c>
      <c r="B1959" t="s">
        <v>1157</v>
      </c>
      <c r="C1959" t="s">
        <v>486</v>
      </c>
      <c r="D1959" t="s">
        <v>571</v>
      </c>
      <c r="E1959" t="s">
        <v>390</v>
      </c>
      <c r="F1959" t="s">
        <v>391</v>
      </c>
      <c r="G1959">
        <v>6200449</v>
      </c>
      <c r="H1959">
        <v>202202</v>
      </c>
      <c r="I1959" s="400">
        <v>44620</v>
      </c>
      <c r="J1959" t="s">
        <v>1036</v>
      </c>
      <c r="K1959" t="s">
        <v>386</v>
      </c>
      <c r="M1959" t="s">
        <v>387</v>
      </c>
      <c r="O1959" t="s">
        <v>2076</v>
      </c>
      <c r="P1959" t="s">
        <v>2077</v>
      </c>
      <c r="Q1959" t="s">
        <v>396</v>
      </c>
      <c r="R1959" s="458">
        <v>2540509</v>
      </c>
      <c r="S1959" t="s">
        <v>387</v>
      </c>
      <c r="U1959" t="s">
        <v>2631</v>
      </c>
      <c r="V1959" t="s">
        <v>398</v>
      </c>
      <c r="W1959" s="393">
        <v>31481</v>
      </c>
      <c r="X1959" s="393">
        <v>8.0399999999999991</v>
      </c>
      <c r="Y1959" s="393">
        <v>71.87</v>
      </c>
      <c r="Z1959" s="393">
        <v>31481</v>
      </c>
      <c r="AA1959">
        <v>207</v>
      </c>
      <c r="AB1959" s="400">
        <v>44627.992787384261</v>
      </c>
      <c r="AC1959" t="str">
        <f>+VLOOKUP(R1959,DRAFT!A:Q,17,0)</f>
        <v>1.2.2</v>
      </c>
    </row>
    <row r="1960" spans="1:29">
      <c r="A1960" t="s">
        <v>382</v>
      </c>
      <c r="B1960" t="s">
        <v>1157</v>
      </c>
      <c r="C1960" t="s">
        <v>486</v>
      </c>
      <c r="D1960" t="s">
        <v>571</v>
      </c>
      <c r="E1960" t="s">
        <v>390</v>
      </c>
      <c r="F1960" t="s">
        <v>391</v>
      </c>
      <c r="G1960">
        <v>6200449</v>
      </c>
      <c r="H1960">
        <v>202202</v>
      </c>
      <c r="I1960" s="400">
        <v>44620</v>
      </c>
      <c r="J1960" t="s">
        <v>1036</v>
      </c>
      <c r="K1960" t="s">
        <v>386</v>
      </c>
      <c r="M1960" t="s">
        <v>387</v>
      </c>
      <c r="O1960" t="s">
        <v>2067</v>
      </c>
      <c r="P1960" t="s">
        <v>2068</v>
      </c>
      <c r="Q1960" t="s">
        <v>396</v>
      </c>
      <c r="R1960" s="458">
        <v>2540509</v>
      </c>
      <c r="S1960" t="s">
        <v>387</v>
      </c>
      <c r="U1960" t="s">
        <v>2761</v>
      </c>
      <c r="V1960" t="s">
        <v>398</v>
      </c>
      <c r="W1960" s="393">
        <v>10500</v>
      </c>
      <c r="X1960" s="393">
        <v>2.68</v>
      </c>
      <c r="Y1960" s="393">
        <v>23.97</v>
      </c>
      <c r="Z1960" s="393">
        <v>10500</v>
      </c>
      <c r="AA1960">
        <v>0</v>
      </c>
      <c r="AB1960" s="400">
        <v>44627.992787384261</v>
      </c>
      <c r="AC1960" t="str">
        <f>+VLOOKUP(R1960,DRAFT!A:Q,17,0)</f>
        <v>1.2.2</v>
      </c>
    </row>
    <row r="1961" spans="1:29">
      <c r="A1961" t="s">
        <v>382</v>
      </c>
      <c r="B1961" t="s">
        <v>1157</v>
      </c>
      <c r="C1961" t="s">
        <v>486</v>
      </c>
      <c r="D1961" t="s">
        <v>571</v>
      </c>
      <c r="E1961" t="s">
        <v>390</v>
      </c>
      <c r="F1961" t="s">
        <v>391</v>
      </c>
      <c r="G1961">
        <v>6200449</v>
      </c>
      <c r="H1961">
        <v>202202</v>
      </c>
      <c r="I1961" s="400">
        <v>44620</v>
      </c>
      <c r="J1961" t="s">
        <v>1036</v>
      </c>
      <c r="K1961" t="s">
        <v>386</v>
      </c>
      <c r="M1961" t="s">
        <v>387</v>
      </c>
      <c r="O1961" t="s">
        <v>906</v>
      </c>
      <c r="P1961" t="s">
        <v>907</v>
      </c>
      <c r="Q1961" t="s">
        <v>396</v>
      </c>
      <c r="R1961" s="458">
        <v>2540509</v>
      </c>
      <c r="S1961" t="s">
        <v>387</v>
      </c>
      <c r="U1961" t="s">
        <v>2632</v>
      </c>
      <c r="V1961" t="s">
        <v>398</v>
      </c>
      <c r="W1961" s="393">
        <v>13889</v>
      </c>
      <c r="X1961" s="393">
        <v>3.55</v>
      </c>
      <c r="Y1961" s="393">
        <v>31.71</v>
      </c>
      <c r="Z1961" s="393">
        <v>13889</v>
      </c>
      <c r="AA1961">
        <v>207</v>
      </c>
      <c r="AB1961" s="400">
        <v>44627.992787581017</v>
      </c>
      <c r="AC1961" t="str">
        <f>+VLOOKUP(R1961,DRAFT!A:Q,17,0)</f>
        <v>1.2.2</v>
      </c>
    </row>
    <row r="1962" spans="1:29">
      <c r="A1962" t="s">
        <v>382</v>
      </c>
      <c r="B1962" t="s">
        <v>1157</v>
      </c>
      <c r="C1962" t="s">
        <v>486</v>
      </c>
      <c r="D1962" t="s">
        <v>571</v>
      </c>
      <c r="E1962" t="s">
        <v>390</v>
      </c>
      <c r="F1962" t="s">
        <v>391</v>
      </c>
      <c r="G1962">
        <v>6200449</v>
      </c>
      <c r="H1962">
        <v>202202</v>
      </c>
      <c r="I1962" s="400">
        <v>44620</v>
      </c>
      <c r="J1962" t="s">
        <v>1036</v>
      </c>
      <c r="K1962" t="s">
        <v>386</v>
      </c>
      <c r="M1962" t="s">
        <v>387</v>
      </c>
      <c r="O1962" t="s">
        <v>875</v>
      </c>
      <c r="P1962" t="s">
        <v>876</v>
      </c>
      <c r="Q1962" t="s">
        <v>396</v>
      </c>
      <c r="R1962" s="458">
        <v>2540509</v>
      </c>
      <c r="S1962" t="s">
        <v>387</v>
      </c>
      <c r="U1962" t="s">
        <v>2762</v>
      </c>
      <c r="V1962" t="s">
        <v>398</v>
      </c>
      <c r="W1962" s="393">
        <v>32000</v>
      </c>
      <c r="X1962" s="393">
        <v>8.18</v>
      </c>
      <c r="Y1962" s="393">
        <v>73.05</v>
      </c>
      <c r="Z1962" s="393">
        <v>32000</v>
      </c>
      <c r="AA1962">
        <v>0</v>
      </c>
      <c r="AB1962" s="400">
        <v>44627.992787581017</v>
      </c>
      <c r="AC1962" t="str">
        <f>+VLOOKUP(R1962,DRAFT!A:Q,17,0)</f>
        <v>1.2.2</v>
      </c>
    </row>
    <row r="1963" spans="1:29">
      <c r="A1963" t="s">
        <v>382</v>
      </c>
      <c r="B1963" t="s">
        <v>1157</v>
      </c>
      <c r="C1963" t="s">
        <v>486</v>
      </c>
      <c r="D1963" t="s">
        <v>571</v>
      </c>
      <c r="E1963" t="s">
        <v>390</v>
      </c>
      <c r="F1963" t="s">
        <v>391</v>
      </c>
      <c r="G1963">
        <v>6200449</v>
      </c>
      <c r="H1963">
        <v>202202</v>
      </c>
      <c r="I1963" s="400">
        <v>44620</v>
      </c>
      <c r="J1963" t="s">
        <v>1036</v>
      </c>
      <c r="K1963" t="s">
        <v>386</v>
      </c>
      <c r="M1963" t="s">
        <v>387</v>
      </c>
      <c r="O1963" t="s">
        <v>794</v>
      </c>
      <c r="P1963" t="s">
        <v>795</v>
      </c>
      <c r="Q1963" t="s">
        <v>396</v>
      </c>
      <c r="R1963" s="458">
        <v>2540509</v>
      </c>
      <c r="S1963" t="s">
        <v>387</v>
      </c>
      <c r="U1963" t="s">
        <v>2763</v>
      </c>
      <c r="V1963" t="s">
        <v>398</v>
      </c>
      <c r="W1963" s="393">
        <v>6000</v>
      </c>
      <c r="X1963" s="393">
        <v>1.53</v>
      </c>
      <c r="Y1963" s="393">
        <v>13.7</v>
      </c>
      <c r="Z1963" s="393">
        <v>6000</v>
      </c>
      <c r="AA1963">
        <v>0</v>
      </c>
      <c r="AB1963" s="400">
        <v>44627.992787581017</v>
      </c>
      <c r="AC1963" t="str">
        <f>+VLOOKUP(R1963,DRAFT!A:Q,17,0)</f>
        <v>1.2.2</v>
      </c>
    </row>
    <row r="1964" spans="1:29">
      <c r="A1964" t="s">
        <v>382</v>
      </c>
      <c r="B1964" t="s">
        <v>1157</v>
      </c>
      <c r="C1964" t="s">
        <v>486</v>
      </c>
      <c r="D1964" t="s">
        <v>571</v>
      </c>
      <c r="E1964" t="s">
        <v>390</v>
      </c>
      <c r="F1964" t="s">
        <v>391</v>
      </c>
      <c r="G1964">
        <v>6200449</v>
      </c>
      <c r="H1964">
        <v>202202</v>
      </c>
      <c r="I1964" s="400">
        <v>44620</v>
      </c>
      <c r="J1964" t="s">
        <v>1036</v>
      </c>
      <c r="K1964" t="s">
        <v>386</v>
      </c>
      <c r="M1964" t="s">
        <v>387</v>
      </c>
      <c r="O1964" t="s">
        <v>2639</v>
      </c>
      <c r="P1964" t="s">
        <v>2640</v>
      </c>
      <c r="Q1964" t="s">
        <v>396</v>
      </c>
      <c r="R1964" s="458">
        <v>2540509</v>
      </c>
      <c r="S1964" t="s">
        <v>387</v>
      </c>
      <c r="U1964" t="s">
        <v>2764</v>
      </c>
      <c r="V1964" t="s">
        <v>398</v>
      </c>
      <c r="W1964" s="393">
        <v>26000</v>
      </c>
      <c r="X1964" s="393">
        <v>6.64</v>
      </c>
      <c r="Y1964" s="393">
        <v>59.35</v>
      </c>
      <c r="Z1964" s="393">
        <v>26000</v>
      </c>
      <c r="AA1964">
        <v>0</v>
      </c>
      <c r="AB1964" s="400">
        <v>44627.992787581017</v>
      </c>
      <c r="AC1964" t="str">
        <f>+VLOOKUP(R1964,DRAFT!A:Q,17,0)</f>
        <v>1.2.2</v>
      </c>
    </row>
    <row r="1965" spans="1:29">
      <c r="A1965" t="s">
        <v>382</v>
      </c>
      <c r="B1965" t="s">
        <v>1157</v>
      </c>
      <c r="C1965" t="s">
        <v>486</v>
      </c>
      <c r="D1965" t="s">
        <v>571</v>
      </c>
      <c r="E1965" t="s">
        <v>390</v>
      </c>
      <c r="F1965" t="s">
        <v>391</v>
      </c>
      <c r="G1965">
        <v>6200449</v>
      </c>
      <c r="H1965">
        <v>202202</v>
      </c>
      <c r="I1965" s="400">
        <v>44620</v>
      </c>
      <c r="J1965" t="s">
        <v>1036</v>
      </c>
      <c r="K1965" t="s">
        <v>386</v>
      </c>
      <c r="M1965" t="s">
        <v>387</v>
      </c>
      <c r="O1965" t="s">
        <v>2662</v>
      </c>
      <c r="P1965" t="s">
        <v>2663</v>
      </c>
      <c r="Q1965" t="s">
        <v>396</v>
      </c>
      <c r="R1965" s="458">
        <v>2540509</v>
      </c>
      <c r="S1965" t="s">
        <v>387</v>
      </c>
      <c r="U1965" t="s">
        <v>2765</v>
      </c>
      <c r="V1965" t="s">
        <v>398</v>
      </c>
      <c r="W1965" s="393">
        <v>30000</v>
      </c>
      <c r="X1965" s="393">
        <v>7.67</v>
      </c>
      <c r="Y1965" s="393">
        <v>68.48</v>
      </c>
      <c r="Z1965" s="393">
        <v>30000</v>
      </c>
      <c r="AA1965">
        <v>0</v>
      </c>
      <c r="AB1965" s="400">
        <v>44627.992787581017</v>
      </c>
      <c r="AC1965" t="str">
        <f>+VLOOKUP(R1965,DRAFT!A:Q,17,0)</f>
        <v>1.2.2</v>
      </c>
    </row>
    <row r="1966" spans="1:29">
      <c r="A1966" t="s">
        <v>382</v>
      </c>
      <c r="B1966" t="s">
        <v>1157</v>
      </c>
      <c r="C1966" t="s">
        <v>486</v>
      </c>
      <c r="D1966" t="s">
        <v>571</v>
      </c>
      <c r="E1966" t="s">
        <v>390</v>
      </c>
      <c r="F1966" t="s">
        <v>391</v>
      </c>
      <c r="G1966">
        <v>6200449</v>
      </c>
      <c r="H1966">
        <v>202202</v>
      </c>
      <c r="I1966" s="400">
        <v>44620</v>
      </c>
      <c r="J1966" t="s">
        <v>1036</v>
      </c>
      <c r="K1966" t="s">
        <v>386</v>
      </c>
      <c r="M1966" t="s">
        <v>387</v>
      </c>
      <c r="O1966" t="s">
        <v>2067</v>
      </c>
      <c r="P1966" t="s">
        <v>2068</v>
      </c>
      <c r="Q1966" t="s">
        <v>396</v>
      </c>
      <c r="R1966" s="458">
        <v>2540509</v>
      </c>
      <c r="S1966" t="s">
        <v>387</v>
      </c>
      <c r="U1966" t="s">
        <v>2766</v>
      </c>
      <c r="V1966" t="s">
        <v>398</v>
      </c>
      <c r="W1966" s="393">
        <v>6600</v>
      </c>
      <c r="X1966" s="393">
        <v>1.69</v>
      </c>
      <c r="Y1966" s="393">
        <v>15.07</v>
      </c>
      <c r="Z1966" s="393">
        <v>6600</v>
      </c>
      <c r="AA1966">
        <v>0</v>
      </c>
      <c r="AB1966" s="400">
        <v>44627.992787581017</v>
      </c>
      <c r="AC1966" t="str">
        <f>+VLOOKUP(R1966,DRAFT!A:Q,17,0)</f>
        <v>1.2.2</v>
      </c>
    </row>
    <row r="1967" spans="1:29">
      <c r="A1967" t="s">
        <v>382</v>
      </c>
      <c r="B1967" t="s">
        <v>1157</v>
      </c>
      <c r="C1967" t="s">
        <v>486</v>
      </c>
      <c r="D1967" t="s">
        <v>571</v>
      </c>
      <c r="E1967" t="s">
        <v>390</v>
      </c>
      <c r="F1967" t="s">
        <v>391</v>
      </c>
      <c r="G1967">
        <v>6200449</v>
      </c>
      <c r="H1967">
        <v>202202</v>
      </c>
      <c r="I1967" s="400">
        <v>44620</v>
      </c>
      <c r="J1967" t="s">
        <v>1036</v>
      </c>
      <c r="K1967" t="s">
        <v>386</v>
      </c>
      <c r="M1967" t="s">
        <v>387</v>
      </c>
      <c r="O1967" t="s">
        <v>2639</v>
      </c>
      <c r="P1967" t="s">
        <v>2640</v>
      </c>
      <c r="Q1967" t="s">
        <v>396</v>
      </c>
      <c r="R1967" s="458">
        <v>2540509</v>
      </c>
      <c r="S1967" t="s">
        <v>387</v>
      </c>
      <c r="U1967" t="s">
        <v>2767</v>
      </c>
      <c r="V1967" t="s">
        <v>398</v>
      </c>
      <c r="W1967" s="393">
        <v>29000</v>
      </c>
      <c r="X1967" s="393">
        <v>7.41</v>
      </c>
      <c r="Y1967" s="393">
        <v>66.2</v>
      </c>
      <c r="Z1967" s="393">
        <v>29000</v>
      </c>
      <c r="AA1967">
        <v>0</v>
      </c>
      <c r="AB1967" s="400">
        <v>44627.992787581017</v>
      </c>
      <c r="AC1967" t="str">
        <f>+VLOOKUP(R1967,DRAFT!A:Q,17,0)</f>
        <v>1.2.2</v>
      </c>
    </row>
    <row r="1968" spans="1:29">
      <c r="A1968" t="s">
        <v>382</v>
      </c>
      <c r="B1968" t="s">
        <v>1157</v>
      </c>
      <c r="C1968" t="s">
        <v>486</v>
      </c>
      <c r="D1968" t="s">
        <v>571</v>
      </c>
      <c r="E1968" t="s">
        <v>390</v>
      </c>
      <c r="F1968" t="s">
        <v>391</v>
      </c>
      <c r="G1968">
        <v>6200449</v>
      </c>
      <c r="H1968">
        <v>202202</v>
      </c>
      <c r="I1968" s="400">
        <v>44620</v>
      </c>
      <c r="J1968" t="s">
        <v>1036</v>
      </c>
      <c r="K1968" t="s">
        <v>386</v>
      </c>
      <c r="M1968" t="s">
        <v>387</v>
      </c>
      <c r="O1968" t="s">
        <v>794</v>
      </c>
      <c r="P1968" t="s">
        <v>795</v>
      </c>
      <c r="Q1968" t="s">
        <v>396</v>
      </c>
      <c r="R1968" s="458">
        <v>2540509</v>
      </c>
      <c r="S1968" t="s">
        <v>387</v>
      </c>
      <c r="U1968" t="s">
        <v>2768</v>
      </c>
      <c r="V1968" t="s">
        <v>398</v>
      </c>
      <c r="W1968" s="393">
        <v>11000</v>
      </c>
      <c r="X1968" s="393">
        <v>2.81</v>
      </c>
      <c r="Y1968" s="393">
        <v>25.11</v>
      </c>
      <c r="Z1968" s="393">
        <v>11000</v>
      </c>
      <c r="AA1968">
        <v>0</v>
      </c>
      <c r="AB1968" s="400">
        <v>44627.992787233794</v>
      </c>
      <c r="AC1968" t="str">
        <f>+VLOOKUP(R1968,DRAFT!A:Q,17,0)</f>
        <v>1.2.2</v>
      </c>
    </row>
    <row r="1969" spans="1:29">
      <c r="A1969" t="s">
        <v>382</v>
      </c>
      <c r="B1969" t="s">
        <v>1157</v>
      </c>
      <c r="C1969" t="s">
        <v>486</v>
      </c>
      <c r="D1969" t="s">
        <v>571</v>
      </c>
      <c r="E1969" t="s">
        <v>390</v>
      </c>
      <c r="F1969" t="s">
        <v>391</v>
      </c>
      <c r="G1969">
        <v>6200449</v>
      </c>
      <c r="H1969">
        <v>202202</v>
      </c>
      <c r="I1969" s="400">
        <v>44620</v>
      </c>
      <c r="J1969" t="s">
        <v>1036</v>
      </c>
      <c r="K1969" t="s">
        <v>386</v>
      </c>
      <c r="M1969" t="s">
        <v>387</v>
      </c>
      <c r="O1969" t="s">
        <v>749</v>
      </c>
      <c r="P1969" t="s">
        <v>750</v>
      </c>
      <c r="Q1969" t="s">
        <v>396</v>
      </c>
      <c r="R1969" s="458">
        <v>2540509</v>
      </c>
      <c r="S1969" t="s">
        <v>387</v>
      </c>
      <c r="U1969" t="s">
        <v>2769</v>
      </c>
      <c r="V1969" t="s">
        <v>398</v>
      </c>
      <c r="W1969" s="393">
        <v>62500</v>
      </c>
      <c r="X1969" s="393">
        <v>15.97</v>
      </c>
      <c r="Y1969" s="393">
        <v>142.68</v>
      </c>
      <c r="Z1969" s="393">
        <v>62500</v>
      </c>
      <c r="AA1969">
        <v>0</v>
      </c>
      <c r="AB1969" s="400">
        <v>44627.992787233794</v>
      </c>
      <c r="AC1969" t="str">
        <f>+VLOOKUP(R1969,DRAFT!A:Q,17,0)</f>
        <v>1.2.2</v>
      </c>
    </row>
    <row r="1970" spans="1:29">
      <c r="A1970" t="s">
        <v>382</v>
      </c>
      <c r="B1970" t="s">
        <v>1157</v>
      </c>
      <c r="C1970" t="s">
        <v>486</v>
      </c>
      <c r="D1970" t="s">
        <v>571</v>
      </c>
      <c r="E1970" t="s">
        <v>390</v>
      </c>
      <c r="F1970" t="s">
        <v>391</v>
      </c>
      <c r="G1970">
        <v>6200449</v>
      </c>
      <c r="H1970">
        <v>202202</v>
      </c>
      <c r="I1970" s="400">
        <v>44620</v>
      </c>
      <c r="J1970" t="s">
        <v>1036</v>
      </c>
      <c r="K1970" t="s">
        <v>386</v>
      </c>
      <c r="M1970" t="s">
        <v>387</v>
      </c>
      <c r="O1970" t="s">
        <v>794</v>
      </c>
      <c r="P1970" t="s">
        <v>795</v>
      </c>
      <c r="Q1970" t="s">
        <v>396</v>
      </c>
      <c r="R1970" s="458">
        <v>2540509</v>
      </c>
      <c r="S1970" t="s">
        <v>387</v>
      </c>
      <c r="U1970" t="s">
        <v>2770</v>
      </c>
      <c r="V1970" t="s">
        <v>398</v>
      </c>
      <c r="W1970" s="393">
        <v>14000</v>
      </c>
      <c r="X1970" s="393">
        <v>3.58</v>
      </c>
      <c r="Y1970" s="393">
        <v>31.96</v>
      </c>
      <c r="Z1970" s="393">
        <v>14000</v>
      </c>
      <c r="AA1970">
        <v>0</v>
      </c>
      <c r="AB1970" s="400">
        <v>44627.992787233794</v>
      </c>
      <c r="AC1970" t="str">
        <f>+VLOOKUP(R1970,DRAFT!A:Q,17,0)</f>
        <v>1.2.2</v>
      </c>
    </row>
    <row r="1971" spans="1:29">
      <c r="A1971" t="s">
        <v>382</v>
      </c>
      <c r="B1971" t="s">
        <v>1157</v>
      </c>
      <c r="C1971" t="s">
        <v>486</v>
      </c>
      <c r="D1971" t="s">
        <v>571</v>
      </c>
      <c r="E1971" t="s">
        <v>390</v>
      </c>
      <c r="F1971" t="s">
        <v>391</v>
      </c>
      <c r="G1971">
        <v>6200449</v>
      </c>
      <c r="H1971">
        <v>202202</v>
      </c>
      <c r="I1971" s="400">
        <v>44620</v>
      </c>
      <c r="J1971" t="s">
        <v>1036</v>
      </c>
      <c r="K1971" t="s">
        <v>386</v>
      </c>
      <c r="M1971" t="s">
        <v>387</v>
      </c>
      <c r="O1971" t="s">
        <v>906</v>
      </c>
      <c r="P1971" t="s">
        <v>907</v>
      </c>
      <c r="Q1971" t="s">
        <v>396</v>
      </c>
      <c r="R1971" s="458">
        <v>2540509</v>
      </c>
      <c r="S1971" t="s">
        <v>387</v>
      </c>
      <c r="U1971" t="s">
        <v>2630</v>
      </c>
      <c r="V1971" t="s">
        <v>398</v>
      </c>
      <c r="W1971" s="393">
        <v>55556</v>
      </c>
      <c r="X1971" s="393">
        <v>14.2</v>
      </c>
      <c r="Y1971" s="393">
        <v>126.82</v>
      </c>
      <c r="Z1971" s="393">
        <v>55556</v>
      </c>
      <c r="AA1971">
        <v>207</v>
      </c>
      <c r="AB1971" s="400">
        <v>44627.992787233794</v>
      </c>
      <c r="AC1971" t="str">
        <f>+VLOOKUP(R1971,DRAFT!A:Q,17,0)</f>
        <v>1.2.2</v>
      </c>
    </row>
    <row r="1972" spans="1:29">
      <c r="A1972" t="s">
        <v>382</v>
      </c>
      <c r="B1972" t="s">
        <v>1157</v>
      </c>
      <c r="C1972" t="s">
        <v>486</v>
      </c>
      <c r="D1972" t="s">
        <v>571</v>
      </c>
      <c r="E1972" t="s">
        <v>390</v>
      </c>
      <c r="F1972" t="s">
        <v>391</v>
      </c>
      <c r="G1972">
        <v>6200449</v>
      </c>
      <c r="H1972">
        <v>202202</v>
      </c>
      <c r="I1972" s="400">
        <v>44620</v>
      </c>
      <c r="J1972" t="s">
        <v>1036</v>
      </c>
      <c r="K1972" t="s">
        <v>386</v>
      </c>
      <c r="M1972" t="s">
        <v>387</v>
      </c>
      <c r="O1972" t="s">
        <v>896</v>
      </c>
      <c r="P1972" t="s">
        <v>897</v>
      </c>
      <c r="Q1972" t="s">
        <v>396</v>
      </c>
      <c r="R1972" s="458">
        <v>2540509</v>
      </c>
      <c r="S1972" t="s">
        <v>387</v>
      </c>
      <c r="U1972" t="s">
        <v>2771</v>
      </c>
      <c r="V1972" t="s">
        <v>398</v>
      </c>
      <c r="W1972" s="393">
        <v>66000</v>
      </c>
      <c r="X1972" s="393">
        <v>16.86</v>
      </c>
      <c r="Y1972" s="393">
        <v>150.66999999999999</v>
      </c>
      <c r="Z1972" s="393">
        <v>66000</v>
      </c>
      <c r="AA1972">
        <v>0</v>
      </c>
      <c r="AB1972" s="400">
        <v>44627.992787384261</v>
      </c>
      <c r="AC1972" t="str">
        <f>+VLOOKUP(R1972,DRAFT!A:Q,17,0)</f>
        <v>1.2.2</v>
      </c>
    </row>
    <row r="1973" spans="1:29">
      <c r="A1973" t="s">
        <v>382</v>
      </c>
      <c r="B1973" t="s">
        <v>1157</v>
      </c>
      <c r="C1973" t="s">
        <v>486</v>
      </c>
      <c r="D1973" t="s">
        <v>571</v>
      </c>
      <c r="E1973" t="s">
        <v>390</v>
      </c>
      <c r="F1973" t="s">
        <v>391</v>
      </c>
      <c r="G1973">
        <v>6200449</v>
      </c>
      <c r="H1973">
        <v>202202</v>
      </c>
      <c r="I1973" s="400">
        <v>44620</v>
      </c>
      <c r="J1973" t="s">
        <v>1036</v>
      </c>
      <c r="K1973" t="s">
        <v>386</v>
      </c>
      <c r="M1973" t="s">
        <v>387</v>
      </c>
      <c r="O1973" t="s">
        <v>794</v>
      </c>
      <c r="P1973" t="s">
        <v>795</v>
      </c>
      <c r="Q1973" t="s">
        <v>396</v>
      </c>
      <c r="R1973" s="458">
        <v>2540509</v>
      </c>
      <c r="S1973" t="s">
        <v>387</v>
      </c>
      <c r="U1973" t="s">
        <v>2772</v>
      </c>
      <c r="V1973" t="s">
        <v>398</v>
      </c>
      <c r="W1973" s="393">
        <v>18000</v>
      </c>
      <c r="X1973" s="393">
        <v>4.5999999999999996</v>
      </c>
      <c r="Y1973" s="393">
        <v>41.09</v>
      </c>
      <c r="Z1973" s="393">
        <v>18000</v>
      </c>
      <c r="AA1973">
        <v>0</v>
      </c>
      <c r="AB1973" s="400">
        <v>44627.992787384261</v>
      </c>
      <c r="AC1973" t="str">
        <f>+VLOOKUP(R1973,DRAFT!A:Q,17,0)</f>
        <v>1.2.2</v>
      </c>
    </row>
    <row r="1974" spans="1:29">
      <c r="A1974" t="s">
        <v>382</v>
      </c>
      <c r="B1974" t="s">
        <v>1157</v>
      </c>
      <c r="C1974" t="s">
        <v>486</v>
      </c>
      <c r="D1974" t="s">
        <v>571</v>
      </c>
      <c r="E1974" t="s">
        <v>390</v>
      </c>
      <c r="F1974" t="s">
        <v>391</v>
      </c>
      <c r="G1974">
        <v>6200449</v>
      </c>
      <c r="H1974">
        <v>202202</v>
      </c>
      <c r="I1974" s="400">
        <v>44620</v>
      </c>
      <c r="J1974" t="s">
        <v>1036</v>
      </c>
      <c r="K1974" t="s">
        <v>386</v>
      </c>
      <c r="M1974" t="s">
        <v>387</v>
      </c>
      <c r="O1974" t="s">
        <v>896</v>
      </c>
      <c r="P1974" t="s">
        <v>897</v>
      </c>
      <c r="Q1974" t="s">
        <v>396</v>
      </c>
      <c r="R1974" s="458">
        <v>2540509</v>
      </c>
      <c r="S1974" t="s">
        <v>387</v>
      </c>
      <c r="U1974" t="s">
        <v>2773</v>
      </c>
      <c r="V1974" t="s">
        <v>398</v>
      </c>
      <c r="W1974" s="393">
        <v>31000</v>
      </c>
      <c r="X1974" s="393">
        <v>7.92</v>
      </c>
      <c r="Y1974" s="393">
        <v>70.77</v>
      </c>
      <c r="Z1974" s="393">
        <v>31000</v>
      </c>
      <c r="AA1974">
        <v>0</v>
      </c>
      <c r="AB1974" s="400">
        <v>44627.992787384261</v>
      </c>
      <c r="AC1974" t="str">
        <f>+VLOOKUP(R1974,DRAFT!A:Q,17,0)</f>
        <v>1.2.2</v>
      </c>
    </row>
    <row r="1975" spans="1:29">
      <c r="A1975" t="s">
        <v>382</v>
      </c>
      <c r="B1975" t="s">
        <v>1157</v>
      </c>
      <c r="C1975" t="s">
        <v>486</v>
      </c>
      <c r="D1975" t="s">
        <v>571</v>
      </c>
      <c r="E1975" t="s">
        <v>390</v>
      </c>
      <c r="F1975" t="s">
        <v>391</v>
      </c>
      <c r="G1975">
        <v>6200449</v>
      </c>
      <c r="H1975">
        <v>202202</v>
      </c>
      <c r="I1975" s="400">
        <v>44620</v>
      </c>
      <c r="J1975" t="s">
        <v>1036</v>
      </c>
      <c r="K1975" t="s">
        <v>386</v>
      </c>
      <c r="M1975" t="s">
        <v>387</v>
      </c>
      <c r="O1975" t="s">
        <v>2774</v>
      </c>
      <c r="P1975" t="s">
        <v>2775</v>
      </c>
      <c r="Q1975" t="s">
        <v>396</v>
      </c>
      <c r="R1975" s="458">
        <v>2540509</v>
      </c>
      <c r="S1975" t="s">
        <v>387</v>
      </c>
      <c r="U1975" t="s">
        <v>2776</v>
      </c>
      <c r="V1975" t="s">
        <v>398</v>
      </c>
      <c r="W1975" s="393">
        <v>48000</v>
      </c>
      <c r="X1975" s="393">
        <v>12.26</v>
      </c>
      <c r="Y1975" s="393">
        <v>109.58</v>
      </c>
      <c r="Z1975" s="393">
        <v>48000</v>
      </c>
      <c r="AA1975">
        <v>0</v>
      </c>
      <c r="AB1975" s="400">
        <v>44627.992787384261</v>
      </c>
      <c r="AC1975" t="str">
        <f>+VLOOKUP(R1975,DRAFT!A:Q,17,0)</f>
        <v>1.2.2</v>
      </c>
    </row>
    <row r="1976" spans="1:29">
      <c r="A1976" t="s">
        <v>382</v>
      </c>
      <c r="B1976" t="s">
        <v>1157</v>
      </c>
      <c r="C1976" t="s">
        <v>486</v>
      </c>
      <c r="D1976" t="s">
        <v>571</v>
      </c>
      <c r="E1976" t="s">
        <v>390</v>
      </c>
      <c r="F1976" t="s">
        <v>391</v>
      </c>
      <c r="G1976">
        <v>6200449</v>
      </c>
      <c r="H1976">
        <v>202202</v>
      </c>
      <c r="I1976" s="400">
        <v>44620</v>
      </c>
      <c r="J1976" t="s">
        <v>1036</v>
      </c>
      <c r="K1976" t="s">
        <v>386</v>
      </c>
      <c r="M1976" t="s">
        <v>387</v>
      </c>
      <c r="O1976" t="s">
        <v>794</v>
      </c>
      <c r="P1976" t="s">
        <v>795</v>
      </c>
      <c r="Q1976" t="s">
        <v>396</v>
      </c>
      <c r="R1976" s="458">
        <v>2540509</v>
      </c>
      <c r="S1976" t="s">
        <v>387</v>
      </c>
      <c r="U1976" t="s">
        <v>2777</v>
      </c>
      <c r="V1976" t="s">
        <v>398</v>
      </c>
      <c r="W1976" s="393">
        <v>9000</v>
      </c>
      <c r="X1976" s="393">
        <v>2.2999999999999998</v>
      </c>
      <c r="Y1976" s="393">
        <v>20.55</v>
      </c>
      <c r="Z1976" s="393">
        <v>9000</v>
      </c>
      <c r="AA1976">
        <v>0</v>
      </c>
      <c r="AB1976" s="400">
        <v>44627.992787384261</v>
      </c>
      <c r="AC1976" t="str">
        <f>+VLOOKUP(R1976,DRAFT!A:Q,17,0)</f>
        <v>1.2.2</v>
      </c>
    </row>
    <row r="1977" spans="1:29">
      <c r="A1977" t="s">
        <v>382</v>
      </c>
      <c r="B1977" t="s">
        <v>440</v>
      </c>
      <c r="C1977" t="s">
        <v>486</v>
      </c>
      <c r="D1977" t="s">
        <v>571</v>
      </c>
      <c r="E1977" t="s">
        <v>390</v>
      </c>
      <c r="F1977" t="s">
        <v>391</v>
      </c>
      <c r="G1977">
        <v>6200336</v>
      </c>
      <c r="H1977">
        <v>202202</v>
      </c>
      <c r="I1977" s="400">
        <v>44620</v>
      </c>
      <c r="J1977" t="s">
        <v>452</v>
      </c>
      <c r="K1977" t="s">
        <v>386</v>
      </c>
      <c r="M1977" t="s">
        <v>387</v>
      </c>
      <c r="O1977" t="s">
        <v>794</v>
      </c>
      <c r="P1977" t="s">
        <v>795</v>
      </c>
      <c r="Q1977" t="s">
        <v>396</v>
      </c>
      <c r="R1977" s="458">
        <v>2540509</v>
      </c>
      <c r="S1977" t="s">
        <v>2637</v>
      </c>
      <c r="T1977" t="s">
        <v>2637</v>
      </c>
      <c r="U1977" t="s">
        <v>2638</v>
      </c>
      <c r="V1977" t="s">
        <v>398</v>
      </c>
      <c r="W1977" s="393">
        <v>11500</v>
      </c>
      <c r="X1977" s="393">
        <v>2.94</v>
      </c>
      <c r="Y1977" s="393">
        <v>26.25</v>
      </c>
      <c r="Z1977" s="393">
        <v>11500</v>
      </c>
      <c r="AA1977">
        <v>0</v>
      </c>
      <c r="AB1977" s="400">
        <v>44624.786521793983</v>
      </c>
      <c r="AC1977" t="str">
        <f>+VLOOKUP(R1977,DRAFT!A:Q,17,0)</f>
        <v>1.2.2</v>
      </c>
    </row>
    <row r="1978" spans="1:29">
      <c r="A1978" t="s">
        <v>382</v>
      </c>
      <c r="B1978" t="s">
        <v>440</v>
      </c>
      <c r="C1978" t="s">
        <v>486</v>
      </c>
      <c r="D1978" t="s">
        <v>571</v>
      </c>
      <c r="E1978" t="s">
        <v>390</v>
      </c>
      <c r="F1978" t="s">
        <v>391</v>
      </c>
      <c r="G1978">
        <v>6200336</v>
      </c>
      <c r="H1978">
        <v>202202</v>
      </c>
      <c r="I1978" s="400">
        <v>44620</v>
      </c>
      <c r="J1978" t="s">
        <v>452</v>
      </c>
      <c r="K1978" t="s">
        <v>386</v>
      </c>
      <c r="M1978" t="s">
        <v>387</v>
      </c>
      <c r="O1978" t="s">
        <v>2639</v>
      </c>
      <c r="P1978" t="s">
        <v>2640</v>
      </c>
      <c r="Q1978" t="s">
        <v>396</v>
      </c>
      <c r="R1978" s="458">
        <v>2540509</v>
      </c>
      <c r="S1978" t="s">
        <v>2641</v>
      </c>
      <c r="T1978" t="s">
        <v>2641</v>
      </c>
      <c r="U1978" t="s">
        <v>2642</v>
      </c>
      <c r="V1978" t="s">
        <v>398</v>
      </c>
      <c r="W1978" s="393">
        <v>29000</v>
      </c>
      <c r="X1978" s="393">
        <v>7.41</v>
      </c>
      <c r="Y1978" s="393">
        <v>66.2</v>
      </c>
      <c r="Z1978" s="393">
        <v>29000</v>
      </c>
      <c r="AA1978">
        <v>0</v>
      </c>
      <c r="AB1978" s="400">
        <v>44624.786521793983</v>
      </c>
      <c r="AC1978" t="str">
        <f>+VLOOKUP(R1978,DRAFT!A:Q,17,0)</f>
        <v>1.2.2</v>
      </c>
    </row>
    <row r="1979" spans="1:29">
      <c r="A1979" t="s">
        <v>382</v>
      </c>
      <c r="B1979" t="s">
        <v>440</v>
      </c>
      <c r="C1979" t="s">
        <v>486</v>
      </c>
      <c r="D1979" t="s">
        <v>571</v>
      </c>
      <c r="E1979" t="s">
        <v>390</v>
      </c>
      <c r="F1979" t="s">
        <v>391</v>
      </c>
      <c r="G1979">
        <v>6200336</v>
      </c>
      <c r="H1979">
        <v>202202</v>
      </c>
      <c r="I1979" s="400">
        <v>44620</v>
      </c>
      <c r="J1979" t="s">
        <v>452</v>
      </c>
      <c r="K1979" t="s">
        <v>386</v>
      </c>
      <c r="M1979" t="s">
        <v>387</v>
      </c>
      <c r="O1979" t="s">
        <v>896</v>
      </c>
      <c r="P1979" t="s">
        <v>897</v>
      </c>
      <c r="Q1979" t="s">
        <v>396</v>
      </c>
      <c r="R1979" s="458">
        <v>2540509</v>
      </c>
      <c r="S1979" t="s">
        <v>2643</v>
      </c>
      <c r="T1979" t="s">
        <v>2643</v>
      </c>
      <c r="U1979" t="s">
        <v>2644</v>
      </c>
      <c r="V1979" t="s">
        <v>398</v>
      </c>
      <c r="W1979" s="393">
        <v>32000</v>
      </c>
      <c r="X1979" s="393">
        <v>8.18</v>
      </c>
      <c r="Y1979" s="393">
        <v>73.05</v>
      </c>
      <c r="Z1979" s="393">
        <v>32000</v>
      </c>
      <c r="AA1979">
        <v>0</v>
      </c>
      <c r="AB1979" s="400">
        <v>44624.786521793983</v>
      </c>
      <c r="AC1979" t="str">
        <f>+VLOOKUP(R1979,DRAFT!A:Q,17,0)</f>
        <v>1.2.2</v>
      </c>
    </row>
    <row r="1980" spans="1:29">
      <c r="A1980" t="s">
        <v>382</v>
      </c>
      <c r="B1980" t="s">
        <v>440</v>
      </c>
      <c r="C1980" t="s">
        <v>486</v>
      </c>
      <c r="D1980" t="s">
        <v>571</v>
      </c>
      <c r="E1980" t="s">
        <v>390</v>
      </c>
      <c r="F1980" t="s">
        <v>391</v>
      </c>
      <c r="G1980">
        <v>6200336</v>
      </c>
      <c r="H1980">
        <v>202202</v>
      </c>
      <c r="I1980" s="400">
        <v>44620</v>
      </c>
      <c r="J1980" t="s">
        <v>452</v>
      </c>
      <c r="K1980" t="s">
        <v>386</v>
      </c>
      <c r="M1980" t="s">
        <v>387</v>
      </c>
      <c r="O1980" t="s">
        <v>1001</v>
      </c>
      <c r="P1980" t="s">
        <v>1002</v>
      </c>
      <c r="Q1980" t="s">
        <v>396</v>
      </c>
      <c r="R1980" s="458">
        <v>2540509</v>
      </c>
      <c r="S1980" t="s">
        <v>2645</v>
      </c>
      <c r="T1980" t="s">
        <v>2645</v>
      </c>
      <c r="U1980" t="s">
        <v>2646</v>
      </c>
      <c r="V1980" t="s">
        <v>398</v>
      </c>
      <c r="W1980" s="393">
        <v>9500</v>
      </c>
      <c r="X1980" s="393">
        <v>2.4300000000000002</v>
      </c>
      <c r="Y1980" s="393">
        <v>21.69</v>
      </c>
      <c r="Z1980" s="393">
        <v>9500</v>
      </c>
      <c r="AA1980">
        <v>0</v>
      </c>
      <c r="AB1980" s="400">
        <v>44624.786521793983</v>
      </c>
      <c r="AC1980" t="str">
        <f>+VLOOKUP(R1980,DRAFT!A:Q,17,0)</f>
        <v>1.2.2</v>
      </c>
    </row>
    <row r="1981" spans="1:29">
      <c r="A1981" t="s">
        <v>382</v>
      </c>
      <c r="B1981" t="s">
        <v>440</v>
      </c>
      <c r="C1981" t="s">
        <v>486</v>
      </c>
      <c r="D1981" t="s">
        <v>571</v>
      </c>
      <c r="E1981" t="s">
        <v>390</v>
      </c>
      <c r="F1981" t="s">
        <v>391</v>
      </c>
      <c r="G1981">
        <v>6200336</v>
      </c>
      <c r="H1981">
        <v>202202</v>
      </c>
      <c r="I1981" s="400">
        <v>44620</v>
      </c>
      <c r="J1981" t="s">
        <v>452</v>
      </c>
      <c r="K1981" t="s">
        <v>386</v>
      </c>
      <c r="M1981" t="s">
        <v>387</v>
      </c>
      <c r="O1981" t="s">
        <v>1001</v>
      </c>
      <c r="P1981" t="s">
        <v>1002</v>
      </c>
      <c r="Q1981" t="s">
        <v>396</v>
      </c>
      <c r="R1981" s="458">
        <v>2540509</v>
      </c>
      <c r="S1981" t="s">
        <v>2647</v>
      </c>
      <c r="T1981" t="s">
        <v>2647</v>
      </c>
      <c r="U1981" t="s">
        <v>2648</v>
      </c>
      <c r="V1981" t="s">
        <v>398</v>
      </c>
      <c r="W1981" s="393">
        <v>9500</v>
      </c>
      <c r="X1981" s="393">
        <v>2.4300000000000002</v>
      </c>
      <c r="Y1981" s="393">
        <v>21.69</v>
      </c>
      <c r="Z1981" s="393">
        <v>9500</v>
      </c>
      <c r="AA1981">
        <v>0</v>
      </c>
      <c r="AB1981" s="400">
        <v>44624.786521793983</v>
      </c>
      <c r="AC1981" t="str">
        <f>+VLOOKUP(R1981,DRAFT!A:Q,17,0)</f>
        <v>1.2.2</v>
      </c>
    </row>
    <row r="1982" spans="1:29">
      <c r="A1982" t="s">
        <v>382</v>
      </c>
      <c r="B1982" t="s">
        <v>440</v>
      </c>
      <c r="C1982" t="s">
        <v>486</v>
      </c>
      <c r="D1982" t="s">
        <v>571</v>
      </c>
      <c r="E1982" t="s">
        <v>390</v>
      </c>
      <c r="F1982" t="s">
        <v>391</v>
      </c>
      <c r="G1982">
        <v>6200336</v>
      </c>
      <c r="H1982">
        <v>202202</v>
      </c>
      <c r="I1982" s="400">
        <v>44620</v>
      </c>
      <c r="J1982" t="s">
        <v>452</v>
      </c>
      <c r="K1982" t="s">
        <v>386</v>
      </c>
      <c r="M1982" t="s">
        <v>387</v>
      </c>
      <c r="O1982" t="s">
        <v>794</v>
      </c>
      <c r="P1982" t="s">
        <v>795</v>
      </c>
      <c r="Q1982" t="s">
        <v>396</v>
      </c>
      <c r="R1982" s="458">
        <v>2540509</v>
      </c>
      <c r="S1982" t="s">
        <v>2649</v>
      </c>
      <c r="T1982" t="s">
        <v>2649</v>
      </c>
      <c r="U1982" t="s">
        <v>2650</v>
      </c>
      <c r="V1982" t="s">
        <v>398</v>
      </c>
      <c r="W1982" s="393">
        <v>11000</v>
      </c>
      <c r="X1982" s="393">
        <v>2.81</v>
      </c>
      <c r="Y1982" s="393">
        <v>25.11</v>
      </c>
      <c r="Z1982" s="393">
        <v>11000</v>
      </c>
      <c r="AA1982">
        <v>0</v>
      </c>
      <c r="AB1982" s="400">
        <v>44624.786521793983</v>
      </c>
      <c r="AC1982" t="str">
        <f>+VLOOKUP(R1982,DRAFT!A:Q,17,0)</f>
        <v>1.2.2</v>
      </c>
    </row>
    <row r="1983" spans="1:29">
      <c r="A1983" t="s">
        <v>382</v>
      </c>
      <c r="B1983" t="s">
        <v>440</v>
      </c>
      <c r="C1983" t="s">
        <v>486</v>
      </c>
      <c r="D1983" t="s">
        <v>571</v>
      </c>
      <c r="E1983" t="s">
        <v>390</v>
      </c>
      <c r="F1983" t="s">
        <v>391</v>
      </c>
      <c r="G1983">
        <v>6200427</v>
      </c>
      <c r="H1983">
        <v>202202</v>
      </c>
      <c r="I1983" s="400">
        <v>44620</v>
      </c>
      <c r="J1983" t="s">
        <v>452</v>
      </c>
      <c r="K1983" t="s">
        <v>386</v>
      </c>
      <c r="M1983" t="s">
        <v>387</v>
      </c>
      <c r="O1983" t="s">
        <v>587</v>
      </c>
      <c r="P1983" t="s">
        <v>588</v>
      </c>
      <c r="Q1983" t="s">
        <v>396</v>
      </c>
      <c r="R1983" s="458">
        <v>2540509</v>
      </c>
      <c r="S1983" t="s">
        <v>626</v>
      </c>
      <c r="T1983" t="s">
        <v>626</v>
      </c>
      <c r="U1983" t="s">
        <v>2679</v>
      </c>
      <c r="V1983" t="s">
        <v>398</v>
      </c>
      <c r="W1983" s="393">
        <v>14000</v>
      </c>
      <c r="X1983" s="393">
        <v>3.58</v>
      </c>
      <c r="Y1983" s="393">
        <v>31.96</v>
      </c>
      <c r="Z1983" s="393">
        <v>14000</v>
      </c>
      <c r="AA1983">
        <v>0</v>
      </c>
      <c r="AB1983" s="400">
        <v>44627.628553437498</v>
      </c>
      <c r="AC1983" t="str">
        <f>+VLOOKUP(R1983,DRAFT!A:Q,17,0)</f>
        <v>1.2.2</v>
      </c>
    </row>
    <row r="1984" spans="1:29">
      <c r="A1984" t="s">
        <v>382</v>
      </c>
      <c r="B1984" t="s">
        <v>440</v>
      </c>
      <c r="C1984" t="s">
        <v>486</v>
      </c>
      <c r="D1984" t="s">
        <v>571</v>
      </c>
      <c r="E1984" t="s">
        <v>390</v>
      </c>
      <c r="F1984" t="s">
        <v>391</v>
      </c>
      <c r="G1984">
        <v>6200427</v>
      </c>
      <c r="H1984">
        <v>202202</v>
      </c>
      <c r="I1984" s="400">
        <v>44620</v>
      </c>
      <c r="J1984" t="s">
        <v>452</v>
      </c>
      <c r="K1984" t="s">
        <v>386</v>
      </c>
      <c r="M1984" t="s">
        <v>387</v>
      </c>
      <c r="O1984" t="s">
        <v>2736</v>
      </c>
      <c r="P1984" t="s">
        <v>2737</v>
      </c>
      <c r="Q1984" t="s">
        <v>396</v>
      </c>
      <c r="R1984" s="458">
        <v>2540509</v>
      </c>
      <c r="S1984" t="s">
        <v>2738</v>
      </c>
      <c r="T1984" t="s">
        <v>2738</v>
      </c>
      <c r="U1984" t="s">
        <v>2739</v>
      </c>
      <c r="V1984" t="s">
        <v>398</v>
      </c>
      <c r="W1984" s="393">
        <v>22000</v>
      </c>
      <c r="X1984" s="393">
        <v>5.62</v>
      </c>
      <c r="Y1984" s="393">
        <v>50.22</v>
      </c>
      <c r="Z1984" s="393">
        <v>22000</v>
      </c>
      <c r="AA1984">
        <v>0</v>
      </c>
      <c r="AB1984" s="400">
        <v>44627.628553437498</v>
      </c>
      <c r="AC1984" t="str">
        <f>+VLOOKUP(R1984,DRAFT!A:Q,17,0)</f>
        <v>1.2.2</v>
      </c>
    </row>
    <row r="1985" spans="1:29">
      <c r="A1985" t="s">
        <v>382</v>
      </c>
      <c r="B1985" t="s">
        <v>440</v>
      </c>
      <c r="C1985" t="s">
        <v>486</v>
      </c>
      <c r="D1985" t="s">
        <v>571</v>
      </c>
      <c r="E1985" t="s">
        <v>390</v>
      </c>
      <c r="F1985" t="s">
        <v>391</v>
      </c>
      <c r="G1985">
        <v>6200427</v>
      </c>
      <c r="H1985">
        <v>202202</v>
      </c>
      <c r="I1985" s="400">
        <v>44620</v>
      </c>
      <c r="J1985" t="s">
        <v>452</v>
      </c>
      <c r="K1985" t="s">
        <v>386</v>
      </c>
      <c r="M1985" t="s">
        <v>387</v>
      </c>
      <c r="O1985" t="s">
        <v>2067</v>
      </c>
      <c r="P1985" t="s">
        <v>2068</v>
      </c>
      <c r="Q1985" t="s">
        <v>396</v>
      </c>
      <c r="R1985" s="458">
        <v>2540509</v>
      </c>
      <c r="S1985" t="s">
        <v>2740</v>
      </c>
      <c r="T1985" t="s">
        <v>2740</v>
      </c>
      <c r="U1985" t="s">
        <v>2741</v>
      </c>
      <c r="V1985" t="s">
        <v>398</v>
      </c>
      <c r="W1985" s="393">
        <v>12000</v>
      </c>
      <c r="X1985" s="393">
        <v>3.07</v>
      </c>
      <c r="Y1985" s="393">
        <v>27.39</v>
      </c>
      <c r="Z1985" s="393">
        <v>12000</v>
      </c>
      <c r="AA1985">
        <v>0</v>
      </c>
      <c r="AB1985" s="400">
        <v>44627.628553437498</v>
      </c>
      <c r="AC1985" t="str">
        <f>+VLOOKUP(R1985,DRAFT!A:Q,17,0)</f>
        <v>1.2.2</v>
      </c>
    </row>
    <row r="1986" spans="1:29">
      <c r="A1986" t="s">
        <v>382</v>
      </c>
      <c r="B1986" t="s">
        <v>440</v>
      </c>
      <c r="C1986" t="s">
        <v>486</v>
      </c>
      <c r="D1986" t="s">
        <v>571</v>
      </c>
      <c r="E1986" t="s">
        <v>390</v>
      </c>
      <c r="F1986" t="s">
        <v>391</v>
      </c>
      <c r="G1986">
        <v>6200427</v>
      </c>
      <c r="H1986">
        <v>202202</v>
      </c>
      <c r="I1986" s="400">
        <v>44620</v>
      </c>
      <c r="J1986" t="s">
        <v>452</v>
      </c>
      <c r="K1986" t="s">
        <v>386</v>
      </c>
      <c r="M1986" t="s">
        <v>387</v>
      </c>
      <c r="O1986" t="s">
        <v>2076</v>
      </c>
      <c r="P1986" t="s">
        <v>2077</v>
      </c>
      <c r="Q1986" t="s">
        <v>396</v>
      </c>
      <c r="R1986" s="458">
        <v>2540509</v>
      </c>
      <c r="S1986" t="s">
        <v>2742</v>
      </c>
      <c r="T1986" t="s">
        <v>2742</v>
      </c>
      <c r="U1986" t="s">
        <v>2743</v>
      </c>
      <c r="V1986" t="s">
        <v>398</v>
      </c>
      <c r="W1986" s="393">
        <v>28704</v>
      </c>
      <c r="X1986" s="393">
        <v>7.33</v>
      </c>
      <c r="Y1986" s="393">
        <v>65.53</v>
      </c>
      <c r="Z1986" s="393">
        <v>28704</v>
      </c>
      <c r="AA1986">
        <v>0</v>
      </c>
      <c r="AB1986" s="400">
        <v>44627.628553437498</v>
      </c>
      <c r="AC1986" t="str">
        <f>+VLOOKUP(R1986,DRAFT!A:Q,17,0)</f>
        <v>1.2.2</v>
      </c>
    </row>
    <row r="1987" spans="1:29">
      <c r="A1987" t="s">
        <v>382</v>
      </c>
      <c r="B1987" t="s">
        <v>440</v>
      </c>
      <c r="C1987" t="s">
        <v>486</v>
      </c>
      <c r="D1987" t="s">
        <v>571</v>
      </c>
      <c r="E1987" t="s">
        <v>390</v>
      </c>
      <c r="F1987" t="s">
        <v>391</v>
      </c>
      <c r="G1987">
        <v>6200427</v>
      </c>
      <c r="H1987">
        <v>202202</v>
      </c>
      <c r="I1987" s="400">
        <v>44620</v>
      </c>
      <c r="J1987" t="s">
        <v>452</v>
      </c>
      <c r="K1987" t="s">
        <v>386</v>
      </c>
      <c r="M1987" t="s">
        <v>387</v>
      </c>
      <c r="O1987" t="s">
        <v>2067</v>
      </c>
      <c r="P1987" t="s">
        <v>2068</v>
      </c>
      <c r="Q1987" t="s">
        <v>396</v>
      </c>
      <c r="R1987" s="458">
        <v>2540509</v>
      </c>
      <c r="S1987" t="s">
        <v>2744</v>
      </c>
      <c r="T1987" t="s">
        <v>2744</v>
      </c>
      <c r="U1987" t="s">
        <v>2745</v>
      </c>
      <c r="V1987" t="s">
        <v>398</v>
      </c>
      <c r="W1987" s="393">
        <v>10600</v>
      </c>
      <c r="X1987" s="393">
        <v>2.71</v>
      </c>
      <c r="Y1987" s="393">
        <v>24.2</v>
      </c>
      <c r="Z1987" s="393">
        <v>10600</v>
      </c>
      <c r="AA1987">
        <v>0</v>
      </c>
      <c r="AB1987" s="400">
        <v>44627.628553437498</v>
      </c>
      <c r="AC1987" t="str">
        <f>+VLOOKUP(R1987,DRAFT!A:Q,17,0)</f>
        <v>1.2.2</v>
      </c>
    </row>
    <row r="1988" spans="1:29">
      <c r="A1988" t="s">
        <v>382</v>
      </c>
      <c r="B1988" t="s">
        <v>440</v>
      </c>
      <c r="C1988" t="s">
        <v>486</v>
      </c>
      <c r="D1988" t="s">
        <v>571</v>
      </c>
      <c r="E1988" t="s">
        <v>390</v>
      </c>
      <c r="F1988" t="s">
        <v>391</v>
      </c>
      <c r="G1988">
        <v>6200427</v>
      </c>
      <c r="H1988">
        <v>202202</v>
      </c>
      <c r="I1988" s="400">
        <v>44620</v>
      </c>
      <c r="J1988" t="s">
        <v>452</v>
      </c>
      <c r="K1988" t="s">
        <v>386</v>
      </c>
      <c r="M1988" t="s">
        <v>387</v>
      </c>
      <c r="O1988" t="s">
        <v>906</v>
      </c>
      <c r="P1988" t="s">
        <v>907</v>
      </c>
      <c r="Q1988" t="s">
        <v>396</v>
      </c>
      <c r="R1988" s="458">
        <v>2540509</v>
      </c>
      <c r="S1988" t="s">
        <v>2746</v>
      </c>
      <c r="T1988" t="s">
        <v>2746</v>
      </c>
      <c r="U1988" t="s">
        <v>2747</v>
      </c>
      <c r="V1988" t="s">
        <v>398</v>
      </c>
      <c r="W1988" s="393">
        <v>16667</v>
      </c>
      <c r="X1988" s="393">
        <v>4.26</v>
      </c>
      <c r="Y1988" s="393">
        <v>38.049999999999997</v>
      </c>
      <c r="Z1988" s="393">
        <v>16667</v>
      </c>
      <c r="AA1988">
        <v>0</v>
      </c>
      <c r="AB1988" s="400">
        <v>44627.628553437498</v>
      </c>
      <c r="AC1988" t="str">
        <f>+VLOOKUP(R1988,DRAFT!A:Q,17,0)</f>
        <v>1.2.2</v>
      </c>
    </row>
    <row r="1989" spans="1:29">
      <c r="A1989" t="s">
        <v>382</v>
      </c>
      <c r="B1989" t="s">
        <v>440</v>
      </c>
      <c r="C1989" t="s">
        <v>486</v>
      </c>
      <c r="D1989" t="s">
        <v>571</v>
      </c>
      <c r="E1989" t="s">
        <v>390</v>
      </c>
      <c r="F1989" t="s">
        <v>391</v>
      </c>
      <c r="G1989">
        <v>6200427</v>
      </c>
      <c r="H1989">
        <v>202202</v>
      </c>
      <c r="I1989" s="400">
        <v>44620</v>
      </c>
      <c r="J1989" t="s">
        <v>452</v>
      </c>
      <c r="K1989" t="s">
        <v>386</v>
      </c>
      <c r="M1989" t="s">
        <v>387</v>
      </c>
      <c r="O1989" t="s">
        <v>1001</v>
      </c>
      <c r="P1989" t="s">
        <v>1002</v>
      </c>
      <c r="Q1989" t="s">
        <v>396</v>
      </c>
      <c r="R1989" s="458">
        <v>2540509</v>
      </c>
      <c r="S1989" t="s">
        <v>2748</v>
      </c>
      <c r="T1989" t="s">
        <v>2748</v>
      </c>
      <c r="U1989" t="s">
        <v>2749</v>
      </c>
      <c r="V1989" t="s">
        <v>398</v>
      </c>
      <c r="W1989" s="393">
        <v>9500</v>
      </c>
      <c r="X1989" s="393">
        <v>2.4300000000000002</v>
      </c>
      <c r="Y1989" s="393">
        <v>21.69</v>
      </c>
      <c r="Z1989" s="393">
        <v>9500</v>
      </c>
      <c r="AA1989">
        <v>0</v>
      </c>
      <c r="AB1989" s="400">
        <v>44627.628553437498</v>
      </c>
      <c r="AC1989" t="str">
        <f>+VLOOKUP(R1989,DRAFT!A:Q,17,0)</f>
        <v>1.2.2</v>
      </c>
    </row>
    <row r="1990" spans="1:29">
      <c r="A1990" t="s">
        <v>382</v>
      </c>
      <c r="B1990" t="s">
        <v>440</v>
      </c>
      <c r="C1990" t="s">
        <v>486</v>
      </c>
      <c r="D1990" t="s">
        <v>571</v>
      </c>
      <c r="E1990" t="s">
        <v>390</v>
      </c>
      <c r="F1990" t="s">
        <v>391</v>
      </c>
      <c r="G1990">
        <v>6200427</v>
      </c>
      <c r="H1990">
        <v>202202</v>
      </c>
      <c r="I1990" s="400">
        <v>44620</v>
      </c>
      <c r="J1990" t="s">
        <v>452</v>
      </c>
      <c r="K1990" t="s">
        <v>386</v>
      </c>
      <c r="M1990" t="s">
        <v>387</v>
      </c>
      <c r="O1990" t="s">
        <v>1001</v>
      </c>
      <c r="P1990" t="s">
        <v>1002</v>
      </c>
      <c r="Q1990" t="s">
        <v>396</v>
      </c>
      <c r="R1990" s="458">
        <v>2540509</v>
      </c>
      <c r="S1990" t="s">
        <v>2750</v>
      </c>
      <c r="T1990" t="s">
        <v>2750</v>
      </c>
      <c r="U1990" t="s">
        <v>2751</v>
      </c>
      <c r="V1990" t="s">
        <v>398</v>
      </c>
      <c r="W1990" s="393">
        <v>9500</v>
      </c>
      <c r="X1990" s="393">
        <v>2.4300000000000002</v>
      </c>
      <c r="Y1990" s="393">
        <v>21.69</v>
      </c>
      <c r="Z1990" s="393">
        <v>9500</v>
      </c>
      <c r="AA1990">
        <v>0</v>
      </c>
      <c r="AB1990" s="400">
        <v>44627.628553437498</v>
      </c>
      <c r="AC1990" t="str">
        <f>+VLOOKUP(R1990,DRAFT!A:Q,17,0)</f>
        <v>1.2.2</v>
      </c>
    </row>
    <row r="1991" spans="1:29">
      <c r="A1991" t="s">
        <v>382</v>
      </c>
      <c r="B1991" t="s">
        <v>440</v>
      </c>
      <c r="C1991" t="s">
        <v>486</v>
      </c>
      <c r="D1991" t="s">
        <v>571</v>
      </c>
      <c r="E1991" t="s">
        <v>390</v>
      </c>
      <c r="F1991" t="s">
        <v>391</v>
      </c>
      <c r="G1991">
        <v>6200427</v>
      </c>
      <c r="H1991">
        <v>202202</v>
      </c>
      <c r="I1991" s="400">
        <v>44620</v>
      </c>
      <c r="J1991" t="s">
        <v>452</v>
      </c>
      <c r="K1991" t="s">
        <v>386</v>
      </c>
      <c r="M1991" t="s">
        <v>387</v>
      </c>
      <c r="O1991" t="s">
        <v>619</v>
      </c>
      <c r="P1991" t="s">
        <v>620</v>
      </c>
      <c r="Q1991" t="s">
        <v>396</v>
      </c>
      <c r="R1991" s="458">
        <v>2540509</v>
      </c>
      <c r="S1991" t="s">
        <v>2752</v>
      </c>
      <c r="T1991" t="s">
        <v>2752</v>
      </c>
      <c r="U1991" t="s">
        <v>2753</v>
      </c>
      <c r="V1991" t="s">
        <v>398</v>
      </c>
      <c r="W1991" s="393">
        <v>3000</v>
      </c>
      <c r="X1991" s="393">
        <v>0.77</v>
      </c>
      <c r="Y1991" s="393">
        <v>6.85</v>
      </c>
      <c r="Z1991" s="393">
        <v>3000</v>
      </c>
      <c r="AA1991">
        <v>0</v>
      </c>
      <c r="AB1991" s="400">
        <v>44627.628553437498</v>
      </c>
      <c r="AC1991" t="str">
        <f>+VLOOKUP(R1991,DRAFT!A:Q,17,0)</f>
        <v>1.2.2</v>
      </c>
    </row>
    <row r="1992" spans="1:29">
      <c r="A1992" t="s">
        <v>382</v>
      </c>
      <c r="B1992" t="s">
        <v>440</v>
      </c>
      <c r="C1992" t="s">
        <v>486</v>
      </c>
      <c r="D1992" t="s">
        <v>571</v>
      </c>
      <c r="E1992" t="s">
        <v>390</v>
      </c>
      <c r="F1992" t="s">
        <v>391</v>
      </c>
      <c r="G1992">
        <v>6200427</v>
      </c>
      <c r="H1992">
        <v>202202</v>
      </c>
      <c r="I1992" s="400">
        <v>44620</v>
      </c>
      <c r="J1992" t="s">
        <v>452</v>
      </c>
      <c r="K1992" t="s">
        <v>386</v>
      </c>
      <c r="M1992" t="s">
        <v>387</v>
      </c>
      <c r="O1992" t="s">
        <v>619</v>
      </c>
      <c r="P1992" t="s">
        <v>620</v>
      </c>
      <c r="Q1992" t="s">
        <v>396</v>
      </c>
      <c r="R1992" s="458">
        <v>2540509</v>
      </c>
      <c r="S1992" t="s">
        <v>2754</v>
      </c>
      <c r="T1992" t="s">
        <v>2754</v>
      </c>
      <c r="U1992" t="s">
        <v>2755</v>
      </c>
      <c r="V1992" t="s">
        <v>398</v>
      </c>
      <c r="W1992" s="393">
        <v>3000</v>
      </c>
      <c r="X1992" s="393">
        <v>0.77</v>
      </c>
      <c r="Y1992" s="393">
        <v>6.85</v>
      </c>
      <c r="Z1992" s="393">
        <v>3000</v>
      </c>
      <c r="AA1992">
        <v>0</v>
      </c>
      <c r="AB1992" s="400">
        <v>44627.628553437498</v>
      </c>
      <c r="AC1992" t="str">
        <f>+VLOOKUP(R1992,DRAFT!A:Q,17,0)</f>
        <v>1.2.2</v>
      </c>
    </row>
    <row r="1993" spans="1:29">
      <c r="A1993" t="s">
        <v>382</v>
      </c>
      <c r="B1993" t="s">
        <v>440</v>
      </c>
      <c r="C1993" t="s">
        <v>486</v>
      </c>
      <c r="D1993" t="s">
        <v>571</v>
      </c>
      <c r="E1993" t="s">
        <v>390</v>
      </c>
      <c r="F1993" t="s">
        <v>391</v>
      </c>
      <c r="G1993">
        <v>6200528</v>
      </c>
      <c r="H1993">
        <v>202202</v>
      </c>
      <c r="I1993" s="400">
        <v>44620</v>
      </c>
      <c r="J1993" t="s">
        <v>452</v>
      </c>
      <c r="K1993" t="s">
        <v>386</v>
      </c>
      <c r="M1993" t="s">
        <v>387</v>
      </c>
      <c r="O1993" t="s">
        <v>849</v>
      </c>
      <c r="P1993" t="s">
        <v>850</v>
      </c>
      <c r="Q1993" t="s">
        <v>396</v>
      </c>
      <c r="R1993" s="458">
        <v>2540509</v>
      </c>
      <c r="S1993" t="s">
        <v>2781</v>
      </c>
      <c r="U1993" t="s">
        <v>2782</v>
      </c>
      <c r="V1993" t="s">
        <v>398</v>
      </c>
      <c r="W1993" s="393">
        <v>260000</v>
      </c>
      <c r="X1993" s="393">
        <v>66.430000000000007</v>
      </c>
      <c r="Y1993" s="393">
        <v>593.54</v>
      </c>
      <c r="Z1993" s="393">
        <v>260000</v>
      </c>
      <c r="AA1993">
        <v>318</v>
      </c>
      <c r="AB1993" s="400">
        <v>44629.810294791663</v>
      </c>
      <c r="AC1993" t="str">
        <f>+VLOOKUP(R1993,DRAFT!A:Q,17,0)</f>
        <v>1.2.2</v>
      </c>
    </row>
    <row r="1994" spans="1:29">
      <c r="A1994" t="s">
        <v>382</v>
      </c>
      <c r="B1994" t="s">
        <v>440</v>
      </c>
      <c r="C1994" t="s">
        <v>486</v>
      </c>
      <c r="D1994" t="s">
        <v>571</v>
      </c>
      <c r="E1994" t="s">
        <v>390</v>
      </c>
      <c r="F1994" t="s">
        <v>391</v>
      </c>
      <c r="G1994">
        <v>6200528</v>
      </c>
      <c r="H1994">
        <v>202202</v>
      </c>
      <c r="I1994" s="400">
        <v>44620</v>
      </c>
      <c r="J1994" t="s">
        <v>452</v>
      </c>
      <c r="K1994" t="s">
        <v>386</v>
      </c>
      <c r="M1994" t="s">
        <v>387</v>
      </c>
      <c r="O1994" t="s">
        <v>849</v>
      </c>
      <c r="P1994" t="s">
        <v>850</v>
      </c>
      <c r="Q1994" t="s">
        <v>396</v>
      </c>
      <c r="R1994" s="458">
        <v>2540509</v>
      </c>
      <c r="S1994" t="s">
        <v>2783</v>
      </c>
      <c r="U1994" t="s">
        <v>2784</v>
      </c>
      <c r="V1994" t="s">
        <v>398</v>
      </c>
      <c r="W1994" s="393">
        <v>260000</v>
      </c>
      <c r="X1994" s="393">
        <v>66.430000000000007</v>
      </c>
      <c r="Y1994" s="393">
        <v>593.54</v>
      </c>
      <c r="Z1994" s="393">
        <v>260000</v>
      </c>
      <c r="AA1994">
        <v>318</v>
      </c>
      <c r="AB1994" s="400">
        <v>44629.810294988427</v>
      </c>
      <c r="AC1994" t="str">
        <f>+VLOOKUP(R1994,DRAFT!A:Q,17,0)</f>
        <v>1.2.2</v>
      </c>
    </row>
    <row r="1995" spans="1:29">
      <c r="A1995" t="s">
        <v>382</v>
      </c>
      <c r="B1995" t="s">
        <v>440</v>
      </c>
      <c r="C1995" t="s">
        <v>486</v>
      </c>
      <c r="D1995" t="s">
        <v>571</v>
      </c>
      <c r="E1995" t="s">
        <v>390</v>
      </c>
      <c r="F1995" t="s">
        <v>391</v>
      </c>
      <c r="G1995">
        <v>6200512</v>
      </c>
      <c r="H1995">
        <v>202202</v>
      </c>
      <c r="I1995" s="400">
        <v>44620</v>
      </c>
      <c r="J1995">
        <v>122536</v>
      </c>
      <c r="K1995" t="s">
        <v>386</v>
      </c>
      <c r="M1995" t="s">
        <v>387</v>
      </c>
      <c r="O1995" t="s">
        <v>849</v>
      </c>
      <c r="P1995" t="s">
        <v>850</v>
      </c>
      <c r="Q1995" t="s">
        <v>396</v>
      </c>
      <c r="R1995" s="458">
        <v>2540509</v>
      </c>
      <c r="S1995" t="s">
        <v>2785</v>
      </c>
      <c r="U1995" t="s">
        <v>2786</v>
      </c>
      <c r="V1995" t="s">
        <v>398</v>
      </c>
      <c r="W1995" s="393">
        <v>65000</v>
      </c>
      <c r="X1995" s="393">
        <v>16.61</v>
      </c>
      <c r="Y1995" s="393">
        <v>148.38</v>
      </c>
      <c r="Z1995" s="393">
        <v>65000</v>
      </c>
      <c r="AA1995">
        <v>0</v>
      </c>
      <c r="AB1995" s="400">
        <v>44629.762532523149</v>
      </c>
      <c r="AC1995" t="str">
        <f>+VLOOKUP(R1995,DRAFT!A:Q,17,0)</f>
        <v>1.2.2</v>
      </c>
    </row>
    <row r="1996" spans="1:29">
      <c r="A1996" t="s">
        <v>382</v>
      </c>
      <c r="B1996" t="s">
        <v>440</v>
      </c>
      <c r="C1996" t="s">
        <v>486</v>
      </c>
      <c r="D1996" t="s">
        <v>571</v>
      </c>
      <c r="E1996" t="s">
        <v>390</v>
      </c>
      <c r="F1996" t="s">
        <v>391</v>
      </c>
      <c r="G1996">
        <v>6200336</v>
      </c>
      <c r="H1996">
        <v>202202</v>
      </c>
      <c r="I1996" s="400">
        <v>44620</v>
      </c>
      <c r="J1996" t="s">
        <v>452</v>
      </c>
      <c r="K1996" t="s">
        <v>386</v>
      </c>
      <c r="M1996" t="s">
        <v>387</v>
      </c>
      <c r="O1996" t="s">
        <v>613</v>
      </c>
      <c r="P1996" t="s">
        <v>614</v>
      </c>
      <c r="Q1996" t="s">
        <v>396</v>
      </c>
      <c r="R1996" s="458">
        <v>2540511</v>
      </c>
      <c r="S1996" t="s">
        <v>2676</v>
      </c>
      <c r="T1996" t="s">
        <v>2676</v>
      </c>
      <c r="U1996" t="s">
        <v>2677</v>
      </c>
      <c r="V1996" t="s">
        <v>398</v>
      </c>
      <c r="W1996" s="393">
        <v>65011</v>
      </c>
      <c r="X1996" s="393">
        <v>16.61</v>
      </c>
      <c r="Y1996" s="393">
        <v>148.41</v>
      </c>
      <c r="Z1996" s="393">
        <v>65011</v>
      </c>
      <c r="AA1996">
        <v>0</v>
      </c>
      <c r="AB1996" s="400">
        <v>44624.786521793983</v>
      </c>
      <c r="AC1996" t="str">
        <f>+VLOOKUP(R1996,DRAFT!A:Q,17,0)</f>
        <v>1.2.1</v>
      </c>
    </row>
    <row r="1997" spans="1:29">
      <c r="A1997" t="s">
        <v>382</v>
      </c>
      <c r="B1997" t="s">
        <v>440</v>
      </c>
      <c r="C1997" t="s">
        <v>486</v>
      </c>
      <c r="D1997" t="s">
        <v>571</v>
      </c>
      <c r="E1997" t="s">
        <v>390</v>
      </c>
      <c r="F1997" t="s">
        <v>391</v>
      </c>
      <c r="G1997">
        <v>6200336</v>
      </c>
      <c r="H1997">
        <v>202202</v>
      </c>
      <c r="I1997" s="400">
        <v>44620</v>
      </c>
      <c r="J1997" t="s">
        <v>452</v>
      </c>
      <c r="K1997" t="s">
        <v>386</v>
      </c>
      <c r="M1997" t="s">
        <v>387</v>
      </c>
      <c r="O1997" t="s">
        <v>2065</v>
      </c>
      <c r="P1997" t="s">
        <v>2066</v>
      </c>
      <c r="Q1997" t="s">
        <v>396</v>
      </c>
      <c r="R1997" s="458">
        <v>2540511</v>
      </c>
      <c r="S1997" t="s">
        <v>939</v>
      </c>
      <c r="T1997" t="s">
        <v>939</v>
      </c>
      <c r="U1997" t="s">
        <v>2678</v>
      </c>
      <c r="V1997" t="s">
        <v>398</v>
      </c>
      <c r="W1997" s="393">
        <v>12000</v>
      </c>
      <c r="X1997" s="393">
        <v>3.07</v>
      </c>
      <c r="Y1997" s="393">
        <v>27.39</v>
      </c>
      <c r="Z1997" s="393">
        <v>12000</v>
      </c>
      <c r="AA1997">
        <v>0</v>
      </c>
      <c r="AB1997" s="400">
        <v>44624.786521793983</v>
      </c>
      <c r="AC1997" t="str">
        <f>+VLOOKUP(R1997,DRAFT!A:Q,17,0)</f>
        <v>1.2.1</v>
      </c>
    </row>
    <row r="1998" spans="1:29">
      <c r="A1998" t="s">
        <v>382</v>
      </c>
      <c r="B1998" t="s">
        <v>440</v>
      </c>
      <c r="C1998" t="s">
        <v>486</v>
      </c>
      <c r="D1998" t="s">
        <v>571</v>
      </c>
      <c r="E1998" t="s">
        <v>390</v>
      </c>
      <c r="F1998" t="s">
        <v>391</v>
      </c>
      <c r="G1998">
        <v>6200336</v>
      </c>
      <c r="H1998">
        <v>202202</v>
      </c>
      <c r="I1998" s="400">
        <v>44620</v>
      </c>
      <c r="J1998" t="s">
        <v>452</v>
      </c>
      <c r="K1998" t="s">
        <v>386</v>
      </c>
      <c r="M1998" t="s">
        <v>387</v>
      </c>
      <c r="O1998" t="s">
        <v>2065</v>
      </c>
      <c r="P1998" t="s">
        <v>2066</v>
      </c>
      <c r="Q1998" t="s">
        <v>396</v>
      </c>
      <c r="R1998" s="458">
        <v>2540509</v>
      </c>
      <c r="S1998" t="s">
        <v>939</v>
      </c>
      <c r="T1998" t="s">
        <v>939</v>
      </c>
      <c r="U1998" t="s">
        <v>2651</v>
      </c>
      <c r="V1998" t="s">
        <v>398</v>
      </c>
      <c r="W1998" s="393">
        <v>12000</v>
      </c>
      <c r="X1998" s="393">
        <v>3.07</v>
      </c>
      <c r="Y1998" s="393">
        <v>27.39</v>
      </c>
      <c r="Z1998" s="393">
        <v>12000</v>
      </c>
      <c r="AA1998">
        <v>0</v>
      </c>
      <c r="AB1998" s="400">
        <v>44624.786521793983</v>
      </c>
      <c r="AC1998" t="str">
        <f>+VLOOKUP(R1998,DRAFT!A:Q,17,0)</f>
        <v>1.2.2</v>
      </c>
    </row>
    <row r="1999" spans="1:29">
      <c r="A1999" t="s">
        <v>382</v>
      </c>
      <c r="B1999" t="s">
        <v>440</v>
      </c>
      <c r="C1999" t="s">
        <v>486</v>
      </c>
      <c r="D1999" t="s">
        <v>571</v>
      </c>
      <c r="E1999" t="s">
        <v>390</v>
      </c>
      <c r="F1999" t="s">
        <v>391</v>
      </c>
      <c r="G1999">
        <v>6200336</v>
      </c>
      <c r="H1999">
        <v>202202</v>
      </c>
      <c r="I1999" s="400">
        <v>44620</v>
      </c>
      <c r="J1999" t="s">
        <v>452</v>
      </c>
      <c r="K1999" t="s">
        <v>386</v>
      </c>
      <c r="M1999" t="s">
        <v>387</v>
      </c>
      <c r="O1999" t="s">
        <v>613</v>
      </c>
      <c r="P1999" t="s">
        <v>614</v>
      </c>
      <c r="Q1999" t="s">
        <v>396</v>
      </c>
      <c r="R1999" s="458">
        <v>2540509</v>
      </c>
      <c r="S1999" t="s">
        <v>2652</v>
      </c>
      <c r="T1999" t="s">
        <v>2652</v>
      </c>
      <c r="U1999" t="s">
        <v>2653</v>
      </c>
      <c r="V1999" t="s">
        <v>398</v>
      </c>
      <c r="W1999" s="393">
        <v>38320</v>
      </c>
      <c r="X1999" s="393">
        <v>9.7899999999999991</v>
      </c>
      <c r="Y1999" s="393">
        <v>87.48</v>
      </c>
      <c r="Z1999" s="393">
        <v>38320</v>
      </c>
      <c r="AA1999">
        <v>0</v>
      </c>
      <c r="AB1999" s="400">
        <v>44624.786521793983</v>
      </c>
      <c r="AC1999" t="str">
        <f>+VLOOKUP(R1999,DRAFT!A:Q,17,0)</f>
        <v>1.2.2</v>
      </c>
    </row>
    <row r="2000" spans="1:29">
      <c r="A2000" t="s">
        <v>382</v>
      </c>
      <c r="B2000" t="s">
        <v>440</v>
      </c>
      <c r="C2000" t="s">
        <v>486</v>
      </c>
      <c r="D2000" t="s">
        <v>571</v>
      </c>
      <c r="E2000" t="s">
        <v>390</v>
      </c>
      <c r="F2000" t="s">
        <v>391</v>
      </c>
      <c r="G2000">
        <v>6200336</v>
      </c>
      <c r="H2000">
        <v>202202</v>
      </c>
      <c r="I2000" s="400">
        <v>44620</v>
      </c>
      <c r="J2000" t="s">
        <v>452</v>
      </c>
      <c r="K2000" t="s">
        <v>386</v>
      </c>
      <c r="M2000" t="s">
        <v>387</v>
      </c>
      <c r="O2000" t="s">
        <v>599</v>
      </c>
      <c r="P2000" t="s">
        <v>600</v>
      </c>
      <c r="Q2000" t="s">
        <v>396</v>
      </c>
      <c r="R2000" s="458">
        <v>2540509</v>
      </c>
      <c r="S2000" t="s">
        <v>2654</v>
      </c>
      <c r="T2000" t="s">
        <v>2654</v>
      </c>
      <c r="U2000" t="s">
        <v>2655</v>
      </c>
      <c r="V2000" t="s">
        <v>398</v>
      </c>
      <c r="W2000" s="393">
        <v>80000</v>
      </c>
      <c r="X2000" s="393">
        <v>20.440000000000001</v>
      </c>
      <c r="Y2000" s="393">
        <v>182.63</v>
      </c>
      <c r="Z2000" s="393">
        <v>80000</v>
      </c>
      <c r="AA2000">
        <v>0</v>
      </c>
      <c r="AB2000" s="400">
        <v>44624.786521793983</v>
      </c>
      <c r="AC2000" t="str">
        <f>+VLOOKUP(R2000,DRAFT!A:Q,17,0)</f>
        <v>1.2.2</v>
      </c>
    </row>
    <row r="2001" spans="1:29">
      <c r="A2001" t="s">
        <v>382</v>
      </c>
      <c r="B2001" t="s">
        <v>440</v>
      </c>
      <c r="C2001" t="s">
        <v>486</v>
      </c>
      <c r="D2001" t="s">
        <v>571</v>
      </c>
      <c r="E2001" t="s">
        <v>390</v>
      </c>
      <c r="F2001" t="s">
        <v>391</v>
      </c>
      <c r="G2001">
        <v>6200336</v>
      </c>
      <c r="H2001">
        <v>202202</v>
      </c>
      <c r="I2001" s="400">
        <v>44620</v>
      </c>
      <c r="J2001" t="s">
        <v>452</v>
      </c>
      <c r="K2001" t="s">
        <v>386</v>
      </c>
      <c r="M2001" t="s">
        <v>387</v>
      </c>
      <c r="O2001" t="s">
        <v>794</v>
      </c>
      <c r="P2001" t="s">
        <v>795</v>
      </c>
      <c r="Q2001" t="s">
        <v>396</v>
      </c>
      <c r="R2001" s="458">
        <v>2540511</v>
      </c>
      <c r="S2001" t="s">
        <v>2656</v>
      </c>
      <c r="T2001" t="s">
        <v>2656</v>
      </c>
      <c r="U2001" t="s">
        <v>2657</v>
      </c>
      <c r="V2001" t="s">
        <v>398</v>
      </c>
      <c r="W2001" s="393">
        <v>12000</v>
      </c>
      <c r="X2001" s="393">
        <v>3.07</v>
      </c>
      <c r="Y2001" s="393">
        <v>27.39</v>
      </c>
      <c r="Z2001" s="393">
        <v>12000</v>
      </c>
      <c r="AA2001">
        <v>0</v>
      </c>
      <c r="AB2001" s="400">
        <v>44624.786521793983</v>
      </c>
      <c r="AC2001" t="str">
        <f>+VLOOKUP(R2001,DRAFT!A:Q,17,0)</f>
        <v>1.2.1</v>
      </c>
    </row>
    <row r="2002" spans="1:29">
      <c r="A2002" t="s">
        <v>382</v>
      </c>
      <c r="B2002" t="s">
        <v>440</v>
      </c>
      <c r="C2002" t="s">
        <v>486</v>
      </c>
      <c r="D2002" t="s">
        <v>571</v>
      </c>
      <c r="E2002" t="s">
        <v>390</v>
      </c>
      <c r="F2002" t="s">
        <v>391</v>
      </c>
      <c r="G2002">
        <v>6200336</v>
      </c>
      <c r="H2002">
        <v>202202</v>
      </c>
      <c r="I2002" s="400">
        <v>44620</v>
      </c>
      <c r="J2002" t="s">
        <v>452</v>
      </c>
      <c r="K2002" t="s">
        <v>386</v>
      </c>
      <c r="M2002" t="s">
        <v>387</v>
      </c>
      <c r="O2002" t="s">
        <v>2639</v>
      </c>
      <c r="P2002" t="s">
        <v>2640</v>
      </c>
      <c r="Q2002" t="s">
        <v>396</v>
      </c>
      <c r="R2002" s="458">
        <v>2540511</v>
      </c>
      <c r="S2002" t="s">
        <v>2658</v>
      </c>
      <c r="T2002" t="s">
        <v>2658</v>
      </c>
      <c r="U2002" t="s">
        <v>2659</v>
      </c>
      <c r="V2002" t="s">
        <v>398</v>
      </c>
      <c r="W2002" s="393">
        <v>28000</v>
      </c>
      <c r="X2002" s="393">
        <v>7.15</v>
      </c>
      <c r="Y2002" s="393">
        <v>63.92</v>
      </c>
      <c r="Z2002" s="393">
        <v>28000</v>
      </c>
      <c r="AA2002">
        <v>0</v>
      </c>
      <c r="AB2002" s="400">
        <v>44624.786521793983</v>
      </c>
      <c r="AC2002" t="str">
        <f>+VLOOKUP(R2002,DRAFT!A:Q,17,0)</f>
        <v>1.2.1</v>
      </c>
    </row>
    <row r="2003" spans="1:29">
      <c r="A2003" t="s">
        <v>382</v>
      </c>
      <c r="B2003" t="s">
        <v>440</v>
      </c>
      <c r="C2003" t="s">
        <v>486</v>
      </c>
      <c r="D2003" t="s">
        <v>571</v>
      </c>
      <c r="E2003" t="s">
        <v>390</v>
      </c>
      <c r="F2003" t="s">
        <v>391</v>
      </c>
      <c r="G2003">
        <v>6200336</v>
      </c>
      <c r="H2003">
        <v>202202</v>
      </c>
      <c r="I2003" s="400">
        <v>44620</v>
      </c>
      <c r="J2003" t="s">
        <v>452</v>
      </c>
      <c r="K2003" t="s">
        <v>386</v>
      </c>
      <c r="M2003" t="s">
        <v>387</v>
      </c>
      <c r="O2003" t="s">
        <v>2067</v>
      </c>
      <c r="P2003" t="s">
        <v>2068</v>
      </c>
      <c r="Q2003" t="s">
        <v>396</v>
      </c>
      <c r="R2003" s="458">
        <v>2540511</v>
      </c>
      <c r="S2003" t="s">
        <v>2660</v>
      </c>
      <c r="T2003" t="s">
        <v>2660</v>
      </c>
      <c r="U2003" t="s">
        <v>2661</v>
      </c>
      <c r="V2003" t="s">
        <v>398</v>
      </c>
      <c r="W2003" s="393">
        <v>6000</v>
      </c>
      <c r="X2003" s="393">
        <v>1.53</v>
      </c>
      <c r="Y2003" s="393">
        <v>13.7</v>
      </c>
      <c r="Z2003" s="393">
        <v>6000</v>
      </c>
      <c r="AA2003">
        <v>0</v>
      </c>
      <c r="AB2003" s="400">
        <v>44624.786521793983</v>
      </c>
      <c r="AC2003" t="str">
        <f>+VLOOKUP(R2003,DRAFT!A:Q,17,0)</f>
        <v>1.2.1</v>
      </c>
    </row>
    <row r="2004" spans="1:29">
      <c r="A2004" t="s">
        <v>382</v>
      </c>
      <c r="B2004" t="s">
        <v>440</v>
      </c>
      <c r="C2004" t="s">
        <v>486</v>
      </c>
      <c r="D2004" t="s">
        <v>571</v>
      </c>
      <c r="E2004" t="s">
        <v>390</v>
      </c>
      <c r="F2004" t="s">
        <v>391</v>
      </c>
      <c r="G2004">
        <v>6200336</v>
      </c>
      <c r="H2004">
        <v>202202</v>
      </c>
      <c r="I2004" s="400">
        <v>44620</v>
      </c>
      <c r="J2004" t="s">
        <v>452</v>
      </c>
      <c r="K2004" t="s">
        <v>386</v>
      </c>
      <c r="M2004" t="s">
        <v>387</v>
      </c>
      <c r="O2004" t="s">
        <v>2662</v>
      </c>
      <c r="P2004" t="s">
        <v>2663</v>
      </c>
      <c r="Q2004" t="s">
        <v>396</v>
      </c>
      <c r="R2004" s="458">
        <v>2540511</v>
      </c>
      <c r="S2004" t="s">
        <v>2664</v>
      </c>
      <c r="T2004" t="s">
        <v>2664</v>
      </c>
      <c r="U2004" t="s">
        <v>2665</v>
      </c>
      <c r="V2004" t="s">
        <v>398</v>
      </c>
      <c r="W2004" s="393">
        <v>26000</v>
      </c>
      <c r="X2004" s="393">
        <v>6.64</v>
      </c>
      <c r="Y2004" s="393">
        <v>59.35</v>
      </c>
      <c r="Z2004" s="393">
        <v>26000</v>
      </c>
      <c r="AA2004">
        <v>0</v>
      </c>
      <c r="AB2004" s="400">
        <v>44624.786521793983</v>
      </c>
      <c r="AC2004" t="str">
        <f>+VLOOKUP(R2004,DRAFT!A:Q,17,0)</f>
        <v>1.2.1</v>
      </c>
    </row>
    <row r="2005" spans="1:29">
      <c r="A2005" t="s">
        <v>382</v>
      </c>
      <c r="B2005" t="s">
        <v>440</v>
      </c>
      <c r="C2005" t="s">
        <v>486</v>
      </c>
      <c r="D2005" t="s">
        <v>571</v>
      </c>
      <c r="E2005" t="s">
        <v>390</v>
      </c>
      <c r="F2005" t="s">
        <v>391</v>
      </c>
      <c r="G2005">
        <v>6200336</v>
      </c>
      <c r="H2005">
        <v>202202</v>
      </c>
      <c r="I2005" s="400">
        <v>44620</v>
      </c>
      <c r="J2005" t="s">
        <v>452</v>
      </c>
      <c r="K2005" t="s">
        <v>386</v>
      </c>
      <c r="M2005" t="s">
        <v>387</v>
      </c>
      <c r="O2005" t="s">
        <v>2067</v>
      </c>
      <c r="P2005" t="s">
        <v>2068</v>
      </c>
      <c r="Q2005" t="s">
        <v>396</v>
      </c>
      <c r="R2005" s="458">
        <v>2540511</v>
      </c>
      <c r="S2005" t="s">
        <v>2666</v>
      </c>
      <c r="T2005" t="s">
        <v>2666</v>
      </c>
      <c r="U2005" t="s">
        <v>2667</v>
      </c>
      <c r="V2005" t="s">
        <v>398</v>
      </c>
      <c r="W2005" s="393">
        <v>10800</v>
      </c>
      <c r="X2005" s="393">
        <v>2.76</v>
      </c>
      <c r="Y2005" s="393">
        <v>24.65</v>
      </c>
      <c r="Z2005" s="393">
        <v>10800</v>
      </c>
      <c r="AA2005">
        <v>0</v>
      </c>
      <c r="AB2005" s="400">
        <v>44624.786521793983</v>
      </c>
      <c r="AC2005" t="str">
        <f>+VLOOKUP(R2005,DRAFT!A:Q,17,0)</f>
        <v>1.2.1</v>
      </c>
    </row>
    <row r="2006" spans="1:29">
      <c r="A2006" t="s">
        <v>382</v>
      </c>
      <c r="B2006" t="s">
        <v>440</v>
      </c>
      <c r="C2006" t="s">
        <v>486</v>
      </c>
      <c r="D2006" t="s">
        <v>571</v>
      </c>
      <c r="E2006" t="s">
        <v>390</v>
      </c>
      <c r="F2006" t="s">
        <v>391</v>
      </c>
      <c r="G2006">
        <v>6200336</v>
      </c>
      <c r="H2006">
        <v>202202</v>
      </c>
      <c r="I2006" s="400">
        <v>44620</v>
      </c>
      <c r="J2006" t="s">
        <v>452</v>
      </c>
      <c r="K2006" t="s">
        <v>386</v>
      </c>
      <c r="M2006" t="s">
        <v>387</v>
      </c>
      <c r="O2006" t="s">
        <v>2639</v>
      </c>
      <c r="P2006" t="s">
        <v>2640</v>
      </c>
      <c r="Q2006" t="s">
        <v>396</v>
      </c>
      <c r="R2006" s="458">
        <v>2540511</v>
      </c>
      <c r="S2006" t="s">
        <v>2668</v>
      </c>
      <c r="T2006" t="s">
        <v>2668</v>
      </c>
      <c r="U2006" t="s">
        <v>2669</v>
      </c>
      <c r="V2006" t="s">
        <v>398</v>
      </c>
      <c r="W2006" s="393">
        <v>28000</v>
      </c>
      <c r="X2006" s="393">
        <v>7.15</v>
      </c>
      <c r="Y2006" s="393">
        <v>63.92</v>
      </c>
      <c r="Z2006" s="393">
        <v>28000</v>
      </c>
      <c r="AA2006">
        <v>0</v>
      </c>
      <c r="AB2006" s="400">
        <v>44624.786521793983</v>
      </c>
      <c r="AC2006" t="str">
        <f>+VLOOKUP(R2006,DRAFT!A:Q,17,0)</f>
        <v>1.2.1</v>
      </c>
    </row>
    <row r="2007" spans="1:29">
      <c r="A2007" t="s">
        <v>382</v>
      </c>
      <c r="B2007" t="s">
        <v>440</v>
      </c>
      <c r="C2007" t="s">
        <v>486</v>
      </c>
      <c r="D2007" t="s">
        <v>571</v>
      </c>
      <c r="E2007" t="s">
        <v>390</v>
      </c>
      <c r="F2007" t="s">
        <v>391</v>
      </c>
      <c r="G2007">
        <v>6200336</v>
      </c>
      <c r="H2007">
        <v>202202</v>
      </c>
      <c r="I2007" s="400">
        <v>44620</v>
      </c>
      <c r="J2007" t="s">
        <v>452</v>
      </c>
      <c r="K2007" t="s">
        <v>386</v>
      </c>
      <c r="M2007" t="s">
        <v>387</v>
      </c>
      <c r="O2007" t="s">
        <v>1001</v>
      </c>
      <c r="P2007" t="s">
        <v>1002</v>
      </c>
      <c r="Q2007" t="s">
        <v>396</v>
      </c>
      <c r="R2007" s="458">
        <v>2540511</v>
      </c>
      <c r="S2007" t="s">
        <v>2670</v>
      </c>
      <c r="T2007" t="s">
        <v>2670</v>
      </c>
      <c r="U2007" t="s">
        <v>2671</v>
      </c>
      <c r="V2007" t="s">
        <v>398</v>
      </c>
      <c r="W2007" s="393">
        <v>9500</v>
      </c>
      <c r="X2007" s="393">
        <v>2.4300000000000002</v>
      </c>
      <c r="Y2007" s="393">
        <v>21.69</v>
      </c>
      <c r="Z2007" s="393">
        <v>9500</v>
      </c>
      <c r="AA2007">
        <v>0</v>
      </c>
      <c r="AB2007" s="400">
        <v>44624.786521793983</v>
      </c>
      <c r="AC2007" t="str">
        <f>+VLOOKUP(R2007,DRAFT!A:Q,17,0)</f>
        <v>1.2.1</v>
      </c>
    </row>
    <row r="2008" spans="1:29">
      <c r="A2008" t="s">
        <v>382</v>
      </c>
      <c r="B2008" t="s">
        <v>440</v>
      </c>
      <c r="C2008" t="s">
        <v>486</v>
      </c>
      <c r="D2008" t="s">
        <v>571</v>
      </c>
      <c r="E2008" t="s">
        <v>390</v>
      </c>
      <c r="F2008" t="s">
        <v>391</v>
      </c>
      <c r="G2008">
        <v>6200336</v>
      </c>
      <c r="H2008">
        <v>202202</v>
      </c>
      <c r="I2008" s="400">
        <v>44620</v>
      </c>
      <c r="J2008" t="s">
        <v>452</v>
      </c>
      <c r="K2008" t="s">
        <v>386</v>
      </c>
      <c r="M2008" t="s">
        <v>387</v>
      </c>
      <c r="O2008" t="s">
        <v>1001</v>
      </c>
      <c r="P2008" t="s">
        <v>1002</v>
      </c>
      <c r="Q2008" t="s">
        <v>396</v>
      </c>
      <c r="R2008" s="458">
        <v>2540511</v>
      </c>
      <c r="S2008" t="s">
        <v>2672</v>
      </c>
      <c r="T2008" t="s">
        <v>2672</v>
      </c>
      <c r="U2008" t="s">
        <v>2673</v>
      </c>
      <c r="V2008" t="s">
        <v>398</v>
      </c>
      <c r="W2008" s="393">
        <v>9500</v>
      </c>
      <c r="X2008" s="393">
        <v>2.4300000000000002</v>
      </c>
      <c r="Y2008" s="393">
        <v>21.69</v>
      </c>
      <c r="Z2008" s="393">
        <v>9500</v>
      </c>
      <c r="AA2008">
        <v>0</v>
      </c>
      <c r="AB2008" s="400">
        <v>44624.786521793983</v>
      </c>
      <c r="AC2008" t="str">
        <f>+VLOOKUP(R2008,DRAFT!A:Q,17,0)</f>
        <v>1.2.1</v>
      </c>
    </row>
    <row r="2009" spans="1:29">
      <c r="A2009" t="s">
        <v>382</v>
      </c>
      <c r="B2009" t="s">
        <v>440</v>
      </c>
      <c r="C2009" t="s">
        <v>486</v>
      </c>
      <c r="D2009" t="s">
        <v>571</v>
      </c>
      <c r="E2009" t="s">
        <v>390</v>
      </c>
      <c r="F2009" t="s">
        <v>391</v>
      </c>
      <c r="G2009">
        <v>6200336</v>
      </c>
      <c r="H2009">
        <v>202202</v>
      </c>
      <c r="I2009" s="400">
        <v>44620</v>
      </c>
      <c r="J2009" t="s">
        <v>452</v>
      </c>
      <c r="K2009" t="s">
        <v>386</v>
      </c>
      <c r="M2009" t="s">
        <v>387</v>
      </c>
      <c r="O2009" t="s">
        <v>2050</v>
      </c>
      <c r="P2009" t="s">
        <v>2051</v>
      </c>
      <c r="Q2009" t="s">
        <v>396</v>
      </c>
      <c r="R2009" s="458">
        <v>2540511</v>
      </c>
      <c r="S2009" t="s">
        <v>2674</v>
      </c>
      <c r="T2009" t="s">
        <v>2674</v>
      </c>
      <c r="U2009" t="s">
        <v>2675</v>
      </c>
      <c r="V2009" t="s">
        <v>398</v>
      </c>
      <c r="W2009" s="393">
        <v>24000</v>
      </c>
      <c r="X2009" s="393">
        <v>6.13</v>
      </c>
      <c r="Y2009" s="393">
        <v>54.79</v>
      </c>
      <c r="Z2009" s="393">
        <v>24000</v>
      </c>
      <c r="AA2009">
        <v>0</v>
      </c>
      <c r="AB2009" s="400">
        <v>44624.786521793983</v>
      </c>
      <c r="AC2009" t="str">
        <f>+VLOOKUP(R2009,DRAFT!A:Q,17,0)</f>
        <v>1.2.1</v>
      </c>
    </row>
    <row r="2010" spans="1:29">
      <c r="A2010" t="s">
        <v>382</v>
      </c>
      <c r="B2010" t="s">
        <v>440</v>
      </c>
      <c r="C2010" t="s">
        <v>486</v>
      </c>
      <c r="D2010" t="s">
        <v>571</v>
      </c>
      <c r="E2010" t="s">
        <v>390</v>
      </c>
      <c r="F2010" t="s">
        <v>391</v>
      </c>
      <c r="G2010">
        <v>6200427</v>
      </c>
      <c r="H2010">
        <v>202202</v>
      </c>
      <c r="I2010" s="400">
        <v>44620</v>
      </c>
      <c r="J2010" t="s">
        <v>452</v>
      </c>
      <c r="K2010" t="s">
        <v>386</v>
      </c>
      <c r="M2010" t="s">
        <v>387</v>
      </c>
      <c r="O2010" t="s">
        <v>587</v>
      </c>
      <c r="P2010" t="s">
        <v>588</v>
      </c>
      <c r="Q2010" t="s">
        <v>396</v>
      </c>
      <c r="R2010" s="458">
        <v>2540509</v>
      </c>
      <c r="S2010" t="s">
        <v>626</v>
      </c>
      <c r="T2010" t="s">
        <v>626</v>
      </c>
      <c r="U2010" t="s">
        <v>2679</v>
      </c>
      <c r="V2010" t="s">
        <v>398</v>
      </c>
      <c r="W2010" s="393">
        <v>28000</v>
      </c>
      <c r="X2010" s="393">
        <v>7.15</v>
      </c>
      <c r="Y2010" s="393">
        <v>63.92</v>
      </c>
      <c r="Z2010" s="393">
        <v>28000</v>
      </c>
      <c r="AA2010">
        <v>0</v>
      </c>
      <c r="AB2010" s="400">
        <v>44627.628553437498</v>
      </c>
      <c r="AC2010" t="str">
        <f>+VLOOKUP(R2010,DRAFT!A:Q,17,0)</f>
        <v>1.2.2</v>
      </c>
    </row>
    <row r="2011" spans="1:29">
      <c r="A2011" t="s">
        <v>382</v>
      </c>
      <c r="B2011" t="s">
        <v>440</v>
      </c>
      <c r="C2011" t="s">
        <v>486</v>
      </c>
      <c r="D2011" t="s">
        <v>571</v>
      </c>
      <c r="E2011" t="s">
        <v>390</v>
      </c>
      <c r="F2011" t="s">
        <v>391</v>
      </c>
      <c r="G2011">
        <v>6200427</v>
      </c>
      <c r="H2011">
        <v>202202</v>
      </c>
      <c r="I2011" s="400">
        <v>44620</v>
      </c>
      <c r="J2011" t="s">
        <v>452</v>
      </c>
      <c r="K2011" t="s">
        <v>386</v>
      </c>
      <c r="M2011" t="s">
        <v>387</v>
      </c>
      <c r="O2011" t="s">
        <v>794</v>
      </c>
      <c r="P2011" t="s">
        <v>795</v>
      </c>
      <c r="Q2011" t="s">
        <v>396</v>
      </c>
      <c r="R2011" s="458">
        <v>2540509</v>
      </c>
      <c r="S2011" t="s">
        <v>2680</v>
      </c>
      <c r="T2011" t="s">
        <v>2680</v>
      </c>
      <c r="U2011" t="s">
        <v>2681</v>
      </c>
      <c r="V2011" t="s">
        <v>398</v>
      </c>
      <c r="W2011" s="393">
        <v>11000</v>
      </c>
      <c r="X2011" s="393">
        <v>2.81</v>
      </c>
      <c r="Y2011" s="393">
        <v>25.11</v>
      </c>
      <c r="Z2011" s="393">
        <v>11000</v>
      </c>
      <c r="AA2011">
        <v>0</v>
      </c>
      <c r="AB2011" s="400">
        <v>44627.628553437498</v>
      </c>
      <c r="AC2011" t="str">
        <f>+VLOOKUP(R2011,DRAFT!A:Q,17,0)</f>
        <v>1.2.2</v>
      </c>
    </row>
    <row r="2012" spans="1:29">
      <c r="A2012" t="s">
        <v>382</v>
      </c>
      <c r="B2012" t="s">
        <v>440</v>
      </c>
      <c r="C2012" t="s">
        <v>486</v>
      </c>
      <c r="D2012" t="s">
        <v>571</v>
      </c>
      <c r="E2012" t="s">
        <v>390</v>
      </c>
      <c r="F2012" t="s">
        <v>391</v>
      </c>
      <c r="G2012">
        <v>6200427</v>
      </c>
      <c r="H2012">
        <v>202202</v>
      </c>
      <c r="I2012" s="400">
        <v>44620</v>
      </c>
      <c r="J2012" t="s">
        <v>452</v>
      </c>
      <c r="K2012" t="s">
        <v>386</v>
      </c>
      <c r="M2012" t="s">
        <v>387</v>
      </c>
      <c r="O2012" t="s">
        <v>906</v>
      </c>
      <c r="P2012" t="s">
        <v>907</v>
      </c>
      <c r="Q2012" t="s">
        <v>396</v>
      </c>
      <c r="R2012" s="458">
        <v>2540509</v>
      </c>
      <c r="S2012" t="s">
        <v>2682</v>
      </c>
      <c r="T2012" t="s">
        <v>2682</v>
      </c>
      <c r="U2012" t="s">
        <v>2683</v>
      </c>
      <c r="V2012" t="s">
        <v>398</v>
      </c>
      <c r="W2012" s="393">
        <v>13889</v>
      </c>
      <c r="X2012" s="393">
        <v>3.55</v>
      </c>
      <c r="Y2012" s="393">
        <v>31.71</v>
      </c>
      <c r="Z2012" s="393">
        <v>13889</v>
      </c>
      <c r="AA2012">
        <v>0</v>
      </c>
      <c r="AB2012" s="400">
        <v>44627.628553437498</v>
      </c>
      <c r="AC2012" t="str">
        <f>+VLOOKUP(R2012,DRAFT!A:Q,17,0)</f>
        <v>1.2.2</v>
      </c>
    </row>
    <row r="2013" spans="1:29">
      <c r="A2013" t="s">
        <v>382</v>
      </c>
      <c r="B2013" t="s">
        <v>440</v>
      </c>
      <c r="C2013" t="s">
        <v>486</v>
      </c>
      <c r="D2013" t="s">
        <v>571</v>
      </c>
      <c r="E2013" t="s">
        <v>390</v>
      </c>
      <c r="F2013" t="s">
        <v>391</v>
      </c>
      <c r="G2013">
        <v>6200427</v>
      </c>
      <c r="H2013">
        <v>202202</v>
      </c>
      <c r="I2013" s="400">
        <v>44620</v>
      </c>
      <c r="J2013" t="s">
        <v>452</v>
      </c>
      <c r="K2013" t="s">
        <v>386</v>
      </c>
      <c r="M2013" t="s">
        <v>387</v>
      </c>
      <c r="O2013" t="s">
        <v>906</v>
      </c>
      <c r="P2013" t="s">
        <v>907</v>
      </c>
      <c r="Q2013" t="s">
        <v>396</v>
      </c>
      <c r="R2013" s="458">
        <v>2540509</v>
      </c>
      <c r="S2013" t="s">
        <v>2684</v>
      </c>
      <c r="T2013" t="s">
        <v>2684</v>
      </c>
      <c r="U2013" t="s">
        <v>2685</v>
      </c>
      <c r="V2013" t="s">
        <v>398</v>
      </c>
      <c r="W2013" s="393">
        <v>19444</v>
      </c>
      <c r="X2013" s="393">
        <v>4.97</v>
      </c>
      <c r="Y2013" s="393">
        <v>44.39</v>
      </c>
      <c r="Z2013" s="393">
        <v>19444</v>
      </c>
      <c r="AA2013">
        <v>0</v>
      </c>
      <c r="AB2013" s="400">
        <v>44627.628553437498</v>
      </c>
      <c r="AC2013" t="str">
        <f>+VLOOKUP(R2013,DRAFT!A:Q,17,0)</f>
        <v>1.2.2</v>
      </c>
    </row>
    <row r="2014" spans="1:29">
      <c r="A2014" t="s">
        <v>382</v>
      </c>
      <c r="B2014" t="s">
        <v>440</v>
      </c>
      <c r="C2014" t="s">
        <v>486</v>
      </c>
      <c r="D2014" t="s">
        <v>571</v>
      </c>
      <c r="E2014" t="s">
        <v>390</v>
      </c>
      <c r="F2014" t="s">
        <v>391</v>
      </c>
      <c r="G2014">
        <v>6200427</v>
      </c>
      <c r="H2014">
        <v>202202</v>
      </c>
      <c r="I2014" s="400">
        <v>44620</v>
      </c>
      <c r="J2014" t="s">
        <v>452</v>
      </c>
      <c r="K2014" t="s">
        <v>386</v>
      </c>
      <c r="M2014" t="s">
        <v>387</v>
      </c>
      <c r="O2014" t="s">
        <v>906</v>
      </c>
      <c r="P2014" t="s">
        <v>907</v>
      </c>
      <c r="Q2014" t="s">
        <v>396</v>
      </c>
      <c r="R2014" s="458">
        <v>2540509</v>
      </c>
      <c r="S2014" t="s">
        <v>2686</v>
      </c>
      <c r="T2014" t="s">
        <v>2686</v>
      </c>
      <c r="U2014" t="s">
        <v>2687</v>
      </c>
      <c r="V2014" t="s">
        <v>398</v>
      </c>
      <c r="W2014" s="393">
        <v>16667</v>
      </c>
      <c r="X2014" s="393">
        <v>4.26</v>
      </c>
      <c r="Y2014" s="393">
        <v>38.049999999999997</v>
      </c>
      <c r="Z2014" s="393">
        <v>16667</v>
      </c>
      <c r="AA2014">
        <v>0</v>
      </c>
      <c r="AB2014" s="400">
        <v>44627.628553437498</v>
      </c>
      <c r="AC2014" t="str">
        <f>+VLOOKUP(R2014,DRAFT!A:Q,17,0)</f>
        <v>1.2.2</v>
      </c>
    </row>
    <row r="2015" spans="1:29">
      <c r="A2015" t="s">
        <v>382</v>
      </c>
      <c r="B2015" t="s">
        <v>440</v>
      </c>
      <c r="C2015" t="s">
        <v>486</v>
      </c>
      <c r="D2015" t="s">
        <v>571</v>
      </c>
      <c r="E2015" t="s">
        <v>390</v>
      </c>
      <c r="F2015" t="s">
        <v>391</v>
      </c>
      <c r="G2015">
        <v>6200427</v>
      </c>
      <c r="H2015">
        <v>202202</v>
      </c>
      <c r="I2015" s="400">
        <v>44620</v>
      </c>
      <c r="J2015" t="s">
        <v>452</v>
      </c>
      <c r="K2015" t="s">
        <v>386</v>
      </c>
      <c r="M2015" t="s">
        <v>387</v>
      </c>
      <c r="O2015" t="s">
        <v>906</v>
      </c>
      <c r="P2015" t="s">
        <v>907</v>
      </c>
      <c r="Q2015" t="s">
        <v>396</v>
      </c>
      <c r="R2015" s="458">
        <v>2540509</v>
      </c>
      <c r="S2015" t="s">
        <v>2688</v>
      </c>
      <c r="T2015" t="s">
        <v>2688</v>
      </c>
      <c r="U2015" t="s">
        <v>2689</v>
      </c>
      <c r="V2015" t="s">
        <v>398</v>
      </c>
      <c r="W2015" s="393">
        <v>2778</v>
      </c>
      <c r="X2015" s="393">
        <v>0.71</v>
      </c>
      <c r="Y2015" s="393">
        <v>6.34</v>
      </c>
      <c r="Z2015" s="393">
        <v>2778</v>
      </c>
      <c r="AA2015">
        <v>0</v>
      </c>
      <c r="AB2015" s="400">
        <v>44627.628553437498</v>
      </c>
      <c r="AC2015" t="str">
        <f>+VLOOKUP(R2015,DRAFT!A:Q,17,0)</f>
        <v>1.2.2</v>
      </c>
    </row>
    <row r="2016" spans="1:29">
      <c r="A2016" t="s">
        <v>382</v>
      </c>
      <c r="B2016" t="s">
        <v>440</v>
      </c>
      <c r="C2016" t="s">
        <v>486</v>
      </c>
      <c r="D2016" t="s">
        <v>571</v>
      </c>
      <c r="E2016" t="s">
        <v>390</v>
      </c>
      <c r="F2016" t="s">
        <v>391</v>
      </c>
      <c r="G2016">
        <v>6200427</v>
      </c>
      <c r="H2016">
        <v>202202</v>
      </c>
      <c r="I2016" s="400">
        <v>44620</v>
      </c>
      <c r="J2016" t="s">
        <v>452</v>
      </c>
      <c r="K2016" t="s">
        <v>386</v>
      </c>
      <c r="M2016" t="s">
        <v>387</v>
      </c>
      <c r="O2016" t="s">
        <v>906</v>
      </c>
      <c r="P2016" t="s">
        <v>907</v>
      </c>
      <c r="Q2016" t="s">
        <v>396</v>
      </c>
      <c r="R2016" s="458">
        <v>2540509</v>
      </c>
      <c r="S2016" t="s">
        <v>2690</v>
      </c>
      <c r="T2016" t="s">
        <v>2690</v>
      </c>
      <c r="U2016" t="s">
        <v>2691</v>
      </c>
      <c r="V2016" t="s">
        <v>398</v>
      </c>
      <c r="W2016" s="393">
        <v>16667</v>
      </c>
      <c r="X2016" s="393">
        <v>4.26</v>
      </c>
      <c r="Y2016" s="393">
        <v>38.049999999999997</v>
      </c>
      <c r="Z2016" s="393">
        <v>16667</v>
      </c>
      <c r="AA2016">
        <v>0</v>
      </c>
      <c r="AB2016" s="400">
        <v>44627.628553437498</v>
      </c>
      <c r="AC2016" t="str">
        <f>+VLOOKUP(R2016,DRAFT!A:Q,17,0)</f>
        <v>1.2.2</v>
      </c>
    </row>
    <row r="2017" spans="1:29">
      <c r="A2017" t="s">
        <v>382</v>
      </c>
      <c r="B2017" t="s">
        <v>440</v>
      </c>
      <c r="C2017" t="s">
        <v>486</v>
      </c>
      <c r="D2017" t="s">
        <v>571</v>
      </c>
      <c r="E2017" t="s">
        <v>390</v>
      </c>
      <c r="F2017" t="s">
        <v>391</v>
      </c>
      <c r="G2017">
        <v>6200427</v>
      </c>
      <c r="H2017">
        <v>202202</v>
      </c>
      <c r="I2017" s="400">
        <v>44620</v>
      </c>
      <c r="J2017" t="s">
        <v>452</v>
      </c>
      <c r="K2017" t="s">
        <v>386</v>
      </c>
      <c r="M2017" t="s">
        <v>387</v>
      </c>
      <c r="O2017" t="s">
        <v>2076</v>
      </c>
      <c r="P2017" t="s">
        <v>2077</v>
      </c>
      <c r="Q2017" t="s">
        <v>396</v>
      </c>
      <c r="R2017" s="458">
        <v>2540509</v>
      </c>
      <c r="S2017" t="s">
        <v>2692</v>
      </c>
      <c r="T2017" t="s">
        <v>2692</v>
      </c>
      <c r="U2017" t="s">
        <v>2693</v>
      </c>
      <c r="V2017" t="s">
        <v>398</v>
      </c>
      <c r="W2017" s="393">
        <v>20370</v>
      </c>
      <c r="X2017" s="393">
        <v>5.2</v>
      </c>
      <c r="Y2017" s="393">
        <v>46.5</v>
      </c>
      <c r="Z2017" s="393">
        <v>20370</v>
      </c>
      <c r="AA2017">
        <v>0</v>
      </c>
      <c r="AB2017" s="400">
        <v>44627.628553437498</v>
      </c>
      <c r="AC2017" t="str">
        <f>+VLOOKUP(R2017,DRAFT!A:Q,17,0)</f>
        <v>1.2.2</v>
      </c>
    </row>
    <row r="2018" spans="1:29">
      <c r="A2018" t="s">
        <v>382</v>
      </c>
      <c r="B2018" t="s">
        <v>440</v>
      </c>
      <c r="C2018" t="s">
        <v>486</v>
      </c>
      <c r="D2018" t="s">
        <v>571</v>
      </c>
      <c r="E2018" t="s">
        <v>390</v>
      </c>
      <c r="F2018" t="s">
        <v>391</v>
      </c>
      <c r="G2018">
        <v>6200427</v>
      </c>
      <c r="H2018">
        <v>202202</v>
      </c>
      <c r="I2018" s="400">
        <v>44620</v>
      </c>
      <c r="J2018" t="s">
        <v>452</v>
      </c>
      <c r="K2018" t="s">
        <v>386</v>
      </c>
      <c r="M2018" t="s">
        <v>387</v>
      </c>
      <c r="O2018" t="s">
        <v>749</v>
      </c>
      <c r="P2018" t="s">
        <v>750</v>
      </c>
      <c r="Q2018" t="s">
        <v>396</v>
      </c>
      <c r="R2018" s="458">
        <v>2540509</v>
      </c>
      <c r="S2018" t="s">
        <v>2694</v>
      </c>
      <c r="T2018" t="s">
        <v>2694</v>
      </c>
      <c r="U2018" t="s">
        <v>2695</v>
      </c>
      <c r="V2018" t="s">
        <v>398</v>
      </c>
      <c r="W2018" s="393">
        <v>28000</v>
      </c>
      <c r="X2018" s="393">
        <v>7.15</v>
      </c>
      <c r="Y2018" s="393">
        <v>63.92</v>
      </c>
      <c r="Z2018" s="393">
        <v>28000</v>
      </c>
      <c r="AA2018">
        <v>0</v>
      </c>
      <c r="AB2018" s="400">
        <v>44627.628553437498</v>
      </c>
      <c r="AC2018" t="str">
        <f>+VLOOKUP(R2018,DRAFT!A:Q,17,0)</f>
        <v>1.2.2</v>
      </c>
    </row>
    <row r="2019" spans="1:29">
      <c r="A2019" t="s">
        <v>382</v>
      </c>
      <c r="B2019" t="s">
        <v>440</v>
      </c>
      <c r="C2019" t="s">
        <v>486</v>
      </c>
      <c r="D2019" t="s">
        <v>571</v>
      </c>
      <c r="E2019" t="s">
        <v>390</v>
      </c>
      <c r="F2019" t="s">
        <v>391</v>
      </c>
      <c r="G2019">
        <v>6200427</v>
      </c>
      <c r="H2019">
        <v>202202</v>
      </c>
      <c r="I2019" s="400">
        <v>44620</v>
      </c>
      <c r="J2019" t="s">
        <v>452</v>
      </c>
      <c r="K2019" t="s">
        <v>386</v>
      </c>
      <c r="M2019" t="s">
        <v>387</v>
      </c>
      <c r="O2019" t="s">
        <v>2067</v>
      </c>
      <c r="P2019" t="s">
        <v>2068</v>
      </c>
      <c r="Q2019" t="s">
        <v>396</v>
      </c>
      <c r="R2019" s="458">
        <v>2540509</v>
      </c>
      <c r="S2019" t="s">
        <v>2696</v>
      </c>
      <c r="T2019" t="s">
        <v>2696</v>
      </c>
      <c r="U2019" t="s">
        <v>2697</v>
      </c>
      <c r="V2019" t="s">
        <v>398</v>
      </c>
      <c r="W2019" s="393">
        <v>12000</v>
      </c>
      <c r="X2019" s="393">
        <v>3.07</v>
      </c>
      <c r="Y2019" s="393">
        <v>27.39</v>
      </c>
      <c r="Z2019" s="393">
        <v>12000</v>
      </c>
      <c r="AA2019">
        <v>0</v>
      </c>
      <c r="AB2019" s="400">
        <v>44627.628553437498</v>
      </c>
      <c r="AC2019" t="str">
        <f>+VLOOKUP(R2019,DRAFT!A:Q,17,0)</f>
        <v>1.2.2</v>
      </c>
    </row>
    <row r="2020" spans="1:29">
      <c r="A2020" t="s">
        <v>382</v>
      </c>
      <c r="B2020" t="s">
        <v>440</v>
      </c>
      <c r="C2020" t="s">
        <v>486</v>
      </c>
      <c r="D2020" t="s">
        <v>571</v>
      </c>
      <c r="E2020" t="s">
        <v>390</v>
      </c>
      <c r="F2020" t="s">
        <v>391</v>
      </c>
      <c r="G2020">
        <v>6200427</v>
      </c>
      <c r="H2020">
        <v>202202</v>
      </c>
      <c r="I2020" s="400">
        <v>44620</v>
      </c>
      <c r="J2020" t="s">
        <v>452</v>
      </c>
      <c r="K2020" t="s">
        <v>386</v>
      </c>
      <c r="M2020" t="s">
        <v>387</v>
      </c>
      <c r="O2020" t="s">
        <v>794</v>
      </c>
      <c r="P2020" t="s">
        <v>795</v>
      </c>
      <c r="Q2020" t="s">
        <v>396</v>
      </c>
      <c r="R2020" s="458">
        <v>2540509</v>
      </c>
      <c r="S2020" t="s">
        <v>2698</v>
      </c>
      <c r="T2020" t="s">
        <v>2698</v>
      </c>
      <c r="U2020" t="s">
        <v>2699</v>
      </c>
      <c r="V2020" t="s">
        <v>398</v>
      </c>
      <c r="W2020" s="393">
        <v>10000</v>
      </c>
      <c r="X2020" s="393">
        <v>2.56</v>
      </c>
      <c r="Y2020" s="393">
        <v>22.83</v>
      </c>
      <c r="Z2020" s="393">
        <v>10000</v>
      </c>
      <c r="AA2020">
        <v>0</v>
      </c>
      <c r="AB2020" s="400">
        <v>44627.628553437498</v>
      </c>
      <c r="AC2020" t="str">
        <f>+VLOOKUP(R2020,DRAFT!A:Q,17,0)</f>
        <v>1.2.2</v>
      </c>
    </row>
    <row r="2021" spans="1:29">
      <c r="A2021" t="s">
        <v>382</v>
      </c>
      <c r="B2021" t="s">
        <v>440</v>
      </c>
      <c r="C2021" t="s">
        <v>486</v>
      </c>
      <c r="D2021" t="s">
        <v>571</v>
      </c>
      <c r="E2021" t="s">
        <v>390</v>
      </c>
      <c r="F2021" t="s">
        <v>391</v>
      </c>
      <c r="G2021">
        <v>6200427</v>
      </c>
      <c r="H2021">
        <v>202202</v>
      </c>
      <c r="I2021" s="400">
        <v>44620</v>
      </c>
      <c r="J2021" t="s">
        <v>452</v>
      </c>
      <c r="K2021" t="s">
        <v>386</v>
      </c>
      <c r="M2021" t="s">
        <v>387</v>
      </c>
      <c r="O2021" t="s">
        <v>794</v>
      </c>
      <c r="P2021" t="s">
        <v>795</v>
      </c>
      <c r="Q2021" t="s">
        <v>396</v>
      </c>
      <c r="R2021" s="458">
        <v>2540509</v>
      </c>
      <c r="S2021" t="s">
        <v>2700</v>
      </c>
      <c r="T2021" t="s">
        <v>2700</v>
      </c>
      <c r="U2021" t="s">
        <v>2701</v>
      </c>
      <c r="V2021" t="s">
        <v>398</v>
      </c>
      <c r="W2021" s="393">
        <v>12000</v>
      </c>
      <c r="X2021" s="393">
        <v>3.07</v>
      </c>
      <c r="Y2021" s="393">
        <v>27.39</v>
      </c>
      <c r="Z2021" s="393">
        <v>12000</v>
      </c>
      <c r="AA2021">
        <v>0</v>
      </c>
      <c r="AB2021" s="400">
        <v>44627.628553437498</v>
      </c>
      <c r="AC2021" t="str">
        <f>+VLOOKUP(R2021,DRAFT!A:Q,17,0)</f>
        <v>1.2.2</v>
      </c>
    </row>
    <row r="2022" spans="1:29">
      <c r="A2022" t="s">
        <v>382</v>
      </c>
      <c r="B2022" t="s">
        <v>440</v>
      </c>
      <c r="C2022" t="s">
        <v>486</v>
      </c>
      <c r="D2022" t="s">
        <v>571</v>
      </c>
      <c r="E2022" t="s">
        <v>390</v>
      </c>
      <c r="F2022" t="s">
        <v>391</v>
      </c>
      <c r="G2022">
        <v>6200427</v>
      </c>
      <c r="H2022">
        <v>202202</v>
      </c>
      <c r="I2022" s="400">
        <v>44620</v>
      </c>
      <c r="J2022" t="s">
        <v>452</v>
      </c>
      <c r="K2022" t="s">
        <v>386</v>
      </c>
      <c r="M2022" t="s">
        <v>387</v>
      </c>
      <c r="O2022" t="s">
        <v>794</v>
      </c>
      <c r="P2022" t="s">
        <v>795</v>
      </c>
      <c r="Q2022" t="s">
        <v>396</v>
      </c>
      <c r="R2022" s="458">
        <v>2540509</v>
      </c>
      <c r="S2022" t="s">
        <v>2702</v>
      </c>
      <c r="T2022" t="s">
        <v>2702</v>
      </c>
      <c r="U2022" t="s">
        <v>2703</v>
      </c>
      <c r="V2022" t="s">
        <v>398</v>
      </c>
      <c r="W2022" s="393">
        <v>7000</v>
      </c>
      <c r="X2022" s="393">
        <v>1.79</v>
      </c>
      <c r="Y2022" s="393">
        <v>15.98</v>
      </c>
      <c r="Z2022" s="393">
        <v>7000</v>
      </c>
      <c r="AA2022">
        <v>0</v>
      </c>
      <c r="AB2022" s="400">
        <v>44627.628553437498</v>
      </c>
      <c r="AC2022" t="str">
        <f>+VLOOKUP(R2022,DRAFT!A:Q,17,0)</f>
        <v>1.2.2</v>
      </c>
    </row>
    <row r="2023" spans="1:29">
      <c r="A2023" t="s">
        <v>382</v>
      </c>
      <c r="B2023" t="s">
        <v>440</v>
      </c>
      <c r="C2023" t="s">
        <v>486</v>
      </c>
      <c r="D2023" t="s">
        <v>571</v>
      </c>
      <c r="E2023" t="s">
        <v>390</v>
      </c>
      <c r="F2023" t="s">
        <v>391</v>
      </c>
      <c r="G2023">
        <v>6200427</v>
      </c>
      <c r="H2023">
        <v>202202</v>
      </c>
      <c r="I2023" s="400">
        <v>44620</v>
      </c>
      <c r="J2023" t="s">
        <v>452</v>
      </c>
      <c r="K2023" t="s">
        <v>386</v>
      </c>
      <c r="M2023" t="s">
        <v>387</v>
      </c>
      <c r="O2023" t="s">
        <v>2556</v>
      </c>
      <c r="P2023" t="s">
        <v>2557</v>
      </c>
      <c r="Q2023" t="s">
        <v>396</v>
      </c>
      <c r="R2023" s="458">
        <v>2540509</v>
      </c>
      <c r="S2023" t="s">
        <v>2704</v>
      </c>
      <c r="T2023" t="s">
        <v>2704</v>
      </c>
      <c r="U2023" t="s">
        <v>2705</v>
      </c>
      <c r="V2023" t="s">
        <v>398</v>
      </c>
      <c r="W2023" s="393">
        <v>4000</v>
      </c>
      <c r="X2023" s="393">
        <v>1.02</v>
      </c>
      <c r="Y2023" s="393">
        <v>9.1300000000000008</v>
      </c>
      <c r="Z2023" s="393">
        <v>4000</v>
      </c>
      <c r="AA2023">
        <v>0</v>
      </c>
      <c r="AB2023" s="400">
        <v>44627.628553437498</v>
      </c>
      <c r="AC2023" t="str">
        <f>+VLOOKUP(R2023,DRAFT!A:Q,17,0)</f>
        <v>1.2.2</v>
      </c>
    </row>
    <row r="2024" spans="1:29">
      <c r="A2024" t="s">
        <v>382</v>
      </c>
      <c r="B2024" t="s">
        <v>440</v>
      </c>
      <c r="C2024" t="s">
        <v>486</v>
      </c>
      <c r="D2024" t="s">
        <v>571</v>
      </c>
      <c r="E2024" t="s">
        <v>390</v>
      </c>
      <c r="F2024" t="s">
        <v>391</v>
      </c>
      <c r="G2024">
        <v>6200427</v>
      </c>
      <c r="H2024">
        <v>202202</v>
      </c>
      <c r="I2024" s="400">
        <v>44620</v>
      </c>
      <c r="J2024" t="s">
        <v>452</v>
      </c>
      <c r="K2024" t="s">
        <v>386</v>
      </c>
      <c r="M2024" t="s">
        <v>387</v>
      </c>
      <c r="O2024" t="s">
        <v>613</v>
      </c>
      <c r="P2024" t="s">
        <v>614</v>
      </c>
      <c r="Q2024" t="s">
        <v>396</v>
      </c>
      <c r="R2024" s="458">
        <v>2540509</v>
      </c>
      <c r="S2024" t="s">
        <v>2706</v>
      </c>
      <c r="T2024" t="s">
        <v>2706</v>
      </c>
      <c r="U2024" t="s">
        <v>2707</v>
      </c>
      <c r="V2024" t="s">
        <v>398</v>
      </c>
      <c r="W2024" s="393">
        <v>87989</v>
      </c>
      <c r="X2024" s="393">
        <v>22.48</v>
      </c>
      <c r="Y2024" s="393">
        <v>200.86</v>
      </c>
      <c r="Z2024" s="393">
        <v>87989</v>
      </c>
      <c r="AA2024">
        <v>0</v>
      </c>
      <c r="AB2024" s="400">
        <v>44627.628553437498</v>
      </c>
      <c r="AC2024" t="str">
        <f>+VLOOKUP(R2024,DRAFT!A:Q,17,0)</f>
        <v>1.2.2</v>
      </c>
    </row>
    <row r="2025" spans="1:29">
      <c r="A2025" t="s">
        <v>382</v>
      </c>
      <c r="B2025" t="s">
        <v>440</v>
      </c>
      <c r="C2025" t="s">
        <v>486</v>
      </c>
      <c r="D2025" t="s">
        <v>571</v>
      </c>
      <c r="E2025" t="s">
        <v>390</v>
      </c>
      <c r="F2025" t="s">
        <v>391</v>
      </c>
      <c r="G2025">
        <v>6200427</v>
      </c>
      <c r="H2025">
        <v>202202</v>
      </c>
      <c r="I2025" s="400">
        <v>44620</v>
      </c>
      <c r="J2025" t="s">
        <v>452</v>
      </c>
      <c r="K2025" t="s">
        <v>386</v>
      </c>
      <c r="M2025" t="s">
        <v>387</v>
      </c>
      <c r="O2025" t="s">
        <v>613</v>
      </c>
      <c r="P2025" t="s">
        <v>614</v>
      </c>
      <c r="Q2025" t="s">
        <v>396</v>
      </c>
      <c r="R2025" s="458">
        <v>2540509</v>
      </c>
      <c r="S2025" t="s">
        <v>2708</v>
      </c>
      <c r="T2025" t="s">
        <v>2708</v>
      </c>
      <c r="U2025" t="s">
        <v>2709</v>
      </c>
      <c r="V2025" t="s">
        <v>398</v>
      </c>
      <c r="W2025" s="393">
        <v>55220</v>
      </c>
      <c r="X2025" s="393">
        <v>14.11</v>
      </c>
      <c r="Y2025" s="393">
        <v>126.06</v>
      </c>
      <c r="Z2025" s="393">
        <v>55220</v>
      </c>
      <c r="AA2025">
        <v>0</v>
      </c>
      <c r="AB2025" s="400">
        <v>44627.628553437498</v>
      </c>
      <c r="AC2025" t="str">
        <f>+VLOOKUP(R2025,DRAFT!A:Q,17,0)</f>
        <v>1.2.2</v>
      </c>
    </row>
    <row r="2026" spans="1:29">
      <c r="A2026" t="s">
        <v>382</v>
      </c>
      <c r="B2026" t="s">
        <v>440</v>
      </c>
      <c r="C2026" t="s">
        <v>486</v>
      </c>
      <c r="D2026" t="s">
        <v>571</v>
      </c>
      <c r="E2026" t="s">
        <v>390</v>
      </c>
      <c r="F2026" t="s">
        <v>391</v>
      </c>
      <c r="G2026">
        <v>6200427</v>
      </c>
      <c r="H2026">
        <v>202202</v>
      </c>
      <c r="I2026" s="400">
        <v>44620</v>
      </c>
      <c r="J2026" t="s">
        <v>452</v>
      </c>
      <c r="K2026" t="s">
        <v>386</v>
      </c>
      <c r="M2026" t="s">
        <v>387</v>
      </c>
      <c r="O2026" t="s">
        <v>1001</v>
      </c>
      <c r="P2026" t="s">
        <v>1002</v>
      </c>
      <c r="Q2026" t="s">
        <v>396</v>
      </c>
      <c r="R2026" s="458">
        <v>2540509</v>
      </c>
      <c r="S2026" t="s">
        <v>2710</v>
      </c>
      <c r="T2026" t="s">
        <v>2710</v>
      </c>
      <c r="U2026" t="s">
        <v>2711</v>
      </c>
      <c r="V2026" t="s">
        <v>398</v>
      </c>
      <c r="W2026" s="393">
        <v>9500</v>
      </c>
      <c r="X2026" s="393">
        <v>2.4300000000000002</v>
      </c>
      <c r="Y2026" s="393">
        <v>21.69</v>
      </c>
      <c r="Z2026" s="393">
        <v>9500</v>
      </c>
      <c r="AA2026">
        <v>0</v>
      </c>
      <c r="AB2026" s="400">
        <v>44627.628553437498</v>
      </c>
      <c r="AC2026" t="str">
        <f>+VLOOKUP(R2026,DRAFT!A:Q,17,0)</f>
        <v>1.2.2</v>
      </c>
    </row>
    <row r="2027" spans="1:29">
      <c r="A2027" t="s">
        <v>382</v>
      </c>
      <c r="B2027" t="s">
        <v>440</v>
      </c>
      <c r="C2027" t="s">
        <v>486</v>
      </c>
      <c r="D2027" t="s">
        <v>571</v>
      </c>
      <c r="E2027" t="s">
        <v>390</v>
      </c>
      <c r="F2027" t="s">
        <v>391</v>
      </c>
      <c r="G2027">
        <v>6200427</v>
      </c>
      <c r="H2027">
        <v>202202</v>
      </c>
      <c r="I2027" s="400">
        <v>44620</v>
      </c>
      <c r="J2027" t="s">
        <v>452</v>
      </c>
      <c r="K2027" t="s">
        <v>386</v>
      </c>
      <c r="M2027" t="s">
        <v>387</v>
      </c>
      <c r="O2027" t="s">
        <v>1001</v>
      </c>
      <c r="P2027" t="s">
        <v>1002</v>
      </c>
      <c r="Q2027" t="s">
        <v>396</v>
      </c>
      <c r="R2027" s="458">
        <v>2540509</v>
      </c>
      <c r="S2027" t="s">
        <v>2712</v>
      </c>
      <c r="T2027" t="s">
        <v>2712</v>
      </c>
      <c r="U2027" t="s">
        <v>2713</v>
      </c>
      <c r="V2027" t="s">
        <v>398</v>
      </c>
      <c r="W2027" s="393">
        <v>9500</v>
      </c>
      <c r="X2027" s="393">
        <v>2.4300000000000002</v>
      </c>
      <c r="Y2027" s="393">
        <v>21.69</v>
      </c>
      <c r="Z2027" s="393">
        <v>9500</v>
      </c>
      <c r="AA2027">
        <v>0</v>
      </c>
      <c r="AB2027" s="400">
        <v>44627.628553437498</v>
      </c>
      <c r="AC2027" t="str">
        <f>+VLOOKUP(R2027,DRAFT!A:Q,17,0)</f>
        <v>1.2.2</v>
      </c>
    </row>
    <row r="2028" spans="1:29">
      <c r="A2028" t="s">
        <v>382</v>
      </c>
      <c r="B2028" t="s">
        <v>440</v>
      </c>
      <c r="C2028" t="s">
        <v>486</v>
      </c>
      <c r="D2028" t="s">
        <v>571</v>
      </c>
      <c r="E2028" t="s">
        <v>390</v>
      </c>
      <c r="F2028" t="s">
        <v>391</v>
      </c>
      <c r="G2028">
        <v>6200427</v>
      </c>
      <c r="H2028">
        <v>202202</v>
      </c>
      <c r="I2028" s="400">
        <v>44620</v>
      </c>
      <c r="J2028" t="s">
        <v>452</v>
      </c>
      <c r="K2028" t="s">
        <v>386</v>
      </c>
      <c r="M2028" t="s">
        <v>387</v>
      </c>
      <c r="O2028" t="s">
        <v>1001</v>
      </c>
      <c r="P2028" t="s">
        <v>1002</v>
      </c>
      <c r="Q2028" t="s">
        <v>396</v>
      </c>
      <c r="R2028" s="458">
        <v>2540509</v>
      </c>
      <c r="S2028" t="s">
        <v>2714</v>
      </c>
      <c r="T2028" t="s">
        <v>2714</v>
      </c>
      <c r="U2028" t="s">
        <v>2715</v>
      </c>
      <c r="V2028" t="s">
        <v>398</v>
      </c>
      <c r="W2028" s="393">
        <v>9500</v>
      </c>
      <c r="X2028" s="393">
        <v>2.4300000000000002</v>
      </c>
      <c r="Y2028" s="393">
        <v>21.69</v>
      </c>
      <c r="Z2028" s="393">
        <v>9500</v>
      </c>
      <c r="AA2028">
        <v>0</v>
      </c>
      <c r="AB2028" s="400">
        <v>44627.628553437498</v>
      </c>
      <c r="AC2028" t="str">
        <f>+VLOOKUP(R2028,DRAFT!A:Q,17,0)</f>
        <v>1.2.2</v>
      </c>
    </row>
    <row r="2029" spans="1:29">
      <c r="A2029" t="s">
        <v>382</v>
      </c>
      <c r="B2029" t="s">
        <v>440</v>
      </c>
      <c r="C2029" t="s">
        <v>486</v>
      </c>
      <c r="D2029" t="s">
        <v>571</v>
      </c>
      <c r="E2029" t="s">
        <v>390</v>
      </c>
      <c r="F2029" t="s">
        <v>391</v>
      </c>
      <c r="G2029">
        <v>6200427</v>
      </c>
      <c r="H2029">
        <v>202202</v>
      </c>
      <c r="I2029" s="400">
        <v>44620</v>
      </c>
      <c r="J2029" t="s">
        <v>452</v>
      </c>
      <c r="K2029" t="s">
        <v>386</v>
      </c>
      <c r="M2029" t="s">
        <v>387</v>
      </c>
      <c r="O2029" t="s">
        <v>1001</v>
      </c>
      <c r="P2029" t="s">
        <v>1002</v>
      </c>
      <c r="Q2029" t="s">
        <v>396</v>
      </c>
      <c r="R2029" s="458">
        <v>2540509</v>
      </c>
      <c r="S2029" t="s">
        <v>2716</v>
      </c>
      <c r="T2029" t="s">
        <v>2716</v>
      </c>
      <c r="U2029" t="s">
        <v>2717</v>
      </c>
      <c r="V2029" t="s">
        <v>398</v>
      </c>
      <c r="W2029" s="393">
        <v>9500</v>
      </c>
      <c r="X2029" s="393">
        <v>2.4300000000000002</v>
      </c>
      <c r="Y2029" s="393">
        <v>21.69</v>
      </c>
      <c r="Z2029" s="393">
        <v>9500</v>
      </c>
      <c r="AA2029">
        <v>0</v>
      </c>
      <c r="AB2029" s="400">
        <v>44627.628553437498</v>
      </c>
      <c r="AC2029" t="str">
        <f>+VLOOKUP(R2029,DRAFT!A:Q,17,0)</f>
        <v>1.2.2</v>
      </c>
    </row>
    <row r="2030" spans="1:29">
      <c r="A2030" t="s">
        <v>382</v>
      </c>
      <c r="B2030" t="s">
        <v>440</v>
      </c>
      <c r="C2030" t="s">
        <v>486</v>
      </c>
      <c r="D2030" t="s">
        <v>571</v>
      </c>
      <c r="E2030" t="s">
        <v>390</v>
      </c>
      <c r="F2030" t="s">
        <v>391</v>
      </c>
      <c r="G2030">
        <v>6200427</v>
      </c>
      <c r="H2030">
        <v>202202</v>
      </c>
      <c r="I2030" s="400">
        <v>44620</v>
      </c>
      <c r="J2030" t="s">
        <v>452</v>
      </c>
      <c r="K2030" t="s">
        <v>386</v>
      </c>
      <c r="M2030" t="s">
        <v>387</v>
      </c>
      <c r="O2030" t="s">
        <v>1001</v>
      </c>
      <c r="P2030" t="s">
        <v>1002</v>
      </c>
      <c r="Q2030" t="s">
        <v>396</v>
      </c>
      <c r="R2030" s="458">
        <v>2540509</v>
      </c>
      <c r="S2030" t="s">
        <v>2718</v>
      </c>
      <c r="T2030" t="s">
        <v>2718</v>
      </c>
      <c r="U2030" t="s">
        <v>2719</v>
      </c>
      <c r="V2030" t="s">
        <v>398</v>
      </c>
      <c r="W2030" s="393">
        <v>9500</v>
      </c>
      <c r="X2030" s="393">
        <v>2.4300000000000002</v>
      </c>
      <c r="Y2030" s="393">
        <v>21.69</v>
      </c>
      <c r="Z2030" s="393">
        <v>9500</v>
      </c>
      <c r="AA2030">
        <v>0</v>
      </c>
      <c r="AB2030" s="400">
        <v>44627.628553437498</v>
      </c>
      <c r="AC2030" t="str">
        <f>+VLOOKUP(R2030,DRAFT!A:Q,17,0)</f>
        <v>1.2.2</v>
      </c>
    </row>
    <row r="2031" spans="1:29">
      <c r="A2031" t="s">
        <v>382</v>
      </c>
      <c r="B2031" t="s">
        <v>440</v>
      </c>
      <c r="C2031" t="s">
        <v>486</v>
      </c>
      <c r="D2031" t="s">
        <v>571</v>
      </c>
      <c r="E2031" t="s">
        <v>390</v>
      </c>
      <c r="F2031" t="s">
        <v>391</v>
      </c>
      <c r="G2031">
        <v>6200427</v>
      </c>
      <c r="H2031">
        <v>202202</v>
      </c>
      <c r="I2031" s="400">
        <v>44620</v>
      </c>
      <c r="J2031" t="s">
        <v>452</v>
      </c>
      <c r="K2031" t="s">
        <v>386</v>
      </c>
      <c r="M2031" t="s">
        <v>387</v>
      </c>
      <c r="O2031" t="s">
        <v>1001</v>
      </c>
      <c r="P2031" t="s">
        <v>1002</v>
      </c>
      <c r="Q2031" t="s">
        <v>396</v>
      </c>
      <c r="R2031" s="458">
        <v>2540509</v>
      </c>
      <c r="S2031" t="s">
        <v>2720</v>
      </c>
      <c r="T2031" t="s">
        <v>2720</v>
      </c>
      <c r="U2031" t="s">
        <v>2721</v>
      </c>
      <c r="V2031" t="s">
        <v>398</v>
      </c>
      <c r="W2031" s="393">
        <v>9500</v>
      </c>
      <c r="X2031" s="393">
        <v>2.4300000000000002</v>
      </c>
      <c r="Y2031" s="393">
        <v>21.69</v>
      </c>
      <c r="Z2031" s="393">
        <v>9500</v>
      </c>
      <c r="AA2031">
        <v>0</v>
      </c>
      <c r="AB2031" s="400">
        <v>44627.628553437498</v>
      </c>
      <c r="AC2031" t="str">
        <f>+VLOOKUP(R2031,DRAFT!A:Q,17,0)</f>
        <v>1.2.2</v>
      </c>
    </row>
    <row r="2032" spans="1:29">
      <c r="A2032" t="s">
        <v>382</v>
      </c>
      <c r="B2032" t="s">
        <v>440</v>
      </c>
      <c r="C2032" t="s">
        <v>486</v>
      </c>
      <c r="D2032" t="s">
        <v>571</v>
      </c>
      <c r="E2032" t="s">
        <v>390</v>
      </c>
      <c r="F2032" t="s">
        <v>391</v>
      </c>
      <c r="G2032">
        <v>6200427</v>
      </c>
      <c r="H2032">
        <v>202202</v>
      </c>
      <c r="I2032" s="400">
        <v>44620</v>
      </c>
      <c r="J2032" t="s">
        <v>452</v>
      </c>
      <c r="K2032" t="s">
        <v>386</v>
      </c>
      <c r="M2032" t="s">
        <v>387</v>
      </c>
      <c r="O2032" t="s">
        <v>1001</v>
      </c>
      <c r="P2032" t="s">
        <v>1002</v>
      </c>
      <c r="Q2032" t="s">
        <v>396</v>
      </c>
      <c r="R2032" s="458">
        <v>2540509</v>
      </c>
      <c r="S2032" t="s">
        <v>2722</v>
      </c>
      <c r="T2032" t="s">
        <v>2722</v>
      </c>
      <c r="U2032" t="s">
        <v>2723</v>
      </c>
      <c r="V2032" t="s">
        <v>398</v>
      </c>
      <c r="W2032" s="393">
        <v>9500</v>
      </c>
      <c r="X2032" s="393">
        <v>2.4300000000000002</v>
      </c>
      <c r="Y2032" s="393">
        <v>21.69</v>
      </c>
      <c r="Z2032" s="393">
        <v>9500</v>
      </c>
      <c r="AA2032">
        <v>0</v>
      </c>
      <c r="AB2032" s="400">
        <v>44627.628553437498</v>
      </c>
      <c r="AC2032" t="str">
        <f>+VLOOKUP(R2032,DRAFT!A:Q,17,0)</f>
        <v>1.2.2</v>
      </c>
    </row>
    <row r="2033" spans="1:29">
      <c r="A2033" t="s">
        <v>382</v>
      </c>
      <c r="B2033" t="s">
        <v>440</v>
      </c>
      <c r="C2033" t="s">
        <v>486</v>
      </c>
      <c r="D2033" t="s">
        <v>571</v>
      </c>
      <c r="E2033" t="s">
        <v>390</v>
      </c>
      <c r="F2033" t="s">
        <v>391</v>
      </c>
      <c r="G2033">
        <v>6200427</v>
      </c>
      <c r="H2033">
        <v>202202</v>
      </c>
      <c r="I2033" s="400">
        <v>44620</v>
      </c>
      <c r="J2033" t="s">
        <v>452</v>
      </c>
      <c r="K2033" t="s">
        <v>386</v>
      </c>
      <c r="M2033" t="s">
        <v>387</v>
      </c>
      <c r="O2033" t="s">
        <v>1001</v>
      </c>
      <c r="P2033" t="s">
        <v>1002</v>
      </c>
      <c r="Q2033" t="s">
        <v>396</v>
      </c>
      <c r="R2033" s="458">
        <v>2540509</v>
      </c>
      <c r="S2033" t="s">
        <v>2724</v>
      </c>
      <c r="T2033" t="s">
        <v>2724</v>
      </c>
      <c r="U2033" t="s">
        <v>2725</v>
      </c>
      <c r="V2033" t="s">
        <v>398</v>
      </c>
      <c r="W2033" s="393">
        <v>9500</v>
      </c>
      <c r="X2033" s="393">
        <v>2.4300000000000002</v>
      </c>
      <c r="Y2033" s="393">
        <v>21.69</v>
      </c>
      <c r="Z2033" s="393">
        <v>9500</v>
      </c>
      <c r="AA2033">
        <v>0</v>
      </c>
      <c r="AB2033" s="400">
        <v>44627.628553437498</v>
      </c>
      <c r="AC2033" t="str">
        <f>+VLOOKUP(R2033,DRAFT!A:Q,17,0)</f>
        <v>1.2.2</v>
      </c>
    </row>
    <row r="2034" spans="1:29">
      <c r="A2034" t="s">
        <v>382</v>
      </c>
      <c r="B2034" t="s">
        <v>440</v>
      </c>
      <c r="C2034" t="s">
        <v>486</v>
      </c>
      <c r="D2034" t="s">
        <v>571</v>
      </c>
      <c r="E2034" t="s">
        <v>390</v>
      </c>
      <c r="F2034" t="s">
        <v>391</v>
      </c>
      <c r="G2034">
        <v>6200427</v>
      </c>
      <c r="H2034">
        <v>202202</v>
      </c>
      <c r="I2034" s="400">
        <v>44620</v>
      </c>
      <c r="J2034" t="s">
        <v>452</v>
      </c>
      <c r="K2034" t="s">
        <v>386</v>
      </c>
      <c r="M2034" t="s">
        <v>387</v>
      </c>
      <c r="O2034" t="s">
        <v>2067</v>
      </c>
      <c r="P2034" t="s">
        <v>2068</v>
      </c>
      <c r="Q2034" t="s">
        <v>396</v>
      </c>
      <c r="R2034" s="458">
        <v>2540509</v>
      </c>
      <c r="S2034" t="s">
        <v>2726</v>
      </c>
      <c r="T2034" t="s">
        <v>2726</v>
      </c>
      <c r="U2034" t="s">
        <v>2727</v>
      </c>
      <c r="V2034" t="s">
        <v>398</v>
      </c>
      <c r="W2034" s="393">
        <v>11000</v>
      </c>
      <c r="X2034" s="393">
        <v>2.81</v>
      </c>
      <c r="Y2034" s="393">
        <v>25.11</v>
      </c>
      <c r="Z2034" s="393">
        <v>11000</v>
      </c>
      <c r="AA2034">
        <v>0</v>
      </c>
      <c r="AB2034" s="400">
        <v>44627.628553437498</v>
      </c>
      <c r="AC2034" t="str">
        <f>+VLOOKUP(R2034,DRAFT!A:Q,17,0)</f>
        <v>1.2.2</v>
      </c>
    </row>
    <row r="2035" spans="1:29">
      <c r="A2035" t="s">
        <v>382</v>
      </c>
      <c r="B2035" t="s">
        <v>440</v>
      </c>
      <c r="C2035" t="s">
        <v>486</v>
      </c>
      <c r="D2035" t="s">
        <v>571</v>
      </c>
      <c r="E2035" t="s">
        <v>390</v>
      </c>
      <c r="F2035" t="s">
        <v>391</v>
      </c>
      <c r="G2035">
        <v>6200427</v>
      </c>
      <c r="H2035">
        <v>202202</v>
      </c>
      <c r="I2035" s="400">
        <v>44620</v>
      </c>
      <c r="J2035" t="s">
        <v>452</v>
      </c>
      <c r="K2035" t="s">
        <v>386</v>
      </c>
      <c r="M2035" t="s">
        <v>387</v>
      </c>
      <c r="O2035" t="s">
        <v>2130</v>
      </c>
      <c r="P2035" t="s">
        <v>2131</v>
      </c>
      <c r="Q2035" t="s">
        <v>396</v>
      </c>
      <c r="R2035" s="458">
        <v>2540509</v>
      </c>
      <c r="S2035" t="s">
        <v>2728</v>
      </c>
      <c r="T2035" t="s">
        <v>2728</v>
      </c>
      <c r="U2035" t="s">
        <v>2729</v>
      </c>
      <c r="V2035" t="s">
        <v>398</v>
      </c>
      <c r="W2035" s="393">
        <v>26000</v>
      </c>
      <c r="X2035" s="393">
        <v>6.64</v>
      </c>
      <c r="Y2035" s="393">
        <v>59.35</v>
      </c>
      <c r="Z2035" s="393">
        <v>26000</v>
      </c>
      <c r="AA2035">
        <v>0</v>
      </c>
      <c r="AB2035" s="400">
        <v>44627.628553437498</v>
      </c>
      <c r="AC2035" t="str">
        <f>+VLOOKUP(R2035,DRAFT!A:Q,17,0)</f>
        <v>1.2.2</v>
      </c>
    </row>
    <row r="2036" spans="1:29">
      <c r="A2036" t="s">
        <v>382</v>
      </c>
      <c r="B2036" t="s">
        <v>440</v>
      </c>
      <c r="C2036" t="s">
        <v>486</v>
      </c>
      <c r="D2036" t="s">
        <v>571</v>
      </c>
      <c r="E2036" t="s">
        <v>390</v>
      </c>
      <c r="F2036" t="s">
        <v>391</v>
      </c>
      <c r="G2036">
        <v>6200427</v>
      </c>
      <c r="H2036">
        <v>202202</v>
      </c>
      <c r="I2036" s="400">
        <v>44620</v>
      </c>
      <c r="J2036" t="s">
        <v>452</v>
      </c>
      <c r="K2036" t="s">
        <v>386</v>
      </c>
      <c r="M2036" t="s">
        <v>387</v>
      </c>
      <c r="O2036" t="s">
        <v>2639</v>
      </c>
      <c r="P2036" t="s">
        <v>2640</v>
      </c>
      <c r="Q2036" t="s">
        <v>396</v>
      </c>
      <c r="R2036" s="458">
        <v>2540509</v>
      </c>
      <c r="S2036" t="s">
        <v>2730</v>
      </c>
      <c r="T2036" t="s">
        <v>2730</v>
      </c>
      <c r="U2036" t="s">
        <v>2731</v>
      </c>
      <c r="V2036" t="s">
        <v>398</v>
      </c>
      <c r="W2036" s="393">
        <v>35000</v>
      </c>
      <c r="X2036" s="393">
        <v>8.94</v>
      </c>
      <c r="Y2036" s="393">
        <v>79.900000000000006</v>
      </c>
      <c r="Z2036" s="393">
        <v>35000</v>
      </c>
      <c r="AA2036">
        <v>0</v>
      </c>
      <c r="AB2036" s="400">
        <v>44627.628553437498</v>
      </c>
      <c r="AC2036" t="str">
        <f>+VLOOKUP(R2036,DRAFT!A:Q,17,0)</f>
        <v>1.2.2</v>
      </c>
    </row>
    <row r="2037" spans="1:29">
      <c r="A2037" t="s">
        <v>382</v>
      </c>
      <c r="B2037" t="s">
        <v>440</v>
      </c>
      <c r="C2037" t="s">
        <v>486</v>
      </c>
      <c r="D2037" t="s">
        <v>571</v>
      </c>
      <c r="E2037" t="s">
        <v>390</v>
      </c>
      <c r="F2037" t="s">
        <v>391</v>
      </c>
      <c r="G2037">
        <v>6200427</v>
      </c>
      <c r="H2037">
        <v>202202</v>
      </c>
      <c r="I2037" s="400">
        <v>44620</v>
      </c>
      <c r="J2037" t="s">
        <v>452</v>
      </c>
      <c r="K2037" t="s">
        <v>386</v>
      </c>
      <c r="M2037" t="s">
        <v>387</v>
      </c>
      <c r="O2037" t="s">
        <v>658</v>
      </c>
      <c r="P2037" t="s">
        <v>659</v>
      </c>
      <c r="Q2037" t="s">
        <v>396</v>
      </c>
      <c r="R2037" s="458">
        <v>2540509</v>
      </c>
      <c r="S2037" t="s">
        <v>2732</v>
      </c>
      <c r="T2037" t="s">
        <v>2732</v>
      </c>
      <c r="U2037" t="s">
        <v>2733</v>
      </c>
      <c r="V2037" t="s">
        <v>398</v>
      </c>
      <c r="W2037" s="393">
        <v>24000</v>
      </c>
      <c r="X2037" s="393">
        <v>6.13</v>
      </c>
      <c r="Y2037" s="393">
        <v>54.79</v>
      </c>
      <c r="Z2037" s="393">
        <v>24000</v>
      </c>
      <c r="AA2037">
        <v>0</v>
      </c>
      <c r="AB2037" s="400">
        <v>44627.628553437498</v>
      </c>
      <c r="AC2037" t="str">
        <f>+VLOOKUP(R2037,DRAFT!A:Q,17,0)</f>
        <v>1.2.2</v>
      </c>
    </row>
    <row r="2038" spans="1:29">
      <c r="A2038" t="s">
        <v>382</v>
      </c>
      <c r="B2038" t="s">
        <v>440</v>
      </c>
      <c r="C2038" t="s">
        <v>486</v>
      </c>
      <c r="D2038" t="s">
        <v>571</v>
      </c>
      <c r="E2038" t="s">
        <v>390</v>
      </c>
      <c r="F2038" t="s">
        <v>391</v>
      </c>
      <c r="G2038">
        <v>6200427</v>
      </c>
      <c r="H2038">
        <v>202202</v>
      </c>
      <c r="I2038" s="400">
        <v>44620</v>
      </c>
      <c r="J2038" t="s">
        <v>452</v>
      </c>
      <c r="K2038" t="s">
        <v>386</v>
      </c>
      <c r="M2038" t="s">
        <v>387</v>
      </c>
      <c r="O2038" t="s">
        <v>658</v>
      </c>
      <c r="P2038" t="s">
        <v>659</v>
      </c>
      <c r="Q2038" t="s">
        <v>396</v>
      </c>
      <c r="R2038" s="458">
        <v>2540509</v>
      </c>
      <c r="S2038" t="s">
        <v>2734</v>
      </c>
      <c r="T2038" t="s">
        <v>2734</v>
      </c>
      <c r="U2038" t="s">
        <v>2735</v>
      </c>
      <c r="V2038" t="s">
        <v>398</v>
      </c>
      <c r="W2038" s="393">
        <v>44000</v>
      </c>
      <c r="X2038" s="393">
        <v>11.24</v>
      </c>
      <c r="Y2038" s="393">
        <v>100.44</v>
      </c>
      <c r="Z2038" s="393">
        <v>44000</v>
      </c>
      <c r="AA2038">
        <v>0</v>
      </c>
      <c r="AB2038" s="400">
        <v>44627.628553437498</v>
      </c>
      <c r="AC2038" t="str">
        <f>+VLOOKUP(R2038,DRAFT!A:Q,17,0)</f>
        <v>1.2.2</v>
      </c>
    </row>
    <row r="2039" spans="1:29">
      <c r="A2039" t="s">
        <v>382</v>
      </c>
      <c r="B2039" t="s">
        <v>440</v>
      </c>
      <c r="C2039" t="s">
        <v>486</v>
      </c>
      <c r="D2039" t="s">
        <v>571</v>
      </c>
      <c r="E2039" t="s">
        <v>390</v>
      </c>
      <c r="F2039" t="s">
        <v>391</v>
      </c>
      <c r="G2039">
        <v>6200430</v>
      </c>
      <c r="H2039">
        <v>202202</v>
      </c>
      <c r="I2039" s="400">
        <v>44599</v>
      </c>
      <c r="J2039">
        <v>122536</v>
      </c>
      <c r="K2039" t="s">
        <v>386</v>
      </c>
      <c r="M2039" t="s">
        <v>387</v>
      </c>
      <c r="O2039" t="s">
        <v>2621</v>
      </c>
      <c r="P2039" t="s">
        <v>2622</v>
      </c>
      <c r="Q2039" t="s">
        <v>396</v>
      </c>
      <c r="R2039" s="458">
        <v>2069133</v>
      </c>
      <c r="S2039" t="s">
        <v>387</v>
      </c>
      <c r="U2039" t="s">
        <v>2624</v>
      </c>
      <c r="V2039" t="s">
        <v>398</v>
      </c>
      <c r="W2039" s="393">
        <v>3585727</v>
      </c>
      <c r="X2039" s="393">
        <v>912.85</v>
      </c>
      <c r="Y2039" s="393">
        <v>8073.01</v>
      </c>
      <c r="Z2039" s="393">
        <v>3585727</v>
      </c>
      <c r="AA2039">
        <v>11</v>
      </c>
      <c r="AB2039" s="400">
        <v>44627.724196030096</v>
      </c>
      <c r="AC2039" t="str">
        <f>+VLOOKUP(R2039,DRAFT!A:Q,17,0)</f>
        <v>1.3.2</v>
      </c>
    </row>
    <row r="2040" spans="1:29">
      <c r="A2040" t="s">
        <v>382</v>
      </c>
      <c r="B2040" t="s">
        <v>440</v>
      </c>
      <c r="C2040" t="s">
        <v>486</v>
      </c>
      <c r="D2040" t="s">
        <v>571</v>
      </c>
      <c r="E2040" t="s">
        <v>390</v>
      </c>
      <c r="F2040" t="s">
        <v>391</v>
      </c>
      <c r="G2040">
        <v>6200430</v>
      </c>
      <c r="H2040">
        <v>202202</v>
      </c>
      <c r="I2040" s="400">
        <v>44599</v>
      </c>
      <c r="J2040">
        <v>122536</v>
      </c>
      <c r="K2040" t="s">
        <v>386</v>
      </c>
      <c r="M2040" t="s">
        <v>387</v>
      </c>
      <c r="O2040" t="s">
        <v>2778</v>
      </c>
      <c r="P2040" t="s">
        <v>2779</v>
      </c>
      <c r="Q2040" t="s">
        <v>396</v>
      </c>
      <c r="R2040" s="458">
        <v>2069133</v>
      </c>
      <c r="S2040" t="s">
        <v>387</v>
      </c>
      <c r="U2040" t="s">
        <v>2780</v>
      </c>
      <c r="V2040" t="s">
        <v>398</v>
      </c>
      <c r="W2040" s="393">
        <v>1892000</v>
      </c>
      <c r="X2040" s="393">
        <v>481.67</v>
      </c>
      <c r="Y2040" s="393">
        <v>4259.71</v>
      </c>
      <c r="Z2040" s="393">
        <v>1892000</v>
      </c>
      <c r="AA2040">
        <v>315</v>
      </c>
      <c r="AB2040" s="400">
        <v>44627.724196030096</v>
      </c>
      <c r="AC2040" t="str">
        <f>+VLOOKUP(R2040,DRAFT!A:Q,17,0)</f>
        <v>1.3.2</v>
      </c>
    </row>
    <row r="2041" spans="1:29">
      <c r="A2041" t="s">
        <v>382</v>
      </c>
      <c r="B2041" t="s">
        <v>440</v>
      </c>
      <c r="C2041" t="s">
        <v>486</v>
      </c>
      <c r="D2041" t="s">
        <v>571</v>
      </c>
      <c r="E2041" t="s">
        <v>390</v>
      </c>
      <c r="F2041" t="s">
        <v>391</v>
      </c>
      <c r="G2041">
        <v>6200868</v>
      </c>
      <c r="H2041">
        <v>202203</v>
      </c>
      <c r="I2041" s="400">
        <v>44645</v>
      </c>
      <c r="J2041">
        <v>127949</v>
      </c>
      <c r="K2041" t="s">
        <v>386</v>
      </c>
      <c r="M2041" t="s">
        <v>387</v>
      </c>
      <c r="O2041" t="s">
        <v>849</v>
      </c>
      <c r="P2041" t="s">
        <v>850</v>
      </c>
      <c r="Q2041" t="s">
        <v>396</v>
      </c>
      <c r="R2041" s="458">
        <v>2540511</v>
      </c>
      <c r="S2041" t="s">
        <v>2787</v>
      </c>
      <c r="U2041" t="s">
        <v>2788</v>
      </c>
      <c r="V2041" t="s">
        <v>398</v>
      </c>
      <c r="W2041" s="393">
        <v>65000</v>
      </c>
      <c r="X2041" s="393">
        <v>17.3</v>
      </c>
      <c r="Y2041" s="393">
        <v>151.34</v>
      </c>
      <c r="Z2041" s="393">
        <v>65000</v>
      </c>
      <c r="AA2041">
        <v>0</v>
      </c>
      <c r="AB2041" s="400">
        <v>44655.006353321762</v>
      </c>
      <c r="AC2041" t="str">
        <f>+VLOOKUP(R2041,DRAFT!A:Q,17,0)</f>
        <v>1.2.1</v>
      </c>
    </row>
    <row r="2042" spans="1:29">
      <c r="A2042" t="s">
        <v>382</v>
      </c>
      <c r="B2042" t="s">
        <v>440</v>
      </c>
      <c r="C2042" t="s">
        <v>486</v>
      </c>
      <c r="D2042" t="s">
        <v>571</v>
      </c>
      <c r="E2042" t="s">
        <v>390</v>
      </c>
      <c r="F2042" t="s">
        <v>391</v>
      </c>
      <c r="G2042">
        <v>6200868</v>
      </c>
      <c r="H2042">
        <v>202203</v>
      </c>
      <c r="I2042" s="400">
        <v>44645</v>
      </c>
      <c r="J2042">
        <v>127949</v>
      </c>
      <c r="K2042" t="s">
        <v>386</v>
      </c>
      <c r="M2042" t="s">
        <v>387</v>
      </c>
      <c r="O2042" t="s">
        <v>849</v>
      </c>
      <c r="P2042" t="s">
        <v>850</v>
      </c>
      <c r="Q2042" t="s">
        <v>396</v>
      </c>
      <c r="R2042" s="458">
        <v>2540509</v>
      </c>
      <c r="S2042" t="s">
        <v>2790</v>
      </c>
      <c r="U2042" t="s">
        <v>2791</v>
      </c>
      <c r="V2042" t="s">
        <v>398</v>
      </c>
      <c r="W2042" s="393">
        <v>130000</v>
      </c>
      <c r="X2042" s="393">
        <v>34.61</v>
      </c>
      <c r="Y2042" s="393">
        <v>302.68</v>
      </c>
      <c r="Z2042" s="393">
        <v>130000</v>
      </c>
      <c r="AA2042">
        <v>0</v>
      </c>
      <c r="AB2042" s="400">
        <v>44655.006353321762</v>
      </c>
      <c r="AC2042" t="str">
        <f>+VLOOKUP(R2042,DRAFT!A:Q,17,0)</f>
        <v>1.2.2</v>
      </c>
    </row>
    <row r="2043" spans="1:29">
      <c r="A2043" t="s">
        <v>382</v>
      </c>
      <c r="B2043" t="s">
        <v>440</v>
      </c>
      <c r="C2043" t="s">
        <v>486</v>
      </c>
      <c r="D2043" t="s">
        <v>571</v>
      </c>
      <c r="E2043" t="s">
        <v>390</v>
      </c>
      <c r="F2043" t="s">
        <v>391</v>
      </c>
      <c r="G2043">
        <v>6200868</v>
      </c>
      <c r="H2043">
        <v>202203</v>
      </c>
      <c r="I2043" s="400">
        <v>44645</v>
      </c>
      <c r="J2043">
        <v>127949</v>
      </c>
      <c r="K2043" t="s">
        <v>386</v>
      </c>
      <c r="M2043" t="s">
        <v>387</v>
      </c>
      <c r="O2043" t="s">
        <v>849</v>
      </c>
      <c r="P2043" t="s">
        <v>850</v>
      </c>
      <c r="Q2043" t="s">
        <v>396</v>
      </c>
      <c r="R2043" s="458">
        <v>2540509</v>
      </c>
      <c r="S2043" t="s">
        <v>2792</v>
      </c>
      <c r="U2043" t="s">
        <v>2793</v>
      </c>
      <c r="V2043" t="s">
        <v>398</v>
      </c>
      <c r="W2043" s="393">
        <v>130000</v>
      </c>
      <c r="X2043" s="393">
        <v>34.61</v>
      </c>
      <c r="Y2043" s="393">
        <v>302.68</v>
      </c>
      <c r="Z2043" s="393">
        <v>130000</v>
      </c>
      <c r="AA2043">
        <v>0</v>
      </c>
      <c r="AB2043" s="400">
        <v>44655.006353321762</v>
      </c>
      <c r="AC2043" t="str">
        <f>+VLOOKUP(R2043,DRAFT!A:Q,17,0)</f>
        <v>1.2.2</v>
      </c>
    </row>
    <row r="2044" spans="1:29">
      <c r="A2044" t="s">
        <v>382</v>
      </c>
      <c r="B2044" t="s">
        <v>440</v>
      </c>
      <c r="C2044" t="s">
        <v>486</v>
      </c>
      <c r="D2044" t="s">
        <v>571</v>
      </c>
      <c r="E2044" t="s">
        <v>390</v>
      </c>
      <c r="F2044" t="s">
        <v>391</v>
      </c>
      <c r="G2044">
        <v>6200868</v>
      </c>
      <c r="H2044">
        <v>202203</v>
      </c>
      <c r="I2044" s="400">
        <v>44645</v>
      </c>
      <c r="J2044">
        <v>127949</v>
      </c>
      <c r="K2044" t="s">
        <v>386</v>
      </c>
      <c r="M2044" t="s">
        <v>387</v>
      </c>
      <c r="O2044" t="s">
        <v>849</v>
      </c>
      <c r="P2044" t="s">
        <v>850</v>
      </c>
      <c r="Q2044" t="s">
        <v>396</v>
      </c>
      <c r="R2044" s="458">
        <v>2540509</v>
      </c>
      <c r="S2044" t="s">
        <v>2794</v>
      </c>
      <c r="U2044" t="s">
        <v>2795</v>
      </c>
      <c r="V2044" t="s">
        <v>398</v>
      </c>
      <c r="W2044" s="393">
        <v>65000</v>
      </c>
      <c r="X2044" s="393">
        <v>17.3</v>
      </c>
      <c r="Y2044" s="393">
        <v>151.34</v>
      </c>
      <c r="Z2044" s="393">
        <v>65000</v>
      </c>
      <c r="AA2044">
        <v>0</v>
      </c>
      <c r="AB2044" s="400">
        <v>44655.006353321762</v>
      </c>
      <c r="AC2044" t="str">
        <f>+VLOOKUP(R2044,DRAFT!A:Q,17,0)</f>
        <v>1.2.2</v>
      </c>
    </row>
    <row r="2045" spans="1:29">
      <c r="A2045" t="s">
        <v>382</v>
      </c>
      <c r="B2045" t="s">
        <v>440</v>
      </c>
      <c r="C2045" t="s">
        <v>486</v>
      </c>
      <c r="D2045" t="s">
        <v>571</v>
      </c>
      <c r="E2045" t="s">
        <v>390</v>
      </c>
      <c r="F2045" t="s">
        <v>391</v>
      </c>
      <c r="G2045">
        <v>6200868</v>
      </c>
      <c r="H2045">
        <v>202203</v>
      </c>
      <c r="I2045" s="400">
        <v>44645</v>
      </c>
      <c r="J2045">
        <v>127949</v>
      </c>
      <c r="K2045" t="s">
        <v>386</v>
      </c>
      <c r="M2045" t="s">
        <v>387</v>
      </c>
      <c r="O2045" t="s">
        <v>849</v>
      </c>
      <c r="P2045" t="s">
        <v>850</v>
      </c>
      <c r="Q2045" t="s">
        <v>396</v>
      </c>
      <c r="R2045" s="458">
        <v>2540511</v>
      </c>
      <c r="S2045" t="s">
        <v>2102</v>
      </c>
      <c r="U2045" t="s">
        <v>2797</v>
      </c>
      <c r="V2045" t="s">
        <v>398</v>
      </c>
      <c r="W2045" s="393">
        <v>65000</v>
      </c>
      <c r="X2045" s="393">
        <v>17.3</v>
      </c>
      <c r="Y2045" s="393">
        <v>151.34</v>
      </c>
      <c r="Z2045" s="393">
        <v>65000</v>
      </c>
      <c r="AA2045">
        <v>0</v>
      </c>
      <c r="AB2045" s="400">
        <v>44655.006353506942</v>
      </c>
      <c r="AC2045" t="str">
        <f>+VLOOKUP(R2045,DRAFT!A:Q,17,0)</f>
        <v>1.2.1</v>
      </c>
    </row>
    <row r="2046" spans="1:29">
      <c r="A2046" t="s">
        <v>382</v>
      </c>
      <c r="B2046" t="s">
        <v>440</v>
      </c>
      <c r="C2046" t="s">
        <v>486</v>
      </c>
      <c r="D2046" t="s">
        <v>571</v>
      </c>
      <c r="E2046" t="s">
        <v>390</v>
      </c>
      <c r="F2046" t="s">
        <v>391</v>
      </c>
      <c r="G2046">
        <v>6200868</v>
      </c>
      <c r="H2046">
        <v>202203</v>
      </c>
      <c r="I2046" s="400">
        <v>44645</v>
      </c>
      <c r="J2046">
        <v>127949</v>
      </c>
      <c r="K2046" t="s">
        <v>386</v>
      </c>
      <c r="M2046" t="s">
        <v>387</v>
      </c>
      <c r="O2046" t="s">
        <v>849</v>
      </c>
      <c r="P2046" t="s">
        <v>850</v>
      </c>
      <c r="Q2046" t="s">
        <v>396</v>
      </c>
      <c r="R2046" s="458">
        <v>2540509</v>
      </c>
      <c r="S2046" t="s">
        <v>2798</v>
      </c>
      <c r="U2046" t="s">
        <v>2799</v>
      </c>
      <c r="V2046" t="s">
        <v>398</v>
      </c>
      <c r="W2046" s="393">
        <v>65000</v>
      </c>
      <c r="X2046" s="393">
        <v>17.3</v>
      </c>
      <c r="Y2046" s="393">
        <v>151.34</v>
      </c>
      <c r="Z2046" s="393">
        <v>65000</v>
      </c>
      <c r="AA2046">
        <v>0</v>
      </c>
      <c r="AB2046" s="400">
        <v>44655.006353506942</v>
      </c>
      <c r="AC2046" t="str">
        <f>+VLOOKUP(R2046,DRAFT!A:Q,17,0)</f>
        <v>1.2.2</v>
      </c>
    </row>
    <row r="2047" spans="1:29">
      <c r="A2047" t="s">
        <v>382</v>
      </c>
      <c r="B2047" t="s">
        <v>440</v>
      </c>
      <c r="C2047" t="s">
        <v>486</v>
      </c>
      <c r="D2047" t="s">
        <v>571</v>
      </c>
      <c r="E2047" t="s">
        <v>390</v>
      </c>
      <c r="F2047" t="s">
        <v>391</v>
      </c>
      <c r="G2047">
        <v>6200868</v>
      </c>
      <c r="H2047">
        <v>202203</v>
      </c>
      <c r="I2047" s="400">
        <v>44645</v>
      </c>
      <c r="J2047">
        <v>127949</v>
      </c>
      <c r="K2047" t="s">
        <v>386</v>
      </c>
      <c r="M2047" t="s">
        <v>387</v>
      </c>
      <c r="O2047" t="s">
        <v>849</v>
      </c>
      <c r="P2047" t="s">
        <v>850</v>
      </c>
      <c r="Q2047" t="s">
        <v>396</v>
      </c>
      <c r="R2047" s="458">
        <v>2540509</v>
      </c>
      <c r="S2047" t="s">
        <v>2800</v>
      </c>
      <c r="U2047" t="s">
        <v>2801</v>
      </c>
      <c r="V2047" t="s">
        <v>398</v>
      </c>
      <c r="W2047" s="393">
        <v>95000</v>
      </c>
      <c r="X2047" s="393">
        <v>25.29</v>
      </c>
      <c r="Y2047" s="393">
        <v>221.19</v>
      </c>
      <c r="Z2047" s="393">
        <v>95000</v>
      </c>
      <c r="AA2047">
        <v>0</v>
      </c>
      <c r="AB2047" s="400">
        <v>44655.006353506942</v>
      </c>
      <c r="AC2047" t="str">
        <f>+VLOOKUP(R2047,DRAFT!A:Q,17,0)</f>
        <v>1.2.2</v>
      </c>
    </row>
    <row r="2048" spans="1:29">
      <c r="A2048" t="s">
        <v>382</v>
      </c>
      <c r="B2048" t="s">
        <v>440</v>
      </c>
      <c r="C2048" t="s">
        <v>486</v>
      </c>
      <c r="D2048" t="s">
        <v>571</v>
      </c>
      <c r="E2048" t="s">
        <v>390</v>
      </c>
      <c r="F2048" t="s">
        <v>391</v>
      </c>
      <c r="G2048">
        <v>6200868</v>
      </c>
      <c r="H2048">
        <v>202203</v>
      </c>
      <c r="I2048" s="400">
        <v>44645</v>
      </c>
      <c r="J2048">
        <v>127949</v>
      </c>
      <c r="K2048" t="s">
        <v>386</v>
      </c>
      <c r="M2048" t="s">
        <v>387</v>
      </c>
      <c r="O2048" t="s">
        <v>849</v>
      </c>
      <c r="P2048" t="s">
        <v>850</v>
      </c>
      <c r="Q2048" t="s">
        <v>396</v>
      </c>
      <c r="R2048" s="458">
        <v>2540511</v>
      </c>
      <c r="S2048" t="s">
        <v>2802</v>
      </c>
      <c r="U2048" t="s">
        <v>2803</v>
      </c>
      <c r="V2048" t="s">
        <v>398</v>
      </c>
      <c r="W2048" s="393">
        <v>95000</v>
      </c>
      <c r="X2048" s="393">
        <v>25.29</v>
      </c>
      <c r="Y2048" s="393">
        <v>221.19</v>
      </c>
      <c r="Z2048" s="393">
        <v>95000</v>
      </c>
      <c r="AA2048">
        <v>0</v>
      </c>
      <c r="AB2048" s="400">
        <v>44655.006353668985</v>
      </c>
      <c r="AC2048" t="str">
        <f>+VLOOKUP(R2048,DRAFT!A:Q,17,0)</f>
        <v>1.2.1</v>
      </c>
    </row>
    <row r="2049" spans="1:29">
      <c r="A2049" t="s">
        <v>382</v>
      </c>
      <c r="B2049" t="s">
        <v>440</v>
      </c>
      <c r="C2049" t="s">
        <v>486</v>
      </c>
      <c r="D2049" t="s">
        <v>571</v>
      </c>
      <c r="E2049" t="s">
        <v>390</v>
      </c>
      <c r="F2049" t="s">
        <v>391</v>
      </c>
      <c r="G2049">
        <v>6200909</v>
      </c>
      <c r="H2049">
        <v>202203</v>
      </c>
      <c r="I2049" s="400">
        <v>44621</v>
      </c>
      <c r="J2049">
        <v>122536</v>
      </c>
      <c r="K2049" t="s">
        <v>386</v>
      </c>
      <c r="M2049" t="s">
        <v>387</v>
      </c>
      <c r="O2049" t="s">
        <v>2113</v>
      </c>
      <c r="P2049" t="s">
        <v>2114</v>
      </c>
      <c r="Q2049" t="s">
        <v>396</v>
      </c>
      <c r="R2049" s="458">
        <v>2069133</v>
      </c>
      <c r="S2049" t="s">
        <v>387</v>
      </c>
      <c r="U2049" t="s">
        <v>2796</v>
      </c>
      <c r="V2049" t="s">
        <v>398</v>
      </c>
      <c r="W2049" s="393">
        <v>30000</v>
      </c>
      <c r="X2049" s="393">
        <v>7.67</v>
      </c>
      <c r="Y2049" s="393">
        <v>68.48</v>
      </c>
      <c r="Z2049" s="393">
        <v>30000</v>
      </c>
      <c r="AA2049">
        <v>0</v>
      </c>
      <c r="AB2049" s="400">
        <v>44655.758529398146</v>
      </c>
      <c r="AC2049" t="str">
        <f>+VLOOKUP(R2049,DRAFT!A:Q,17,0)</f>
        <v>1.3.2</v>
      </c>
    </row>
    <row r="2050" spans="1:29">
      <c r="A2050" t="s">
        <v>382</v>
      </c>
      <c r="B2050" t="s">
        <v>440</v>
      </c>
      <c r="C2050" t="s">
        <v>486</v>
      </c>
      <c r="D2050" t="s">
        <v>571</v>
      </c>
      <c r="E2050" t="s">
        <v>390</v>
      </c>
      <c r="F2050" t="s">
        <v>391</v>
      </c>
      <c r="G2050">
        <v>6200596</v>
      </c>
      <c r="H2050">
        <v>202203</v>
      </c>
      <c r="I2050" s="400">
        <v>44631</v>
      </c>
      <c r="J2050">
        <v>122536</v>
      </c>
      <c r="K2050" t="s">
        <v>386</v>
      </c>
      <c r="M2050" t="s">
        <v>387</v>
      </c>
      <c r="O2050" t="s">
        <v>950</v>
      </c>
      <c r="P2050" t="s">
        <v>951</v>
      </c>
      <c r="Q2050" t="s">
        <v>396</v>
      </c>
      <c r="R2050" s="458">
        <v>2540509</v>
      </c>
      <c r="S2050" t="s">
        <v>387</v>
      </c>
      <c r="U2050" t="s">
        <v>2804</v>
      </c>
      <c r="V2050" t="s">
        <v>398</v>
      </c>
      <c r="W2050" s="393">
        <v>350000</v>
      </c>
      <c r="X2050" s="393">
        <v>84.65</v>
      </c>
      <c r="Y2050" s="393">
        <v>833.15</v>
      </c>
      <c r="Z2050" s="393">
        <v>350000</v>
      </c>
      <c r="AA2050">
        <v>0</v>
      </c>
      <c r="AB2050" s="400">
        <v>44638.684186423612</v>
      </c>
      <c r="AC2050" t="str">
        <f>+VLOOKUP(R2050,DRAFT!A:Q,17,0)</f>
        <v>1.2.2</v>
      </c>
    </row>
    <row r="2051" spans="1:29">
      <c r="A2051" t="s">
        <v>382</v>
      </c>
      <c r="B2051" t="s">
        <v>440</v>
      </c>
      <c r="C2051" t="s">
        <v>486</v>
      </c>
      <c r="D2051" t="s">
        <v>571</v>
      </c>
      <c r="E2051" t="s">
        <v>390</v>
      </c>
      <c r="F2051" t="s">
        <v>391</v>
      </c>
      <c r="G2051">
        <v>6200782</v>
      </c>
      <c r="H2051">
        <v>202203</v>
      </c>
      <c r="I2051" s="400">
        <v>44645</v>
      </c>
      <c r="J2051">
        <v>122536</v>
      </c>
      <c r="K2051" t="s">
        <v>386</v>
      </c>
      <c r="M2051" t="s">
        <v>387</v>
      </c>
      <c r="O2051" t="s">
        <v>950</v>
      </c>
      <c r="P2051" t="s">
        <v>951</v>
      </c>
      <c r="Q2051" t="s">
        <v>396</v>
      </c>
      <c r="R2051" s="458">
        <v>2540509</v>
      </c>
      <c r="S2051" t="s">
        <v>387</v>
      </c>
      <c r="U2051" t="s">
        <v>2789</v>
      </c>
      <c r="V2051" t="s">
        <v>398</v>
      </c>
      <c r="W2051" s="393">
        <v>350000</v>
      </c>
      <c r="X2051" s="393">
        <v>93.17</v>
      </c>
      <c r="Y2051" s="393">
        <v>814.91</v>
      </c>
      <c r="Z2051" s="393">
        <v>350000</v>
      </c>
      <c r="AA2051">
        <v>0</v>
      </c>
      <c r="AB2051" s="400">
        <v>44653.84719641204</v>
      </c>
      <c r="AC2051" t="str">
        <f>+VLOOKUP(R2051,DRAFT!A:Q,17,0)</f>
        <v>1.2.2</v>
      </c>
    </row>
    <row r="2052" spans="1:29">
      <c r="A2052" t="s">
        <v>382</v>
      </c>
      <c r="B2052" t="s">
        <v>440</v>
      </c>
      <c r="C2052" t="s">
        <v>486</v>
      </c>
      <c r="D2052" t="s">
        <v>571</v>
      </c>
      <c r="E2052" t="s">
        <v>390</v>
      </c>
      <c r="F2052" t="s">
        <v>391</v>
      </c>
      <c r="G2052">
        <v>6200767</v>
      </c>
      <c r="H2052">
        <v>202203</v>
      </c>
      <c r="I2052" s="400">
        <v>44631</v>
      </c>
      <c r="J2052">
        <v>122536</v>
      </c>
      <c r="K2052" t="s">
        <v>386</v>
      </c>
      <c r="M2052" t="s">
        <v>387</v>
      </c>
      <c r="O2052" t="s">
        <v>1380</v>
      </c>
      <c r="P2052" t="s">
        <v>1381</v>
      </c>
      <c r="Q2052" t="s">
        <v>396</v>
      </c>
      <c r="R2052" s="458">
        <v>2265779</v>
      </c>
      <c r="S2052" t="s">
        <v>387</v>
      </c>
      <c r="U2052" t="s">
        <v>2628</v>
      </c>
      <c r="V2052" t="s">
        <v>398</v>
      </c>
      <c r="W2052" s="393">
        <v>323400</v>
      </c>
      <c r="X2052" s="393">
        <v>78.22</v>
      </c>
      <c r="Y2052" s="393">
        <v>769.83</v>
      </c>
      <c r="Z2052" s="393">
        <v>323400</v>
      </c>
      <c r="AA2052">
        <v>241</v>
      </c>
      <c r="AB2052" s="400">
        <v>44651.845312152778</v>
      </c>
      <c r="AC2052" t="str">
        <f>+VLOOKUP(R2052,DRAFT!A:Q,17,0)</f>
        <v>MAE</v>
      </c>
    </row>
    <row r="2053" spans="1:29">
      <c r="A2053" t="s">
        <v>382</v>
      </c>
      <c r="B2053" t="s">
        <v>440</v>
      </c>
      <c r="C2053" t="s">
        <v>486</v>
      </c>
      <c r="D2053" t="s">
        <v>571</v>
      </c>
      <c r="E2053" t="s">
        <v>390</v>
      </c>
      <c r="F2053" t="s">
        <v>391</v>
      </c>
      <c r="G2053">
        <v>6200767</v>
      </c>
      <c r="H2053">
        <v>202203</v>
      </c>
      <c r="I2053" s="400">
        <v>44631</v>
      </c>
      <c r="J2053">
        <v>122536</v>
      </c>
      <c r="K2053" t="s">
        <v>386</v>
      </c>
      <c r="M2053" t="s">
        <v>387</v>
      </c>
      <c r="O2053" t="s">
        <v>1380</v>
      </c>
      <c r="P2053" t="s">
        <v>1381</v>
      </c>
      <c r="Q2053" t="s">
        <v>396</v>
      </c>
      <c r="R2053" s="458">
        <v>2265779</v>
      </c>
      <c r="S2053" t="s">
        <v>387</v>
      </c>
      <c r="U2053" t="s">
        <v>2628</v>
      </c>
      <c r="V2053" t="s">
        <v>398</v>
      </c>
      <c r="W2053" s="393">
        <v>35200</v>
      </c>
      <c r="X2053" s="393">
        <v>8.51</v>
      </c>
      <c r="Y2053" s="393">
        <v>83.79</v>
      </c>
      <c r="Z2053" s="393">
        <v>35200</v>
      </c>
      <c r="AA2053">
        <v>0</v>
      </c>
      <c r="AB2053" s="400">
        <v>44651.845312152778</v>
      </c>
      <c r="AC2053" t="str">
        <f>+VLOOKUP(R2053,DRAFT!A:Q,17,0)</f>
        <v>MAE</v>
      </c>
    </row>
    <row r="2054" spans="1:29">
      <c r="A2054" t="s">
        <v>382</v>
      </c>
      <c r="B2054" t="s">
        <v>440</v>
      </c>
      <c r="C2054" t="s">
        <v>486</v>
      </c>
      <c r="D2054" t="s">
        <v>571</v>
      </c>
      <c r="E2054" t="s">
        <v>390</v>
      </c>
      <c r="F2054" t="s">
        <v>391</v>
      </c>
      <c r="G2054">
        <v>6200767</v>
      </c>
      <c r="H2054">
        <v>202203</v>
      </c>
      <c r="I2054" s="400">
        <v>44631</v>
      </c>
      <c r="J2054">
        <v>122536</v>
      </c>
      <c r="K2054" t="s">
        <v>386</v>
      </c>
      <c r="M2054" t="s">
        <v>387</v>
      </c>
      <c r="O2054" t="s">
        <v>512</v>
      </c>
      <c r="P2054" t="s">
        <v>513</v>
      </c>
      <c r="Q2054" t="s">
        <v>396</v>
      </c>
      <c r="R2054" s="458">
        <v>2265779</v>
      </c>
      <c r="S2054" t="s">
        <v>387</v>
      </c>
      <c r="U2054" t="s">
        <v>2628</v>
      </c>
      <c r="V2054" t="s">
        <v>398</v>
      </c>
      <c r="W2054" s="393">
        <v>60732</v>
      </c>
      <c r="X2054" s="393">
        <v>14.69</v>
      </c>
      <c r="Y2054" s="393">
        <v>144.57</v>
      </c>
      <c r="Z2054" s="393">
        <v>60732</v>
      </c>
      <c r="AA2054">
        <v>241</v>
      </c>
      <c r="AB2054" s="400">
        <v>44651.845312303238</v>
      </c>
      <c r="AC2054" t="str">
        <f>+VLOOKUP(R2054,DRAFT!A:Q,17,0)</f>
        <v>MAE</v>
      </c>
    </row>
    <row r="2055" spans="1:29">
      <c r="A2055" t="s">
        <v>382</v>
      </c>
      <c r="B2055" t="s">
        <v>440</v>
      </c>
      <c r="C2055" t="s">
        <v>486</v>
      </c>
      <c r="D2055" t="s">
        <v>571</v>
      </c>
      <c r="E2055" t="s">
        <v>390</v>
      </c>
      <c r="F2055" t="s">
        <v>391</v>
      </c>
      <c r="G2055">
        <v>6201139</v>
      </c>
      <c r="H2055">
        <v>202204</v>
      </c>
      <c r="I2055" s="400">
        <v>44659</v>
      </c>
      <c r="J2055" t="s">
        <v>3947</v>
      </c>
      <c r="K2055" t="s">
        <v>386</v>
      </c>
      <c r="M2055" t="s">
        <v>387</v>
      </c>
      <c r="O2055" t="s">
        <v>1380</v>
      </c>
      <c r="P2055" t="s">
        <v>1381</v>
      </c>
      <c r="Q2055" t="s">
        <v>396</v>
      </c>
      <c r="R2055" s="458">
        <v>2265779</v>
      </c>
      <c r="S2055" t="s">
        <v>3948</v>
      </c>
      <c r="U2055" t="s">
        <v>3949</v>
      </c>
      <c r="V2055" t="s">
        <v>398</v>
      </c>
      <c r="W2055" s="393">
        <v>284000</v>
      </c>
      <c r="X2055" s="393">
        <v>75.77</v>
      </c>
      <c r="Y2055" s="393">
        <v>654.76</v>
      </c>
      <c r="Z2055" s="393">
        <v>284000</v>
      </c>
      <c r="AA2055">
        <v>241</v>
      </c>
      <c r="AB2055" s="400">
        <v>44672.058287465275</v>
      </c>
      <c r="AC2055" t="str">
        <f>+VLOOKUP(R2055,DRAFT!A:Q,17,0)</f>
        <v>MAE</v>
      </c>
    </row>
    <row r="2056" spans="1:29">
      <c r="A2056" t="s">
        <v>382</v>
      </c>
      <c r="B2056" t="s">
        <v>440</v>
      </c>
      <c r="C2056" t="s">
        <v>486</v>
      </c>
      <c r="D2056" t="s">
        <v>571</v>
      </c>
      <c r="E2056" t="s">
        <v>390</v>
      </c>
      <c r="F2056" t="s">
        <v>391</v>
      </c>
      <c r="G2056">
        <v>6201139</v>
      </c>
      <c r="H2056">
        <v>202204</v>
      </c>
      <c r="I2056" s="400">
        <v>44659</v>
      </c>
      <c r="J2056" t="s">
        <v>3947</v>
      </c>
      <c r="K2056" t="s">
        <v>386</v>
      </c>
      <c r="M2056" t="s">
        <v>387</v>
      </c>
      <c r="O2056" t="s">
        <v>1380</v>
      </c>
      <c r="P2056" t="s">
        <v>1381</v>
      </c>
      <c r="Q2056" t="s">
        <v>396</v>
      </c>
      <c r="R2056" s="458">
        <v>2265779</v>
      </c>
      <c r="S2056" t="s">
        <v>3948</v>
      </c>
      <c r="U2056" t="s">
        <v>3949</v>
      </c>
      <c r="V2056" t="s">
        <v>398</v>
      </c>
      <c r="W2056" s="393">
        <v>35200</v>
      </c>
      <c r="X2056" s="393">
        <v>9.39</v>
      </c>
      <c r="Y2056" s="393">
        <v>81.150000000000006</v>
      </c>
      <c r="Z2056" s="393">
        <v>35200</v>
      </c>
      <c r="AA2056">
        <v>0</v>
      </c>
      <c r="AB2056" s="400">
        <v>44672.058287465275</v>
      </c>
      <c r="AC2056" t="str">
        <f>+VLOOKUP(R2056,DRAFT!A:Q,17,0)</f>
        <v>MAE</v>
      </c>
    </row>
    <row r="2057" spans="1:29">
      <c r="A2057" t="s">
        <v>382</v>
      </c>
      <c r="B2057" t="s">
        <v>440</v>
      </c>
      <c r="C2057" t="s">
        <v>486</v>
      </c>
      <c r="D2057" t="s">
        <v>571</v>
      </c>
      <c r="E2057" t="s">
        <v>390</v>
      </c>
      <c r="F2057" t="s">
        <v>391</v>
      </c>
      <c r="G2057">
        <v>6201139</v>
      </c>
      <c r="H2057">
        <v>202204</v>
      </c>
      <c r="I2057" s="400">
        <v>44659</v>
      </c>
      <c r="J2057" t="s">
        <v>3947</v>
      </c>
      <c r="K2057" t="s">
        <v>386</v>
      </c>
      <c r="M2057" t="s">
        <v>387</v>
      </c>
      <c r="O2057" t="s">
        <v>512</v>
      </c>
      <c r="P2057" t="s">
        <v>513</v>
      </c>
      <c r="Q2057" t="s">
        <v>396</v>
      </c>
      <c r="R2057" s="458">
        <v>2265779</v>
      </c>
      <c r="S2057" t="s">
        <v>3948</v>
      </c>
      <c r="U2057" t="s">
        <v>3949</v>
      </c>
      <c r="V2057" t="s">
        <v>398</v>
      </c>
      <c r="W2057" s="393">
        <v>39242</v>
      </c>
      <c r="X2057" s="393">
        <v>10.47</v>
      </c>
      <c r="Y2057" s="393">
        <v>90.47</v>
      </c>
      <c r="Z2057" s="393">
        <v>39242</v>
      </c>
      <c r="AA2057">
        <v>241</v>
      </c>
      <c r="AB2057" s="400">
        <v>44672.058287465275</v>
      </c>
      <c r="AC2057" t="str">
        <f>+VLOOKUP(R2057,DRAFT!A:Q,17,0)</f>
        <v>MAE</v>
      </c>
    </row>
    <row r="2058" spans="1:29">
      <c r="A2058" t="s">
        <v>382</v>
      </c>
      <c r="B2058" t="s">
        <v>440</v>
      </c>
      <c r="C2058" t="s">
        <v>486</v>
      </c>
      <c r="D2058" t="s">
        <v>571</v>
      </c>
      <c r="E2058" t="s">
        <v>390</v>
      </c>
      <c r="F2058" t="s">
        <v>391</v>
      </c>
      <c r="G2058">
        <v>6201265</v>
      </c>
      <c r="H2058">
        <v>202204</v>
      </c>
      <c r="I2058" s="400">
        <v>44679</v>
      </c>
      <c r="J2058">
        <v>122536</v>
      </c>
      <c r="K2058" t="s">
        <v>386</v>
      </c>
      <c r="M2058" t="s">
        <v>387</v>
      </c>
      <c r="O2058" t="s">
        <v>950</v>
      </c>
      <c r="P2058" t="s">
        <v>951</v>
      </c>
      <c r="Q2058" t="s">
        <v>396</v>
      </c>
      <c r="R2058" s="458">
        <v>2069133</v>
      </c>
      <c r="S2058" t="s">
        <v>387</v>
      </c>
      <c r="U2058" t="s">
        <v>3964</v>
      </c>
      <c r="V2058" t="s">
        <v>398</v>
      </c>
      <c r="W2058" s="393">
        <v>700000</v>
      </c>
      <c r="X2058" s="393">
        <v>186.24</v>
      </c>
      <c r="Y2058" s="393">
        <v>1596.91</v>
      </c>
      <c r="Z2058" s="393">
        <v>700000</v>
      </c>
      <c r="AA2058">
        <v>0</v>
      </c>
      <c r="AB2058" s="400">
        <v>44684.925261689816</v>
      </c>
      <c r="AC2058" t="str">
        <f>+VLOOKUP(R2058,DRAFT!A:Q,17,0)</f>
        <v>1.3.2</v>
      </c>
    </row>
    <row r="2059" spans="1:29">
      <c r="A2059" t="s">
        <v>382</v>
      </c>
      <c r="B2059" t="s">
        <v>440</v>
      </c>
      <c r="C2059" t="s">
        <v>486</v>
      </c>
      <c r="D2059" t="s">
        <v>571</v>
      </c>
      <c r="E2059" t="s">
        <v>390</v>
      </c>
      <c r="F2059" t="s">
        <v>391</v>
      </c>
      <c r="G2059">
        <v>6201221</v>
      </c>
      <c r="H2059">
        <v>202204</v>
      </c>
      <c r="I2059" s="400">
        <v>44673</v>
      </c>
      <c r="J2059">
        <v>122536</v>
      </c>
      <c r="K2059" t="s">
        <v>386</v>
      </c>
      <c r="M2059" t="s">
        <v>387</v>
      </c>
      <c r="O2059" t="s">
        <v>950</v>
      </c>
      <c r="P2059" t="s">
        <v>951</v>
      </c>
      <c r="Q2059" t="s">
        <v>396</v>
      </c>
      <c r="R2059" s="458">
        <v>2069133</v>
      </c>
      <c r="S2059" t="s">
        <v>387</v>
      </c>
      <c r="U2059" t="s">
        <v>3965</v>
      </c>
      <c r="V2059" t="s">
        <v>398</v>
      </c>
      <c r="W2059" s="393">
        <v>650000</v>
      </c>
      <c r="X2059" s="393">
        <v>172.93</v>
      </c>
      <c r="Y2059" s="393">
        <v>1482.85</v>
      </c>
      <c r="Z2059" s="393">
        <v>650000</v>
      </c>
      <c r="AA2059">
        <v>0</v>
      </c>
      <c r="AB2059" s="400">
        <v>44683.801518668981</v>
      </c>
      <c r="AC2059" t="str">
        <f>+VLOOKUP(R2059,DRAFT!A:Q,17,0)</f>
        <v>1.3.2</v>
      </c>
    </row>
    <row r="2060" spans="1:29">
      <c r="A2060" t="s">
        <v>382</v>
      </c>
      <c r="B2060" t="s">
        <v>440</v>
      </c>
      <c r="C2060" t="s">
        <v>486</v>
      </c>
      <c r="D2060" t="s">
        <v>571</v>
      </c>
      <c r="E2060" t="s">
        <v>390</v>
      </c>
      <c r="F2060" t="s">
        <v>391</v>
      </c>
      <c r="G2060">
        <v>6201221</v>
      </c>
      <c r="H2060">
        <v>202204</v>
      </c>
      <c r="I2060" s="400">
        <v>44673</v>
      </c>
      <c r="J2060">
        <v>122536</v>
      </c>
      <c r="K2060" t="s">
        <v>386</v>
      </c>
      <c r="M2060" t="s">
        <v>387</v>
      </c>
      <c r="O2060" t="s">
        <v>950</v>
      </c>
      <c r="P2060" t="s">
        <v>951</v>
      </c>
      <c r="Q2060" t="s">
        <v>396</v>
      </c>
      <c r="R2060" s="458">
        <v>2069133</v>
      </c>
      <c r="S2060" t="s">
        <v>387</v>
      </c>
      <c r="U2060" t="s">
        <v>3966</v>
      </c>
      <c r="V2060" t="s">
        <v>398</v>
      </c>
      <c r="W2060" s="393">
        <v>350000</v>
      </c>
      <c r="X2060" s="393">
        <v>93.12</v>
      </c>
      <c r="Y2060" s="393">
        <v>798.46</v>
      </c>
      <c r="Z2060" s="393">
        <v>350000</v>
      </c>
      <c r="AA2060">
        <v>0</v>
      </c>
      <c r="AB2060" s="400">
        <v>44683.801518668981</v>
      </c>
      <c r="AC2060" t="str">
        <f>+VLOOKUP(R2060,DRAFT!A:Q,17,0)</f>
        <v>1.3.2</v>
      </c>
    </row>
    <row r="2061" spans="1:29">
      <c r="A2061" t="s">
        <v>382</v>
      </c>
      <c r="B2061" t="s">
        <v>440</v>
      </c>
      <c r="C2061" t="s">
        <v>486</v>
      </c>
      <c r="D2061" t="s">
        <v>571</v>
      </c>
      <c r="E2061" t="s">
        <v>390</v>
      </c>
      <c r="F2061" t="s">
        <v>391</v>
      </c>
      <c r="G2061">
        <v>6201224</v>
      </c>
      <c r="H2061">
        <v>202204</v>
      </c>
      <c r="I2061" s="400">
        <v>44673</v>
      </c>
      <c r="J2061">
        <v>122536</v>
      </c>
      <c r="K2061" t="s">
        <v>386</v>
      </c>
      <c r="M2061" t="s">
        <v>387</v>
      </c>
      <c r="O2061" t="s">
        <v>950</v>
      </c>
      <c r="P2061" t="s">
        <v>951</v>
      </c>
      <c r="Q2061" t="s">
        <v>396</v>
      </c>
      <c r="R2061" s="458">
        <v>2265783</v>
      </c>
      <c r="S2061" t="s">
        <v>387</v>
      </c>
      <c r="U2061" t="s">
        <v>3961</v>
      </c>
      <c r="V2061" t="s">
        <v>398</v>
      </c>
      <c r="W2061" s="393">
        <v>350000</v>
      </c>
      <c r="X2061" s="393">
        <v>93.12</v>
      </c>
      <c r="Y2061" s="393">
        <v>798.46</v>
      </c>
      <c r="Z2061" s="393">
        <v>350000</v>
      </c>
      <c r="AA2061">
        <v>0</v>
      </c>
      <c r="AB2061" s="400">
        <v>44683.89131608796</v>
      </c>
      <c r="AC2061" t="str">
        <f>+VLOOKUP(R2061,DRAFT!A:Q,17,0)</f>
        <v>MAE</v>
      </c>
    </row>
    <row r="2062" spans="1:29">
      <c r="A2062" t="s">
        <v>382</v>
      </c>
      <c r="B2062" t="s">
        <v>440</v>
      </c>
      <c r="C2062" t="s">
        <v>486</v>
      </c>
      <c r="D2062" t="s">
        <v>571</v>
      </c>
      <c r="E2062" t="s">
        <v>390</v>
      </c>
      <c r="F2062" t="s">
        <v>391</v>
      </c>
      <c r="G2062">
        <v>6201224</v>
      </c>
      <c r="H2062">
        <v>202204</v>
      </c>
      <c r="I2062" s="400">
        <v>44673</v>
      </c>
      <c r="J2062">
        <v>122536</v>
      </c>
      <c r="K2062" t="s">
        <v>386</v>
      </c>
      <c r="M2062" t="s">
        <v>387</v>
      </c>
      <c r="O2062" t="s">
        <v>950</v>
      </c>
      <c r="P2062" t="s">
        <v>951</v>
      </c>
      <c r="Q2062" t="s">
        <v>396</v>
      </c>
      <c r="R2062" s="458">
        <v>2265779</v>
      </c>
      <c r="S2062" t="s">
        <v>387</v>
      </c>
      <c r="U2062" t="s">
        <v>3962</v>
      </c>
      <c r="V2062" t="s">
        <v>398</v>
      </c>
      <c r="W2062" s="393">
        <v>350000</v>
      </c>
      <c r="X2062" s="393">
        <v>93.12</v>
      </c>
      <c r="Y2062" s="393">
        <v>798.46</v>
      </c>
      <c r="Z2062" s="393">
        <v>350000</v>
      </c>
      <c r="AA2062">
        <v>0</v>
      </c>
      <c r="AB2062" s="400">
        <v>44683.891316284724</v>
      </c>
      <c r="AC2062" t="str">
        <f>+VLOOKUP(R2062,DRAFT!A:Q,17,0)</f>
        <v>MAE</v>
      </c>
    </row>
    <row r="2063" spans="1:29">
      <c r="A2063" t="s">
        <v>382</v>
      </c>
      <c r="B2063" t="s">
        <v>440</v>
      </c>
      <c r="C2063" t="s">
        <v>486</v>
      </c>
      <c r="D2063" t="s">
        <v>571</v>
      </c>
      <c r="E2063" t="s">
        <v>390</v>
      </c>
      <c r="F2063" t="s">
        <v>391</v>
      </c>
      <c r="G2063">
        <v>6201068</v>
      </c>
      <c r="H2063">
        <v>202204</v>
      </c>
      <c r="I2063" s="400">
        <v>44663</v>
      </c>
      <c r="J2063" t="s">
        <v>3947</v>
      </c>
      <c r="K2063" t="s">
        <v>386</v>
      </c>
      <c r="M2063" t="s">
        <v>387</v>
      </c>
      <c r="O2063" t="s">
        <v>849</v>
      </c>
      <c r="P2063" t="s">
        <v>850</v>
      </c>
      <c r="Q2063" t="s">
        <v>396</v>
      </c>
      <c r="R2063" s="458">
        <v>2069133</v>
      </c>
      <c r="S2063" t="s">
        <v>387</v>
      </c>
      <c r="U2063" t="s">
        <v>3967</v>
      </c>
      <c r="V2063" t="s">
        <v>398</v>
      </c>
      <c r="W2063" s="393">
        <v>65000</v>
      </c>
      <c r="X2063" s="393">
        <v>17.34</v>
      </c>
      <c r="Y2063" s="393">
        <v>149.86000000000001</v>
      </c>
      <c r="Z2063" s="393">
        <v>65000</v>
      </c>
      <c r="AA2063">
        <v>0</v>
      </c>
      <c r="AB2063" s="400">
        <v>44671.056648761572</v>
      </c>
      <c r="AC2063" t="str">
        <f>+VLOOKUP(R2063,DRAFT!A:Q,17,0)</f>
        <v>1.3.2</v>
      </c>
    </row>
    <row r="2064" spans="1:29">
      <c r="A2064" t="s">
        <v>382</v>
      </c>
      <c r="B2064" t="s">
        <v>440</v>
      </c>
      <c r="C2064" t="s">
        <v>486</v>
      </c>
      <c r="D2064" t="s">
        <v>571</v>
      </c>
      <c r="E2064" t="s">
        <v>390</v>
      </c>
      <c r="F2064" t="s">
        <v>391</v>
      </c>
      <c r="G2064">
        <v>6201078</v>
      </c>
      <c r="H2064">
        <v>202204</v>
      </c>
      <c r="I2064" s="400">
        <v>44663</v>
      </c>
      <c r="J2064">
        <v>122536</v>
      </c>
      <c r="K2064" t="s">
        <v>386</v>
      </c>
      <c r="M2064" t="s">
        <v>387</v>
      </c>
      <c r="O2064" t="s">
        <v>950</v>
      </c>
      <c r="P2064" t="s">
        <v>951</v>
      </c>
      <c r="Q2064" t="s">
        <v>396</v>
      </c>
      <c r="R2064" s="458">
        <v>2069133</v>
      </c>
      <c r="S2064" t="s">
        <v>387</v>
      </c>
      <c r="U2064" t="s">
        <v>3963</v>
      </c>
      <c r="V2064" t="s">
        <v>398</v>
      </c>
      <c r="W2064" s="393">
        <v>800000</v>
      </c>
      <c r="X2064" s="393">
        <v>213.44</v>
      </c>
      <c r="Y2064" s="393">
        <v>1844.4</v>
      </c>
      <c r="Z2064" s="393">
        <v>800000</v>
      </c>
      <c r="AA2064">
        <v>0</v>
      </c>
      <c r="AB2064" s="400">
        <v>44671.705497569441</v>
      </c>
      <c r="AC2064" t="str">
        <f>+VLOOKUP(R2064,DRAFT!A:Q,17,0)</f>
        <v>1.3.2</v>
      </c>
    </row>
    <row r="2065" spans="1:29">
      <c r="A2065" t="s">
        <v>382</v>
      </c>
      <c r="B2065" t="s">
        <v>440</v>
      </c>
      <c r="C2065" t="s">
        <v>486</v>
      </c>
      <c r="D2065" t="s">
        <v>1006</v>
      </c>
      <c r="E2065" t="s">
        <v>390</v>
      </c>
      <c r="F2065" t="s">
        <v>391</v>
      </c>
      <c r="G2065">
        <v>6200327</v>
      </c>
      <c r="H2065">
        <v>202202</v>
      </c>
      <c r="I2065" s="400">
        <v>44603</v>
      </c>
      <c r="J2065">
        <v>127949</v>
      </c>
      <c r="K2065" t="s">
        <v>386</v>
      </c>
      <c r="M2065" t="s">
        <v>387</v>
      </c>
      <c r="O2065" t="s">
        <v>909</v>
      </c>
      <c r="P2065" t="s">
        <v>910</v>
      </c>
      <c r="Q2065" t="s">
        <v>396</v>
      </c>
      <c r="R2065" s="458">
        <v>2540511</v>
      </c>
      <c r="S2065" t="s">
        <v>387</v>
      </c>
      <c r="U2065" t="s">
        <v>2805</v>
      </c>
      <c r="V2065" t="s">
        <v>398</v>
      </c>
      <c r="W2065" s="393">
        <v>82000</v>
      </c>
      <c r="X2065" s="393">
        <v>20.82</v>
      </c>
      <c r="Y2065" s="393">
        <v>183.6</v>
      </c>
      <c r="Z2065" s="393">
        <v>82000</v>
      </c>
      <c r="AA2065">
        <v>0</v>
      </c>
      <c r="AB2065" s="400">
        <v>44624.59140193287</v>
      </c>
      <c r="AC2065" t="str">
        <f>+VLOOKUP(R2065,DRAFT!A:Q,17,0)</f>
        <v>1.2.1</v>
      </c>
    </row>
    <row r="2066" spans="1:29">
      <c r="A2066" t="s">
        <v>382</v>
      </c>
      <c r="B2066" t="s">
        <v>440</v>
      </c>
      <c r="C2066" t="s">
        <v>486</v>
      </c>
      <c r="D2066" t="s">
        <v>1006</v>
      </c>
      <c r="E2066" t="s">
        <v>390</v>
      </c>
      <c r="F2066" t="s">
        <v>391</v>
      </c>
      <c r="G2066">
        <v>6200782</v>
      </c>
      <c r="H2066">
        <v>202203</v>
      </c>
      <c r="I2066" s="400">
        <v>44645</v>
      </c>
      <c r="J2066">
        <v>122536</v>
      </c>
      <c r="K2066" t="s">
        <v>386</v>
      </c>
      <c r="M2066" t="s">
        <v>387</v>
      </c>
      <c r="O2066" t="s">
        <v>2625</v>
      </c>
      <c r="P2066" t="s">
        <v>2626</v>
      </c>
      <c r="Q2066" t="s">
        <v>396</v>
      </c>
      <c r="R2066" s="458">
        <v>2265783</v>
      </c>
      <c r="S2066" t="s">
        <v>387</v>
      </c>
      <c r="U2066" t="s">
        <v>2627</v>
      </c>
      <c r="V2066" t="s">
        <v>398</v>
      </c>
      <c r="W2066" s="393">
        <v>111933</v>
      </c>
      <c r="X2066" s="393">
        <v>29.8</v>
      </c>
      <c r="Y2066" s="393">
        <v>260.62</v>
      </c>
      <c r="Z2066" s="393">
        <v>111933</v>
      </c>
      <c r="AA2066">
        <v>166</v>
      </c>
      <c r="AB2066" s="400">
        <v>44653.84719641204</v>
      </c>
      <c r="AC2066" t="str">
        <f>+VLOOKUP(R2066,DRAFT!A:Q,17,0)</f>
        <v>MAE</v>
      </c>
    </row>
    <row r="2067" spans="1:29">
      <c r="A2067" t="s">
        <v>382</v>
      </c>
      <c r="B2067" t="s">
        <v>440</v>
      </c>
      <c r="C2067" t="s">
        <v>486</v>
      </c>
      <c r="D2067" t="s">
        <v>1006</v>
      </c>
      <c r="E2067" t="s">
        <v>390</v>
      </c>
      <c r="F2067" t="s">
        <v>391</v>
      </c>
      <c r="G2067">
        <v>6200563</v>
      </c>
      <c r="H2067">
        <v>202203</v>
      </c>
      <c r="I2067" s="400">
        <v>44624</v>
      </c>
      <c r="J2067">
        <v>122536</v>
      </c>
      <c r="K2067" t="s">
        <v>386</v>
      </c>
      <c r="M2067" t="s">
        <v>387</v>
      </c>
      <c r="O2067" t="s">
        <v>544</v>
      </c>
      <c r="P2067" t="s">
        <v>545</v>
      </c>
      <c r="Q2067" t="s">
        <v>396</v>
      </c>
      <c r="R2067" s="458">
        <v>2069133</v>
      </c>
      <c r="S2067" t="s">
        <v>387</v>
      </c>
      <c r="U2067" t="s">
        <v>2806</v>
      </c>
      <c r="V2067" t="s">
        <v>398</v>
      </c>
      <c r="W2067" s="393">
        <v>487519</v>
      </c>
      <c r="X2067" s="393">
        <v>124.57</v>
      </c>
      <c r="Y2067" s="393">
        <v>1112.92</v>
      </c>
      <c r="Z2067" s="393">
        <v>487519</v>
      </c>
      <c r="AA2067">
        <v>0</v>
      </c>
      <c r="AB2067" s="400">
        <v>44634.884901076388</v>
      </c>
      <c r="AC2067" t="str">
        <f>+VLOOKUP(R2067,DRAFT!A:Q,17,0)</f>
        <v>1.3.2</v>
      </c>
    </row>
    <row r="2068" spans="1:29">
      <c r="A2068" t="s">
        <v>382</v>
      </c>
      <c r="B2068" t="s">
        <v>440</v>
      </c>
      <c r="C2068" t="s">
        <v>486</v>
      </c>
      <c r="D2068" t="s">
        <v>1006</v>
      </c>
      <c r="E2068" t="s">
        <v>390</v>
      </c>
      <c r="F2068" t="s">
        <v>391</v>
      </c>
      <c r="G2068">
        <v>6201179</v>
      </c>
      <c r="H2068">
        <v>202204</v>
      </c>
      <c r="I2068" s="400">
        <v>44672</v>
      </c>
      <c r="J2068" t="s">
        <v>452</v>
      </c>
      <c r="K2068" t="s">
        <v>386</v>
      </c>
      <c r="M2068" t="s">
        <v>387</v>
      </c>
      <c r="O2068" t="s">
        <v>544</v>
      </c>
      <c r="P2068" t="s">
        <v>545</v>
      </c>
      <c r="Q2068" t="s">
        <v>396</v>
      </c>
      <c r="R2068" s="458">
        <v>2265779</v>
      </c>
      <c r="S2068" t="s">
        <v>387</v>
      </c>
      <c r="U2068" t="s">
        <v>3946</v>
      </c>
      <c r="V2068" t="s">
        <v>398</v>
      </c>
      <c r="W2068" s="393">
        <v>-43800</v>
      </c>
      <c r="X2068" s="393">
        <v>-11.69</v>
      </c>
      <c r="Y2068" s="393">
        <v>-100.98</v>
      </c>
      <c r="Z2068" s="393">
        <v>-43800</v>
      </c>
      <c r="AA2068">
        <v>192</v>
      </c>
      <c r="AB2068" s="400">
        <v>44674.709574687498</v>
      </c>
      <c r="AC2068" t="str">
        <f>+VLOOKUP(R2068,DRAFT!A:Q,17,0)</f>
        <v>MAE</v>
      </c>
    </row>
    <row r="2069" spans="1:29">
      <c r="A2069" t="s">
        <v>382</v>
      </c>
      <c r="B2069" t="s">
        <v>440</v>
      </c>
      <c r="C2069" t="s">
        <v>486</v>
      </c>
      <c r="D2069" t="s">
        <v>1006</v>
      </c>
      <c r="E2069" t="s">
        <v>390</v>
      </c>
      <c r="F2069" t="s">
        <v>391</v>
      </c>
      <c r="G2069">
        <v>6201179</v>
      </c>
      <c r="H2069">
        <v>202204</v>
      </c>
      <c r="I2069" s="400">
        <v>44672</v>
      </c>
      <c r="J2069" t="s">
        <v>452</v>
      </c>
      <c r="K2069" t="s">
        <v>386</v>
      </c>
      <c r="M2069" t="s">
        <v>387</v>
      </c>
      <c r="O2069" t="s">
        <v>544</v>
      </c>
      <c r="P2069" t="s">
        <v>545</v>
      </c>
      <c r="Q2069" t="s">
        <v>396</v>
      </c>
      <c r="R2069" s="458">
        <v>2265779</v>
      </c>
      <c r="S2069" t="s">
        <v>387</v>
      </c>
      <c r="U2069" t="s">
        <v>3946</v>
      </c>
      <c r="V2069" t="s">
        <v>398</v>
      </c>
      <c r="W2069" s="393">
        <v>43800</v>
      </c>
      <c r="X2069" s="393">
        <v>11.69</v>
      </c>
      <c r="Y2069" s="393">
        <v>100.98</v>
      </c>
      <c r="Z2069" s="393">
        <v>43800</v>
      </c>
      <c r="AA2069">
        <v>166</v>
      </c>
      <c r="AB2069" s="400">
        <v>44674.709574687498</v>
      </c>
      <c r="AC2069" t="str">
        <f>+VLOOKUP(R2069,DRAFT!A:Q,17,0)</f>
        <v>MAE</v>
      </c>
    </row>
    <row r="2070" spans="1:29">
      <c r="A2070" t="s">
        <v>382</v>
      </c>
      <c r="B2070" t="s">
        <v>440</v>
      </c>
      <c r="C2070" t="s">
        <v>486</v>
      </c>
      <c r="D2070" t="s">
        <v>1006</v>
      </c>
      <c r="E2070" t="s">
        <v>390</v>
      </c>
      <c r="F2070" t="s">
        <v>391</v>
      </c>
      <c r="G2070">
        <v>6201179</v>
      </c>
      <c r="H2070">
        <v>202204</v>
      </c>
      <c r="I2070" s="400">
        <v>44672</v>
      </c>
      <c r="J2070" t="s">
        <v>452</v>
      </c>
      <c r="K2070" t="s">
        <v>386</v>
      </c>
      <c r="M2070" t="s">
        <v>387</v>
      </c>
      <c r="O2070" t="s">
        <v>544</v>
      </c>
      <c r="P2070" t="s">
        <v>545</v>
      </c>
      <c r="Q2070" t="s">
        <v>396</v>
      </c>
      <c r="R2070" s="458">
        <v>2265783</v>
      </c>
      <c r="S2070" t="s">
        <v>387</v>
      </c>
      <c r="U2070" t="s">
        <v>3945</v>
      </c>
      <c r="V2070" t="s">
        <v>398</v>
      </c>
      <c r="W2070" s="393">
        <v>-346640</v>
      </c>
      <c r="X2070" s="393">
        <v>-92.48</v>
      </c>
      <c r="Y2070" s="393">
        <v>-799.18</v>
      </c>
      <c r="Z2070" s="393">
        <v>-346640</v>
      </c>
      <c r="AA2070">
        <v>192</v>
      </c>
      <c r="AB2070" s="400">
        <v>44674.709574884262</v>
      </c>
      <c r="AC2070" t="str">
        <f>+VLOOKUP(R2070,DRAFT!A:Q,17,0)</f>
        <v>MAE</v>
      </c>
    </row>
    <row r="2071" spans="1:29">
      <c r="A2071" t="s">
        <v>382</v>
      </c>
      <c r="B2071" t="s">
        <v>440</v>
      </c>
      <c r="C2071" t="s">
        <v>486</v>
      </c>
      <c r="D2071" t="s">
        <v>1006</v>
      </c>
      <c r="E2071" t="s">
        <v>390</v>
      </c>
      <c r="F2071" t="s">
        <v>391</v>
      </c>
      <c r="G2071">
        <v>6201179</v>
      </c>
      <c r="H2071">
        <v>202204</v>
      </c>
      <c r="I2071" s="400">
        <v>44672</v>
      </c>
      <c r="J2071" t="s">
        <v>452</v>
      </c>
      <c r="K2071" t="s">
        <v>386</v>
      </c>
      <c r="M2071" t="s">
        <v>387</v>
      </c>
      <c r="O2071" t="s">
        <v>544</v>
      </c>
      <c r="P2071" t="s">
        <v>545</v>
      </c>
      <c r="Q2071" t="s">
        <v>396</v>
      </c>
      <c r="R2071" s="458">
        <v>2265783</v>
      </c>
      <c r="S2071" t="s">
        <v>387</v>
      </c>
      <c r="U2071" t="s">
        <v>3945</v>
      </c>
      <c r="V2071" t="s">
        <v>398</v>
      </c>
      <c r="W2071" s="393">
        <v>346640</v>
      </c>
      <c r="X2071" s="393">
        <v>92.48</v>
      </c>
      <c r="Y2071" s="393">
        <v>799.18</v>
      </c>
      <c r="Z2071" s="393">
        <v>346640</v>
      </c>
      <c r="AA2071">
        <v>166</v>
      </c>
      <c r="AB2071" s="400">
        <v>44674.709574884262</v>
      </c>
      <c r="AC2071" t="str">
        <f>+VLOOKUP(R2071,DRAFT!A:Q,17,0)</f>
        <v>MAE</v>
      </c>
    </row>
    <row r="2072" spans="1:29">
      <c r="A2072" t="s">
        <v>382</v>
      </c>
      <c r="B2072" t="s">
        <v>440</v>
      </c>
      <c r="C2072" t="s">
        <v>486</v>
      </c>
      <c r="D2072" t="s">
        <v>1006</v>
      </c>
      <c r="E2072" t="s">
        <v>390</v>
      </c>
      <c r="F2072" t="s">
        <v>391</v>
      </c>
      <c r="G2072">
        <v>6201012</v>
      </c>
      <c r="H2072">
        <v>202204</v>
      </c>
      <c r="I2072" s="400">
        <v>44663</v>
      </c>
      <c r="J2072" t="s">
        <v>452</v>
      </c>
      <c r="K2072" t="s">
        <v>386</v>
      </c>
      <c r="M2072" t="s">
        <v>387</v>
      </c>
      <c r="O2072" t="s">
        <v>544</v>
      </c>
      <c r="P2072" t="s">
        <v>545</v>
      </c>
      <c r="Q2072" t="s">
        <v>396</v>
      </c>
      <c r="R2072" s="458">
        <v>2265779</v>
      </c>
      <c r="S2072" t="s">
        <v>387</v>
      </c>
      <c r="U2072" t="s">
        <v>3980</v>
      </c>
      <c r="V2072" t="s">
        <v>398</v>
      </c>
      <c r="W2072" s="393">
        <v>43800</v>
      </c>
      <c r="X2072" s="393">
        <v>11.69</v>
      </c>
      <c r="Y2072" s="393">
        <v>100.98</v>
      </c>
      <c r="Z2072" s="393">
        <v>43800</v>
      </c>
      <c r="AA2072">
        <v>192</v>
      </c>
      <c r="AB2072" s="400">
        <v>44670.779356631945</v>
      </c>
      <c r="AC2072" t="str">
        <f>+VLOOKUP(R2072,DRAFT!A:Q,17,0)</f>
        <v>MAE</v>
      </c>
    </row>
    <row r="2073" spans="1:29">
      <c r="A2073" t="s">
        <v>382</v>
      </c>
      <c r="B2073" t="s">
        <v>440</v>
      </c>
      <c r="C2073" t="s">
        <v>486</v>
      </c>
      <c r="D2073" t="s">
        <v>1006</v>
      </c>
      <c r="E2073" t="s">
        <v>390</v>
      </c>
      <c r="F2073" t="s">
        <v>391</v>
      </c>
      <c r="G2073">
        <v>6201012</v>
      </c>
      <c r="H2073">
        <v>202204</v>
      </c>
      <c r="I2073" s="400">
        <v>44663</v>
      </c>
      <c r="J2073" t="s">
        <v>452</v>
      </c>
      <c r="K2073" t="s">
        <v>386</v>
      </c>
      <c r="M2073" t="s">
        <v>387</v>
      </c>
      <c r="O2073" t="s">
        <v>544</v>
      </c>
      <c r="P2073" t="s">
        <v>545</v>
      </c>
      <c r="Q2073" t="s">
        <v>396</v>
      </c>
      <c r="R2073" s="458">
        <v>2265783</v>
      </c>
      <c r="S2073" t="s">
        <v>387</v>
      </c>
      <c r="U2073" t="s">
        <v>3981</v>
      </c>
      <c r="V2073" t="s">
        <v>398</v>
      </c>
      <c r="W2073" s="393">
        <v>346640</v>
      </c>
      <c r="X2073" s="393">
        <v>92.48</v>
      </c>
      <c r="Y2073" s="393">
        <v>799.18</v>
      </c>
      <c r="Z2073" s="393">
        <v>346640</v>
      </c>
      <c r="AA2073">
        <v>192</v>
      </c>
      <c r="AB2073" s="400">
        <v>44670.779356481478</v>
      </c>
      <c r="AC2073" t="str">
        <f>+VLOOKUP(R2073,DRAFT!A:Q,17,0)</f>
        <v>MAE</v>
      </c>
    </row>
    <row r="2074" spans="1:29">
      <c r="A2074" t="s">
        <v>382</v>
      </c>
      <c r="B2074" t="s">
        <v>440</v>
      </c>
      <c r="C2074" t="s">
        <v>486</v>
      </c>
      <c r="D2074" t="s">
        <v>1011</v>
      </c>
      <c r="E2074" t="s">
        <v>390</v>
      </c>
      <c r="F2074" t="s">
        <v>391</v>
      </c>
      <c r="G2074">
        <v>6200109</v>
      </c>
      <c r="H2074">
        <v>202201</v>
      </c>
      <c r="I2074" s="400">
        <v>44591</v>
      </c>
      <c r="J2074" t="s">
        <v>1016</v>
      </c>
      <c r="K2074" t="s">
        <v>386</v>
      </c>
      <c r="M2074" t="s">
        <v>387</v>
      </c>
      <c r="O2074" t="s">
        <v>1012</v>
      </c>
      <c r="P2074" t="s">
        <v>1013</v>
      </c>
      <c r="Q2074" t="s">
        <v>396</v>
      </c>
      <c r="R2074" s="458">
        <v>2540511</v>
      </c>
      <c r="S2074" t="s">
        <v>387</v>
      </c>
      <c r="U2074" t="s">
        <v>2812</v>
      </c>
      <c r="V2074" t="s">
        <v>398</v>
      </c>
      <c r="W2074" s="393">
        <v>7000000</v>
      </c>
      <c r="X2074" s="393">
        <v>1748.25</v>
      </c>
      <c r="Y2074" s="393">
        <v>15570.24</v>
      </c>
      <c r="Z2074" s="393">
        <v>7000000</v>
      </c>
      <c r="AA2074">
        <v>0</v>
      </c>
      <c r="AB2074" s="400">
        <v>44599.990672187501</v>
      </c>
      <c r="AC2074" t="str">
        <f>+VLOOKUP(R2074,DRAFT!A:Q,17,0)</f>
        <v>1.2.1</v>
      </c>
    </row>
    <row r="2075" spans="1:29">
      <c r="A2075" t="s">
        <v>382</v>
      </c>
      <c r="B2075" t="s">
        <v>440</v>
      </c>
      <c r="C2075" t="s">
        <v>486</v>
      </c>
      <c r="D2075" t="s">
        <v>1011</v>
      </c>
      <c r="E2075" t="s">
        <v>390</v>
      </c>
      <c r="F2075" t="s">
        <v>391</v>
      </c>
      <c r="G2075">
        <v>6200109</v>
      </c>
      <c r="H2075">
        <v>202201</v>
      </c>
      <c r="I2075" s="400">
        <v>44591</v>
      </c>
      <c r="J2075" t="s">
        <v>1016</v>
      </c>
      <c r="K2075" t="s">
        <v>386</v>
      </c>
      <c r="M2075" t="s">
        <v>387</v>
      </c>
      <c r="O2075" t="s">
        <v>1018</v>
      </c>
      <c r="P2075" t="s">
        <v>1019</v>
      </c>
      <c r="Q2075" t="s">
        <v>396</v>
      </c>
      <c r="R2075" s="458">
        <v>2540511</v>
      </c>
      <c r="S2075" t="s">
        <v>387</v>
      </c>
      <c r="U2075" t="s">
        <v>2813</v>
      </c>
      <c r="V2075" t="s">
        <v>398</v>
      </c>
      <c r="W2075" s="393">
        <v>79800</v>
      </c>
      <c r="X2075" s="393">
        <v>19.93</v>
      </c>
      <c r="Y2075" s="393">
        <v>177.5</v>
      </c>
      <c r="Z2075" s="393">
        <v>79800</v>
      </c>
      <c r="AA2075">
        <v>0</v>
      </c>
      <c r="AB2075" s="400">
        <v>44599.990672187501</v>
      </c>
      <c r="AC2075" t="str">
        <f>+VLOOKUP(R2075,DRAFT!A:Q,17,0)</f>
        <v>1.2.1</v>
      </c>
    </row>
    <row r="2076" spans="1:29">
      <c r="A2076" t="s">
        <v>382</v>
      </c>
      <c r="B2076" t="s">
        <v>440</v>
      </c>
      <c r="C2076" t="s">
        <v>486</v>
      </c>
      <c r="D2076" t="s">
        <v>1011</v>
      </c>
      <c r="E2076" t="s">
        <v>390</v>
      </c>
      <c r="F2076" t="s">
        <v>391</v>
      </c>
      <c r="G2076">
        <v>6200064</v>
      </c>
      <c r="H2076">
        <v>202201</v>
      </c>
      <c r="I2076" s="400">
        <v>44587</v>
      </c>
      <c r="J2076" t="s">
        <v>1016</v>
      </c>
      <c r="K2076" t="s">
        <v>386</v>
      </c>
      <c r="M2076" t="s">
        <v>387</v>
      </c>
      <c r="O2076" t="s">
        <v>1012</v>
      </c>
      <c r="P2076" t="s">
        <v>1013</v>
      </c>
      <c r="Q2076" t="s">
        <v>396</v>
      </c>
      <c r="R2076" s="458">
        <v>2540509</v>
      </c>
      <c r="S2076" t="s">
        <v>387</v>
      </c>
      <c r="U2076" t="s">
        <v>2810</v>
      </c>
      <c r="V2076" t="s">
        <v>398</v>
      </c>
      <c r="W2076" s="393">
        <v>9000000</v>
      </c>
      <c r="X2076" s="393">
        <v>2247.75</v>
      </c>
      <c r="Y2076" s="393">
        <v>19782.45</v>
      </c>
      <c r="Z2076" s="393">
        <v>9000000</v>
      </c>
      <c r="AA2076">
        <v>0</v>
      </c>
      <c r="AB2076" s="400">
        <v>44595.824177233793</v>
      </c>
      <c r="AC2076" t="str">
        <f>+VLOOKUP(R2076,DRAFT!A:Q,17,0)</f>
        <v>1.2.2</v>
      </c>
    </row>
    <row r="2077" spans="1:29">
      <c r="A2077" t="s">
        <v>382</v>
      </c>
      <c r="B2077" t="s">
        <v>440</v>
      </c>
      <c r="C2077" t="s">
        <v>486</v>
      </c>
      <c r="D2077" t="s">
        <v>1011</v>
      </c>
      <c r="E2077" t="s">
        <v>390</v>
      </c>
      <c r="F2077" t="s">
        <v>391</v>
      </c>
      <c r="G2077">
        <v>6200064</v>
      </c>
      <c r="H2077">
        <v>202201</v>
      </c>
      <c r="I2077" s="400">
        <v>44587</v>
      </c>
      <c r="J2077" t="s">
        <v>1016</v>
      </c>
      <c r="K2077" t="s">
        <v>386</v>
      </c>
      <c r="M2077" t="s">
        <v>387</v>
      </c>
      <c r="O2077" t="s">
        <v>1018</v>
      </c>
      <c r="P2077" t="s">
        <v>1019</v>
      </c>
      <c r="Q2077" t="s">
        <v>396</v>
      </c>
      <c r="R2077" s="458">
        <v>2540509</v>
      </c>
      <c r="S2077" t="s">
        <v>387</v>
      </c>
      <c r="U2077" t="s">
        <v>2811</v>
      </c>
      <c r="V2077" t="s">
        <v>398</v>
      </c>
      <c r="W2077" s="393">
        <v>102600</v>
      </c>
      <c r="X2077" s="393">
        <v>25.62</v>
      </c>
      <c r="Y2077" s="393">
        <v>225.52</v>
      </c>
      <c r="Z2077" s="393">
        <v>102600</v>
      </c>
      <c r="AA2077">
        <v>0</v>
      </c>
      <c r="AB2077" s="400">
        <v>44595.824177233793</v>
      </c>
      <c r="AC2077" t="str">
        <f>+VLOOKUP(R2077,DRAFT!A:Q,17,0)</f>
        <v>1.2.2</v>
      </c>
    </row>
    <row r="2078" spans="1:29">
      <c r="A2078" t="s">
        <v>382</v>
      </c>
      <c r="B2078" t="s">
        <v>440</v>
      </c>
      <c r="C2078" t="s">
        <v>486</v>
      </c>
      <c r="D2078" t="s">
        <v>1011</v>
      </c>
      <c r="E2078" t="s">
        <v>390</v>
      </c>
      <c r="F2078" t="s">
        <v>391</v>
      </c>
      <c r="G2078">
        <v>6200064</v>
      </c>
      <c r="H2078">
        <v>202201</v>
      </c>
      <c r="I2078" s="400">
        <v>44587</v>
      </c>
      <c r="J2078" t="s">
        <v>1016</v>
      </c>
      <c r="K2078" t="s">
        <v>386</v>
      </c>
      <c r="M2078" t="s">
        <v>387</v>
      </c>
      <c r="O2078" t="s">
        <v>1012</v>
      </c>
      <c r="P2078" t="s">
        <v>1013</v>
      </c>
      <c r="Q2078" t="s">
        <v>396</v>
      </c>
      <c r="R2078" s="458">
        <v>2540516</v>
      </c>
      <c r="S2078" t="s">
        <v>387</v>
      </c>
      <c r="U2078" t="s">
        <v>2810</v>
      </c>
      <c r="V2078" t="s">
        <v>398</v>
      </c>
      <c r="W2078" s="393">
        <v>16000000</v>
      </c>
      <c r="X2078" s="393">
        <v>3996</v>
      </c>
      <c r="Y2078" s="393">
        <v>35168.800000000003</v>
      </c>
      <c r="Z2078" s="393">
        <v>16000000</v>
      </c>
      <c r="AA2078">
        <v>0</v>
      </c>
      <c r="AB2078" s="400">
        <v>44595.824177233793</v>
      </c>
      <c r="AC2078" t="str">
        <f>+VLOOKUP(R2078,DRAFT!A:Q,17,0)</f>
        <v>1.1.1</v>
      </c>
    </row>
    <row r="2079" spans="1:29">
      <c r="A2079" t="s">
        <v>382</v>
      </c>
      <c r="B2079" t="s">
        <v>440</v>
      </c>
      <c r="C2079" t="s">
        <v>486</v>
      </c>
      <c r="D2079" t="s">
        <v>1011</v>
      </c>
      <c r="E2079" t="s">
        <v>390</v>
      </c>
      <c r="F2079" t="s">
        <v>391</v>
      </c>
      <c r="G2079">
        <v>6200064</v>
      </c>
      <c r="H2079">
        <v>202201</v>
      </c>
      <c r="I2079" s="400">
        <v>44587</v>
      </c>
      <c r="J2079" t="s">
        <v>1016</v>
      </c>
      <c r="K2079" t="s">
        <v>386</v>
      </c>
      <c r="M2079" t="s">
        <v>387</v>
      </c>
      <c r="O2079" t="s">
        <v>1018</v>
      </c>
      <c r="P2079" t="s">
        <v>1019</v>
      </c>
      <c r="Q2079" t="s">
        <v>396</v>
      </c>
      <c r="R2079" s="458">
        <v>2540516</v>
      </c>
      <c r="S2079" t="s">
        <v>387</v>
      </c>
      <c r="U2079" t="s">
        <v>2811</v>
      </c>
      <c r="V2079" t="s">
        <v>398</v>
      </c>
      <c r="W2079" s="393">
        <v>182400</v>
      </c>
      <c r="X2079" s="393">
        <v>45.55</v>
      </c>
      <c r="Y2079" s="393">
        <v>400.92</v>
      </c>
      <c r="Z2079" s="393">
        <v>182400</v>
      </c>
      <c r="AA2079">
        <v>0</v>
      </c>
      <c r="AB2079" s="400">
        <v>44595.824177430557</v>
      </c>
      <c r="AC2079" t="str">
        <f>+VLOOKUP(R2079,DRAFT!A:Q,17,0)</f>
        <v>1.1.1</v>
      </c>
    </row>
    <row r="2080" spans="1:29">
      <c r="A2080" t="s">
        <v>382</v>
      </c>
      <c r="B2080" t="s">
        <v>440</v>
      </c>
      <c r="C2080" t="s">
        <v>486</v>
      </c>
      <c r="D2080" t="s">
        <v>1011</v>
      </c>
      <c r="E2080" t="s">
        <v>390</v>
      </c>
      <c r="F2080" t="s">
        <v>391</v>
      </c>
      <c r="G2080">
        <v>6200105</v>
      </c>
      <c r="H2080">
        <v>202201</v>
      </c>
      <c r="I2080" s="400">
        <v>44591</v>
      </c>
      <c r="J2080" t="s">
        <v>1016</v>
      </c>
      <c r="K2080" t="s">
        <v>386</v>
      </c>
      <c r="M2080" t="s">
        <v>387</v>
      </c>
      <c r="O2080" t="s">
        <v>1012</v>
      </c>
      <c r="P2080" t="s">
        <v>1013</v>
      </c>
      <c r="Q2080" t="s">
        <v>396</v>
      </c>
      <c r="R2080" s="458">
        <v>2540511</v>
      </c>
      <c r="S2080" t="s">
        <v>387</v>
      </c>
      <c r="U2080" t="s">
        <v>2809</v>
      </c>
      <c r="V2080" t="s">
        <v>398</v>
      </c>
      <c r="W2080" s="393">
        <v>-300000</v>
      </c>
      <c r="X2080" s="393">
        <v>-74.930000000000007</v>
      </c>
      <c r="Y2080" s="393">
        <v>-667.3</v>
      </c>
      <c r="Z2080" s="393">
        <v>-300000</v>
      </c>
      <c r="AA2080">
        <v>0</v>
      </c>
      <c r="AB2080" s="400">
        <v>44599.940211226851</v>
      </c>
      <c r="AC2080" t="str">
        <f>+VLOOKUP(R2080,DRAFT!A:Q,17,0)</f>
        <v>1.2.1</v>
      </c>
    </row>
    <row r="2081" spans="1:29">
      <c r="A2081" t="s">
        <v>382</v>
      </c>
      <c r="B2081" t="s">
        <v>440</v>
      </c>
      <c r="C2081" t="s">
        <v>486</v>
      </c>
      <c r="D2081" t="s">
        <v>1011</v>
      </c>
      <c r="E2081" t="s">
        <v>390</v>
      </c>
      <c r="F2081" t="s">
        <v>391</v>
      </c>
      <c r="G2081">
        <v>6200064</v>
      </c>
      <c r="H2081">
        <v>202201</v>
      </c>
      <c r="I2081" s="400">
        <v>44587</v>
      </c>
      <c r="J2081" t="s">
        <v>1016</v>
      </c>
      <c r="K2081" t="s">
        <v>386</v>
      </c>
      <c r="M2081" t="s">
        <v>387</v>
      </c>
      <c r="O2081" t="s">
        <v>1012</v>
      </c>
      <c r="P2081" t="s">
        <v>1013</v>
      </c>
      <c r="Q2081" t="s">
        <v>396</v>
      </c>
      <c r="R2081" s="458">
        <v>2265783</v>
      </c>
      <c r="S2081" t="s">
        <v>387</v>
      </c>
      <c r="U2081" t="s">
        <v>2810</v>
      </c>
      <c r="V2081" t="s">
        <v>398</v>
      </c>
      <c r="W2081" s="393">
        <v>1600000</v>
      </c>
      <c r="X2081" s="393">
        <v>399.6</v>
      </c>
      <c r="Y2081" s="393">
        <v>3516.88</v>
      </c>
      <c r="Z2081" s="393">
        <v>1600000</v>
      </c>
      <c r="AA2081">
        <v>0</v>
      </c>
      <c r="AB2081" s="400">
        <v>44595.824177430557</v>
      </c>
      <c r="AC2081" t="str">
        <f>+VLOOKUP(R2081,DRAFT!A:Q,17,0)</f>
        <v>MAE</v>
      </c>
    </row>
    <row r="2082" spans="1:29">
      <c r="A2082" t="s">
        <v>382</v>
      </c>
      <c r="B2082" t="s">
        <v>440</v>
      </c>
      <c r="C2082" t="s">
        <v>486</v>
      </c>
      <c r="D2082" t="s">
        <v>1011</v>
      </c>
      <c r="E2082" t="s">
        <v>390</v>
      </c>
      <c r="F2082" t="s">
        <v>391</v>
      </c>
      <c r="G2082">
        <v>6200064</v>
      </c>
      <c r="H2082">
        <v>202201</v>
      </c>
      <c r="I2082" s="400">
        <v>44587</v>
      </c>
      <c r="J2082" t="s">
        <v>1016</v>
      </c>
      <c r="K2082" t="s">
        <v>386</v>
      </c>
      <c r="M2082" t="s">
        <v>387</v>
      </c>
      <c r="O2082" t="s">
        <v>1018</v>
      </c>
      <c r="P2082" t="s">
        <v>1019</v>
      </c>
      <c r="Q2082" t="s">
        <v>396</v>
      </c>
      <c r="R2082" s="458">
        <v>2265783</v>
      </c>
      <c r="S2082" t="s">
        <v>387</v>
      </c>
      <c r="U2082" t="s">
        <v>2811</v>
      </c>
      <c r="V2082" t="s">
        <v>398</v>
      </c>
      <c r="W2082" s="393">
        <v>18240</v>
      </c>
      <c r="X2082" s="393">
        <v>4.5599999999999996</v>
      </c>
      <c r="Y2082" s="393">
        <v>40.090000000000003</v>
      </c>
      <c r="Z2082" s="393">
        <v>18240</v>
      </c>
      <c r="AA2082">
        <v>0</v>
      </c>
      <c r="AB2082" s="400">
        <v>44595.824177430557</v>
      </c>
      <c r="AC2082" t="str">
        <f>+VLOOKUP(R2082,DRAFT!A:Q,17,0)</f>
        <v>MAE</v>
      </c>
    </row>
    <row r="2083" spans="1:29">
      <c r="A2083" t="s">
        <v>382</v>
      </c>
      <c r="B2083" t="s">
        <v>440</v>
      </c>
      <c r="C2083" t="s">
        <v>486</v>
      </c>
      <c r="D2083" t="s">
        <v>1011</v>
      </c>
      <c r="E2083" t="s">
        <v>390</v>
      </c>
      <c r="F2083" t="s">
        <v>391</v>
      </c>
      <c r="G2083">
        <v>6200064</v>
      </c>
      <c r="H2083">
        <v>202201</v>
      </c>
      <c r="I2083" s="400">
        <v>44587</v>
      </c>
      <c r="J2083" t="s">
        <v>1016</v>
      </c>
      <c r="K2083" t="s">
        <v>386</v>
      </c>
      <c r="M2083" t="s">
        <v>387</v>
      </c>
      <c r="O2083" t="s">
        <v>1012</v>
      </c>
      <c r="P2083" t="s">
        <v>1013</v>
      </c>
      <c r="Q2083" t="s">
        <v>396</v>
      </c>
      <c r="R2083" s="458">
        <v>2069133</v>
      </c>
      <c r="S2083" t="s">
        <v>387</v>
      </c>
      <c r="U2083" t="s">
        <v>2810</v>
      </c>
      <c r="V2083" t="s">
        <v>398</v>
      </c>
      <c r="W2083" s="393">
        <v>7500000</v>
      </c>
      <c r="X2083" s="393">
        <v>1873.13</v>
      </c>
      <c r="Y2083" s="393">
        <v>16485.38</v>
      </c>
      <c r="Z2083" s="393">
        <v>7500000</v>
      </c>
      <c r="AA2083">
        <v>0</v>
      </c>
      <c r="AB2083" s="400">
        <v>44595.824177430557</v>
      </c>
      <c r="AC2083" t="str">
        <f>+VLOOKUP(R2083,DRAFT!A:Q,17,0)</f>
        <v>1.3.2</v>
      </c>
    </row>
    <row r="2084" spans="1:29">
      <c r="A2084" t="s">
        <v>382</v>
      </c>
      <c r="B2084" t="s">
        <v>440</v>
      </c>
      <c r="C2084" t="s">
        <v>486</v>
      </c>
      <c r="D2084" t="s">
        <v>1011</v>
      </c>
      <c r="E2084" t="s">
        <v>390</v>
      </c>
      <c r="F2084" t="s">
        <v>391</v>
      </c>
      <c r="G2084">
        <v>6200064</v>
      </c>
      <c r="H2084">
        <v>202201</v>
      </c>
      <c r="I2084" s="400">
        <v>44587</v>
      </c>
      <c r="J2084" t="s">
        <v>1016</v>
      </c>
      <c r="K2084" t="s">
        <v>386</v>
      </c>
      <c r="M2084" t="s">
        <v>387</v>
      </c>
      <c r="O2084" t="s">
        <v>1018</v>
      </c>
      <c r="P2084" t="s">
        <v>1019</v>
      </c>
      <c r="Q2084" t="s">
        <v>396</v>
      </c>
      <c r="R2084" s="458">
        <v>2069133</v>
      </c>
      <c r="S2084" t="s">
        <v>387</v>
      </c>
      <c r="U2084" t="s">
        <v>2811</v>
      </c>
      <c r="V2084" t="s">
        <v>398</v>
      </c>
      <c r="W2084" s="393">
        <v>85500</v>
      </c>
      <c r="X2084" s="393">
        <v>21.35</v>
      </c>
      <c r="Y2084" s="393">
        <v>187.93</v>
      </c>
      <c r="Z2084" s="393">
        <v>85500</v>
      </c>
      <c r="AA2084">
        <v>0</v>
      </c>
      <c r="AB2084" s="400">
        <v>44595.824177430557</v>
      </c>
      <c r="AC2084" t="str">
        <f>+VLOOKUP(R2084,DRAFT!A:Q,17,0)</f>
        <v>1.3.2</v>
      </c>
    </row>
    <row r="2085" spans="1:29">
      <c r="A2085" t="s">
        <v>382</v>
      </c>
      <c r="B2085" t="s">
        <v>440</v>
      </c>
      <c r="C2085" t="s">
        <v>486</v>
      </c>
      <c r="D2085" t="s">
        <v>1011</v>
      </c>
      <c r="E2085" t="s">
        <v>390</v>
      </c>
      <c r="F2085" t="s">
        <v>391</v>
      </c>
      <c r="G2085">
        <v>6200064</v>
      </c>
      <c r="H2085">
        <v>202201</v>
      </c>
      <c r="I2085" s="400">
        <v>44587</v>
      </c>
      <c r="J2085" t="s">
        <v>1016</v>
      </c>
      <c r="K2085" t="s">
        <v>386</v>
      </c>
      <c r="M2085" t="s">
        <v>387</v>
      </c>
      <c r="O2085" t="s">
        <v>1012</v>
      </c>
      <c r="P2085" t="s">
        <v>1013</v>
      </c>
      <c r="Q2085" t="s">
        <v>396</v>
      </c>
      <c r="R2085" s="458">
        <v>2069133</v>
      </c>
      <c r="S2085" t="s">
        <v>387</v>
      </c>
      <c r="U2085" t="s">
        <v>2810</v>
      </c>
      <c r="V2085" t="s">
        <v>398</v>
      </c>
      <c r="W2085" s="393">
        <v>3750000</v>
      </c>
      <c r="X2085" s="393">
        <v>936.56</v>
      </c>
      <c r="Y2085" s="393">
        <v>8242.69</v>
      </c>
      <c r="Z2085" s="393">
        <v>3750000</v>
      </c>
      <c r="AA2085">
        <v>0</v>
      </c>
      <c r="AB2085" s="400">
        <v>44595.824177083334</v>
      </c>
      <c r="AC2085" t="str">
        <f>+VLOOKUP(R2085,DRAFT!A:Q,17,0)</f>
        <v>1.3.2</v>
      </c>
    </row>
    <row r="2086" spans="1:29">
      <c r="A2086" t="s">
        <v>382</v>
      </c>
      <c r="B2086" t="s">
        <v>440</v>
      </c>
      <c r="C2086" t="s">
        <v>486</v>
      </c>
      <c r="D2086" t="s">
        <v>1011</v>
      </c>
      <c r="E2086" t="s">
        <v>390</v>
      </c>
      <c r="F2086" t="s">
        <v>391</v>
      </c>
      <c r="G2086">
        <v>6200064</v>
      </c>
      <c r="H2086">
        <v>202201</v>
      </c>
      <c r="I2086" s="400">
        <v>44587</v>
      </c>
      <c r="J2086" t="s">
        <v>1016</v>
      </c>
      <c r="K2086" t="s">
        <v>386</v>
      </c>
      <c r="M2086" t="s">
        <v>387</v>
      </c>
      <c r="O2086" t="s">
        <v>1018</v>
      </c>
      <c r="P2086" t="s">
        <v>1019</v>
      </c>
      <c r="Q2086" t="s">
        <v>396</v>
      </c>
      <c r="R2086" s="458">
        <v>2069133</v>
      </c>
      <c r="S2086" t="s">
        <v>387</v>
      </c>
      <c r="U2086" t="s">
        <v>2811</v>
      </c>
      <c r="V2086" t="s">
        <v>398</v>
      </c>
      <c r="W2086" s="393">
        <v>42750</v>
      </c>
      <c r="X2086" s="393">
        <v>10.68</v>
      </c>
      <c r="Y2086" s="393">
        <v>93.97</v>
      </c>
      <c r="Z2086" s="393">
        <v>42750</v>
      </c>
      <c r="AA2086">
        <v>0</v>
      </c>
      <c r="AB2086" s="400">
        <v>44595.824177233793</v>
      </c>
      <c r="AC2086" t="str">
        <f>+VLOOKUP(R2086,DRAFT!A:Q,17,0)</f>
        <v>1.3.2</v>
      </c>
    </row>
    <row r="2087" spans="1:29">
      <c r="A2087" t="s">
        <v>382</v>
      </c>
      <c r="B2087" t="s">
        <v>440</v>
      </c>
      <c r="C2087" t="s">
        <v>486</v>
      </c>
      <c r="D2087" t="s">
        <v>1011</v>
      </c>
      <c r="E2087" t="s">
        <v>390</v>
      </c>
      <c r="F2087" t="s">
        <v>391</v>
      </c>
      <c r="G2087">
        <v>6200037</v>
      </c>
      <c r="H2087">
        <v>202201</v>
      </c>
      <c r="I2087" s="400">
        <v>44580</v>
      </c>
      <c r="J2087" t="s">
        <v>1016</v>
      </c>
      <c r="K2087" t="s">
        <v>386</v>
      </c>
      <c r="M2087" t="s">
        <v>387</v>
      </c>
      <c r="O2087" t="s">
        <v>1012</v>
      </c>
      <c r="P2087" t="s">
        <v>1013</v>
      </c>
      <c r="Q2087" t="s">
        <v>396</v>
      </c>
      <c r="R2087" s="458">
        <v>2540511</v>
      </c>
      <c r="S2087" t="s">
        <v>387</v>
      </c>
      <c r="U2087" t="s">
        <v>2807</v>
      </c>
      <c r="V2087" t="s">
        <v>398</v>
      </c>
      <c r="W2087" s="393">
        <v>3500000</v>
      </c>
      <c r="X2087" s="393">
        <v>881.58</v>
      </c>
      <c r="Y2087" s="393">
        <v>7750.05</v>
      </c>
      <c r="Z2087" s="393">
        <v>3500000</v>
      </c>
      <c r="AA2087">
        <v>0</v>
      </c>
      <c r="AB2087" s="400">
        <v>44593.958944212965</v>
      </c>
      <c r="AC2087" t="str">
        <f>+VLOOKUP(R2087,DRAFT!A:Q,17,0)</f>
        <v>1.2.1</v>
      </c>
    </row>
    <row r="2088" spans="1:29">
      <c r="A2088" t="s">
        <v>382</v>
      </c>
      <c r="B2088" t="s">
        <v>440</v>
      </c>
      <c r="C2088" t="s">
        <v>486</v>
      </c>
      <c r="D2088" t="s">
        <v>1011</v>
      </c>
      <c r="E2088" t="s">
        <v>390</v>
      </c>
      <c r="F2088" t="s">
        <v>391</v>
      </c>
      <c r="G2088">
        <v>6200037</v>
      </c>
      <c r="H2088">
        <v>202201</v>
      </c>
      <c r="I2088" s="400">
        <v>44580</v>
      </c>
      <c r="J2088" t="s">
        <v>1016</v>
      </c>
      <c r="K2088" t="s">
        <v>386</v>
      </c>
      <c r="M2088" t="s">
        <v>387</v>
      </c>
      <c r="O2088" t="s">
        <v>1018</v>
      </c>
      <c r="P2088" t="s">
        <v>1019</v>
      </c>
      <c r="Q2088" t="s">
        <v>396</v>
      </c>
      <c r="R2088" s="458">
        <v>2540511</v>
      </c>
      <c r="S2088" t="s">
        <v>387</v>
      </c>
      <c r="U2088" t="s">
        <v>2808</v>
      </c>
      <c r="V2088" t="s">
        <v>398</v>
      </c>
      <c r="W2088" s="393">
        <v>39900</v>
      </c>
      <c r="X2088" s="393">
        <v>10.050000000000001</v>
      </c>
      <c r="Y2088" s="393">
        <v>88.35</v>
      </c>
      <c r="Z2088" s="393">
        <v>39900</v>
      </c>
      <c r="AA2088">
        <v>0</v>
      </c>
      <c r="AB2088" s="400">
        <v>44593.958944212965</v>
      </c>
      <c r="AC2088" t="str">
        <f>+VLOOKUP(R2088,DRAFT!A:Q,17,0)</f>
        <v>1.2.1</v>
      </c>
    </row>
    <row r="2089" spans="1:29">
      <c r="A2089" t="s">
        <v>382</v>
      </c>
      <c r="B2089" t="s">
        <v>440</v>
      </c>
      <c r="C2089" t="s">
        <v>486</v>
      </c>
      <c r="D2089" t="s">
        <v>1011</v>
      </c>
      <c r="E2089" t="s">
        <v>390</v>
      </c>
      <c r="F2089" t="s">
        <v>391</v>
      </c>
      <c r="G2089">
        <v>6200931</v>
      </c>
      <c r="H2089">
        <v>202203</v>
      </c>
      <c r="I2089" s="400">
        <v>44648</v>
      </c>
      <c r="J2089" t="s">
        <v>1016</v>
      </c>
      <c r="K2089" t="s">
        <v>386</v>
      </c>
      <c r="M2089" t="s">
        <v>387</v>
      </c>
      <c r="O2089" t="s">
        <v>1012</v>
      </c>
      <c r="P2089" t="s">
        <v>1013</v>
      </c>
      <c r="Q2089" t="s">
        <v>396</v>
      </c>
      <c r="R2089" s="458">
        <v>2540509</v>
      </c>
      <c r="S2089" t="s">
        <v>387</v>
      </c>
      <c r="U2089" t="s">
        <v>2815</v>
      </c>
      <c r="V2089" t="s">
        <v>398</v>
      </c>
      <c r="W2089" s="393">
        <v>10000000</v>
      </c>
      <c r="X2089" s="393">
        <v>2662</v>
      </c>
      <c r="Y2089" s="393">
        <v>23283.200000000001</v>
      </c>
      <c r="Z2089" s="393">
        <v>10000000</v>
      </c>
      <c r="AA2089">
        <v>0</v>
      </c>
      <c r="AB2089" s="400">
        <v>44656.024785613423</v>
      </c>
      <c r="AC2089" t="str">
        <f>+VLOOKUP(R2089,DRAFT!A:Q,17,0)</f>
        <v>1.2.2</v>
      </c>
    </row>
    <row r="2090" spans="1:29">
      <c r="A2090" t="s">
        <v>382</v>
      </c>
      <c r="B2090" t="s">
        <v>440</v>
      </c>
      <c r="C2090" t="s">
        <v>486</v>
      </c>
      <c r="D2090" t="s">
        <v>1011</v>
      </c>
      <c r="E2090" t="s">
        <v>390</v>
      </c>
      <c r="F2090" t="s">
        <v>391</v>
      </c>
      <c r="G2090">
        <v>6200931</v>
      </c>
      <c r="H2090">
        <v>202203</v>
      </c>
      <c r="I2090" s="400">
        <v>44648</v>
      </c>
      <c r="J2090" t="s">
        <v>1016</v>
      </c>
      <c r="K2090" t="s">
        <v>386</v>
      </c>
      <c r="M2090" t="s">
        <v>387</v>
      </c>
      <c r="O2090" t="s">
        <v>1012</v>
      </c>
      <c r="P2090" t="s">
        <v>1013</v>
      </c>
      <c r="Q2090" t="s">
        <v>396</v>
      </c>
      <c r="R2090" s="458">
        <v>2540516</v>
      </c>
      <c r="S2090" t="s">
        <v>387</v>
      </c>
      <c r="U2090" t="s">
        <v>2815</v>
      </c>
      <c r="V2090" t="s">
        <v>398</v>
      </c>
      <c r="W2090" s="393">
        <v>20000000</v>
      </c>
      <c r="X2090" s="393">
        <v>5324</v>
      </c>
      <c r="Y2090" s="393">
        <v>46566.400000000001</v>
      </c>
      <c r="Z2090" s="393">
        <v>20000000</v>
      </c>
      <c r="AA2090">
        <v>0</v>
      </c>
      <c r="AB2090" s="400">
        <v>44656.02478576389</v>
      </c>
      <c r="AC2090" t="str">
        <f>+VLOOKUP(R2090,DRAFT!A:Q,17,0)</f>
        <v>1.1.1</v>
      </c>
    </row>
    <row r="2091" spans="1:29">
      <c r="A2091" t="s">
        <v>382</v>
      </c>
      <c r="B2091" t="s">
        <v>440</v>
      </c>
      <c r="C2091" t="s">
        <v>486</v>
      </c>
      <c r="D2091" t="s">
        <v>1011</v>
      </c>
      <c r="E2091" t="s">
        <v>390</v>
      </c>
      <c r="F2091" t="s">
        <v>391</v>
      </c>
      <c r="G2091">
        <v>6200931</v>
      </c>
      <c r="H2091">
        <v>202203</v>
      </c>
      <c r="I2091" s="400">
        <v>44648</v>
      </c>
      <c r="J2091" t="s">
        <v>1016</v>
      </c>
      <c r="K2091" t="s">
        <v>386</v>
      </c>
      <c r="M2091" t="s">
        <v>387</v>
      </c>
      <c r="O2091" t="s">
        <v>1012</v>
      </c>
      <c r="P2091" t="s">
        <v>1013</v>
      </c>
      <c r="Q2091" t="s">
        <v>396</v>
      </c>
      <c r="R2091" s="458">
        <v>2069133</v>
      </c>
      <c r="S2091" t="s">
        <v>387</v>
      </c>
      <c r="U2091" t="s">
        <v>2815</v>
      </c>
      <c r="V2091" t="s">
        <v>398</v>
      </c>
      <c r="W2091" s="393">
        <v>6000000</v>
      </c>
      <c r="X2091" s="393">
        <v>1597.2</v>
      </c>
      <c r="Y2091" s="393">
        <v>13969.92</v>
      </c>
      <c r="Z2091" s="393">
        <v>6000000</v>
      </c>
      <c r="AA2091">
        <v>0</v>
      </c>
      <c r="AB2091" s="400">
        <v>44656.02478576389</v>
      </c>
      <c r="AC2091" t="str">
        <f>+VLOOKUP(R2091,DRAFT!A:Q,17,0)</f>
        <v>1.3.2</v>
      </c>
    </row>
    <row r="2092" spans="1:29">
      <c r="A2092" t="s">
        <v>382</v>
      </c>
      <c r="B2092" t="s">
        <v>440</v>
      </c>
      <c r="C2092" t="s">
        <v>486</v>
      </c>
      <c r="D2092" t="s">
        <v>1011</v>
      </c>
      <c r="E2092" t="s">
        <v>390</v>
      </c>
      <c r="F2092" t="s">
        <v>391</v>
      </c>
      <c r="G2092">
        <v>6200931</v>
      </c>
      <c r="H2092">
        <v>202203</v>
      </c>
      <c r="I2092" s="400">
        <v>44648</v>
      </c>
      <c r="J2092" t="s">
        <v>1016</v>
      </c>
      <c r="K2092" t="s">
        <v>386</v>
      </c>
      <c r="M2092" t="s">
        <v>387</v>
      </c>
      <c r="O2092" t="s">
        <v>1012</v>
      </c>
      <c r="P2092" t="s">
        <v>1013</v>
      </c>
      <c r="Q2092" t="s">
        <v>396</v>
      </c>
      <c r="R2092" s="458">
        <v>2069133</v>
      </c>
      <c r="S2092" t="s">
        <v>387</v>
      </c>
      <c r="U2092" t="s">
        <v>2815</v>
      </c>
      <c r="V2092" t="s">
        <v>398</v>
      </c>
      <c r="W2092" s="393">
        <v>19040000</v>
      </c>
      <c r="X2092" s="393">
        <v>5068.45</v>
      </c>
      <c r="Y2092" s="393">
        <v>44331.21</v>
      </c>
      <c r="Z2092" s="393">
        <v>19040000</v>
      </c>
      <c r="AA2092">
        <v>0</v>
      </c>
      <c r="AB2092" s="400">
        <v>44656.02478576389</v>
      </c>
      <c r="AC2092" t="str">
        <f>+VLOOKUP(R2092,DRAFT!A:Q,17,0)</f>
        <v>1.3.2</v>
      </c>
    </row>
    <row r="2093" spans="1:29">
      <c r="A2093" t="s">
        <v>382</v>
      </c>
      <c r="B2093" t="s">
        <v>440</v>
      </c>
      <c r="C2093" t="s">
        <v>486</v>
      </c>
      <c r="D2093" t="s">
        <v>1011</v>
      </c>
      <c r="E2093" t="s">
        <v>390</v>
      </c>
      <c r="F2093" t="s">
        <v>391</v>
      </c>
      <c r="G2093">
        <v>6200931</v>
      </c>
      <c r="H2093">
        <v>202203</v>
      </c>
      <c r="I2093" s="400">
        <v>44648</v>
      </c>
      <c r="J2093" t="s">
        <v>1016</v>
      </c>
      <c r="K2093" t="s">
        <v>386</v>
      </c>
      <c r="M2093" t="s">
        <v>387</v>
      </c>
      <c r="O2093" t="s">
        <v>1018</v>
      </c>
      <c r="P2093" t="s">
        <v>1019</v>
      </c>
      <c r="Q2093" t="s">
        <v>396</v>
      </c>
      <c r="R2093" s="458">
        <v>2069133</v>
      </c>
      <c r="S2093" t="s">
        <v>387</v>
      </c>
      <c r="U2093" t="s">
        <v>2816</v>
      </c>
      <c r="V2093" t="s">
        <v>398</v>
      </c>
      <c r="W2093" s="393">
        <v>524856</v>
      </c>
      <c r="X2093" s="393">
        <v>139.72</v>
      </c>
      <c r="Y2093" s="393">
        <v>1222.03</v>
      </c>
      <c r="Z2093" s="393">
        <v>524856</v>
      </c>
      <c r="AA2093">
        <v>0</v>
      </c>
      <c r="AB2093" s="400">
        <v>44656.02478576389</v>
      </c>
      <c r="AC2093" t="str">
        <f>+VLOOKUP(R2093,DRAFT!A:Q,17,0)</f>
        <v>1.3.2</v>
      </c>
    </row>
    <row r="2094" spans="1:29">
      <c r="A2094" t="s">
        <v>382</v>
      </c>
      <c r="B2094" t="s">
        <v>440</v>
      </c>
      <c r="C2094" t="s">
        <v>486</v>
      </c>
      <c r="D2094" t="s">
        <v>1011</v>
      </c>
      <c r="E2094" t="s">
        <v>390</v>
      </c>
      <c r="F2094" t="s">
        <v>391</v>
      </c>
      <c r="G2094">
        <v>6200663</v>
      </c>
      <c r="H2094">
        <v>202203</v>
      </c>
      <c r="I2094" s="400">
        <v>44638</v>
      </c>
      <c r="J2094" t="s">
        <v>1016</v>
      </c>
      <c r="K2094" t="s">
        <v>386</v>
      </c>
      <c r="M2094" t="s">
        <v>387</v>
      </c>
      <c r="O2094" t="s">
        <v>1012</v>
      </c>
      <c r="P2094" t="s">
        <v>1013</v>
      </c>
      <c r="Q2094" t="s">
        <v>396</v>
      </c>
      <c r="R2094" s="458">
        <v>2265783</v>
      </c>
      <c r="S2094" t="s">
        <v>387</v>
      </c>
      <c r="U2094" t="s">
        <v>2817</v>
      </c>
      <c r="V2094" t="s">
        <v>398</v>
      </c>
      <c r="W2094" s="393">
        <v>3300000</v>
      </c>
      <c r="X2094" s="393">
        <v>862.32</v>
      </c>
      <c r="Y2094" s="393">
        <v>7675.87</v>
      </c>
      <c r="Z2094" s="393">
        <v>3300000</v>
      </c>
      <c r="AA2094">
        <v>0</v>
      </c>
      <c r="AB2094" s="400">
        <v>44643.690063078706</v>
      </c>
      <c r="AC2094" t="str">
        <f>+VLOOKUP(R2094,DRAFT!A:Q,17,0)</f>
        <v>MAE</v>
      </c>
    </row>
    <row r="2095" spans="1:29">
      <c r="A2095" t="s">
        <v>382</v>
      </c>
      <c r="B2095" t="s">
        <v>440</v>
      </c>
      <c r="C2095" t="s">
        <v>486</v>
      </c>
      <c r="D2095" t="s">
        <v>1011</v>
      </c>
      <c r="E2095" t="s">
        <v>390</v>
      </c>
      <c r="F2095" t="s">
        <v>391</v>
      </c>
      <c r="G2095">
        <v>6200920</v>
      </c>
      <c r="H2095">
        <v>202203</v>
      </c>
      <c r="I2095" s="400">
        <v>44645</v>
      </c>
      <c r="J2095" t="s">
        <v>1016</v>
      </c>
      <c r="K2095" t="s">
        <v>386</v>
      </c>
      <c r="M2095" t="s">
        <v>387</v>
      </c>
      <c r="O2095" t="s">
        <v>1012</v>
      </c>
      <c r="P2095" t="s">
        <v>1013</v>
      </c>
      <c r="Q2095" t="s">
        <v>396</v>
      </c>
      <c r="R2095" s="458">
        <v>2540516</v>
      </c>
      <c r="S2095" t="s">
        <v>387</v>
      </c>
      <c r="U2095" t="s">
        <v>2814</v>
      </c>
      <c r="V2095" t="s">
        <v>398</v>
      </c>
      <c r="W2095" s="393">
        <v>-10000000</v>
      </c>
      <c r="X2095" s="393">
        <v>-2662</v>
      </c>
      <c r="Y2095" s="393">
        <v>-23283.200000000001</v>
      </c>
      <c r="Z2095" s="393">
        <v>-10000000</v>
      </c>
      <c r="AA2095">
        <v>0</v>
      </c>
      <c r="AB2095" s="400">
        <v>44655.870344178242</v>
      </c>
      <c r="AC2095" t="str">
        <f>+VLOOKUP(R2095,DRAFT!A:Q,17,0)</f>
        <v>1.1.1</v>
      </c>
    </row>
    <row r="2096" spans="1:29">
      <c r="A2096" t="s">
        <v>382</v>
      </c>
      <c r="B2096" t="s">
        <v>440</v>
      </c>
      <c r="C2096" t="s">
        <v>486</v>
      </c>
      <c r="D2096" t="s">
        <v>1011</v>
      </c>
      <c r="E2096" t="s">
        <v>390</v>
      </c>
      <c r="F2096" t="s">
        <v>391</v>
      </c>
      <c r="G2096">
        <v>6200920</v>
      </c>
      <c r="H2096">
        <v>202203</v>
      </c>
      <c r="I2096" s="400">
        <v>44645</v>
      </c>
      <c r="J2096" t="s">
        <v>1016</v>
      </c>
      <c r="K2096" t="s">
        <v>386</v>
      </c>
      <c r="M2096" t="s">
        <v>387</v>
      </c>
      <c r="O2096" t="s">
        <v>1012</v>
      </c>
      <c r="P2096" t="s">
        <v>1013</v>
      </c>
      <c r="Q2096" t="s">
        <v>396</v>
      </c>
      <c r="R2096" s="458">
        <v>2540509</v>
      </c>
      <c r="S2096" t="s">
        <v>387</v>
      </c>
      <c r="U2096" t="s">
        <v>2814</v>
      </c>
      <c r="V2096" t="s">
        <v>398</v>
      </c>
      <c r="W2096" s="393">
        <v>-6000000</v>
      </c>
      <c r="X2096" s="393">
        <v>-1597.2</v>
      </c>
      <c r="Y2096" s="393">
        <v>-13969.92</v>
      </c>
      <c r="Z2096" s="393">
        <v>-6000000</v>
      </c>
      <c r="AA2096">
        <v>0</v>
      </c>
      <c r="AB2096" s="400">
        <v>44655.870344328701</v>
      </c>
      <c r="AC2096" t="str">
        <f>+VLOOKUP(R2096,DRAFT!A:Q,17,0)</f>
        <v>1.2.2</v>
      </c>
    </row>
    <row r="2097" spans="1:30">
      <c r="A2097" t="s">
        <v>382</v>
      </c>
      <c r="B2097" t="s">
        <v>440</v>
      </c>
      <c r="C2097" t="s">
        <v>486</v>
      </c>
      <c r="D2097" t="s">
        <v>1011</v>
      </c>
      <c r="E2097" t="s">
        <v>390</v>
      </c>
      <c r="F2097" t="s">
        <v>391</v>
      </c>
      <c r="G2097">
        <v>6200920</v>
      </c>
      <c r="H2097">
        <v>202203</v>
      </c>
      <c r="I2097" s="400">
        <v>44645</v>
      </c>
      <c r="J2097" t="s">
        <v>1016</v>
      </c>
      <c r="K2097" t="s">
        <v>386</v>
      </c>
      <c r="M2097" t="s">
        <v>387</v>
      </c>
      <c r="O2097" t="s">
        <v>1012</v>
      </c>
      <c r="P2097" t="s">
        <v>1013</v>
      </c>
      <c r="Q2097" t="s">
        <v>396</v>
      </c>
      <c r="R2097" s="458">
        <v>2069133</v>
      </c>
      <c r="S2097" t="s">
        <v>387</v>
      </c>
      <c r="U2097" t="s">
        <v>2814</v>
      </c>
      <c r="V2097" t="s">
        <v>398</v>
      </c>
      <c r="W2097" s="393">
        <v>-5000000</v>
      </c>
      <c r="X2097" s="393">
        <v>-1331</v>
      </c>
      <c r="Y2097" s="393">
        <v>-11641.6</v>
      </c>
      <c r="Z2097" s="393">
        <v>-5000000</v>
      </c>
      <c r="AA2097">
        <v>0</v>
      </c>
      <c r="AB2097" s="400">
        <v>44655.870344328701</v>
      </c>
      <c r="AC2097" t="str">
        <f>+VLOOKUP(R2097,DRAFT!A:Q,17,0)</f>
        <v>1.3.2</v>
      </c>
    </row>
    <row r="2098" spans="1:30">
      <c r="A2098" t="s">
        <v>382</v>
      </c>
      <c r="B2098" t="s">
        <v>440</v>
      </c>
      <c r="C2098" t="s">
        <v>486</v>
      </c>
      <c r="D2098" t="s">
        <v>1011</v>
      </c>
      <c r="E2098" t="s">
        <v>390</v>
      </c>
      <c r="F2098" t="s">
        <v>391</v>
      </c>
      <c r="G2098">
        <v>6200920</v>
      </c>
      <c r="H2098">
        <v>202203</v>
      </c>
      <c r="I2098" s="400">
        <v>44645</v>
      </c>
      <c r="J2098" t="s">
        <v>1016</v>
      </c>
      <c r="K2098" t="s">
        <v>386</v>
      </c>
      <c r="M2098" t="s">
        <v>387</v>
      </c>
      <c r="O2098" t="s">
        <v>1012</v>
      </c>
      <c r="P2098" t="s">
        <v>1013</v>
      </c>
      <c r="Q2098" t="s">
        <v>396</v>
      </c>
      <c r="R2098" s="458">
        <v>2069133</v>
      </c>
      <c r="S2098" t="s">
        <v>387</v>
      </c>
      <c r="U2098" t="s">
        <v>2814</v>
      </c>
      <c r="V2098" t="s">
        <v>398</v>
      </c>
      <c r="W2098" s="393">
        <v>-3080000</v>
      </c>
      <c r="X2098" s="393">
        <v>-819.9</v>
      </c>
      <c r="Y2098" s="393">
        <v>-7171.23</v>
      </c>
      <c r="Z2098" s="393">
        <v>-3080000</v>
      </c>
      <c r="AA2098">
        <v>0</v>
      </c>
      <c r="AB2098" s="400">
        <v>44655.870344328701</v>
      </c>
      <c r="AC2098" t="str">
        <f>+VLOOKUP(R2098,DRAFT!A:Q,17,0)</f>
        <v>1.3.2</v>
      </c>
    </row>
    <row r="2099" spans="1:30">
      <c r="A2099" t="s">
        <v>382</v>
      </c>
      <c r="B2099" t="s">
        <v>440</v>
      </c>
      <c r="C2099" t="s">
        <v>486</v>
      </c>
      <c r="D2099" t="s">
        <v>1011</v>
      </c>
      <c r="E2099" t="s">
        <v>390</v>
      </c>
      <c r="F2099" t="s">
        <v>391</v>
      </c>
      <c r="G2099">
        <v>6200663</v>
      </c>
      <c r="H2099">
        <v>202203</v>
      </c>
      <c r="I2099" s="400">
        <v>44638</v>
      </c>
      <c r="J2099" t="s">
        <v>1016</v>
      </c>
      <c r="K2099" t="s">
        <v>386</v>
      </c>
      <c r="M2099" t="s">
        <v>387</v>
      </c>
      <c r="O2099" t="s">
        <v>1012</v>
      </c>
      <c r="P2099" t="s">
        <v>1013</v>
      </c>
      <c r="Q2099" t="s">
        <v>396</v>
      </c>
      <c r="R2099" s="458">
        <v>2265779</v>
      </c>
      <c r="S2099" t="s">
        <v>387</v>
      </c>
      <c r="U2099" t="s">
        <v>2817</v>
      </c>
      <c r="V2099" t="s">
        <v>398</v>
      </c>
      <c r="W2099" s="393">
        <v>1920000</v>
      </c>
      <c r="X2099" s="393">
        <v>501.72</v>
      </c>
      <c r="Y2099" s="393">
        <v>4465.96</v>
      </c>
      <c r="Z2099" s="393">
        <v>1920000</v>
      </c>
      <c r="AA2099">
        <v>0</v>
      </c>
      <c r="AB2099" s="400">
        <v>44643.690063078706</v>
      </c>
      <c r="AC2099" t="str">
        <f>+VLOOKUP(R2099,DRAFT!A:Q,17,0)</f>
        <v>MAE</v>
      </c>
    </row>
    <row r="2100" spans="1:30">
      <c r="A2100" t="s">
        <v>382</v>
      </c>
      <c r="B2100" t="s">
        <v>440</v>
      </c>
      <c r="C2100" t="s">
        <v>486</v>
      </c>
      <c r="D2100" t="s">
        <v>1011</v>
      </c>
      <c r="E2100" t="s">
        <v>390</v>
      </c>
      <c r="F2100" t="s">
        <v>391</v>
      </c>
      <c r="G2100">
        <v>6200663</v>
      </c>
      <c r="H2100">
        <v>202203</v>
      </c>
      <c r="I2100" s="400">
        <v>44638</v>
      </c>
      <c r="J2100" t="s">
        <v>1016</v>
      </c>
      <c r="K2100" t="s">
        <v>386</v>
      </c>
      <c r="M2100" t="s">
        <v>387</v>
      </c>
      <c r="O2100" t="s">
        <v>1018</v>
      </c>
      <c r="P2100" t="s">
        <v>1019</v>
      </c>
      <c r="Q2100" t="s">
        <v>396</v>
      </c>
      <c r="R2100" s="458">
        <v>2265779</v>
      </c>
      <c r="S2100" t="s">
        <v>387</v>
      </c>
      <c r="U2100" t="s">
        <v>2818</v>
      </c>
      <c r="V2100" t="s">
        <v>398</v>
      </c>
      <c r="W2100" s="393">
        <v>59508</v>
      </c>
      <c r="X2100" s="393">
        <v>15.55</v>
      </c>
      <c r="Y2100" s="393">
        <v>138.41999999999999</v>
      </c>
      <c r="Z2100" s="393">
        <v>59508</v>
      </c>
      <c r="AA2100">
        <v>0</v>
      </c>
      <c r="AB2100" s="400">
        <v>44643.690063229165</v>
      </c>
      <c r="AC2100" t="str">
        <f>+VLOOKUP(R2100,DRAFT!A:Q,17,0)</f>
        <v>MAE</v>
      </c>
    </row>
    <row r="2101" spans="1:30">
      <c r="A2101" t="s">
        <v>382</v>
      </c>
      <c r="B2101" t="s">
        <v>440</v>
      </c>
      <c r="C2101" t="s">
        <v>486</v>
      </c>
      <c r="D2101" t="s">
        <v>1011</v>
      </c>
      <c r="E2101" t="s">
        <v>390</v>
      </c>
      <c r="F2101" t="s">
        <v>391</v>
      </c>
      <c r="G2101">
        <v>6200663</v>
      </c>
      <c r="H2101">
        <v>202203</v>
      </c>
      <c r="I2101" s="400">
        <v>44638</v>
      </c>
      <c r="J2101" t="s">
        <v>1016</v>
      </c>
      <c r="K2101" t="s">
        <v>386</v>
      </c>
      <c r="M2101" t="s">
        <v>387</v>
      </c>
      <c r="O2101" t="s">
        <v>1012</v>
      </c>
      <c r="P2101" t="s">
        <v>1013</v>
      </c>
      <c r="Q2101" t="s">
        <v>396</v>
      </c>
      <c r="R2101" s="458">
        <v>2265779</v>
      </c>
      <c r="S2101" t="s">
        <v>387</v>
      </c>
      <c r="U2101" t="s">
        <v>2819</v>
      </c>
      <c r="V2101" t="s">
        <v>398</v>
      </c>
      <c r="W2101" s="393">
        <v>200000</v>
      </c>
      <c r="X2101" s="393">
        <v>52.26</v>
      </c>
      <c r="Y2101" s="393">
        <v>465.2</v>
      </c>
      <c r="Z2101" s="393">
        <v>200000</v>
      </c>
      <c r="AA2101">
        <v>0</v>
      </c>
      <c r="AB2101" s="400">
        <v>44643.690062881942</v>
      </c>
      <c r="AC2101" t="str">
        <f>+VLOOKUP(R2101,DRAFT!A:Q,17,0)</f>
        <v>MAE</v>
      </c>
    </row>
    <row r="2102" spans="1:30">
      <c r="A2102" t="s">
        <v>382</v>
      </c>
      <c r="B2102" t="s">
        <v>440</v>
      </c>
      <c r="C2102" t="s">
        <v>486</v>
      </c>
      <c r="D2102" t="s">
        <v>1011</v>
      </c>
      <c r="E2102" t="s">
        <v>390</v>
      </c>
      <c r="F2102" t="s">
        <v>391</v>
      </c>
      <c r="G2102">
        <v>6200663</v>
      </c>
      <c r="H2102">
        <v>202203</v>
      </c>
      <c r="I2102" s="400">
        <v>44638</v>
      </c>
      <c r="J2102" t="s">
        <v>1016</v>
      </c>
      <c r="K2102" t="s">
        <v>386</v>
      </c>
      <c r="M2102" t="s">
        <v>387</v>
      </c>
      <c r="O2102" t="s">
        <v>1018</v>
      </c>
      <c r="P2102" t="s">
        <v>1019</v>
      </c>
      <c r="Q2102" t="s">
        <v>396</v>
      </c>
      <c r="R2102" s="458">
        <v>2265779</v>
      </c>
      <c r="S2102" t="s">
        <v>387</v>
      </c>
      <c r="U2102" t="s">
        <v>2820</v>
      </c>
      <c r="V2102" t="s">
        <v>398</v>
      </c>
      <c r="W2102" s="393">
        <v>2280</v>
      </c>
      <c r="X2102" s="393">
        <v>0.6</v>
      </c>
      <c r="Y2102" s="393">
        <v>5.3</v>
      </c>
      <c r="Z2102" s="393">
        <v>2280</v>
      </c>
      <c r="AA2102">
        <v>0</v>
      </c>
      <c r="AB2102" s="400">
        <v>44643.690062881942</v>
      </c>
      <c r="AC2102" t="str">
        <f>+VLOOKUP(R2102,DRAFT!A:Q,17,0)</f>
        <v>MAE</v>
      </c>
    </row>
    <row r="2103" spans="1:30">
      <c r="A2103" t="s">
        <v>382</v>
      </c>
      <c r="B2103" t="s">
        <v>440</v>
      </c>
      <c r="C2103" t="s">
        <v>486</v>
      </c>
      <c r="D2103" t="s">
        <v>1011</v>
      </c>
      <c r="E2103" t="s">
        <v>390</v>
      </c>
      <c r="F2103" t="s">
        <v>391</v>
      </c>
      <c r="G2103">
        <v>6201318</v>
      </c>
      <c r="H2103">
        <v>202204</v>
      </c>
      <c r="I2103" s="400">
        <v>44679</v>
      </c>
      <c r="J2103" t="s">
        <v>452</v>
      </c>
      <c r="K2103" t="s">
        <v>386</v>
      </c>
      <c r="M2103" t="s">
        <v>387</v>
      </c>
      <c r="O2103" t="s">
        <v>950</v>
      </c>
      <c r="P2103" t="s">
        <v>951</v>
      </c>
      <c r="Q2103" t="s">
        <v>396</v>
      </c>
      <c r="R2103" s="458">
        <v>2265579</v>
      </c>
      <c r="S2103" t="s">
        <v>3982</v>
      </c>
      <c r="T2103" t="s">
        <v>3982</v>
      </c>
      <c r="U2103" t="s">
        <v>3983</v>
      </c>
      <c r="V2103" t="s">
        <v>398</v>
      </c>
      <c r="W2103" s="393">
        <v>-700000</v>
      </c>
      <c r="X2103" s="393">
        <v>-186.24</v>
      </c>
      <c r="Y2103" s="393">
        <v>-1601.34</v>
      </c>
      <c r="Z2103" s="393">
        <v>-700000</v>
      </c>
      <c r="AA2103">
        <v>0</v>
      </c>
      <c r="AB2103" s="400">
        <v>44687.605813622686</v>
      </c>
      <c r="AC2103">
        <v>0</v>
      </c>
      <c r="AD2103" t="s">
        <v>4093</v>
      </c>
    </row>
    <row r="2104" spans="1:30">
      <c r="A2104" t="s">
        <v>382</v>
      </c>
      <c r="B2104" t="s">
        <v>440</v>
      </c>
      <c r="C2104" t="s">
        <v>486</v>
      </c>
      <c r="D2104" t="s">
        <v>1011</v>
      </c>
      <c r="E2104" t="s">
        <v>390</v>
      </c>
      <c r="F2104" t="s">
        <v>391</v>
      </c>
      <c r="G2104">
        <v>6201318</v>
      </c>
      <c r="H2104">
        <v>202204</v>
      </c>
      <c r="I2104" s="400">
        <v>44679</v>
      </c>
      <c r="J2104" t="s">
        <v>452</v>
      </c>
      <c r="K2104" t="s">
        <v>386</v>
      </c>
      <c r="M2104" t="s">
        <v>387</v>
      </c>
      <c r="O2104" t="s">
        <v>950</v>
      </c>
      <c r="P2104" t="s">
        <v>951</v>
      </c>
      <c r="Q2104" t="s">
        <v>396</v>
      </c>
      <c r="R2104" s="458">
        <v>2265779</v>
      </c>
      <c r="S2104" t="s">
        <v>3982</v>
      </c>
      <c r="T2104" t="s">
        <v>3982</v>
      </c>
      <c r="U2104" t="s">
        <v>3983</v>
      </c>
      <c r="V2104" t="s">
        <v>398</v>
      </c>
      <c r="W2104" s="393">
        <v>700000</v>
      </c>
      <c r="X2104" s="393">
        <v>186.24</v>
      </c>
      <c r="Y2104" s="393">
        <v>1601.34</v>
      </c>
      <c r="Z2104" s="393">
        <v>700000</v>
      </c>
      <c r="AA2104">
        <v>0</v>
      </c>
      <c r="AB2104" s="400">
        <v>44687.605813622686</v>
      </c>
      <c r="AC2104" t="str">
        <f>+VLOOKUP(R2104,DRAFT!A:Q,17,0)</f>
        <v>MAE</v>
      </c>
    </row>
    <row r="2105" spans="1:30">
      <c r="A2105" t="s">
        <v>382</v>
      </c>
      <c r="B2105" t="s">
        <v>440</v>
      </c>
      <c r="C2105" t="s">
        <v>486</v>
      </c>
      <c r="D2105" t="s">
        <v>1011</v>
      </c>
      <c r="E2105" t="s">
        <v>390</v>
      </c>
      <c r="F2105" t="s">
        <v>391</v>
      </c>
      <c r="G2105">
        <v>6201274</v>
      </c>
      <c r="H2105">
        <v>202204</v>
      </c>
      <c r="I2105" s="400">
        <v>44679</v>
      </c>
      <c r="J2105" t="s">
        <v>452</v>
      </c>
      <c r="K2105" t="s">
        <v>386</v>
      </c>
      <c r="M2105" t="s">
        <v>387</v>
      </c>
      <c r="O2105" t="s">
        <v>950</v>
      </c>
      <c r="P2105" t="s">
        <v>951</v>
      </c>
      <c r="Q2105" t="s">
        <v>396</v>
      </c>
      <c r="R2105" s="458">
        <v>2265579</v>
      </c>
      <c r="S2105" t="s">
        <v>387</v>
      </c>
      <c r="U2105" t="s">
        <v>3984</v>
      </c>
      <c r="V2105" t="s">
        <v>398</v>
      </c>
      <c r="W2105" s="393">
        <v>700000</v>
      </c>
      <c r="X2105" s="393">
        <v>186.24</v>
      </c>
      <c r="Y2105" s="393">
        <v>1596.91</v>
      </c>
      <c r="Z2105" s="393">
        <v>700000</v>
      </c>
      <c r="AA2105">
        <v>0</v>
      </c>
      <c r="AB2105" s="400">
        <v>44685.015685451392</v>
      </c>
      <c r="AC2105">
        <v>0</v>
      </c>
      <c r="AD2105" t="s">
        <v>4093</v>
      </c>
    </row>
    <row r="2106" spans="1:30">
      <c r="A2106" t="s">
        <v>382</v>
      </c>
      <c r="B2106" t="s">
        <v>440</v>
      </c>
      <c r="C2106" t="s">
        <v>486</v>
      </c>
      <c r="D2106" t="s">
        <v>1056</v>
      </c>
      <c r="E2106" t="s">
        <v>390</v>
      </c>
      <c r="F2106" t="s">
        <v>391</v>
      </c>
      <c r="G2106">
        <v>6200277</v>
      </c>
      <c r="H2106">
        <v>202202</v>
      </c>
      <c r="I2106" s="400">
        <v>44617</v>
      </c>
      <c r="J2106">
        <v>127949</v>
      </c>
      <c r="K2106" t="s">
        <v>386</v>
      </c>
      <c r="M2106" t="s">
        <v>387</v>
      </c>
      <c r="O2106" t="s">
        <v>1997</v>
      </c>
      <c r="P2106" t="s">
        <v>1998</v>
      </c>
      <c r="Q2106" t="s">
        <v>396</v>
      </c>
      <c r="R2106" s="458">
        <v>2540511</v>
      </c>
      <c r="S2106" t="s">
        <v>387</v>
      </c>
      <c r="U2106" t="s">
        <v>2840</v>
      </c>
      <c r="V2106" t="s">
        <v>398</v>
      </c>
      <c r="W2106" s="393">
        <v>4800000</v>
      </c>
      <c r="X2106" s="393">
        <v>1226.45</v>
      </c>
      <c r="Y2106" s="393">
        <v>10957.58</v>
      </c>
      <c r="Z2106" s="393">
        <v>4800000</v>
      </c>
      <c r="AA2106">
        <v>318</v>
      </c>
      <c r="AB2106" s="400">
        <v>44623.064187233795</v>
      </c>
      <c r="AC2106" t="str">
        <f>+VLOOKUP(R2106,DRAFT!A:Q,17,0)</f>
        <v>1.2.1</v>
      </c>
    </row>
    <row r="2107" spans="1:30">
      <c r="A2107" t="s">
        <v>382</v>
      </c>
      <c r="B2107" t="s">
        <v>440</v>
      </c>
      <c r="C2107" t="s">
        <v>486</v>
      </c>
      <c r="D2107" t="s">
        <v>1056</v>
      </c>
      <c r="E2107" t="s">
        <v>390</v>
      </c>
      <c r="F2107" t="s">
        <v>391</v>
      </c>
      <c r="G2107">
        <v>6200277</v>
      </c>
      <c r="H2107">
        <v>202202</v>
      </c>
      <c r="I2107" s="400">
        <v>44617</v>
      </c>
      <c r="J2107">
        <v>127949</v>
      </c>
      <c r="K2107" t="s">
        <v>386</v>
      </c>
      <c r="M2107" t="s">
        <v>387</v>
      </c>
      <c r="O2107" t="s">
        <v>1071</v>
      </c>
      <c r="P2107" t="s">
        <v>1072</v>
      </c>
      <c r="Q2107" t="s">
        <v>396</v>
      </c>
      <c r="R2107" s="458">
        <v>2540509</v>
      </c>
      <c r="S2107" t="s">
        <v>387</v>
      </c>
      <c r="U2107" t="s">
        <v>2843</v>
      </c>
      <c r="V2107" t="s">
        <v>398</v>
      </c>
      <c r="W2107" s="393">
        <v>4800000</v>
      </c>
      <c r="X2107" s="393">
        <v>1226.45</v>
      </c>
      <c r="Y2107" s="393">
        <v>10957.58</v>
      </c>
      <c r="Z2107" s="393">
        <v>4800000</v>
      </c>
      <c r="AA2107">
        <v>318</v>
      </c>
      <c r="AB2107" s="400">
        <v>44623.064187418982</v>
      </c>
      <c r="AC2107" t="str">
        <f>+VLOOKUP(R2107,DRAFT!A:Q,17,0)</f>
        <v>1.2.2</v>
      </c>
    </row>
    <row r="2108" spans="1:30">
      <c r="A2108" t="s">
        <v>382</v>
      </c>
      <c r="B2108" t="s">
        <v>440</v>
      </c>
      <c r="C2108" t="s">
        <v>486</v>
      </c>
      <c r="D2108" t="s">
        <v>1056</v>
      </c>
      <c r="E2108" t="s">
        <v>390</v>
      </c>
      <c r="F2108" t="s">
        <v>391</v>
      </c>
      <c r="G2108">
        <v>6200327</v>
      </c>
      <c r="H2108">
        <v>202202</v>
      </c>
      <c r="I2108" s="400">
        <v>44603</v>
      </c>
      <c r="J2108">
        <v>127949</v>
      </c>
      <c r="K2108" t="s">
        <v>386</v>
      </c>
      <c r="M2108" t="s">
        <v>387</v>
      </c>
      <c r="O2108" t="s">
        <v>906</v>
      </c>
      <c r="P2108" t="s">
        <v>907</v>
      </c>
      <c r="Q2108" t="s">
        <v>396</v>
      </c>
      <c r="R2108" s="458">
        <v>2069133</v>
      </c>
      <c r="S2108" t="s">
        <v>387</v>
      </c>
      <c r="U2108" t="s">
        <v>2838</v>
      </c>
      <c r="V2108" t="s">
        <v>398</v>
      </c>
      <c r="W2108" s="393">
        <v>53000</v>
      </c>
      <c r="X2108" s="393">
        <v>13.45</v>
      </c>
      <c r="Y2108" s="393">
        <v>118.67</v>
      </c>
      <c r="Z2108" s="393">
        <v>53000</v>
      </c>
      <c r="AA2108">
        <v>0</v>
      </c>
      <c r="AB2108" s="400">
        <v>44624.591401736114</v>
      </c>
      <c r="AC2108" t="str">
        <f>+VLOOKUP(R2108,DRAFT!A:Q,17,0)</f>
        <v>1.3.2</v>
      </c>
    </row>
    <row r="2109" spans="1:30">
      <c r="A2109" t="s">
        <v>382</v>
      </c>
      <c r="B2109" t="s">
        <v>440</v>
      </c>
      <c r="C2109" t="s">
        <v>486</v>
      </c>
      <c r="D2109" t="s">
        <v>1056</v>
      </c>
      <c r="E2109" t="s">
        <v>390</v>
      </c>
      <c r="F2109" t="s">
        <v>391</v>
      </c>
      <c r="G2109">
        <v>6200327</v>
      </c>
      <c r="H2109">
        <v>202202</v>
      </c>
      <c r="I2109" s="400">
        <v>44603</v>
      </c>
      <c r="J2109">
        <v>127949</v>
      </c>
      <c r="K2109" t="s">
        <v>386</v>
      </c>
      <c r="M2109" t="s">
        <v>387</v>
      </c>
      <c r="O2109" t="s">
        <v>794</v>
      </c>
      <c r="P2109" t="s">
        <v>795</v>
      </c>
      <c r="Q2109" t="s">
        <v>396</v>
      </c>
      <c r="R2109" s="458">
        <v>2540511</v>
      </c>
      <c r="S2109" t="s">
        <v>387</v>
      </c>
      <c r="U2109" t="s">
        <v>2839</v>
      </c>
      <c r="V2109" t="s">
        <v>398</v>
      </c>
      <c r="W2109" s="393">
        <v>8500</v>
      </c>
      <c r="X2109" s="393">
        <v>2.16</v>
      </c>
      <c r="Y2109" s="393">
        <v>19.03</v>
      </c>
      <c r="Z2109" s="393">
        <v>8500</v>
      </c>
      <c r="AA2109">
        <v>0</v>
      </c>
      <c r="AB2109" s="400">
        <v>44624.59140193287</v>
      </c>
      <c r="AC2109" t="str">
        <f>+VLOOKUP(R2109,DRAFT!A:Q,17,0)</f>
        <v>1.2.1</v>
      </c>
    </row>
    <row r="2110" spans="1:30">
      <c r="A2110" t="s">
        <v>382</v>
      </c>
      <c r="B2110" t="s">
        <v>440</v>
      </c>
      <c r="C2110" t="s">
        <v>486</v>
      </c>
      <c r="D2110" t="s">
        <v>1056</v>
      </c>
      <c r="E2110" t="s">
        <v>390</v>
      </c>
      <c r="F2110" t="s">
        <v>391</v>
      </c>
      <c r="G2110">
        <v>6200277</v>
      </c>
      <c r="H2110">
        <v>202202</v>
      </c>
      <c r="I2110" s="400">
        <v>44617</v>
      </c>
      <c r="J2110">
        <v>127949</v>
      </c>
      <c r="K2110" t="s">
        <v>386</v>
      </c>
      <c r="M2110" t="s">
        <v>387</v>
      </c>
      <c r="O2110" t="s">
        <v>1071</v>
      </c>
      <c r="P2110" t="s">
        <v>1072</v>
      </c>
      <c r="Q2110" t="s">
        <v>396</v>
      </c>
      <c r="R2110" s="458">
        <v>2069133</v>
      </c>
      <c r="S2110" t="s">
        <v>387</v>
      </c>
      <c r="U2110" t="s">
        <v>2841</v>
      </c>
      <c r="V2110" t="s">
        <v>398</v>
      </c>
      <c r="W2110" s="393">
        <v>850000</v>
      </c>
      <c r="X2110" s="393">
        <v>217.18</v>
      </c>
      <c r="Y2110" s="393">
        <v>1940.41</v>
      </c>
      <c r="Z2110" s="393">
        <v>850000</v>
      </c>
      <c r="AA2110">
        <v>318</v>
      </c>
      <c r="AB2110" s="400">
        <v>44623.064187233795</v>
      </c>
      <c r="AC2110" t="str">
        <f>+VLOOKUP(R2110,DRAFT!A:Q,17,0)</f>
        <v>1.3.2</v>
      </c>
    </row>
    <row r="2111" spans="1:30">
      <c r="A2111" t="s">
        <v>382</v>
      </c>
      <c r="B2111" t="s">
        <v>440</v>
      </c>
      <c r="C2111" t="s">
        <v>486</v>
      </c>
      <c r="D2111" t="s">
        <v>1056</v>
      </c>
      <c r="E2111" t="s">
        <v>390</v>
      </c>
      <c r="F2111" t="s">
        <v>391</v>
      </c>
      <c r="G2111">
        <v>6200277</v>
      </c>
      <c r="H2111">
        <v>202202</v>
      </c>
      <c r="I2111" s="400">
        <v>44617</v>
      </c>
      <c r="J2111">
        <v>127949</v>
      </c>
      <c r="K2111" t="s">
        <v>386</v>
      </c>
      <c r="M2111" t="s">
        <v>387</v>
      </c>
      <c r="O2111" t="s">
        <v>1997</v>
      </c>
      <c r="P2111" t="s">
        <v>1998</v>
      </c>
      <c r="Q2111" t="s">
        <v>396</v>
      </c>
      <c r="R2111" s="458">
        <v>2540511</v>
      </c>
      <c r="S2111" t="s">
        <v>387</v>
      </c>
      <c r="U2111" t="s">
        <v>2842</v>
      </c>
      <c r="V2111" t="s">
        <v>398</v>
      </c>
      <c r="W2111" s="393">
        <v>6800000</v>
      </c>
      <c r="X2111" s="393">
        <v>1737.47</v>
      </c>
      <c r="Y2111" s="393">
        <v>15523.24</v>
      </c>
      <c r="Z2111" s="393">
        <v>6800000</v>
      </c>
      <c r="AA2111">
        <v>318</v>
      </c>
      <c r="AB2111" s="400">
        <v>44623.064187233795</v>
      </c>
      <c r="AC2111" t="str">
        <f>+VLOOKUP(R2111,DRAFT!A:Q,17,0)</f>
        <v>1.2.1</v>
      </c>
    </row>
    <row r="2112" spans="1:30">
      <c r="A2112" t="s">
        <v>382</v>
      </c>
      <c r="B2112" t="s">
        <v>440</v>
      </c>
      <c r="C2112" t="s">
        <v>486</v>
      </c>
      <c r="D2112" t="s">
        <v>1056</v>
      </c>
      <c r="E2112" t="s">
        <v>390</v>
      </c>
      <c r="F2112" t="s">
        <v>391</v>
      </c>
      <c r="G2112">
        <v>6200327</v>
      </c>
      <c r="H2112">
        <v>202202</v>
      </c>
      <c r="I2112" s="400">
        <v>44603</v>
      </c>
      <c r="J2112">
        <v>127949</v>
      </c>
      <c r="K2112" t="s">
        <v>386</v>
      </c>
      <c r="M2112" t="s">
        <v>387</v>
      </c>
      <c r="O2112" t="s">
        <v>906</v>
      </c>
      <c r="P2112" t="s">
        <v>907</v>
      </c>
      <c r="Q2112" t="s">
        <v>396</v>
      </c>
      <c r="R2112" s="458">
        <v>2540509</v>
      </c>
      <c r="S2112" t="s">
        <v>387</v>
      </c>
      <c r="U2112" t="s">
        <v>2821</v>
      </c>
      <c r="V2112" t="s">
        <v>398</v>
      </c>
      <c r="W2112" s="393">
        <v>18000</v>
      </c>
      <c r="X2112" s="393">
        <v>4.57</v>
      </c>
      <c r="Y2112" s="393">
        <v>40.299999999999997</v>
      </c>
      <c r="Z2112" s="393">
        <v>18000</v>
      </c>
      <c r="AA2112">
        <v>0</v>
      </c>
      <c r="AB2112" s="400">
        <v>44624.591402118058</v>
      </c>
      <c r="AC2112" t="str">
        <f>+VLOOKUP(R2112,DRAFT!A:Q,17,0)</f>
        <v>1.2.2</v>
      </c>
    </row>
    <row r="2113" spans="1:29">
      <c r="A2113" t="s">
        <v>382</v>
      </c>
      <c r="B2113" t="s">
        <v>440</v>
      </c>
      <c r="C2113" t="s">
        <v>486</v>
      </c>
      <c r="D2113" t="s">
        <v>1056</v>
      </c>
      <c r="E2113" t="s">
        <v>390</v>
      </c>
      <c r="F2113" t="s">
        <v>391</v>
      </c>
      <c r="G2113">
        <v>6200327</v>
      </c>
      <c r="H2113">
        <v>202202</v>
      </c>
      <c r="I2113" s="400">
        <v>44603</v>
      </c>
      <c r="J2113">
        <v>127949</v>
      </c>
      <c r="K2113" t="s">
        <v>386</v>
      </c>
      <c r="M2113" t="s">
        <v>387</v>
      </c>
      <c r="O2113" t="s">
        <v>906</v>
      </c>
      <c r="P2113" t="s">
        <v>907</v>
      </c>
      <c r="Q2113" t="s">
        <v>396</v>
      </c>
      <c r="R2113" s="458">
        <v>2540509</v>
      </c>
      <c r="S2113" t="s">
        <v>387</v>
      </c>
      <c r="U2113" t="s">
        <v>2822</v>
      </c>
      <c r="V2113" t="s">
        <v>398</v>
      </c>
      <c r="W2113" s="393">
        <v>35000</v>
      </c>
      <c r="X2113" s="393">
        <v>8.8800000000000008</v>
      </c>
      <c r="Y2113" s="393">
        <v>78.36</v>
      </c>
      <c r="Z2113" s="393">
        <v>35000</v>
      </c>
      <c r="AA2113">
        <v>0</v>
      </c>
      <c r="AB2113" s="400">
        <v>44624.591402118058</v>
      </c>
      <c r="AC2113" t="str">
        <f>+VLOOKUP(R2113,DRAFT!A:Q,17,0)</f>
        <v>1.2.2</v>
      </c>
    </row>
    <row r="2114" spans="1:29">
      <c r="A2114" t="s">
        <v>382</v>
      </c>
      <c r="B2114" t="s">
        <v>440</v>
      </c>
      <c r="C2114" t="s">
        <v>486</v>
      </c>
      <c r="D2114" t="s">
        <v>1056</v>
      </c>
      <c r="E2114" t="s">
        <v>390</v>
      </c>
      <c r="F2114" t="s">
        <v>391</v>
      </c>
      <c r="G2114">
        <v>6200327</v>
      </c>
      <c r="H2114">
        <v>202202</v>
      </c>
      <c r="I2114" s="400">
        <v>44603</v>
      </c>
      <c r="J2114">
        <v>127949</v>
      </c>
      <c r="K2114" t="s">
        <v>386</v>
      </c>
      <c r="M2114" t="s">
        <v>387</v>
      </c>
      <c r="O2114" t="s">
        <v>794</v>
      </c>
      <c r="P2114" t="s">
        <v>795</v>
      </c>
      <c r="Q2114" t="s">
        <v>396</v>
      </c>
      <c r="R2114" s="458">
        <v>2540509</v>
      </c>
      <c r="S2114" t="s">
        <v>387</v>
      </c>
      <c r="U2114" t="s">
        <v>2823</v>
      </c>
      <c r="V2114" t="s">
        <v>398</v>
      </c>
      <c r="W2114" s="393">
        <v>14000</v>
      </c>
      <c r="X2114" s="393">
        <v>3.55</v>
      </c>
      <c r="Y2114" s="393">
        <v>31.35</v>
      </c>
      <c r="Z2114" s="393">
        <v>14000</v>
      </c>
      <c r="AA2114">
        <v>0</v>
      </c>
      <c r="AB2114" s="400">
        <v>44624.591402118058</v>
      </c>
      <c r="AC2114" t="str">
        <f>+VLOOKUP(R2114,DRAFT!A:Q,17,0)</f>
        <v>1.2.2</v>
      </c>
    </row>
    <row r="2115" spans="1:29">
      <c r="A2115" t="s">
        <v>382</v>
      </c>
      <c r="B2115" t="s">
        <v>440</v>
      </c>
      <c r="C2115" t="s">
        <v>486</v>
      </c>
      <c r="D2115" t="s">
        <v>1056</v>
      </c>
      <c r="E2115" t="s">
        <v>390</v>
      </c>
      <c r="F2115" t="s">
        <v>391</v>
      </c>
      <c r="G2115">
        <v>6200327</v>
      </c>
      <c r="H2115">
        <v>202202</v>
      </c>
      <c r="I2115" s="400">
        <v>44603</v>
      </c>
      <c r="J2115">
        <v>127949</v>
      </c>
      <c r="K2115" t="s">
        <v>386</v>
      </c>
      <c r="M2115" t="s">
        <v>387</v>
      </c>
      <c r="O2115" t="s">
        <v>896</v>
      </c>
      <c r="P2115" t="s">
        <v>897</v>
      </c>
      <c r="Q2115" t="s">
        <v>396</v>
      </c>
      <c r="R2115" s="458">
        <v>2540509</v>
      </c>
      <c r="S2115" t="s">
        <v>387</v>
      </c>
      <c r="U2115" t="s">
        <v>2824</v>
      </c>
      <c r="V2115" t="s">
        <v>398</v>
      </c>
      <c r="W2115" s="393">
        <v>24000</v>
      </c>
      <c r="X2115" s="393">
        <v>6.09</v>
      </c>
      <c r="Y2115" s="393">
        <v>53.74</v>
      </c>
      <c r="Z2115" s="393">
        <v>24000</v>
      </c>
      <c r="AA2115">
        <v>0</v>
      </c>
      <c r="AB2115" s="400">
        <v>44624.591402118058</v>
      </c>
      <c r="AC2115" t="str">
        <f>+VLOOKUP(R2115,DRAFT!A:Q,17,0)</f>
        <v>1.2.2</v>
      </c>
    </row>
    <row r="2116" spans="1:29">
      <c r="A2116" t="s">
        <v>382</v>
      </c>
      <c r="B2116" t="s">
        <v>440</v>
      </c>
      <c r="C2116" t="s">
        <v>486</v>
      </c>
      <c r="D2116" t="s">
        <v>1056</v>
      </c>
      <c r="E2116" t="s">
        <v>390</v>
      </c>
      <c r="F2116" t="s">
        <v>391</v>
      </c>
      <c r="G2116">
        <v>6200327</v>
      </c>
      <c r="H2116">
        <v>202202</v>
      </c>
      <c r="I2116" s="400">
        <v>44603</v>
      </c>
      <c r="J2116">
        <v>127949</v>
      </c>
      <c r="K2116" t="s">
        <v>386</v>
      </c>
      <c r="M2116" t="s">
        <v>387</v>
      </c>
      <c r="O2116" t="s">
        <v>1497</v>
      </c>
      <c r="P2116" t="s">
        <v>1498</v>
      </c>
      <c r="Q2116" t="s">
        <v>396</v>
      </c>
      <c r="R2116" s="458">
        <v>2069133</v>
      </c>
      <c r="S2116" t="s">
        <v>387</v>
      </c>
      <c r="U2116" t="s">
        <v>2825</v>
      </c>
      <c r="V2116" t="s">
        <v>398</v>
      </c>
      <c r="W2116" s="393">
        <v>11800</v>
      </c>
      <c r="X2116" s="393">
        <v>3</v>
      </c>
      <c r="Y2116" s="393">
        <v>26.42</v>
      </c>
      <c r="Z2116" s="393">
        <v>11800</v>
      </c>
      <c r="AA2116">
        <v>0</v>
      </c>
      <c r="AB2116" s="400">
        <v>44624.591402314814</v>
      </c>
      <c r="AC2116" t="str">
        <f>+VLOOKUP(R2116,DRAFT!A:Q,17,0)</f>
        <v>1.3.2</v>
      </c>
    </row>
    <row r="2117" spans="1:29">
      <c r="A2117" t="s">
        <v>382</v>
      </c>
      <c r="B2117" t="s">
        <v>440</v>
      </c>
      <c r="C2117" t="s">
        <v>486</v>
      </c>
      <c r="D2117" t="s">
        <v>1056</v>
      </c>
      <c r="E2117" t="s">
        <v>390</v>
      </c>
      <c r="F2117" t="s">
        <v>391</v>
      </c>
      <c r="G2117">
        <v>6200327</v>
      </c>
      <c r="H2117">
        <v>202202</v>
      </c>
      <c r="I2117" s="400">
        <v>44603</v>
      </c>
      <c r="J2117">
        <v>127949</v>
      </c>
      <c r="K2117" t="s">
        <v>386</v>
      </c>
      <c r="M2117" t="s">
        <v>387</v>
      </c>
      <c r="O2117" t="s">
        <v>2826</v>
      </c>
      <c r="P2117" t="s">
        <v>2827</v>
      </c>
      <c r="Q2117" t="s">
        <v>396</v>
      </c>
      <c r="R2117" s="458">
        <v>2069133</v>
      </c>
      <c r="S2117" t="s">
        <v>387</v>
      </c>
      <c r="U2117" t="s">
        <v>2828</v>
      </c>
      <c r="V2117" t="s">
        <v>398</v>
      </c>
      <c r="W2117" s="393">
        <v>130000</v>
      </c>
      <c r="X2117" s="393">
        <v>33</v>
      </c>
      <c r="Y2117" s="393">
        <v>291.07</v>
      </c>
      <c r="Z2117" s="393">
        <v>130000</v>
      </c>
      <c r="AA2117">
        <v>0</v>
      </c>
      <c r="AB2117" s="400">
        <v>44624.591401585647</v>
      </c>
      <c r="AC2117" t="str">
        <f>+VLOOKUP(R2117,DRAFT!A:Q,17,0)</f>
        <v>1.3.2</v>
      </c>
    </row>
    <row r="2118" spans="1:29">
      <c r="A2118" t="s">
        <v>382</v>
      </c>
      <c r="B2118" t="s">
        <v>440</v>
      </c>
      <c r="C2118" t="s">
        <v>486</v>
      </c>
      <c r="D2118" t="s">
        <v>1056</v>
      </c>
      <c r="E2118" t="s">
        <v>390</v>
      </c>
      <c r="F2118" t="s">
        <v>391</v>
      </c>
      <c r="G2118">
        <v>6200327</v>
      </c>
      <c r="H2118">
        <v>202202</v>
      </c>
      <c r="I2118" s="400">
        <v>44603</v>
      </c>
      <c r="J2118">
        <v>127949</v>
      </c>
      <c r="K2118" t="s">
        <v>386</v>
      </c>
      <c r="M2118" t="s">
        <v>387</v>
      </c>
      <c r="O2118" t="s">
        <v>725</v>
      </c>
      <c r="P2118" t="s">
        <v>726</v>
      </c>
      <c r="Q2118" t="s">
        <v>396</v>
      </c>
      <c r="R2118" s="458">
        <v>2069133</v>
      </c>
      <c r="S2118" t="s">
        <v>387</v>
      </c>
      <c r="U2118" t="s">
        <v>2829</v>
      </c>
      <c r="V2118" t="s">
        <v>398</v>
      </c>
      <c r="W2118" s="393">
        <v>24000</v>
      </c>
      <c r="X2118" s="393">
        <v>6.09</v>
      </c>
      <c r="Y2118" s="393">
        <v>53.74</v>
      </c>
      <c r="Z2118" s="393">
        <v>24000</v>
      </c>
      <c r="AA2118">
        <v>0</v>
      </c>
      <c r="AB2118" s="400">
        <v>44624.591401585647</v>
      </c>
      <c r="AC2118" t="str">
        <f>+VLOOKUP(R2118,DRAFT!A:Q,17,0)</f>
        <v>1.3.2</v>
      </c>
    </row>
    <row r="2119" spans="1:29">
      <c r="A2119" t="s">
        <v>382</v>
      </c>
      <c r="B2119" t="s">
        <v>440</v>
      </c>
      <c r="C2119" t="s">
        <v>486</v>
      </c>
      <c r="D2119" t="s">
        <v>1056</v>
      </c>
      <c r="E2119" t="s">
        <v>390</v>
      </c>
      <c r="F2119" t="s">
        <v>391</v>
      </c>
      <c r="G2119">
        <v>6200327</v>
      </c>
      <c r="H2119">
        <v>202202</v>
      </c>
      <c r="I2119" s="400">
        <v>44603</v>
      </c>
      <c r="J2119">
        <v>127949</v>
      </c>
      <c r="K2119" t="s">
        <v>386</v>
      </c>
      <c r="M2119" t="s">
        <v>387</v>
      </c>
      <c r="O2119" t="s">
        <v>906</v>
      </c>
      <c r="P2119" t="s">
        <v>907</v>
      </c>
      <c r="Q2119" t="s">
        <v>396</v>
      </c>
      <c r="R2119" s="458">
        <v>2069133</v>
      </c>
      <c r="S2119" t="s">
        <v>387</v>
      </c>
      <c r="U2119" t="s">
        <v>2830</v>
      </c>
      <c r="V2119" t="s">
        <v>398</v>
      </c>
      <c r="W2119" s="393">
        <v>75000</v>
      </c>
      <c r="X2119" s="393">
        <v>19.04</v>
      </c>
      <c r="Y2119" s="393">
        <v>167.92</v>
      </c>
      <c r="Z2119" s="393">
        <v>75000</v>
      </c>
      <c r="AA2119">
        <v>0</v>
      </c>
      <c r="AB2119" s="400">
        <v>44624.591401736114</v>
      </c>
      <c r="AC2119" t="str">
        <f>+VLOOKUP(R2119,DRAFT!A:Q,17,0)</f>
        <v>1.3.2</v>
      </c>
    </row>
    <row r="2120" spans="1:29">
      <c r="A2120" t="s">
        <v>382</v>
      </c>
      <c r="B2120" t="s">
        <v>440</v>
      </c>
      <c r="C2120" t="s">
        <v>486</v>
      </c>
      <c r="D2120" t="s">
        <v>1056</v>
      </c>
      <c r="E2120" t="s">
        <v>390</v>
      </c>
      <c r="F2120" t="s">
        <v>391</v>
      </c>
      <c r="G2120">
        <v>6200327</v>
      </c>
      <c r="H2120">
        <v>202202</v>
      </c>
      <c r="I2120" s="400">
        <v>44603</v>
      </c>
      <c r="J2120">
        <v>127949</v>
      </c>
      <c r="K2120" t="s">
        <v>386</v>
      </c>
      <c r="M2120" t="s">
        <v>387</v>
      </c>
      <c r="O2120" t="s">
        <v>896</v>
      </c>
      <c r="P2120" t="s">
        <v>897</v>
      </c>
      <c r="Q2120" t="s">
        <v>396</v>
      </c>
      <c r="R2120" s="458">
        <v>2069133</v>
      </c>
      <c r="S2120" t="s">
        <v>387</v>
      </c>
      <c r="U2120" t="s">
        <v>2831</v>
      </c>
      <c r="V2120" t="s">
        <v>398</v>
      </c>
      <c r="W2120" s="393">
        <v>37000</v>
      </c>
      <c r="X2120" s="393">
        <v>9.39</v>
      </c>
      <c r="Y2120" s="393">
        <v>82.84</v>
      </c>
      <c r="Z2120" s="393">
        <v>37000</v>
      </c>
      <c r="AA2120">
        <v>0</v>
      </c>
      <c r="AB2120" s="400">
        <v>44624.591401736114</v>
      </c>
      <c r="AC2120" t="str">
        <f>+VLOOKUP(R2120,DRAFT!A:Q,17,0)</f>
        <v>1.3.2</v>
      </c>
    </row>
    <row r="2121" spans="1:29">
      <c r="A2121" t="s">
        <v>382</v>
      </c>
      <c r="B2121" t="s">
        <v>440</v>
      </c>
      <c r="C2121" t="s">
        <v>486</v>
      </c>
      <c r="D2121" t="s">
        <v>1056</v>
      </c>
      <c r="E2121" t="s">
        <v>390</v>
      </c>
      <c r="F2121" t="s">
        <v>391</v>
      </c>
      <c r="G2121">
        <v>6200327</v>
      </c>
      <c r="H2121">
        <v>202202</v>
      </c>
      <c r="I2121" s="400">
        <v>44603</v>
      </c>
      <c r="J2121">
        <v>127949</v>
      </c>
      <c r="K2121" t="s">
        <v>386</v>
      </c>
      <c r="M2121" t="s">
        <v>387</v>
      </c>
      <c r="O2121" t="s">
        <v>794</v>
      </c>
      <c r="P2121" t="s">
        <v>795</v>
      </c>
      <c r="Q2121" t="s">
        <v>396</v>
      </c>
      <c r="R2121" s="458">
        <v>2540509</v>
      </c>
      <c r="S2121" t="s">
        <v>387</v>
      </c>
      <c r="U2121" t="s">
        <v>2832</v>
      </c>
      <c r="V2121" t="s">
        <v>398</v>
      </c>
      <c r="W2121" s="393">
        <v>9500</v>
      </c>
      <c r="X2121" s="393">
        <v>2.41</v>
      </c>
      <c r="Y2121" s="393">
        <v>21.27</v>
      </c>
      <c r="Z2121" s="393">
        <v>9500</v>
      </c>
      <c r="AA2121">
        <v>0</v>
      </c>
      <c r="AB2121" s="400">
        <v>44624.59140193287</v>
      </c>
      <c r="AC2121" t="str">
        <f>+VLOOKUP(R2121,DRAFT!A:Q,17,0)</f>
        <v>1.2.2</v>
      </c>
    </row>
    <row r="2122" spans="1:29">
      <c r="A2122" t="s">
        <v>382</v>
      </c>
      <c r="B2122" t="s">
        <v>440</v>
      </c>
      <c r="C2122" t="s">
        <v>486</v>
      </c>
      <c r="D2122" t="s">
        <v>1056</v>
      </c>
      <c r="E2122" t="s">
        <v>390</v>
      </c>
      <c r="F2122" t="s">
        <v>391</v>
      </c>
      <c r="G2122">
        <v>6200327</v>
      </c>
      <c r="H2122">
        <v>202202</v>
      </c>
      <c r="I2122" s="400">
        <v>44603</v>
      </c>
      <c r="J2122">
        <v>127949</v>
      </c>
      <c r="K2122" t="s">
        <v>386</v>
      </c>
      <c r="M2122" t="s">
        <v>387</v>
      </c>
      <c r="O2122" t="s">
        <v>2639</v>
      </c>
      <c r="P2122" t="s">
        <v>2640</v>
      </c>
      <c r="Q2122" t="s">
        <v>396</v>
      </c>
      <c r="R2122" s="458">
        <v>2540509</v>
      </c>
      <c r="S2122" t="s">
        <v>387</v>
      </c>
      <c r="U2122" t="s">
        <v>2833</v>
      </c>
      <c r="V2122" t="s">
        <v>398</v>
      </c>
      <c r="W2122" s="393">
        <v>52000</v>
      </c>
      <c r="X2122" s="393">
        <v>13.2</v>
      </c>
      <c r="Y2122" s="393">
        <v>116.43</v>
      </c>
      <c r="Z2122" s="393">
        <v>52000</v>
      </c>
      <c r="AA2122">
        <v>0</v>
      </c>
      <c r="AB2122" s="400">
        <v>44624.59140193287</v>
      </c>
      <c r="AC2122" t="str">
        <f>+VLOOKUP(R2122,DRAFT!A:Q,17,0)</f>
        <v>1.2.2</v>
      </c>
    </row>
    <row r="2123" spans="1:29">
      <c r="A2123" t="s">
        <v>382</v>
      </c>
      <c r="B2123" t="s">
        <v>440</v>
      </c>
      <c r="C2123" t="s">
        <v>486</v>
      </c>
      <c r="D2123" t="s">
        <v>1056</v>
      </c>
      <c r="E2123" t="s">
        <v>390</v>
      </c>
      <c r="F2123" t="s">
        <v>391</v>
      </c>
      <c r="G2123">
        <v>6200327</v>
      </c>
      <c r="H2123">
        <v>202202</v>
      </c>
      <c r="I2123" s="400">
        <v>44603</v>
      </c>
      <c r="J2123">
        <v>127949</v>
      </c>
      <c r="K2123" t="s">
        <v>386</v>
      </c>
      <c r="M2123" t="s">
        <v>387</v>
      </c>
      <c r="O2123" t="s">
        <v>794</v>
      </c>
      <c r="P2123" t="s">
        <v>795</v>
      </c>
      <c r="Q2123" t="s">
        <v>396</v>
      </c>
      <c r="R2123" s="458">
        <v>2540509</v>
      </c>
      <c r="S2123" t="s">
        <v>387</v>
      </c>
      <c r="U2123" t="s">
        <v>2834</v>
      </c>
      <c r="V2123" t="s">
        <v>398</v>
      </c>
      <c r="W2123" s="393">
        <v>9500</v>
      </c>
      <c r="X2123" s="393">
        <v>2.41</v>
      </c>
      <c r="Y2123" s="393">
        <v>21.27</v>
      </c>
      <c r="Z2123" s="393">
        <v>9500</v>
      </c>
      <c r="AA2123">
        <v>0</v>
      </c>
      <c r="AB2123" s="400">
        <v>44624.59140193287</v>
      </c>
      <c r="AC2123" t="str">
        <f>+VLOOKUP(R2123,DRAFT!A:Q,17,0)</f>
        <v>1.2.2</v>
      </c>
    </row>
    <row r="2124" spans="1:29">
      <c r="A2124" t="s">
        <v>382</v>
      </c>
      <c r="B2124" t="s">
        <v>440</v>
      </c>
      <c r="C2124" t="s">
        <v>486</v>
      </c>
      <c r="D2124" t="s">
        <v>1056</v>
      </c>
      <c r="E2124" t="s">
        <v>390</v>
      </c>
      <c r="F2124" t="s">
        <v>391</v>
      </c>
      <c r="G2124">
        <v>6200327</v>
      </c>
      <c r="H2124">
        <v>202202</v>
      </c>
      <c r="I2124" s="400">
        <v>44603</v>
      </c>
      <c r="J2124">
        <v>127949</v>
      </c>
      <c r="K2124" t="s">
        <v>386</v>
      </c>
      <c r="M2124" t="s">
        <v>387</v>
      </c>
      <c r="O2124" t="s">
        <v>906</v>
      </c>
      <c r="P2124" t="s">
        <v>907</v>
      </c>
      <c r="Q2124" t="s">
        <v>396</v>
      </c>
      <c r="R2124" s="458">
        <v>2540509</v>
      </c>
      <c r="S2124" t="s">
        <v>387</v>
      </c>
      <c r="U2124" t="s">
        <v>2835</v>
      </c>
      <c r="V2124" t="s">
        <v>398</v>
      </c>
      <c r="W2124" s="393">
        <v>15000</v>
      </c>
      <c r="X2124" s="393">
        <v>3.81</v>
      </c>
      <c r="Y2124" s="393">
        <v>33.58</v>
      </c>
      <c r="Z2124" s="393">
        <v>15000</v>
      </c>
      <c r="AA2124">
        <v>0</v>
      </c>
      <c r="AB2124" s="400">
        <v>44624.59140193287</v>
      </c>
      <c r="AC2124" t="str">
        <f>+VLOOKUP(R2124,DRAFT!A:Q,17,0)</f>
        <v>1.2.2</v>
      </c>
    </row>
    <row r="2125" spans="1:29">
      <c r="A2125" t="s">
        <v>382</v>
      </c>
      <c r="B2125" t="s">
        <v>440</v>
      </c>
      <c r="C2125" t="s">
        <v>486</v>
      </c>
      <c r="D2125" t="s">
        <v>1056</v>
      </c>
      <c r="E2125" t="s">
        <v>390</v>
      </c>
      <c r="F2125" t="s">
        <v>391</v>
      </c>
      <c r="G2125">
        <v>6200327</v>
      </c>
      <c r="H2125">
        <v>202202</v>
      </c>
      <c r="I2125" s="400">
        <v>44603</v>
      </c>
      <c r="J2125">
        <v>127949</v>
      </c>
      <c r="K2125" t="s">
        <v>386</v>
      </c>
      <c r="M2125" t="s">
        <v>387</v>
      </c>
      <c r="O2125" t="s">
        <v>2087</v>
      </c>
      <c r="P2125" t="s">
        <v>2088</v>
      </c>
      <c r="Q2125" t="s">
        <v>396</v>
      </c>
      <c r="R2125" s="458">
        <v>2540509</v>
      </c>
      <c r="S2125" t="s">
        <v>387</v>
      </c>
      <c r="U2125" t="s">
        <v>2836</v>
      </c>
      <c r="V2125" t="s">
        <v>398</v>
      </c>
      <c r="W2125" s="393">
        <v>44000</v>
      </c>
      <c r="X2125" s="393">
        <v>11.17</v>
      </c>
      <c r="Y2125" s="393">
        <v>98.52</v>
      </c>
      <c r="Z2125" s="393">
        <v>44000</v>
      </c>
      <c r="AA2125">
        <v>0</v>
      </c>
      <c r="AB2125" s="400">
        <v>44624.591402118058</v>
      </c>
      <c r="AC2125" t="str">
        <f>+VLOOKUP(R2125,DRAFT!A:Q,17,0)</f>
        <v>1.2.2</v>
      </c>
    </row>
    <row r="2126" spans="1:29">
      <c r="A2126" t="s">
        <v>382</v>
      </c>
      <c r="B2126" t="s">
        <v>440</v>
      </c>
      <c r="C2126" t="s">
        <v>486</v>
      </c>
      <c r="D2126" t="s">
        <v>1056</v>
      </c>
      <c r="E2126" t="s">
        <v>390</v>
      </c>
      <c r="F2126" t="s">
        <v>391</v>
      </c>
      <c r="G2126">
        <v>6200327</v>
      </c>
      <c r="H2126">
        <v>202202</v>
      </c>
      <c r="I2126" s="400">
        <v>44603</v>
      </c>
      <c r="J2126">
        <v>127949</v>
      </c>
      <c r="K2126" t="s">
        <v>386</v>
      </c>
      <c r="M2126" t="s">
        <v>387</v>
      </c>
      <c r="O2126" t="s">
        <v>794</v>
      </c>
      <c r="P2126" t="s">
        <v>795</v>
      </c>
      <c r="Q2126" t="s">
        <v>396</v>
      </c>
      <c r="R2126" s="458">
        <v>2540509</v>
      </c>
      <c r="S2126" t="s">
        <v>387</v>
      </c>
      <c r="U2126" t="s">
        <v>2837</v>
      </c>
      <c r="V2126" t="s">
        <v>398</v>
      </c>
      <c r="W2126" s="393">
        <v>5000</v>
      </c>
      <c r="X2126" s="393">
        <v>1.27</v>
      </c>
      <c r="Y2126" s="393">
        <v>11.19</v>
      </c>
      <c r="Z2126" s="393">
        <v>5000</v>
      </c>
      <c r="AA2126">
        <v>0</v>
      </c>
      <c r="AB2126" s="400">
        <v>44624.591402118058</v>
      </c>
      <c r="AC2126" t="str">
        <f>+VLOOKUP(R2126,DRAFT!A:Q,17,0)</f>
        <v>1.2.2</v>
      </c>
    </row>
    <row r="2127" spans="1:29">
      <c r="A2127" t="s">
        <v>382</v>
      </c>
      <c r="B2127" t="s">
        <v>440</v>
      </c>
      <c r="C2127" t="s">
        <v>486</v>
      </c>
      <c r="D2127" t="s">
        <v>1056</v>
      </c>
      <c r="E2127" t="s">
        <v>390</v>
      </c>
      <c r="F2127" t="s">
        <v>391</v>
      </c>
      <c r="G2127">
        <v>6200277</v>
      </c>
      <c r="H2127">
        <v>202202</v>
      </c>
      <c r="I2127" s="400">
        <v>44617</v>
      </c>
      <c r="J2127">
        <v>127949</v>
      </c>
      <c r="K2127" t="s">
        <v>386</v>
      </c>
      <c r="M2127" t="s">
        <v>387</v>
      </c>
      <c r="O2127" t="s">
        <v>565</v>
      </c>
      <c r="P2127" t="s">
        <v>566</v>
      </c>
      <c r="Q2127" t="s">
        <v>396</v>
      </c>
      <c r="R2127" s="458">
        <v>2540509</v>
      </c>
      <c r="S2127" t="s">
        <v>2844</v>
      </c>
      <c r="U2127" t="s">
        <v>2845</v>
      </c>
      <c r="V2127" t="s">
        <v>398</v>
      </c>
      <c r="W2127" s="393">
        <v>3500000</v>
      </c>
      <c r="X2127" s="393">
        <v>894.29</v>
      </c>
      <c r="Y2127" s="393">
        <v>7989.91</v>
      </c>
      <c r="Z2127" s="393">
        <v>3500000</v>
      </c>
      <c r="AA2127">
        <v>318</v>
      </c>
      <c r="AB2127" s="400">
        <v>44623.064187615739</v>
      </c>
      <c r="AC2127" t="str">
        <f>+VLOOKUP(R2127,DRAFT!A:Q,17,0)</f>
        <v>1.2.2</v>
      </c>
    </row>
    <row r="2128" spans="1:29">
      <c r="A2128" t="s">
        <v>382</v>
      </c>
      <c r="B2128" t="s">
        <v>440</v>
      </c>
      <c r="C2128" t="s">
        <v>486</v>
      </c>
      <c r="D2128" t="s">
        <v>1056</v>
      </c>
      <c r="E2128" t="s">
        <v>390</v>
      </c>
      <c r="F2128" t="s">
        <v>391</v>
      </c>
      <c r="G2128">
        <v>6200277</v>
      </c>
      <c r="H2128">
        <v>202202</v>
      </c>
      <c r="I2128" s="400">
        <v>44617</v>
      </c>
      <c r="J2128">
        <v>127949</v>
      </c>
      <c r="K2128" t="s">
        <v>386</v>
      </c>
      <c r="M2128" t="s">
        <v>387</v>
      </c>
      <c r="O2128" t="s">
        <v>1997</v>
      </c>
      <c r="P2128" t="s">
        <v>1998</v>
      </c>
      <c r="Q2128" t="s">
        <v>396</v>
      </c>
      <c r="R2128" s="458">
        <v>2540509</v>
      </c>
      <c r="S2128" t="s">
        <v>387</v>
      </c>
      <c r="U2128" t="s">
        <v>2846</v>
      </c>
      <c r="V2128" t="s">
        <v>398</v>
      </c>
      <c r="W2128" s="393">
        <v>6400000</v>
      </c>
      <c r="X2128" s="393">
        <v>1635.26</v>
      </c>
      <c r="Y2128" s="393">
        <v>14610.11</v>
      </c>
      <c r="Z2128" s="393">
        <v>6400000</v>
      </c>
      <c r="AA2128">
        <v>318</v>
      </c>
      <c r="AB2128" s="400">
        <v>44623.064187418982</v>
      </c>
      <c r="AC2128" t="str">
        <f>+VLOOKUP(R2128,DRAFT!A:Q,17,0)</f>
        <v>1.2.2</v>
      </c>
    </row>
    <row r="2129" spans="1:29">
      <c r="A2129" t="s">
        <v>382</v>
      </c>
      <c r="B2129" t="s">
        <v>440</v>
      </c>
      <c r="C2129" t="s">
        <v>486</v>
      </c>
      <c r="D2129" t="s">
        <v>1056</v>
      </c>
      <c r="E2129" t="s">
        <v>390</v>
      </c>
      <c r="F2129" t="s">
        <v>391</v>
      </c>
      <c r="G2129">
        <v>6200277</v>
      </c>
      <c r="H2129">
        <v>202202</v>
      </c>
      <c r="I2129" s="400">
        <v>44617</v>
      </c>
      <c r="J2129">
        <v>127949</v>
      </c>
      <c r="K2129" t="s">
        <v>386</v>
      </c>
      <c r="M2129" t="s">
        <v>387</v>
      </c>
      <c r="O2129" t="s">
        <v>551</v>
      </c>
      <c r="P2129" t="s">
        <v>552</v>
      </c>
      <c r="Q2129" t="s">
        <v>396</v>
      </c>
      <c r="R2129" s="458">
        <v>2265783</v>
      </c>
      <c r="S2129" t="s">
        <v>387</v>
      </c>
      <c r="U2129" t="s">
        <v>2847</v>
      </c>
      <c r="V2129" t="s">
        <v>398</v>
      </c>
      <c r="W2129" s="393">
        <v>1485000</v>
      </c>
      <c r="X2129" s="393">
        <v>379.43</v>
      </c>
      <c r="Y2129" s="393">
        <v>3390</v>
      </c>
      <c r="Z2129" s="393">
        <v>1485000</v>
      </c>
      <c r="AA2129">
        <v>318</v>
      </c>
      <c r="AB2129" s="400">
        <v>44623.064187418982</v>
      </c>
      <c r="AC2129" t="str">
        <f>+VLOOKUP(R2129,DRAFT!A:Q,17,0)</f>
        <v>MAE</v>
      </c>
    </row>
    <row r="2130" spans="1:29">
      <c r="A2130" t="s">
        <v>382</v>
      </c>
      <c r="B2130" t="s">
        <v>440</v>
      </c>
      <c r="C2130" t="s">
        <v>486</v>
      </c>
      <c r="D2130" t="s">
        <v>1056</v>
      </c>
      <c r="E2130" t="s">
        <v>390</v>
      </c>
      <c r="F2130" t="s">
        <v>391</v>
      </c>
      <c r="G2130">
        <v>6200277</v>
      </c>
      <c r="H2130">
        <v>202202</v>
      </c>
      <c r="I2130" s="400">
        <v>44617</v>
      </c>
      <c r="J2130">
        <v>127949</v>
      </c>
      <c r="K2130" t="s">
        <v>386</v>
      </c>
      <c r="M2130" t="s">
        <v>387</v>
      </c>
      <c r="O2130" t="s">
        <v>565</v>
      </c>
      <c r="P2130" t="s">
        <v>566</v>
      </c>
      <c r="Q2130" t="s">
        <v>396</v>
      </c>
      <c r="R2130" s="458">
        <v>2069133</v>
      </c>
      <c r="S2130" t="s">
        <v>2844</v>
      </c>
      <c r="U2130" t="s">
        <v>2848</v>
      </c>
      <c r="V2130" t="s">
        <v>398</v>
      </c>
      <c r="W2130" s="393">
        <v>8160000</v>
      </c>
      <c r="X2130" s="393">
        <v>2084.96</v>
      </c>
      <c r="Y2130" s="393">
        <v>18627.89</v>
      </c>
      <c r="Z2130" s="393">
        <v>8160000</v>
      </c>
      <c r="AA2130">
        <v>318</v>
      </c>
      <c r="AB2130" s="400">
        <v>44623.064187418982</v>
      </c>
      <c r="AC2130" t="str">
        <f>+VLOOKUP(R2130,DRAFT!A:Q,17,0)</f>
        <v>1.3.2</v>
      </c>
    </row>
    <row r="2131" spans="1:29">
      <c r="A2131" t="s">
        <v>382</v>
      </c>
      <c r="B2131" t="s">
        <v>440</v>
      </c>
      <c r="C2131" t="s">
        <v>486</v>
      </c>
      <c r="D2131" t="s">
        <v>1056</v>
      </c>
      <c r="E2131" t="s">
        <v>390</v>
      </c>
      <c r="F2131" t="s">
        <v>391</v>
      </c>
      <c r="G2131">
        <v>6200667</v>
      </c>
      <c r="H2131">
        <v>202203</v>
      </c>
      <c r="I2131" s="400">
        <v>44624</v>
      </c>
      <c r="J2131">
        <v>122536</v>
      </c>
      <c r="K2131" t="s">
        <v>386</v>
      </c>
      <c r="M2131" t="s">
        <v>387</v>
      </c>
      <c r="O2131" t="s">
        <v>1071</v>
      </c>
      <c r="P2131" t="s">
        <v>1072</v>
      </c>
      <c r="Q2131" t="s">
        <v>396</v>
      </c>
      <c r="R2131" s="458">
        <v>2069133</v>
      </c>
      <c r="S2131" t="s">
        <v>387</v>
      </c>
      <c r="U2131" t="s">
        <v>2852</v>
      </c>
      <c r="V2131" t="s">
        <v>398</v>
      </c>
      <c r="W2131" s="393">
        <v>4680000</v>
      </c>
      <c r="X2131" s="393">
        <v>1211.51</v>
      </c>
      <c r="Y2131" s="393">
        <v>10804.39</v>
      </c>
      <c r="Z2131" s="393">
        <v>4680000</v>
      </c>
      <c r="AA2131">
        <v>318</v>
      </c>
      <c r="AB2131" s="400">
        <v>44643.733711921297</v>
      </c>
      <c r="AC2131" t="str">
        <f>+VLOOKUP(R2131,DRAFT!A:Q,17,0)</f>
        <v>1.3.2</v>
      </c>
    </row>
    <row r="2132" spans="1:29">
      <c r="A2132" t="s">
        <v>382</v>
      </c>
      <c r="B2132" t="s">
        <v>440</v>
      </c>
      <c r="C2132" t="s">
        <v>486</v>
      </c>
      <c r="D2132" t="s">
        <v>1056</v>
      </c>
      <c r="E2132" t="s">
        <v>390</v>
      </c>
      <c r="F2132" t="s">
        <v>391</v>
      </c>
      <c r="G2132">
        <v>6200636</v>
      </c>
      <c r="H2132">
        <v>202203</v>
      </c>
      <c r="I2132" s="400">
        <v>44638</v>
      </c>
      <c r="J2132">
        <v>122536</v>
      </c>
      <c r="K2132" t="s">
        <v>386</v>
      </c>
      <c r="M2132" t="s">
        <v>387</v>
      </c>
      <c r="O2132" t="s">
        <v>565</v>
      </c>
      <c r="P2132" t="s">
        <v>566</v>
      </c>
      <c r="Q2132" t="s">
        <v>396</v>
      </c>
      <c r="R2132" s="458">
        <v>2540516</v>
      </c>
      <c r="S2132" t="s">
        <v>387</v>
      </c>
      <c r="U2132" t="s">
        <v>2849</v>
      </c>
      <c r="V2132" t="s">
        <v>398</v>
      </c>
      <c r="W2132" s="393">
        <v>14080000</v>
      </c>
      <c r="X2132" s="393">
        <v>3679.24</v>
      </c>
      <c r="Y2132" s="393">
        <v>32750.36</v>
      </c>
      <c r="Z2132" s="393">
        <v>14080000</v>
      </c>
      <c r="AA2132">
        <v>318</v>
      </c>
      <c r="AB2132" s="400">
        <v>44642.92847190972</v>
      </c>
      <c r="AC2132" t="str">
        <f>+VLOOKUP(R2132,DRAFT!A:Q,17,0)</f>
        <v>1.1.1</v>
      </c>
    </row>
    <row r="2133" spans="1:29">
      <c r="A2133" t="s">
        <v>382</v>
      </c>
      <c r="B2133" t="s">
        <v>440</v>
      </c>
      <c r="C2133" t="s">
        <v>486</v>
      </c>
      <c r="D2133" t="s">
        <v>1056</v>
      </c>
      <c r="E2133" t="s">
        <v>390</v>
      </c>
      <c r="F2133" t="s">
        <v>391</v>
      </c>
      <c r="G2133">
        <v>6200768</v>
      </c>
      <c r="H2133">
        <v>202203</v>
      </c>
      <c r="I2133" s="400">
        <v>44645</v>
      </c>
      <c r="J2133">
        <v>122536</v>
      </c>
      <c r="K2133" t="s">
        <v>386</v>
      </c>
      <c r="M2133" t="s">
        <v>387</v>
      </c>
      <c r="O2133" t="s">
        <v>565</v>
      </c>
      <c r="P2133" t="s">
        <v>566</v>
      </c>
      <c r="Q2133" t="s">
        <v>396</v>
      </c>
      <c r="R2133" s="458">
        <v>2069133</v>
      </c>
      <c r="S2133" t="s">
        <v>387</v>
      </c>
      <c r="U2133" t="s">
        <v>2851</v>
      </c>
      <c r="V2133" t="s">
        <v>398</v>
      </c>
      <c r="W2133" s="393">
        <v>2900000</v>
      </c>
      <c r="X2133" s="393">
        <v>771.98</v>
      </c>
      <c r="Y2133" s="393">
        <v>6752.13</v>
      </c>
      <c r="Z2133" s="393">
        <v>2900000</v>
      </c>
      <c r="AA2133">
        <v>318</v>
      </c>
      <c r="AB2133" s="400">
        <v>44651.951420868056</v>
      </c>
      <c r="AC2133" t="str">
        <f>+VLOOKUP(R2133,DRAFT!A:Q,17,0)</f>
        <v>1.3.2</v>
      </c>
    </row>
    <row r="2134" spans="1:29">
      <c r="A2134" t="s">
        <v>382</v>
      </c>
      <c r="B2134" t="s">
        <v>440</v>
      </c>
      <c r="C2134" t="s">
        <v>486</v>
      </c>
      <c r="D2134" t="s">
        <v>1056</v>
      </c>
      <c r="E2134" t="s">
        <v>390</v>
      </c>
      <c r="F2134" t="s">
        <v>391</v>
      </c>
      <c r="G2134">
        <v>6200768</v>
      </c>
      <c r="H2134">
        <v>202203</v>
      </c>
      <c r="I2134" s="400">
        <v>44645</v>
      </c>
      <c r="J2134">
        <v>122536</v>
      </c>
      <c r="K2134" t="s">
        <v>386</v>
      </c>
      <c r="M2134" t="s">
        <v>387</v>
      </c>
      <c r="O2134" t="s">
        <v>557</v>
      </c>
      <c r="P2134" t="s">
        <v>558</v>
      </c>
      <c r="Q2134" t="s">
        <v>396</v>
      </c>
      <c r="R2134" s="458">
        <v>2540509</v>
      </c>
      <c r="S2134" t="s">
        <v>387</v>
      </c>
      <c r="U2134" t="s">
        <v>2850</v>
      </c>
      <c r="V2134" t="s">
        <v>398</v>
      </c>
      <c r="W2134" s="393">
        <v>12320000</v>
      </c>
      <c r="X2134" s="393">
        <v>3279.58</v>
      </c>
      <c r="Y2134" s="393">
        <v>28684.9</v>
      </c>
      <c r="Z2134" s="393">
        <v>12320000</v>
      </c>
      <c r="AA2134">
        <v>318</v>
      </c>
      <c r="AB2134" s="400">
        <v>44651.951421064812</v>
      </c>
      <c r="AC2134" t="str">
        <f>+VLOOKUP(R2134,DRAFT!A:Q,17,0)</f>
        <v>1.2.2</v>
      </c>
    </row>
    <row r="2135" spans="1:29">
      <c r="A2135" t="s">
        <v>382</v>
      </c>
      <c r="B2135" t="s">
        <v>440</v>
      </c>
      <c r="C2135" t="s">
        <v>486</v>
      </c>
      <c r="D2135" t="s">
        <v>1056</v>
      </c>
      <c r="E2135" t="s">
        <v>390</v>
      </c>
      <c r="F2135" t="s">
        <v>391</v>
      </c>
      <c r="G2135">
        <v>6201265</v>
      </c>
      <c r="H2135">
        <v>202204</v>
      </c>
      <c r="I2135" s="400">
        <v>44679</v>
      </c>
      <c r="J2135">
        <v>122536</v>
      </c>
      <c r="K2135" t="s">
        <v>386</v>
      </c>
      <c r="M2135" t="s">
        <v>387</v>
      </c>
      <c r="O2135" t="s">
        <v>557</v>
      </c>
      <c r="P2135" t="s">
        <v>558</v>
      </c>
      <c r="Q2135" t="s">
        <v>396</v>
      </c>
      <c r="R2135" s="458">
        <v>2069133</v>
      </c>
      <c r="S2135" t="s">
        <v>387</v>
      </c>
      <c r="U2135" t="s">
        <v>3987</v>
      </c>
      <c r="V2135" t="s">
        <v>398</v>
      </c>
      <c r="W2135" s="393">
        <v>4284000</v>
      </c>
      <c r="X2135" s="393">
        <v>1139.76</v>
      </c>
      <c r="Y2135" s="393">
        <v>9773.09</v>
      </c>
      <c r="Z2135" s="393">
        <v>4284000</v>
      </c>
      <c r="AA2135">
        <v>318</v>
      </c>
      <c r="AB2135" s="400">
        <v>44684.925261840275</v>
      </c>
      <c r="AC2135" t="str">
        <f>+VLOOKUP(R2135,DRAFT!A:Q,17,0)</f>
        <v>1.3.2</v>
      </c>
    </row>
    <row r="2136" spans="1:29">
      <c r="A2136" t="s">
        <v>382</v>
      </c>
      <c r="B2136" t="s">
        <v>440</v>
      </c>
      <c r="C2136" t="s">
        <v>486</v>
      </c>
      <c r="D2136" t="s">
        <v>1056</v>
      </c>
      <c r="E2136" t="s">
        <v>390</v>
      </c>
      <c r="F2136" t="s">
        <v>391</v>
      </c>
      <c r="G2136">
        <v>6201280</v>
      </c>
      <c r="H2136">
        <v>202204</v>
      </c>
      <c r="I2136" s="400">
        <v>44679</v>
      </c>
      <c r="J2136" t="s">
        <v>452</v>
      </c>
      <c r="K2136" t="s">
        <v>386</v>
      </c>
      <c r="M2136" t="s">
        <v>387</v>
      </c>
      <c r="O2136" t="s">
        <v>557</v>
      </c>
      <c r="P2136" t="s">
        <v>558</v>
      </c>
      <c r="Q2136" t="s">
        <v>396</v>
      </c>
      <c r="R2136" s="458">
        <v>2265779</v>
      </c>
      <c r="S2136" t="s">
        <v>387</v>
      </c>
      <c r="U2136" t="s">
        <v>3988</v>
      </c>
      <c r="V2136" t="s">
        <v>398</v>
      </c>
      <c r="W2136" s="393">
        <v>428400</v>
      </c>
      <c r="X2136" s="393">
        <v>113.98</v>
      </c>
      <c r="Y2136" s="393">
        <v>977.31</v>
      </c>
      <c r="Z2136" s="393">
        <v>428400</v>
      </c>
      <c r="AA2136">
        <v>318</v>
      </c>
      <c r="AB2136" s="400">
        <v>44685.168475347222</v>
      </c>
      <c r="AC2136" t="str">
        <f>+VLOOKUP(R2136,DRAFT!A:Q,17,0)</f>
        <v>MAE</v>
      </c>
    </row>
    <row r="2137" spans="1:29">
      <c r="A2137" t="s">
        <v>382</v>
      </c>
      <c r="B2137" t="s">
        <v>440</v>
      </c>
      <c r="C2137" t="s">
        <v>486</v>
      </c>
      <c r="D2137" t="s">
        <v>1056</v>
      </c>
      <c r="E2137" t="s">
        <v>390</v>
      </c>
      <c r="F2137" t="s">
        <v>391</v>
      </c>
      <c r="G2137">
        <v>6201274</v>
      </c>
      <c r="H2137">
        <v>202204</v>
      </c>
      <c r="I2137" s="400">
        <v>44679</v>
      </c>
      <c r="J2137" t="s">
        <v>452</v>
      </c>
      <c r="K2137" t="s">
        <v>386</v>
      </c>
      <c r="M2137" t="s">
        <v>387</v>
      </c>
      <c r="O2137" t="s">
        <v>849</v>
      </c>
      <c r="P2137" t="s">
        <v>850</v>
      </c>
      <c r="Q2137" t="s">
        <v>396</v>
      </c>
      <c r="R2137" s="458">
        <v>2265779</v>
      </c>
      <c r="S2137" t="s">
        <v>387</v>
      </c>
      <c r="U2137" t="s">
        <v>3959</v>
      </c>
      <c r="V2137" t="s">
        <v>398</v>
      </c>
      <c r="W2137" s="393">
        <v>189000</v>
      </c>
      <c r="X2137" s="393">
        <v>50.28</v>
      </c>
      <c r="Y2137" s="393">
        <v>431.17</v>
      </c>
      <c r="Z2137" s="393">
        <v>189000</v>
      </c>
      <c r="AA2137">
        <v>318</v>
      </c>
      <c r="AB2137" s="400">
        <v>44685.015685451392</v>
      </c>
      <c r="AC2137" t="str">
        <f>+VLOOKUP(R2137,DRAFT!A:Q,17,0)</f>
        <v>MAE</v>
      </c>
    </row>
    <row r="2138" spans="1:29">
      <c r="A2138" t="s">
        <v>382</v>
      </c>
      <c r="B2138" t="s">
        <v>440</v>
      </c>
      <c r="C2138" t="s">
        <v>486</v>
      </c>
      <c r="D2138" t="s">
        <v>1056</v>
      </c>
      <c r="E2138" t="s">
        <v>390</v>
      </c>
      <c r="F2138" t="s">
        <v>391</v>
      </c>
      <c r="G2138">
        <v>6201280</v>
      </c>
      <c r="H2138">
        <v>202204</v>
      </c>
      <c r="I2138" s="400">
        <v>44679</v>
      </c>
      <c r="J2138" t="s">
        <v>452</v>
      </c>
      <c r="K2138" t="s">
        <v>386</v>
      </c>
      <c r="M2138" t="s">
        <v>387</v>
      </c>
      <c r="O2138" t="s">
        <v>565</v>
      </c>
      <c r="P2138" t="s">
        <v>566</v>
      </c>
      <c r="Q2138" t="s">
        <v>396</v>
      </c>
      <c r="R2138" s="458">
        <v>2265783</v>
      </c>
      <c r="S2138" t="s">
        <v>387</v>
      </c>
      <c r="U2138" t="s">
        <v>3989</v>
      </c>
      <c r="V2138" t="s">
        <v>398</v>
      </c>
      <c r="W2138" s="393">
        <v>1080000</v>
      </c>
      <c r="X2138" s="393">
        <v>287.33</v>
      </c>
      <c r="Y2138" s="393">
        <v>2463.8000000000002</v>
      </c>
      <c r="Z2138" s="393">
        <v>1080000</v>
      </c>
      <c r="AA2138">
        <v>318</v>
      </c>
      <c r="AB2138" s="400">
        <v>44685.168474999999</v>
      </c>
      <c r="AC2138" t="str">
        <f>+VLOOKUP(R2138,DRAFT!A:Q,17,0)</f>
        <v>MAE</v>
      </c>
    </row>
    <row r="2139" spans="1:29">
      <c r="A2139" t="s">
        <v>382</v>
      </c>
      <c r="B2139" t="s">
        <v>440</v>
      </c>
      <c r="C2139" t="s">
        <v>486</v>
      </c>
      <c r="D2139" t="s">
        <v>1056</v>
      </c>
      <c r="E2139" t="s">
        <v>390</v>
      </c>
      <c r="F2139" t="s">
        <v>391</v>
      </c>
      <c r="G2139">
        <v>6201046</v>
      </c>
      <c r="H2139">
        <v>202204</v>
      </c>
      <c r="I2139" s="400">
        <v>44659</v>
      </c>
      <c r="J2139">
        <v>122536</v>
      </c>
      <c r="K2139" t="s">
        <v>386</v>
      </c>
      <c r="M2139" t="s">
        <v>387</v>
      </c>
      <c r="O2139" t="s">
        <v>906</v>
      </c>
      <c r="P2139" t="s">
        <v>907</v>
      </c>
      <c r="Q2139" t="s">
        <v>396</v>
      </c>
      <c r="R2139" s="458">
        <v>2069133</v>
      </c>
      <c r="S2139" t="s">
        <v>387</v>
      </c>
      <c r="U2139" t="s">
        <v>3950</v>
      </c>
      <c r="V2139" t="s">
        <v>398</v>
      </c>
      <c r="W2139" s="393">
        <v>159260</v>
      </c>
      <c r="X2139" s="393">
        <v>42.49</v>
      </c>
      <c r="Y2139" s="393">
        <v>367.17</v>
      </c>
      <c r="Z2139" s="393">
        <v>159260</v>
      </c>
      <c r="AA2139">
        <v>255</v>
      </c>
      <c r="AB2139" s="400">
        <v>44670.999029016202</v>
      </c>
      <c r="AC2139" t="str">
        <f>+VLOOKUP(R2139,DRAFT!A:Q,17,0)</f>
        <v>1.3.2</v>
      </c>
    </row>
    <row r="2140" spans="1:29">
      <c r="A2140" t="s">
        <v>382</v>
      </c>
      <c r="B2140" t="s">
        <v>440</v>
      </c>
      <c r="C2140" t="s">
        <v>486</v>
      </c>
      <c r="D2140" t="s">
        <v>1056</v>
      </c>
      <c r="E2140" t="s">
        <v>390</v>
      </c>
      <c r="F2140" t="s">
        <v>391</v>
      </c>
      <c r="G2140">
        <v>6201308</v>
      </c>
      <c r="H2140">
        <v>202204</v>
      </c>
      <c r="I2140" s="400">
        <v>44679</v>
      </c>
      <c r="J2140" t="s">
        <v>452</v>
      </c>
      <c r="K2140" t="s">
        <v>386</v>
      </c>
      <c r="M2140" t="s">
        <v>387</v>
      </c>
      <c r="O2140" t="s">
        <v>565</v>
      </c>
      <c r="P2140" t="s">
        <v>566</v>
      </c>
      <c r="Q2140" t="s">
        <v>396</v>
      </c>
      <c r="R2140" s="458">
        <v>2265779</v>
      </c>
      <c r="S2140" t="s">
        <v>3957</v>
      </c>
      <c r="U2140" t="s">
        <v>3958</v>
      </c>
      <c r="V2140" t="s">
        <v>398</v>
      </c>
      <c r="W2140" s="393">
        <v>450000</v>
      </c>
      <c r="X2140" s="393">
        <v>119.72</v>
      </c>
      <c r="Y2140" s="393">
        <v>1026.5899999999999</v>
      </c>
      <c r="Z2140" s="393">
        <v>450000</v>
      </c>
      <c r="AA2140">
        <v>318</v>
      </c>
      <c r="AB2140" s="400">
        <v>44687.144954479169</v>
      </c>
      <c r="AC2140" t="str">
        <f>+VLOOKUP(R2140,DRAFT!A:Q,17,0)</f>
        <v>MAE</v>
      </c>
    </row>
    <row r="2141" spans="1:29">
      <c r="A2141" t="s">
        <v>382</v>
      </c>
      <c r="B2141" t="s">
        <v>440</v>
      </c>
      <c r="C2141" t="s">
        <v>486</v>
      </c>
      <c r="D2141" t="s">
        <v>1056</v>
      </c>
      <c r="E2141" t="s">
        <v>390</v>
      </c>
      <c r="F2141" t="s">
        <v>391</v>
      </c>
      <c r="G2141">
        <v>6201274</v>
      </c>
      <c r="H2141">
        <v>202204</v>
      </c>
      <c r="I2141" s="400">
        <v>44679</v>
      </c>
      <c r="J2141" t="s">
        <v>452</v>
      </c>
      <c r="K2141" t="s">
        <v>386</v>
      </c>
      <c r="M2141" t="s">
        <v>387</v>
      </c>
      <c r="O2141" t="s">
        <v>849</v>
      </c>
      <c r="P2141" t="s">
        <v>850</v>
      </c>
      <c r="Q2141" t="s">
        <v>396</v>
      </c>
      <c r="R2141" s="458">
        <v>2265779</v>
      </c>
      <c r="S2141" t="s">
        <v>387</v>
      </c>
      <c r="U2141" t="s">
        <v>3986</v>
      </c>
      <c r="V2141" t="s">
        <v>398</v>
      </c>
      <c r="W2141" s="393">
        <v>708000</v>
      </c>
      <c r="X2141" s="393">
        <v>188.36</v>
      </c>
      <c r="Y2141" s="393">
        <v>1615.16</v>
      </c>
      <c r="Z2141" s="393">
        <v>708000</v>
      </c>
      <c r="AA2141">
        <v>318</v>
      </c>
      <c r="AB2141" s="400">
        <v>44685.015685266204</v>
      </c>
      <c r="AC2141" t="str">
        <f>+VLOOKUP(R2141,DRAFT!A:Q,17,0)</f>
        <v>MAE</v>
      </c>
    </row>
    <row r="2142" spans="1:29">
      <c r="A2142" t="s">
        <v>382</v>
      </c>
      <c r="B2142" t="s">
        <v>440</v>
      </c>
      <c r="C2142" t="s">
        <v>486</v>
      </c>
      <c r="D2142" t="s">
        <v>1056</v>
      </c>
      <c r="E2142" t="s">
        <v>390</v>
      </c>
      <c r="F2142" t="s">
        <v>391</v>
      </c>
      <c r="G2142">
        <v>6201274</v>
      </c>
      <c r="H2142">
        <v>202204</v>
      </c>
      <c r="I2142" s="400">
        <v>44679</v>
      </c>
      <c r="J2142" t="s">
        <v>452</v>
      </c>
      <c r="K2142" t="s">
        <v>386</v>
      </c>
      <c r="M2142" t="s">
        <v>387</v>
      </c>
      <c r="O2142" t="s">
        <v>849</v>
      </c>
      <c r="P2142" t="s">
        <v>850</v>
      </c>
      <c r="Q2142" t="s">
        <v>396</v>
      </c>
      <c r="R2142" s="458">
        <v>2265782</v>
      </c>
      <c r="S2142" t="s">
        <v>387</v>
      </c>
      <c r="U2142" t="s">
        <v>3955</v>
      </c>
      <c r="V2142" t="s">
        <v>398</v>
      </c>
      <c r="W2142" s="393">
        <v>476000</v>
      </c>
      <c r="X2142" s="393">
        <v>126.64</v>
      </c>
      <c r="Y2142" s="393">
        <v>1085.9000000000001</v>
      </c>
      <c r="Z2142" s="393">
        <v>476000</v>
      </c>
      <c r="AA2142">
        <v>318</v>
      </c>
      <c r="AB2142" s="400">
        <v>44685.015685266204</v>
      </c>
      <c r="AC2142" t="str">
        <f>+VLOOKUP(R2142,DRAFT!A:Q,17,0)</f>
        <v>MAE</v>
      </c>
    </row>
    <row r="2143" spans="1:29">
      <c r="A2143" t="s">
        <v>382</v>
      </c>
      <c r="B2143" t="s">
        <v>440</v>
      </c>
      <c r="C2143" t="s">
        <v>486</v>
      </c>
      <c r="D2143" t="s">
        <v>1088</v>
      </c>
      <c r="E2143" t="s">
        <v>390</v>
      </c>
      <c r="F2143" t="s">
        <v>391</v>
      </c>
      <c r="G2143">
        <v>6200029</v>
      </c>
      <c r="H2143">
        <v>202201</v>
      </c>
      <c r="I2143" s="400">
        <v>44575</v>
      </c>
      <c r="J2143">
        <v>124932</v>
      </c>
      <c r="K2143" t="s">
        <v>386</v>
      </c>
      <c r="M2143" t="s">
        <v>387</v>
      </c>
      <c r="O2143" t="s">
        <v>2621</v>
      </c>
      <c r="P2143" t="s">
        <v>2622</v>
      </c>
      <c r="Q2143" t="s">
        <v>396</v>
      </c>
      <c r="R2143" s="458">
        <v>2069133</v>
      </c>
      <c r="S2143" t="s">
        <v>387</v>
      </c>
      <c r="U2143" t="s">
        <v>2623</v>
      </c>
      <c r="V2143" t="s">
        <v>398</v>
      </c>
      <c r="W2143" s="393">
        <v>3585694</v>
      </c>
      <c r="X2143" s="393">
        <v>903.16</v>
      </c>
      <c r="Y2143" s="393">
        <v>7939.8</v>
      </c>
      <c r="Z2143" s="393">
        <v>3585694</v>
      </c>
      <c r="AA2143">
        <v>11</v>
      </c>
      <c r="AB2143" s="400">
        <v>44593.872003009259</v>
      </c>
      <c r="AC2143" t="str">
        <f>+VLOOKUP(R2143,DRAFT!A:Q,17,0)</f>
        <v>1.3.2</v>
      </c>
    </row>
    <row r="2144" spans="1:29">
      <c r="A2144" t="s">
        <v>382</v>
      </c>
      <c r="B2144" t="s">
        <v>440</v>
      </c>
      <c r="C2144" t="s">
        <v>486</v>
      </c>
      <c r="D2144" t="s">
        <v>1088</v>
      </c>
      <c r="E2144" t="s">
        <v>390</v>
      </c>
      <c r="F2144" t="s">
        <v>391</v>
      </c>
      <c r="G2144">
        <v>6200563</v>
      </c>
      <c r="H2144">
        <v>202203</v>
      </c>
      <c r="I2144" s="400">
        <v>44624</v>
      </c>
      <c r="J2144">
        <v>122536</v>
      </c>
      <c r="K2144" t="s">
        <v>386</v>
      </c>
      <c r="M2144" t="s">
        <v>387</v>
      </c>
      <c r="O2144" t="s">
        <v>2342</v>
      </c>
      <c r="P2144" t="s">
        <v>2343</v>
      </c>
      <c r="Q2144" t="s">
        <v>396</v>
      </c>
      <c r="R2144" s="458">
        <v>2540509</v>
      </c>
      <c r="S2144" t="s">
        <v>387</v>
      </c>
      <c r="U2144" t="s">
        <v>2853</v>
      </c>
      <c r="V2144" t="s">
        <v>398</v>
      </c>
      <c r="W2144" s="393">
        <v>388000</v>
      </c>
      <c r="X2144" s="393">
        <v>99.14</v>
      </c>
      <c r="Y2144" s="393">
        <v>885.74</v>
      </c>
      <c r="Z2144" s="393">
        <v>388000</v>
      </c>
      <c r="AA2144">
        <v>318</v>
      </c>
      <c r="AB2144" s="400">
        <v>44634.8849008912</v>
      </c>
      <c r="AC2144" t="str">
        <f>+VLOOKUP(R2144,DRAFT!A:Q,17,0)</f>
        <v>1.2.2</v>
      </c>
    </row>
    <row r="2145" spans="1:29">
      <c r="A2145" t="s">
        <v>382</v>
      </c>
      <c r="B2145" t="s">
        <v>440</v>
      </c>
      <c r="C2145" t="s">
        <v>1143</v>
      </c>
      <c r="D2145" t="s">
        <v>1144</v>
      </c>
      <c r="E2145" t="s">
        <v>390</v>
      </c>
      <c r="F2145" t="s">
        <v>391</v>
      </c>
      <c r="G2145">
        <v>6200579</v>
      </c>
      <c r="H2145">
        <v>202203</v>
      </c>
      <c r="I2145" s="400">
        <v>44634</v>
      </c>
      <c r="J2145" t="s">
        <v>452</v>
      </c>
      <c r="K2145" t="s">
        <v>386</v>
      </c>
      <c r="M2145" t="s">
        <v>387</v>
      </c>
      <c r="O2145" t="s">
        <v>1145</v>
      </c>
      <c r="P2145" t="s">
        <v>1146</v>
      </c>
      <c r="Q2145" t="s">
        <v>450</v>
      </c>
      <c r="R2145" s="458">
        <v>2069117</v>
      </c>
      <c r="S2145" t="s">
        <v>387</v>
      </c>
      <c r="U2145" t="s">
        <v>2854</v>
      </c>
      <c r="V2145" t="s">
        <v>398</v>
      </c>
      <c r="W2145" s="393">
        <v>69000</v>
      </c>
      <c r="X2145" s="393">
        <v>17.63</v>
      </c>
      <c r="Y2145" s="393">
        <v>157.52000000000001</v>
      </c>
      <c r="Z2145" s="393">
        <v>69000</v>
      </c>
      <c r="AA2145">
        <v>310</v>
      </c>
      <c r="AB2145" s="400">
        <v>44637.082083564812</v>
      </c>
      <c r="AC2145" t="str">
        <f>+VLOOKUP(R2145,DRAFT!A:Q,17,0)</f>
        <v>SUPPORT</v>
      </c>
    </row>
    <row r="2146" spans="1:29">
      <c r="A2146" t="s">
        <v>382</v>
      </c>
      <c r="B2146" t="s">
        <v>1157</v>
      </c>
      <c r="C2146" t="s">
        <v>1143</v>
      </c>
      <c r="D2146" t="s">
        <v>1144</v>
      </c>
      <c r="E2146" t="s">
        <v>1448</v>
      </c>
      <c r="F2146" t="s">
        <v>1449</v>
      </c>
      <c r="G2146">
        <v>7200249</v>
      </c>
      <c r="H2146">
        <v>202204</v>
      </c>
      <c r="I2146" s="400">
        <v>44673</v>
      </c>
      <c r="J2146">
        <v>124932</v>
      </c>
      <c r="K2146" t="s">
        <v>386</v>
      </c>
      <c r="M2146" t="s">
        <v>387</v>
      </c>
      <c r="O2146" t="s">
        <v>1145</v>
      </c>
      <c r="P2146" t="s">
        <v>1146</v>
      </c>
      <c r="Q2146" t="s">
        <v>450</v>
      </c>
      <c r="R2146" s="458">
        <v>2069117</v>
      </c>
      <c r="S2146" t="s">
        <v>387</v>
      </c>
      <c r="U2146" t="s">
        <v>3991</v>
      </c>
      <c r="V2146" t="s">
        <v>398</v>
      </c>
      <c r="W2146" s="393">
        <v>106400</v>
      </c>
      <c r="X2146" s="393">
        <v>28.31</v>
      </c>
      <c r="Y2146" s="393">
        <v>242.73</v>
      </c>
      <c r="Z2146" s="393">
        <v>106400</v>
      </c>
      <c r="AA2146">
        <v>310</v>
      </c>
      <c r="AB2146" s="400">
        <v>44683.660942824077</v>
      </c>
      <c r="AC2146" t="str">
        <f>+VLOOKUP(R2146,DRAFT!A:Q,17,0)</f>
        <v>SUPPORT</v>
      </c>
    </row>
    <row r="2147" spans="1:29">
      <c r="A2147" t="s">
        <v>382</v>
      </c>
      <c r="B2147" t="s">
        <v>1157</v>
      </c>
      <c r="C2147" t="s">
        <v>1150</v>
      </c>
      <c r="D2147" t="s">
        <v>1151</v>
      </c>
      <c r="E2147" t="s">
        <v>427</v>
      </c>
      <c r="F2147" t="s">
        <v>428</v>
      </c>
      <c r="G2147">
        <v>1200115</v>
      </c>
      <c r="H2147">
        <v>202201</v>
      </c>
      <c r="I2147" s="400">
        <v>44591</v>
      </c>
      <c r="J2147" t="s">
        <v>1152</v>
      </c>
      <c r="K2147" t="s">
        <v>386</v>
      </c>
      <c r="L2147">
        <v>119010</v>
      </c>
      <c r="M2147" t="s">
        <v>1158</v>
      </c>
      <c r="O2147" t="s">
        <v>1159</v>
      </c>
      <c r="P2147" t="s">
        <v>1160</v>
      </c>
      <c r="Q2147" t="s">
        <v>450</v>
      </c>
      <c r="R2147" s="458">
        <v>2069161</v>
      </c>
      <c r="S2147" t="s">
        <v>2855</v>
      </c>
      <c r="U2147" t="s">
        <v>2855</v>
      </c>
      <c r="V2147" t="s">
        <v>398</v>
      </c>
      <c r="W2147" s="393">
        <v>6136724</v>
      </c>
      <c r="X2147" s="393">
        <v>1532.65</v>
      </c>
      <c r="Y2147" s="393">
        <v>13650.04</v>
      </c>
      <c r="Z2147" s="393">
        <v>6136724</v>
      </c>
      <c r="AA2147">
        <v>0</v>
      </c>
      <c r="AB2147" s="400">
        <v>44601.705580706017</v>
      </c>
      <c r="AC2147" t="str">
        <f>+VLOOKUP(R2147,DRAFT!A:Q,17,0)</f>
        <v xml:space="preserve">SALARY SUPPORT </v>
      </c>
    </row>
    <row r="2148" spans="1:29">
      <c r="A2148" t="s">
        <v>382</v>
      </c>
      <c r="B2148" t="s">
        <v>440</v>
      </c>
      <c r="C2148" t="s">
        <v>1150</v>
      </c>
      <c r="D2148" t="s">
        <v>1151</v>
      </c>
      <c r="E2148" t="s">
        <v>427</v>
      </c>
      <c r="F2148" t="s">
        <v>428</v>
      </c>
      <c r="G2148">
        <v>1200115</v>
      </c>
      <c r="H2148">
        <v>202201</v>
      </c>
      <c r="I2148" s="400">
        <v>44591</v>
      </c>
      <c r="J2148" t="s">
        <v>1152</v>
      </c>
      <c r="K2148" t="s">
        <v>386</v>
      </c>
      <c r="L2148">
        <v>123780</v>
      </c>
      <c r="M2148" t="s">
        <v>1153</v>
      </c>
      <c r="O2148" t="s">
        <v>1154</v>
      </c>
      <c r="P2148" t="s">
        <v>1155</v>
      </c>
      <c r="Q2148" t="s">
        <v>396</v>
      </c>
      <c r="R2148" s="458">
        <v>2069200</v>
      </c>
      <c r="S2148" t="s">
        <v>2855</v>
      </c>
      <c r="U2148" t="s">
        <v>2855</v>
      </c>
      <c r="V2148" t="s">
        <v>398</v>
      </c>
      <c r="W2148" s="393">
        <v>4315226</v>
      </c>
      <c r="X2148" s="393">
        <v>1077.73</v>
      </c>
      <c r="Y2148" s="393">
        <v>9598.44</v>
      </c>
      <c r="Z2148" s="393">
        <v>4315226</v>
      </c>
      <c r="AA2148">
        <v>0</v>
      </c>
      <c r="AB2148" s="400">
        <v>44601.705580706017</v>
      </c>
      <c r="AC2148" t="s">
        <v>19</v>
      </c>
    </row>
    <row r="2149" spans="1:29">
      <c r="A2149" t="s">
        <v>382</v>
      </c>
      <c r="B2149" t="s">
        <v>440</v>
      </c>
      <c r="C2149" t="s">
        <v>1150</v>
      </c>
      <c r="D2149" t="s">
        <v>1151</v>
      </c>
      <c r="E2149" t="s">
        <v>427</v>
      </c>
      <c r="F2149" t="s">
        <v>428</v>
      </c>
      <c r="G2149">
        <v>1200115</v>
      </c>
      <c r="H2149">
        <v>202201</v>
      </c>
      <c r="I2149" s="400">
        <v>44591</v>
      </c>
      <c r="J2149" t="s">
        <v>1152</v>
      </c>
      <c r="K2149" t="s">
        <v>386</v>
      </c>
      <c r="L2149">
        <v>124182</v>
      </c>
      <c r="M2149" t="s">
        <v>2856</v>
      </c>
      <c r="O2149" t="s">
        <v>2857</v>
      </c>
      <c r="P2149" t="s">
        <v>2858</v>
      </c>
      <c r="Q2149" t="s">
        <v>396</v>
      </c>
      <c r="R2149" s="458">
        <v>2560222</v>
      </c>
      <c r="S2149" t="s">
        <v>2855</v>
      </c>
      <c r="U2149" t="s">
        <v>2855</v>
      </c>
      <c r="V2149" t="s">
        <v>398</v>
      </c>
      <c r="W2149" s="393">
        <v>4125065</v>
      </c>
      <c r="X2149" s="393">
        <v>1030.23</v>
      </c>
      <c r="Y2149" s="393">
        <v>9175.4599999999991</v>
      </c>
      <c r="Z2149" s="393">
        <v>4125065</v>
      </c>
      <c r="AA2149">
        <v>0</v>
      </c>
      <c r="AB2149" s="400">
        <v>44601.705580706017</v>
      </c>
      <c r="AC2149" t="s">
        <v>19</v>
      </c>
    </row>
    <row r="2150" spans="1:29">
      <c r="A2150" t="s">
        <v>382</v>
      </c>
      <c r="B2150" t="s">
        <v>440</v>
      </c>
      <c r="C2150" t="s">
        <v>1150</v>
      </c>
      <c r="D2150" t="s">
        <v>1151</v>
      </c>
      <c r="E2150" t="s">
        <v>427</v>
      </c>
      <c r="F2150" t="s">
        <v>428</v>
      </c>
      <c r="G2150">
        <v>1200115</v>
      </c>
      <c r="H2150">
        <v>202201</v>
      </c>
      <c r="I2150" s="400">
        <v>44591</v>
      </c>
      <c r="J2150" t="s">
        <v>1152</v>
      </c>
      <c r="K2150" t="s">
        <v>386</v>
      </c>
      <c r="L2150">
        <v>125338</v>
      </c>
      <c r="M2150" t="s">
        <v>2444</v>
      </c>
      <c r="O2150" t="s">
        <v>2065</v>
      </c>
      <c r="P2150" t="s">
        <v>2066</v>
      </c>
      <c r="Q2150" t="s">
        <v>450</v>
      </c>
      <c r="R2150" s="458">
        <v>2069197</v>
      </c>
      <c r="S2150" t="s">
        <v>2855</v>
      </c>
      <c r="U2150" t="s">
        <v>2855</v>
      </c>
      <c r="V2150" t="s">
        <v>398</v>
      </c>
      <c r="W2150" s="393">
        <v>3175471</v>
      </c>
      <c r="X2150" s="393">
        <v>793.07</v>
      </c>
      <c r="Y2150" s="393">
        <v>7063.26</v>
      </c>
      <c r="Z2150" s="393">
        <v>3175471</v>
      </c>
      <c r="AA2150">
        <v>0</v>
      </c>
      <c r="AB2150" s="400">
        <v>44601.705580706017</v>
      </c>
      <c r="AC2150" t="str">
        <f>+VLOOKUP(R2150,DRAFT!A:Q,17,0)</f>
        <v xml:space="preserve">SALARY SUPPORT </v>
      </c>
    </row>
    <row r="2151" spans="1:29">
      <c r="A2151" t="s">
        <v>382</v>
      </c>
      <c r="B2151" t="s">
        <v>440</v>
      </c>
      <c r="C2151" t="s">
        <v>1150</v>
      </c>
      <c r="D2151" t="s">
        <v>1151</v>
      </c>
      <c r="E2151" t="s">
        <v>427</v>
      </c>
      <c r="F2151" t="s">
        <v>428</v>
      </c>
      <c r="G2151">
        <v>1200115</v>
      </c>
      <c r="H2151">
        <v>202201</v>
      </c>
      <c r="I2151" s="400">
        <v>44591</v>
      </c>
      <c r="J2151" t="s">
        <v>1152</v>
      </c>
      <c r="K2151" t="s">
        <v>386</v>
      </c>
      <c r="L2151">
        <v>127068</v>
      </c>
      <c r="M2151" t="s">
        <v>2859</v>
      </c>
      <c r="O2151" t="s">
        <v>2860</v>
      </c>
      <c r="P2151" t="s">
        <v>2861</v>
      </c>
      <c r="Q2151" t="s">
        <v>450</v>
      </c>
      <c r="R2151" s="458">
        <v>2586484</v>
      </c>
      <c r="S2151" t="s">
        <v>2855</v>
      </c>
      <c r="U2151" t="s">
        <v>2855</v>
      </c>
      <c r="V2151" t="s">
        <v>398</v>
      </c>
      <c r="W2151" s="393">
        <v>3895760</v>
      </c>
      <c r="X2151" s="393">
        <v>972.97</v>
      </c>
      <c r="Y2151" s="393">
        <v>8665.42</v>
      </c>
      <c r="Z2151" s="393">
        <v>3895760</v>
      </c>
      <c r="AA2151">
        <v>0</v>
      </c>
      <c r="AB2151" s="400">
        <v>44601.705580706017</v>
      </c>
      <c r="AC2151" t="str">
        <f>+VLOOKUP(R2151,DRAFT!A:Q,17,0)</f>
        <v xml:space="preserve">SALARY SUPPORT </v>
      </c>
    </row>
    <row r="2152" spans="1:29">
      <c r="A2152" t="s">
        <v>382</v>
      </c>
      <c r="B2152" t="s">
        <v>440</v>
      </c>
      <c r="C2152" t="s">
        <v>1150</v>
      </c>
      <c r="D2152" t="s">
        <v>1151</v>
      </c>
      <c r="E2152" t="s">
        <v>427</v>
      </c>
      <c r="F2152" t="s">
        <v>428</v>
      </c>
      <c r="G2152">
        <v>1200115</v>
      </c>
      <c r="H2152">
        <v>202201</v>
      </c>
      <c r="I2152" s="400">
        <v>44591</v>
      </c>
      <c r="J2152" t="s">
        <v>1152</v>
      </c>
      <c r="K2152" t="s">
        <v>386</v>
      </c>
      <c r="L2152">
        <v>127573</v>
      </c>
      <c r="M2152" t="s">
        <v>2862</v>
      </c>
      <c r="O2152" t="s">
        <v>2863</v>
      </c>
      <c r="P2152" t="s">
        <v>2864</v>
      </c>
      <c r="Q2152" t="s">
        <v>450</v>
      </c>
      <c r="R2152" s="458">
        <v>2560218</v>
      </c>
      <c r="S2152" t="s">
        <v>2855</v>
      </c>
      <c r="U2152" t="s">
        <v>2855</v>
      </c>
      <c r="V2152" t="s">
        <v>398</v>
      </c>
      <c r="W2152" s="393">
        <v>4325628</v>
      </c>
      <c r="X2152" s="393">
        <v>1080.33</v>
      </c>
      <c r="Y2152" s="393">
        <v>9621.58</v>
      </c>
      <c r="Z2152" s="393">
        <v>4325628</v>
      </c>
      <c r="AA2152">
        <v>0</v>
      </c>
      <c r="AB2152" s="400">
        <v>44601.705580706017</v>
      </c>
      <c r="AC2152" t="str">
        <f>+VLOOKUP(R2152,DRAFT!A:Q,17,0)</f>
        <v xml:space="preserve">SALARY SUPPORT </v>
      </c>
    </row>
    <row r="2153" spans="1:29">
      <c r="A2153" t="s">
        <v>382</v>
      </c>
      <c r="B2153" t="s">
        <v>440</v>
      </c>
      <c r="C2153" t="s">
        <v>1150</v>
      </c>
      <c r="D2153" t="s">
        <v>1151</v>
      </c>
      <c r="E2153" t="s">
        <v>427</v>
      </c>
      <c r="F2153" t="s">
        <v>428</v>
      </c>
      <c r="G2153">
        <v>1200115</v>
      </c>
      <c r="H2153">
        <v>202201</v>
      </c>
      <c r="I2153" s="400">
        <v>44591</v>
      </c>
      <c r="J2153" t="s">
        <v>1152</v>
      </c>
      <c r="K2153" t="s">
        <v>386</v>
      </c>
      <c r="L2153">
        <v>127836</v>
      </c>
      <c r="M2153" t="s">
        <v>2865</v>
      </c>
      <c r="O2153" t="s">
        <v>2866</v>
      </c>
      <c r="P2153" t="s">
        <v>2867</v>
      </c>
      <c r="Q2153" t="s">
        <v>450</v>
      </c>
      <c r="R2153" s="458">
        <v>2586483</v>
      </c>
      <c r="S2153" t="s">
        <v>2855</v>
      </c>
      <c r="U2153" t="s">
        <v>2855</v>
      </c>
      <c r="V2153" t="s">
        <v>398</v>
      </c>
      <c r="W2153" s="393">
        <v>4325629</v>
      </c>
      <c r="X2153" s="393">
        <v>1080.33</v>
      </c>
      <c r="Y2153" s="393">
        <v>9621.58</v>
      </c>
      <c r="Z2153" s="393">
        <v>4325629</v>
      </c>
      <c r="AA2153">
        <v>0</v>
      </c>
      <c r="AB2153" s="400">
        <v>44601.705580706017</v>
      </c>
      <c r="AC2153" t="str">
        <f>+VLOOKUP(R2153,DRAFT!A:Q,17,0)</f>
        <v xml:space="preserve">SALARY SUPPORT </v>
      </c>
    </row>
    <row r="2154" spans="1:29">
      <c r="A2154" t="s">
        <v>382</v>
      </c>
      <c r="B2154" t="s">
        <v>440</v>
      </c>
      <c r="C2154" t="s">
        <v>1150</v>
      </c>
      <c r="D2154" t="s">
        <v>1151</v>
      </c>
      <c r="E2154" t="s">
        <v>427</v>
      </c>
      <c r="F2154" t="s">
        <v>428</v>
      </c>
      <c r="G2154">
        <v>1200116</v>
      </c>
      <c r="H2154">
        <v>202201</v>
      </c>
      <c r="I2154" s="400">
        <v>44591</v>
      </c>
      <c r="J2154" t="s">
        <v>1152</v>
      </c>
      <c r="K2154" t="s">
        <v>386</v>
      </c>
      <c r="L2154" t="s">
        <v>1162</v>
      </c>
      <c r="M2154" t="s">
        <v>1163</v>
      </c>
      <c r="O2154" t="s">
        <v>722</v>
      </c>
      <c r="P2154" t="s">
        <v>723</v>
      </c>
      <c r="Q2154" t="s">
        <v>396</v>
      </c>
      <c r="R2154" s="458">
        <v>2069154</v>
      </c>
      <c r="S2154" t="s">
        <v>2855</v>
      </c>
      <c r="U2154" t="s">
        <v>2855</v>
      </c>
      <c r="V2154" t="s">
        <v>398</v>
      </c>
      <c r="W2154" s="393">
        <v>2717317</v>
      </c>
      <c r="X2154" s="393">
        <v>678.65</v>
      </c>
      <c r="Y2154" s="393">
        <v>6044.18</v>
      </c>
      <c r="Z2154" s="393">
        <v>2717317</v>
      </c>
      <c r="AA2154">
        <v>0</v>
      </c>
      <c r="AB2154" s="400">
        <v>44601.707138310187</v>
      </c>
      <c r="AC2154" t="s">
        <v>19</v>
      </c>
    </row>
    <row r="2155" spans="1:29">
      <c r="A2155" t="s">
        <v>382</v>
      </c>
      <c r="B2155" t="s">
        <v>440</v>
      </c>
      <c r="C2155" t="s">
        <v>1150</v>
      </c>
      <c r="D2155" t="s">
        <v>1151</v>
      </c>
      <c r="E2155" t="s">
        <v>427</v>
      </c>
      <c r="F2155" t="s">
        <v>428</v>
      </c>
      <c r="G2155">
        <v>1200116</v>
      </c>
      <c r="H2155">
        <v>202201</v>
      </c>
      <c r="I2155" s="400">
        <v>44591</v>
      </c>
      <c r="J2155" t="s">
        <v>1152</v>
      </c>
      <c r="K2155" t="s">
        <v>386</v>
      </c>
      <c r="L2155" t="s">
        <v>1195</v>
      </c>
      <c r="M2155" t="s">
        <v>1196</v>
      </c>
      <c r="O2155" t="s">
        <v>1197</v>
      </c>
      <c r="P2155" t="s">
        <v>1198</v>
      </c>
      <c r="Q2155" t="s">
        <v>450</v>
      </c>
      <c r="R2155" s="458">
        <v>2069163</v>
      </c>
      <c r="S2155" t="s">
        <v>2855</v>
      </c>
      <c r="U2155" t="s">
        <v>2855</v>
      </c>
      <c r="V2155" t="s">
        <v>398</v>
      </c>
      <c r="W2155" s="393">
        <v>2147610</v>
      </c>
      <c r="X2155" s="393">
        <v>536.37</v>
      </c>
      <c r="Y2155" s="393">
        <v>4776.97</v>
      </c>
      <c r="Z2155" s="393">
        <v>2147610</v>
      </c>
      <c r="AA2155">
        <v>0</v>
      </c>
      <c r="AB2155" s="400">
        <v>44601.707138310187</v>
      </c>
      <c r="AC2155" t="str">
        <f>+VLOOKUP(R2155,DRAFT!A:Q,17,0)</f>
        <v xml:space="preserve">SALARY SUPPORT </v>
      </c>
    </row>
    <row r="2156" spans="1:29">
      <c r="A2156" t="s">
        <v>382</v>
      </c>
      <c r="B2156" t="s">
        <v>1157</v>
      </c>
      <c r="C2156" t="s">
        <v>1150</v>
      </c>
      <c r="D2156" t="s">
        <v>1151</v>
      </c>
      <c r="E2156" t="s">
        <v>427</v>
      </c>
      <c r="F2156" t="s">
        <v>428</v>
      </c>
      <c r="G2156">
        <v>1200381</v>
      </c>
      <c r="H2156">
        <v>202202</v>
      </c>
      <c r="I2156" s="400">
        <v>44620</v>
      </c>
      <c r="J2156" t="s">
        <v>1152</v>
      </c>
      <c r="K2156" t="s">
        <v>386</v>
      </c>
      <c r="L2156">
        <v>119010</v>
      </c>
      <c r="M2156" t="s">
        <v>1158</v>
      </c>
      <c r="O2156" t="s">
        <v>1159</v>
      </c>
      <c r="P2156" t="s">
        <v>1160</v>
      </c>
      <c r="Q2156" t="s">
        <v>450</v>
      </c>
      <c r="R2156" s="458">
        <v>2069161</v>
      </c>
      <c r="S2156" t="s">
        <v>2868</v>
      </c>
      <c r="U2156" t="s">
        <v>2868</v>
      </c>
      <c r="V2156" t="s">
        <v>398</v>
      </c>
      <c r="W2156" s="393">
        <v>6151297.7800000003</v>
      </c>
      <c r="X2156" s="393">
        <v>1571.72</v>
      </c>
      <c r="Y2156" s="393">
        <v>14042.37</v>
      </c>
      <c r="Z2156" s="393">
        <v>6151297.7800000003</v>
      </c>
      <c r="AA2156">
        <v>0</v>
      </c>
      <c r="AB2156" s="400">
        <v>44629.720262465278</v>
      </c>
      <c r="AC2156" t="str">
        <f>+VLOOKUP(R2156,DRAFT!A:Q,17,0)</f>
        <v xml:space="preserve">SALARY SUPPORT </v>
      </c>
    </row>
    <row r="2157" spans="1:29">
      <c r="A2157" t="s">
        <v>382</v>
      </c>
      <c r="B2157" t="s">
        <v>440</v>
      </c>
      <c r="C2157" t="s">
        <v>1150</v>
      </c>
      <c r="D2157" t="s">
        <v>1151</v>
      </c>
      <c r="E2157" t="s">
        <v>427</v>
      </c>
      <c r="F2157" t="s">
        <v>428</v>
      </c>
      <c r="G2157">
        <v>1200381</v>
      </c>
      <c r="H2157">
        <v>202202</v>
      </c>
      <c r="I2157" s="400">
        <v>44620</v>
      </c>
      <c r="J2157" t="s">
        <v>1152</v>
      </c>
      <c r="K2157" t="s">
        <v>386</v>
      </c>
      <c r="L2157">
        <v>122377</v>
      </c>
      <c r="M2157" t="s">
        <v>1228</v>
      </c>
      <c r="O2157" t="s">
        <v>1229</v>
      </c>
      <c r="P2157" t="s">
        <v>1230</v>
      </c>
      <c r="Q2157" t="s">
        <v>450</v>
      </c>
      <c r="R2157" s="458">
        <v>2069157</v>
      </c>
      <c r="S2157" t="s">
        <v>2868</v>
      </c>
      <c r="U2157" t="s">
        <v>2868</v>
      </c>
      <c r="V2157" t="s">
        <v>398</v>
      </c>
      <c r="W2157" s="393">
        <v>2867813.51</v>
      </c>
      <c r="X2157" s="393">
        <v>732.76</v>
      </c>
      <c r="Y2157" s="393">
        <v>6546.73</v>
      </c>
      <c r="Z2157" s="393">
        <v>2867813.51</v>
      </c>
      <c r="AA2157">
        <v>0</v>
      </c>
      <c r="AB2157" s="400">
        <v>44629.720262465278</v>
      </c>
      <c r="AC2157" t="str">
        <f>+VLOOKUP(R2157,DRAFT!A:Q,17,0)</f>
        <v xml:space="preserve">SALARY SUPPORT </v>
      </c>
    </row>
    <row r="2158" spans="1:29">
      <c r="A2158" t="s">
        <v>382</v>
      </c>
      <c r="B2158" t="s">
        <v>440</v>
      </c>
      <c r="C2158" t="s">
        <v>1150</v>
      </c>
      <c r="D2158" t="s">
        <v>1151</v>
      </c>
      <c r="E2158" t="s">
        <v>427</v>
      </c>
      <c r="F2158" t="s">
        <v>428</v>
      </c>
      <c r="G2158">
        <v>1200381</v>
      </c>
      <c r="H2158">
        <v>202202</v>
      </c>
      <c r="I2158" s="400">
        <v>44620</v>
      </c>
      <c r="J2158" t="s">
        <v>1152</v>
      </c>
      <c r="K2158" t="s">
        <v>386</v>
      </c>
      <c r="L2158">
        <v>123780</v>
      </c>
      <c r="M2158" t="s">
        <v>1153</v>
      </c>
      <c r="O2158" t="s">
        <v>1154</v>
      </c>
      <c r="P2158" t="s">
        <v>1155</v>
      </c>
      <c r="Q2158" t="s">
        <v>396</v>
      </c>
      <c r="R2158" s="458">
        <v>2069200</v>
      </c>
      <c r="S2158" t="s">
        <v>2868</v>
      </c>
      <c r="U2158" t="s">
        <v>2868</v>
      </c>
      <c r="V2158" t="s">
        <v>398</v>
      </c>
      <c r="W2158" s="393">
        <v>4327448.78</v>
      </c>
      <c r="X2158" s="393">
        <v>1105.71</v>
      </c>
      <c r="Y2158" s="393">
        <v>9878.83</v>
      </c>
      <c r="Z2158" s="393">
        <v>4327448.78</v>
      </c>
      <c r="AA2158">
        <v>0</v>
      </c>
      <c r="AB2158" s="400">
        <v>44629.720262465278</v>
      </c>
      <c r="AC2158" t="s">
        <v>19</v>
      </c>
    </row>
    <row r="2159" spans="1:29">
      <c r="A2159" t="s">
        <v>382</v>
      </c>
      <c r="B2159" t="s">
        <v>440</v>
      </c>
      <c r="C2159" t="s">
        <v>1150</v>
      </c>
      <c r="D2159" t="s">
        <v>1151</v>
      </c>
      <c r="E2159" t="s">
        <v>427</v>
      </c>
      <c r="F2159" t="s">
        <v>428</v>
      </c>
      <c r="G2159">
        <v>1200381</v>
      </c>
      <c r="H2159">
        <v>202202</v>
      </c>
      <c r="I2159" s="400">
        <v>44620</v>
      </c>
      <c r="J2159" t="s">
        <v>1152</v>
      </c>
      <c r="K2159" t="s">
        <v>386</v>
      </c>
      <c r="L2159">
        <v>124182</v>
      </c>
      <c r="M2159" t="s">
        <v>2856</v>
      </c>
      <c r="O2159" t="s">
        <v>2857</v>
      </c>
      <c r="P2159" t="s">
        <v>2858</v>
      </c>
      <c r="Q2159" t="s">
        <v>396</v>
      </c>
      <c r="R2159" s="458">
        <v>2560222</v>
      </c>
      <c r="S2159" t="s">
        <v>2868</v>
      </c>
      <c r="U2159" t="s">
        <v>2868</v>
      </c>
      <c r="V2159" t="s">
        <v>398</v>
      </c>
      <c r="W2159" s="393">
        <v>4336930.78</v>
      </c>
      <c r="X2159" s="393">
        <v>1108.1300000000001</v>
      </c>
      <c r="Y2159" s="393">
        <v>9900.48</v>
      </c>
      <c r="Z2159" s="393">
        <v>4336930.78</v>
      </c>
      <c r="AA2159">
        <v>0</v>
      </c>
      <c r="AB2159" s="400">
        <v>44629.720262465278</v>
      </c>
      <c r="AC2159" t="s">
        <v>19</v>
      </c>
    </row>
    <row r="2160" spans="1:29">
      <c r="A2160" t="s">
        <v>382</v>
      </c>
      <c r="B2160" t="s">
        <v>440</v>
      </c>
      <c r="C2160" t="s">
        <v>1150</v>
      </c>
      <c r="D2160" t="s">
        <v>1151</v>
      </c>
      <c r="E2160" t="s">
        <v>427</v>
      </c>
      <c r="F2160" t="s">
        <v>428</v>
      </c>
      <c r="G2160">
        <v>1200381</v>
      </c>
      <c r="H2160">
        <v>202202</v>
      </c>
      <c r="I2160" s="400">
        <v>44620</v>
      </c>
      <c r="J2160" t="s">
        <v>1152</v>
      </c>
      <c r="K2160" t="s">
        <v>386</v>
      </c>
      <c r="L2160">
        <v>125338</v>
      </c>
      <c r="M2160" t="s">
        <v>2444</v>
      </c>
      <c r="O2160" t="s">
        <v>2065</v>
      </c>
      <c r="P2160" t="s">
        <v>2066</v>
      </c>
      <c r="Q2160" t="s">
        <v>450</v>
      </c>
      <c r="R2160" s="458">
        <v>2069197</v>
      </c>
      <c r="S2160" t="s">
        <v>2868</v>
      </c>
      <c r="U2160" t="s">
        <v>2868</v>
      </c>
      <c r="V2160" t="s">
        <v>398</v>
      </c>
      <c r="W2160" s="393">
        <v>1996241.87</v>
      </c>
      <c r="X2160" s="393">
        <v>510.06</v>
      </c>
      <c r="Y2160" s="393">
        <v>4557.08</v>
      </c>
      <c r="Z2160" s="393">
        <v>1996241.87</v>
      </c>
      <c r="AA2160">
        <v>0</v>
      </c>
      <c r="AB2160" s="400">
        <v>44629.720262465278</v>
      </c>
      <c r="AC2160" t="str">
        <f>+VLOOKUP(R2160,DRAFT!A:Q,17,0)</f>
        <v xml:space="preserve">SALARY SUPPORT </v>
      </c>
    </row>
    <row r="2161" spans="1:29">
      <c r="A2161" t="s">
        <v>382</v>
      </c>
      <c r="B2161" t="s">
        <v>440</v>
      </c>
      <c r="C2161" t="s">
        <v>1150</v>
      </c>
      <c r="D2161" t="s">
        <v>1151</v>
      </c>
      <c r="E2161" t="s">
        <v>427</v>
      </c>
      <c r="F2161" t="s">
        <v>428</v>
      </c>
      <c r="G2161">
        <v>1200381</v>
      </c>
      <c r="H2161">
        <v>202202</v>
      </c>
      <c r="I2161" s="400">
        <v>44620</v>
      </c>
      <c r="J2161" t="s">
        <v>1152</v>
      </c>
      <c r="K2161" t="s">
        <v>386</v>
      </c>
      <c r="L2161">
        <v>125684</v>
      </c>
      <c r="M2161" t="s">
        <v>2869</v>
      </c>
      <c r="O2161" t="s">
        <v>2870</v>
      </c>
      <c r="P2161" t="s">
        <v>2871</v>
      </c>
      <c r="Q2161" t="s">
        <v>396</v>
      </c>
      <c r="R2161" s="458">
        <v>2069152</v>
      </c>
      <c r="S2161" t="s">
        <v>2868</v>
      </c>
      <c r="U2161" t="s">
        <v>2868</v>
      </c>
      <c r="V2161" t="s">
        <v>398</v>
      </c>
      <c r="W2161" s="393">
        <v>4526453.78</v>
      </c>
      <c r="X2161" s="393">
        <v>1156.55</v>
      </c>
      <c r="Y2161" s="393">
        <v>10333.120000000001</v>
      </c>
      <c r="Z2161" s="393">
        <v>4526453.78</v>
      </c>
      <c r="AA2161">
        <v>0</v>
      </c>
      <c r="AB2161" s="400">
        <v>44629.720262465278</v>
      </c>
      <c r="AC2161" t="str">
        <f>+VLOOKUP(R2161,DRAFT!A:Q,17,0)</f>
        <v xml:space="preserve">SALARY SUPPORT </v>
      </c>
    </row>
    <row r="2162" spans="1:29">
      <c r="A2162" t="s">
        <v>382</v>
      </c>
      <c r="B2162" t="s">
        <v>440</v>
      </c>
      <c r="C2162" t="s">
        <v>1150</v>
      </c>
      <c r="D2162" t="s">
        <v>1151</v>
      </c>
      <c r="E2162" t="s">
        <v>427</v>
      </c>
      <c r="F2162" t="s">
        <v>428</v>
      </c>
      <c r="G2162">
        <v>1200381</v>
      </c>
      <c r="H2162">
        <v>202202</v>
      </c>
      <c r="I2162" s="400">
        <v>44620</v>
      </c>
      <c r="J2162" t="s">
        <v>1152</v>
      </c>
      <c r="K2162" t="s">
        <v>386</v>
      </c>
      <c r="L2162">
        <v>127068</v>
      </c>
      <c r="M2162" t="s">
        <v>2859</v>
      </c>
      <c r="O2162" t="s">
        <v>2860</v>
      </c>
      <c r="P2162" t="s">
        <v>2861</v>
      </c>
      <c r="Q2162" t="s">
        <v>450</v>
      </c>
      <c r="R2162" s="458">
        <v>2586484</v>
      </c>
      <c r="S2162" t="s">
        <v>2868</v>
      </c>
      <c r="U2162" t="s">
        <v>2868</v>
      </c>
      <c r="V2162" t="s">
        <v>398</v>
      </c>
      <c r="W2162" s="393">
        <v>4336931.78</v>
      </c>
      <c r="X2162" s="393">
        <v>1108.1300000000001</v>
      </c>
      <c r="Y2162" s="393">
        <v>9900.48</v>
      </c>
      <c r="Z2162" s="393">
        <v>4336931.78</v>
      </c>
      <c r="AA2162">
        <v>0</v>
      </c>
      <c r="AB2162" s="400">
        <v>44629.720262465278</v>
      </c>
      <c r="AC2162" t="str">
        <f>+VLOOKUP(R2162,DRAFT!A:Q,17,0)</f>
        <v xml:space="preserve">SALARY SUPPORT </v>
      </c>
    </row>
    <row r="2163" spans="1:29">
      <c r="A2163" t="s">
        <v>382</v>
      </c>
      <c r="B2163" t="s">
        <v>440</v>
      </c>
      <c r="C2163" t="s">
        <v>1150</v>
      </c>
      <c r="D2163" t="s">
        <v>1151</v>
      </c>
      <c r="E2163" t="s">
        <v>427</v>
      </c>
      <c r="F2163" t="s">
        <v>428</v>
      </c>
      <c r="G2163">
        <v>1200381</v>
      </c>
      <c r="H2163">
        <v>202202</v>
      </c>
      <c r="I2163" s="400">
        <v>44620</v>
      </c>
      <c r="J2163" t="s">
        <v>1152</v>
      </c>
      <c r="K2163" t="s">
        <v>386</v>
      </c>
      <c r="L2163">
        <v>127573</v>
      </c>
      <c r="M2163" t="s">
        <v>2862</v>
      </c>
      <c r="O2163" t="s">
        <v>2863</v>
      </c>
      <c r="P2163" t="s">
        <v>2864</v>
      </c>
      <c r="Q2163" t="s">
        <v>450</v>
      </c>
      <c r="R2163" s="458">
        <v>2560218</v>
      </c>
      <c r="S2163" t="s">
        <v>2868</v>
      </c>
      <c r="U2163" t="s">
        <v>2868</v>
      </c>
      <c r="V2163" t="s">
        <v>398</v>
      </c>
      <c r="W2163" s="393">
        <v>4337851.78</v>
      </c>
      <c r="X2163" s="393">
        <v>1108.3599999999999</v>
      </c>
      <c r="Y2163" s="393">
        <v>9902.58</v>
      </c>
      <c r="Z2163" s="393">
        <v>4337851.78</v>
      </c>
      <c r="AA2163">
        <v>0</v>
      </c>
      <c r="AB2163" s="400">
        <v>44629.720262465278</v>
      </c>
      <c r="AC2163" t="str">
        <f>+VLOOKUP(R2163,DRAFT!A:Q,17,0)</f>
        <v xml:space="preserve">SALARY SUPPORT </v>
      </c>
    </row>
    <row r="2164" spans="1:29">
      <c r="A2164" t="s">
        <v>382</v>
      </c>
      <c r="B2164" t="s">
        <v>440</v>
      </c>
      <c r="C2164" t="s">
        <v>1150</v>
      </c>
      <c r="D2164" t="s">
        <v>1151</v>
      </c>
      <c r="E2164" t="s">
        <v>427</v>
      </c>
      <c r="F2164" t="s">
        <v>428</v>
      </c>
      <c r="G2164">
        <v>1200381</v>
      </c>
      <c r="H2164">
        <v>202202</v>
      </c>
      <c r="I2164" s="400">
        <v>44620</v>
      </c>
      <c r="J2164" t="s">
        <v>1152</v>
      </c>
      <c r="K2164" t="s">
        <v>386</v>
      </c>
      <c r="L2164">
        <v>127836</v>
      </c>
      <c r="M2164" t="s">
        <v>2865</v>
      </c>
      <c r="O2164" t="s">
        <v>2866</v>
      </c>
      <c r="P2164" t="s">
        <v>2867</v>
      </c>
      <c r="Q2164" t="s">
        <v>450</v>
      </c>
      <c r="R2164" s="458">
        <v>2586483</v>
      </c>
      <c r="S2164" t="s">
        <v>2868</v>
      </c>
      <c r="U2164" t="s">
        <v>2868</v>
      </c>
      <c r="V2164" t="s">
        <v>398</v>
      </c>
      <c r="W2164" s="393">
        <v>2602710.4700000002</v>
      </c>
      <c r="X2164" s="393">
        <v>665.02</v>
      </c>
      <c r="Y2164" s="393">
        <v>5941.55</v>
      </c>
      <c r="Z2164" s="393">
        <v>2602710.4700000002</v>
      </c>
      <c r="AA2164">
        <v>0</v>
      </c>
      <c r="AB2164" s="400">
        <v>44629.720262465278</v>
      </c>
      <c r="AC2164" t="str">
        <f>+VLOOKUP(R2164,DRAFT!A:Q,17,0)</f>
        <v xml:space="preserve">SALARY SUPPORT </v>
      </c>
    </row>
    <row r="2165" spans="1:29">
      <c r="A2165" t="s">
        <v>382</v>
      </c>
      <c r="B2165" t="s">
        <v>440</v>
      </c>
      <c r="C2165" t="s">
        <v>1150</v>
      </c>
      <c r="D2165" t="s">
        <v>1151</v>
      </c>
      <c r="E2165" t="s">
        <v>427</v>
      </c>
      <c r="F2165" t="s">
        <v>428</v>
      </c>
      <c r="G2165">
        <v>1200381</v>
      </c>
      <c r="H2165">
        <v>202202</v>
      </c>
      <c r="I2165" s="400">
        <v>44620</v>
      </c>
      <c r="J2165" t="s">
        <v>1152</v>
      </c>
      <c r="K2165" t="s">
        <v>386</v>
      </c>
      <c r="L2165">
        <v>128232</v>
      </c>
      <c r="M2165" t="s">
        <v>2872</v>
      </c>
      <c r="O2165" t="s">
        <v>2873</v>
      </c>
      <c r="P2165" t="s">
        <v>2874</v>
      </c>
      <c r="Q2165" t="s">
        <v>450</v>
      </c>
      <c r="R2165" s="458">
        <v>2069168</v>
      </c>
      <c r="S2165" t="s">
        <v>2868</v>
      </c>
      <c r="U2165" t="s">
        <v>2868</v>
      </c>
      <c r="V2165" t="s">
        <v>398</v>
      </c>
      <c r="W2165" s="393">
        <v>1662677.56</v>
      </c>
      <c r="X2165" s="393">
        <v>424.83</v>
      </c>
      <c r="Y2165" s="393">
        <v>3795.61</v>
      </c>
      <c r="Z2165" s="393">
        <v>1662677.56</v>
      </c>
      <c r="AA2165">
        <v>0</v>
      </c>
      <c r="AB2165" s="400">
        <v>44629.720262465278</v>
      </c>
      <c r="AC2165" t="str">
        <f>+VLOOKUP(R2165,DRAFT!A:Q,17,0)</f>
        <v xml:space="preserve">SALARY SUPPORT </v>
      </c>
    </row>
    <row r="2166" spans="1:29">
      <c r="A2166" t="s">
        <v>382</v>
      </c>
      <c r="B2166" t="s">
        <v>440</v>
      </c>
      <c r="C2166" t="s">
        <v>1150</v>
      </c>
      <c r="D2166" t="s">
        <v>1151</v>
      </c>
      <c r="E2166" t="s">
        <v>427</v>
      </c>
      <c r="F2166" t="s">
        <v>428</v>
      </c>
      <c r="G2166">
        <v>1200382</v>
      </c>
      <c r="H2166">
        <v>202202</v>
      </c>
      <c r="I2166" s="400">
        <v>44620</v>
      </c>
      <c r="J2166" t="s">
        <v>1152</v>
      </c>
      <c r="K2166" t="s">
        <v>386</v>
      </c>
      <c r="L2166" t="s">
        <v>1191</v>
      </c>
      <c r="M2166" t="s">
        <v>1192</v>
      </c>
      <c r="O2166" t="s">
        <v>1193</v>
      </c>
      <c r="P2166" t="s">
        <v>1194</v>
      </c>
      <c r="Q2166" t="s">
        <v>450</v>
      </c>
      <c r="R2166" s="458">
        <v>2069178</v>
      </c>
      <c r="S2166" t="s">
        <v>2868</v>
      </c>
      <c r="U2166" t="s">
        <v>2868</v>
      </c>
      <c r="V2166" t="s">
        <v>398</v>
      </c>
      <c r="W2166" s="393">
        <v>1684746.08</v>
      </c>
      <c r="X2166" s="393">
        <v>430.47</v>
      </c>
      <c r="Y2166" s="393">
        <v>3845.99</v>
      </c>
      <c r="Z2166" s="393">
        <v>1684746.08</v>
      </c>
      <c r="AA2166">
        <v>0</v>
      </c>
      <c r="AB2166" s="400">
        <v>44629.720949571762</v>
      </c>
      <c r="AC2166" t="str">
        <f>+VLOOKUP(R2166,DRAFT!A:Q,17,0)</f>
        <v xml:space="preserve">SALARY SUPPORT </v>
      </c>
    </row>
    <row r="2167" spans="1:29">
      <c r="A2167" t="s">
        <v>382</v>
      </c>
      <c r="B2167" t="s">
        <v>440</v>
      </c>
      <c r="C2167" t="s">
        <v>1150</v>
      </c>
      <c r="D2167" t="s">
        <v>1151</v>
      </c>
      <c r="E2167" t="s">
        <v>427</v>
      </c>
      <c r="F2167" t="s">
        <v>428</v>
      </c>
      <c r="G2167">
        <v>1200382</v>
      </c>
      <c r="H2167">
        <v>202202</v>
      </c>
      <c r="I2167" s="400">
        <v>44620</v>
      </c>
      <c r="J2167" t="s">
        <v>1152</v>
      </c>
      <c r="K2167" t="s">
        <v>386</v>
      </c>
      <c r="L2167" t="s">
        <v>1195</v>
      </c>
      <c r="M2167" t="s">
        <v>1196</v>
      </c>
      <c r="O2167" t="s">
        <v>1197</v>
      </c>
      <c r="P2167" t="s">
        <v>1198</v>
      </c>
      <c r="Q2167" t="s">
        <v>450</v>
      </c>
      <c r="R2167" s="458">
        <v>2069163</v>
      </c>
      <c r="S2167" t="s">
        <v>2868</v>
      </c>
      <c r="U2167" t="s">
        <v>2868</v>
      </c>
      <c r="V2167" t="s">
        <v>398</v>
      </c>
      <c r="W2167" s="393">
        <v>727627.38</v>
      </c>
      <c r="X2167" s="393">
        <v>185.92</v>
      </c>
      <c r="Y2167" s="393">
        <v>1661.05</v>
      </c>
      <c r="Z2167" s="393">
        <v>727627.38</v>
      </c>
      <c r="AA2167">
        <v>0</v>
      </c>
      <c r="AB2167" s="400">
        <v>44629.720949571762</v>
      </c>
      <c r="AC2167" t="str">
        <f>+VLOOKUP(R2167,DRAFT!A:Q,17,0)</f>
        <v xml:space="preserve">SALARY SUPPORT </v>
      </c>
    </row>
    <row r="2168" spans="1:29">
      <c r="A2168" t="s">
        <v>382</v>
      </c>
      <c r="B2168" t="s">
        <v>1157</v>
      </c>
      <c r="C2168" t="s">
        <v>1150</v>
      </c>
      <c r="D2168" t="s">
        <v>1151</v>
      </c>
      <c r="E2168" t="s">
        <v>427</v>
      </c>
      <c r="F2168" t="s">
        <v>428</v>
      </c>
      <c r="G2168">
        <v>1200759</v>
      </c>
      <c r="H2168">
        <v>202203</v>
      </c>
      <c r="I2168" s="400">
        <v>44650</v>
      </c>
      <c r="J2168" t="s">
        <v>1152</v>
      </c>
      <c r="K2168" t="s">
        <v>386</v>
      </c>
      <c r="L2168">
        <v>119010</v>
      </c>
      <c r="M2168" t="s">
        <v>1158</v>
      </c>
      <c r="O2168" t="s">
        <v>1159</v>
      </c>
      <c r="P2168" t="s">
        <v>1160</v>
      </c>
      <c r="Q2168" t="s">
        <v>450</v>
      </c>
      <c r="R2168" s="458">
        <v>2069161</v>
      </c>
      <c r="S2168" t="s">
        <v>2875</v>
      </c>
      <c r="U2168" t="s">
        <v>2875</v>
      </c>
      <c r="V2168" t="s">
        <v>398</v>
      </c>
      <c r="W2168" s="393">
        <v>1506544.15</v>
      </c>
      <c r="X2168" s="393">
        <v>401.04</v>
      </c>
      <c r="Y2168" s="393">
        <v>3507.72</v>
      </c>
      <c r="Z2168" s="393">
        <v>1506544.15</v>
      </c>
      <c r="AA2168">
        <v>0</v>
      </c>
      <c r="AB2168" s="400">
        <v>44662.810496331018</v>
      </c>
      <c r="AC2168" t="str">
        <f>+VLOOKUP(R2168,DRAFT!A:Q,17,0)</f>
        <v xml:space="preserve">SALARY SUPPORT </v>
      </c>
    </row>
    <row r="2169" spans="1:29">
      <c r="A2169" t="s">
        <v>382</v>
      </c>
      <c r="B2169" t="s">
        <v>440</v>
      </c>
      <c r="C2169" t="s">
        <v>1150</v>
      </c>
      <c r="D2169" t="s">
        <v>1151</v>
      </c>
      <c r="E2169" t="s">
        <v>427</v>
      </c>
      <c r="F2169" t="s">
        <v>428</v>
      </c>
      <c r="G2169">
        <v>1200759</v>
      </c>
      <c r="H2169">
        <v>202203</v>
      </c>
      <c r="I2169" s="400">
        <v>44650</v>
      </c>
      <c r="J2169" t="s">
        <v>1152</v>
      </c>
      <c r="K2169" t="s">
        <v>386</v>
      </c>
      <c r="L2169">
        <v>122377</v>
      </c>
      <c r="M2169" t="s">
        <v>1228</v>
      </c>
      <c r="O2169" t="s">
        <v>1229</v>
      </c>
      <c r="P2169" t="s">
        <v>1230</v>
      </c>
      <c r="Q2169" t="s">
        <v>450</v>
      </c>
      <c r="R2169" s="458">
        <v>2069157</v>
      </c>
      <c r="S2169" t="s">
        <v>2875</v>
      </c>
      <c r="U2169" t="s">
        <v>2875</v>
      </c>
      <c r="V2169" t="s">
        <v>398</v>
      </c>
      <c r="W2169" s="393">
        <v>1335805.72</v>
      </c>
      <c r="X2169" s="393">
        <v>355.59</v>
      </c>
      <c r="Y2169" s="393">
        <v>3110.18</v>
      </c>
      <c r="Z2169" s="393">
        <v>1335805.72</v>
      </c>
      <c r="AA2169">
        <v>0</v>
      </c>
      <c r="AB2169" s="400">
        <v>44662.810496331018</v>
      </c>
      <c r="AC2169" t="str">
        <f>+VLOOKUP(R2169,DRAFT!A:Q,17,0)</f>
        <v xml:space="preserve">SALARY SUPPORT </v>
      </c>
    </row>
    <row r="2170" spans="1:29">
      <c r="A2170" t="s">
        <v>382</v>
      </c>
      <c r="B2170" t="s">
        <v>440</v>
      </c>
      <c r="C2170" t="s">
        <v>1150</v>
      </c>
      <c r="D2170" t="s">
        <v>1151</v>
      </c>
      <c r="E2170" t="s">
        <v>427</v>
      </c>
      <c r="F2170" t="s">
        <v>428</v>
      </c>
      <c r="G2170">
        <v>1200759</v>
      </c>
      <c r="H2170">
        <v>202203</v>
      </c>
      <c r="I2170" s="400">
        <v>44650</v>
      </c>
      <c r="J2170" t="s">
        <v>1152</v>
      </c>
      <c r="K2170" t="s">
        <v>386</v>
      </c>
      <c r="L2170">
        <v>123780</v>
      </c>
      <c r="M2170" t="s">
        <v>1153</v>
      </c>
      <c r="O2170" t="s">
        <v>1154</v>
      </c>
      <c r="P2170" t="s">
        <v>1155</v>
      </c>
      <c r="Q2170" t="s">
        <v>396</v>
      </c>
      <c r="R2170" s="458">
        <v>2069200</v>
      </c>
      <c r="S2170" t="s">
        <v>2875</v>
      </c>
      <c r="U2170" t="s">
        <v>2875</v>
      </c>
      <c r="V2170" t="s">
        <v>398</v>
      </c>
      <c r="W2170" s="393">
        <v>4591470.5999999996</v>
      </c>
      <c r="X2170" s="393">
        <v>1222.25</v>
      </c>
      <c r="Y2170" s="393">
        <v>10690.41</v>
      </c>
      <c r="Z2170" s="393">
        <v>4591470.5999999996</v>
      </c>
      <c r="AA2170">
        <v>0</v>
      </c>
      <c r="AB2170" s="400">
        <v>44662.810496331018</v>
      </c>
      <c r="AC2170" t="s">
        <v>19</v>
      </c>
    </row>
    <row r="2171" spans="1:29">
      <c r="A2171" t="s">
        <v>382</v>
      </c>
      <c r="B2171" t="s">
        <v>440</v>
      </c>
      <c r="C2171" t="s">
        <v>1150</v>
      </c>
      <c r="D2171" t="s">
        <v>1151</v>
      </c>
      <c r="E2171" t="s">
        <v>427</v>
      </c>
      <c r="F2171" t="s">
        <v>428</v>
      </c>
      <c r="G2171">
        <v>1200759</v>
      </c>
      <c r="H2171">
        <v>202203</v>
      </c>
      <c r="I2171" s="400">
        <v>44650</v>
      </c>
      <c r="J2171" t="s">
        <v>1152</v>
      </c>
      <c r="K2171" t="s">
        <v>386</v>
      </c>
      <c r="L2171">
        <v>125338</v>
      </c>
      <c r="M2171" t="s">
        <v>2444</v>
      </c>
      <c r="O2171" t="s">
        <v>2065</v>
      </c>
      <c r="P2171" t="s">
        <v>2066</v>
      </c>
      <c r="Q2171" t="s">
        <v>450</v>
      </c>
      <c r="R2171" s="458">
        <v>2069197</v>
      </c>
      <c r="S2171" t="s">
        <v>2875</v>
      </c>
      <c r="U2171" t="s">
        <v>2875</v>
      </c>
      <c r="V2171" t="s">
        <v>398</v>
      </c>
      <c r="W2171" s="393">
        <v>3337302.6</v>
      </c>
      <c r="X2171" s="393">
        <v>888.39</v>
      </c>
      <c r="Y2171" s="393">
        <v>7770.31</v>
      </c>
      <c r="Z2171" s="393">
        <v>3337302.6</v>
      </c>
      <c r="AA2171">
        <v>0</v>
      </c>
      <c r="AB2171" s="400">
        <v>44662.810496331018</v>
      </c>
      <c r="AC2171" t="str">
        <f>+VLOOKUP(R2171,DRAFT!A:Q,17,0)</f>
        <v xml:space="preserve">SALARY SUPPORT </v>
      </c>
    </row>
    <row r="2172" spans="1:29">
      <c r="A2172" t="s">
        <v>382</v>
      </c>
      <c r="B2172" t="s">
        <v>440</v>
      </c>
      <c r="C2172" t="s">
        <v>1150</v>
      </c>
      <c r="D2172" t="s">
        <v>1151</v>
      </c>
      <c r="E2172" t="s">
        <v>427</v>
      </c>
      <c r="F2172" t="s">
        <v>428</v>
      </c>
      <c r="G2172">
        <v>1200759</v>
      </c>
      <c r="H2172">
        <v>202203</v>
      </c>
      <c r="I2172" s="400">
        <v>44650</v>
      </c>
      <c r="J2172" t="s">
        <v>1152</v>
      </c>
      <c r="K2172" t="s">
        <v>386</v>
      </c>
      <c r="L2172">
        <v>125684</v>
      </c>
      <c r="M2172" t="s">
        <v>2869</v>
      </c>
      <c r="O2172" t="s">
        <v>2870</v>
      </c>
      <c r="P2172" t="s">
        <v>2871</v>
      </c>
      <c r="Q2172" t="s">
        <v>396</v>
      </c>
      <c r="R2172" s="458">
        <v>2069152</v>
      </c>
      <c r="S2172" t="s">
        <v>2875</v>
      </c>
      <c r="U2172" t="s">
        <v>2875</v>
      </c>
      <c r="V2172" t="s">
        <v>398</v>
      </c>
      <c r="W2172" s="393">
        <v>4340512.5999999996</v>
      </c>
      <c r="X2172" s="393">
        <v>1155.44</v>
      </c>
      <c r="Y2172" s="393">
        <v>10106.1</v>
      </c>
      <c r="Z2172" s="393">
        <v>4340512.5999999996</v>
      </c>
      <c r="AA2172">
        <v>0</v>
      </c>
      <c r="AB2172" s="400">
        <v>44662.810496331018</v>
      </c>
      <c r="AC2172" t="str">
        <f>+VLOOKUP(R2172,DRAFT!A:Q,17,0)</f>
        <v xml:space="preserve">SALARY SUPPORT </v>
      </c>
    </row>
    <row r="2173" spans="1:29">
      <c r="A2173" t="s">
        <v>382</v>
      </c>
      <c r="B2173" t="s">
        <v>440</v>
      </c>
      <c r="C2173" t="s">
        <v>1150</v>
      </c>
      <c r="D2173" t="s">
        <v>1151</v>
      </c>
      <c r="E2173" t="s">
        <v>427</v>
      </c>
      <c r="F2173" t="s">
        <v>428</v>
      </c>
      <c r="G2173">
        <v>1200759</v>
      </c>
      <c r="H2173">
        <v>202203</v>
      </c>
      <c r="I2173" s="400">
        <v>44650</v>
      </c>
      <c r="J2173" t="s">
        <v>1152</v>
      </c>
      <c r="K2173" t="s">
        <v>386</v>
      </c>
      <c r="L2173">
        <v>126111</v>
      </c>
      <c r="M2173" t="s">
        <v>1231</v>
      </c>
      <c r="O2173" t="s">
        <v>1232</v>
      </c>
      <c r="P2173" t="s">
        <v>1233</v>
      </c>
      <c r="Q2173" t="s">
        <v>450</v>
      </c>
      <c r="R2173" s="458">
        <v>2069182</v>
      </c>
      <c r="S2173" t="s">
        <v>2875</v>
      </c>
      <c r="U2173" t="s">
        <v>2875</v>
      </c>
      <c r="V2173" t="s">
        <v>398</v>
      </c>
      <c r="W2173" s="393">
        <v>3634392.6</v>
      </c>
      <c r="X2173" s="393">
        <v>967.48</v>
      </c>
      <c r="Y2173" s="393">
        <v>8462.0300000000007</v>
      </c>
      <c r="Z2173" s="393">
        <v>3634392.6</v>
      </c>
      <c r="AA2173">
        <v>0</v>
      </c>
      <c r="AB2173" s="400">
        <v>44662.810496331018</v>
      </c>
      <c r="AC2173" t="str">
        <f>+VLOOKUP(R2173,DRAFT!A:Q,17,0)</f>
        <v xml:space="preserve">SALARY SUPPORT </v>
      </c>
    </row>
    <row r="2174" spans="1:29">
      <c r="A2174" t="s">
        <v>382</v>
      </c>
      <c r="B2174" t="s">
        <v>440</v>
      </c>
      <c r="C2174" t="s">
        <v>1150</v>
      </c>
      <c r="D2174" t="s">
        <v>1151</v>
      </c>
      <c r="E2174" t="s">
        <v>427</v>
      </c>
      <c r="F2174" t="s">
        <v>428</v>
      </c>
      <c r="G2174">
        <v>1200759</v>
      </c>
      <c r="H2174">
        <v>202203</v>
      </c>
      <c r="I2174" s="400">
        <v>44650</v>
      </c>
      <c r="J2174" t="s">
        <v>1152</v>
      </c>
      <c r="K2174" t="s">
        <v>386</v>
      </c>
      <c r="L2174">
        <v>127068</v>
      </c>
      <c r="M2174" t="s">
        <v>2859</v>
      </c>
      <c r="O2174" t="s">
        <v>2860</v>
      </c>
      <c r="P2174" t="s">
        <v>2861</v>
      </c>
      <c r="Q2174" t="s">
        <v>450</v>
      </c>
      <c r="R2174" s="458">
        <v>2586484</v>
      </c>
      <c r="S2174" t="s">
        <v>2875</v>
      </c>
      <c r="U2174" t="s">
        <v>2875</v>
      </c>
      <c r="V2174" t="s">
        <v>398</v>
      </c>
      <c r="W2174" s="393">
        <v>4341861.5999999996</v>
      </c>
      <c r="X2174" s="393">
        <v>1155.8</v>
      </c>
      <c r="Y2174" s="393">
        <v>10109.24</v>
      </c>
      <c r="Z2174" s="393">
        <v>4341861.5999999996</v>
      </c>
      <c r="AA2174">
        <v>0</v>
      </c>
      <c r="AB2174" s="400">
        <v>44662.810496331018</v>
      </c>
      <c r="AC2174" t="str">
        <f>+VLOOKUP(R2174,DRAFT!A:Q,17,0)</f>
        <v xml:space="preserve">SALARY SUPPORT </v>
      </c>
    </row>
    <row r="2175" spans="1:29">
      <c r="A2175" t="s">
        <v>382</v>
      </c>
      <c r="B2175" t="s">
        <v>440</v>
      </c>
      <c r="C2175" t="s">
        <v>1150</v>
      </c>
      <c r="D2175" t="s">
        <v>1151</v>
      </c>
      <c r="E2175" t="s">
        <v>427</v>
      </c>
      <c r="F2175" t="s">
        <v>428</v>
      </c>
      <c r="G2175">
        <v>1200759</v>
      </c>
      <c r="H2175">
        <v>202203</v>
      </c>
      <c r="I2175" s="400">
        <v>44650</v>
      </c>
      <c r="J2175" t="s">
        <v>1152</v>
      </c>
      <c r="K2175" t="s">
        <v>386</v>
      </c>
      <c r="L2175">
        <v>128232</v>
      </c>
      <c r="M2175" t="s">
        <v>2872</v>
      </c>
      <c r="O2175" t="s">
        <v>2873</v>
      </c>
      <c r="P2175" t="s">
        <v>2874</v>
      </c>
      <c r="Q2175" t="s">
        <v>450</v>
      </c>
      <c r="R2175" s="458">
        <v>2069168</v>
      </c>
      <c r="S2175" t="s">
        <v>2875</v>
      </c>
      <c r="U2175" t="s">
        <v>2875</v>
      </c>
      <c r="V2175" t="s">
        <v>398</v>
      </c>
      <c r="W2175" s="393">
        <v>4161733.8</v>
      </c>
      <c r="X2175" s="393">
        <v>1107.8499999999999</v>
      </c>
      <c r="Y2175" s="393">
        <v>9689.85</v>
      </c>
      <c r="Z2175" s="393">
        <v>4161733.8</v>
      </c>
      <c r="AA2175">
        <v>0</v>
      </c>
      <c r="AB2175" s="400">
        <v>44662.810496331018</v>
      </c>
      <c r="AC2175" t="str">
        <f>+VLOOKUP(R2175,DRAFT!A:Q,17,0)</f>
        <v xml:space="preserve">SALARY SUPPORT </v>
      </c>
    </row>
    <row r="2176" spans="1:29">
      <c r="A2176" t="s">
        <v>382</v>
      </c>
      <c r="B2176" t="s">
        <v>1214</v>
      </c>
      <c r="C2176" t="s">
        <v>1150</v>
      </c>
      <c r="D2176" t="s">
        <v>1151</v>
      </c>
      <c r="E2176" t="s">
        <v>427</v>
      </c>
      <c r="F2176" t="s">
        <v>428</v>
      </c>
      <c r="G2176">
        <v>1200760</v>
      </c>
      <c r="H2176">
        <v>202203</v>
      </c>
      <c r="I2176" s="400">
        <v>44650</v>
      </c>
      <c r="J2176" t="s">
        <v>1152</v>
      </c>
      <c r="K2176" t="s">
        <v>386</v>
      </c>
      <c r="L2176" t="s">
        <v>2420</v>
      </c>
      <c r="M2176" t="s">
        <v>2421</v>
      </c>
      <c r="O2176" t="s">
        <v>2876</v>
      </c>
      <c r="P2176" t="s">
        <v>2877</v>
      </c>
      <c r="Q2176" t="s">
        <v>396</v>
      </c>
      <c r="R2176" s="458">
        <v>2069154</v>
      </c>
      <c r="S2176" t="s">
        <v>2875</v>
      </c>
      <c r="U2176" t="s">
        <v>2875</v>
      </c>
      <c r="V2176" t="s">
        <v>398</v>
      </c>
      <c r="W2176" s="393">
        <v>3515156.95</v>
      </c>
      <c r="X2176" s="393">
        <v>935.73</v>
      </c>
      <c r="Y2176" s="393">
        <v>8184.41</v>
      </c>
      <c r="Z2176" s="393">
        <v>3515156.95</v>
      </c>
      <c r="AA2176">
        <v>0</v>
      </c>
      <c r="AB2176" s="400">
        <v>44662.812290706017</v>
      </c>
      <c r="AC2176" t="s">
        <v>19</v>
      </c>
    </row>
    <row r="2177" spans="1:29">
      <c r="A2177" t="s">
        <v>382</v>
      </c>
      <c r="B2177" t="s">
        <v>440</v>
      </c>
      <c r="C2177" t="s">
        <v>1150</v>
      </c>
      <c r="D2177" t="s">
        <v>1151</v>
      </c>
      <c r="E2177" t="s">
        <v>427</v>
      </c>
      <c r="F2177" t="s">
        <v>428</v>
      </c>
      <c r="G2177">
        <v>1200760</v>
      </c>
      <c r="H2177">
        <v>202203</v>
      </c>
      <c r="I2177" s="400">
        <v>44650</v>
      </c>
      <c r="J2177" t="s">
        <v>1152</v>
      </c>
      <c r="K2177" t="s">
        <v>386</v>
      </c>
      <c r="L2177" t="s">
        <v>1187</v>
      </c>
      <c r="M2177" t="s">
        <v>1188</v>
      </c>
      <c r="O2177" t="s">
        <v>1189</v>
      </c>
      <c r="P2177" t="s">
        <v>1190</v>
      </c>
      <c r="Q2177" t="s">
        <v>450</v>
      </c>
      <c r="R2177" s="458">
        <v>2560219</v>
      </c>
      <c r="S2177" t="s">
        <v>2875</v>
      </c>
      <c r="U2177" t="s">
        <v>2875</v>
      </c>
      <c r="V2177" t="s">
        <v>398</v>
      </c>
      <c r="W2177" s="393">
        <v>4392666.5999999996</v>
      </c>
      <c r="X2177" s="393">
        <v>1169.33</v>
      </c>
      <c r="Y2177" s="393">
        <v>10227.530000000001</v>
      </c>
      <c r="Z2177" s="393">
        <v>4392666.5999999996</v>
      </c>
      <c r="AA2177">
        <v>0</v>
      </c>
      <c r="AB2177" s="400">
        <v>44662.812290706017</v>
      </c>
      <c r="AC2177" t="str">
        <f>+VLOOKUP(R2177,DRAFT!A:Q,17,0)</f>
        <v xml:space="preserve">SALARY SUPPORT </v>
      </c>
    </row>
    <row r="2178" spans="1:29">
      <c r="A2178" t="s">
        <v>382</v>
      </c>
      <c r="B2178" t="s">
        <v>440</v>
      </c>
      <c r="C2178" t="s">
        <v>1150</v>
      </c>
      <c r="D2178" t="s">
        <v>1151</v>
      </c>
      <c r="E2178" t="s">
        <v>390</v>
      </c>
      <c r="F2178" t="s">
        <v>391</v>
      </c>
      <c r="G2178">
        <v>6201496</v>
      </c>
      <c r="H2178">
        <v>202204</v>
      </c>
      <c r="I2178" s="400">
        <v>44681</v>
      </c>
      <c r="J2178">
        <v>119010</v>
      </c>
      <c r="K2178" t="s">
        <v>386</v>
      </c>
      <c r="L2178">
        <v>118642</v>
      </c>
      <c r="M2178" t="s">
        <v>3992</v>
      </c>
      <c r="O2178" t="s">
        <v>3993</v>
      </c>
      <c r="P2178" t="s">
        <v>3994</v>
      </c>
      <c r="Q2178" t="s">
        <v>450</v>
      </c>
      <c r="R2178" s="458">
        <v>2069157</v>
      </c>
      <c r="S2178" t="s">
        <v>387</v>
      </c>
      <c r="U2178" t="s">
        <v>3995</v>
      </c>
      <c r="V2178" t="s">
        <v>398</v>
      </c>
      <c r="W2178" s="393">
        <v>2664967.83</v>
      </c>
      <c r="X2178" s="393">
        <v>662.33</v>
      </c>
      <c r="Y2178" s="393">
        <v>5959</v>
      </c>
      <c r="Z2178" s="393">
        <v>2664967.83</v>
      </c>
      <c r="AA2178">
        <v>0</v>
      </c>
      <c r="AB2178" s="400">
        <v>44701.977883414351</v>
      </c>
      <c r="AC2178" t="str">
        <f>+VLOOKUP(R2178,DRAFT!A:Q,17,0)</f>
        <v xml:space="preserve">SALARY SUPPORT </v>
      </c>
    </row>
    <row r="2179" spans="1:29">
      <c r="A2179" t="s">
        <v>382</v>
      </c>
      <c r="B2179" t="s">
        <v>1157</v>
      </c>
      <c r="C2179" t="s">
        <v>1150</v>
      </c>
      <c r="D2179" t="s">
        <v>1151</v>
      </c>
      <c r="E2179" t="s">
        <v>427</v>
      </c>
      <c r="F2179" t="s">
        <v>428</v>
      </c>
      <c r="G2179">
        <v>1200946</v>
      </c>
      <c r="H2179">
        <v>202204</v>
      </c>
      <c r="I2179" s="400">
        <v>44681</v>
      </c>
      <c r="J2179" t="s">
        <v>1152</v>
      </c>
      <c r="K2179" t="s">
        <v>386</v>
      </c>
      <c r="L2179">
        <v>119010</v>
      </c>
      <c r="M2179" t="s">
        <v>1158</v>
      </c>
      <c r="O2179" t="s">
        <v>1159</v>
      </c>
      <c r="P2179" t="s">
        <v>1160</v>
      </c>
      <c r="Q2179" t="s">
        <v>450</v>
      </c>
      <c r="R2179" s="458">
        <v>2069161</v>
      </c>
      <c r="S2179" t="s">
        <v>3996</v>
      </c>
      <c r="U2179" t="s">
        <v>3996</v>
      </c>
      <c r="V2179" t="s">
        <v>398</v>
      </c>
      <c r="W2179" s="393">
        <v>1780956.57</v>
      </c>
      <c r="X2179" s="393">
        <v>473.82</v>
      </c>
      <c r="Y2179" s="393">
        <v>4074.17</v>
      </c>
      <c r="Z2179" s="393">
        <v>1780956.57</v>
      </c>
      <c r="AA2179">
        <v>0</v>
      </c>
      <c r="AB2179" s="400">
        <v>44693.007999652778</v>
      </c>
      <c r="AC2179" t="str">
        <f>+VLOOKUP(R2179,DRAFT!A:Q,17,0)</f>
        <v xml:space="preserve">SALARY SUPPORT </v>
      </c>
    </row>
    <row r="2180" spans="1:29">
      <c r="A2180" t="s">
        <v>382</v>
      </c>
      <c r="B2180" t="s">
        <v>440</v>
      </c>
      <c r="C2180" t="s">
        <v>1150</v>
      </c>
      <c r="D2180" t="s">
        <v>1151</v>
      </c>
      <c r="E2180" t="s">
        <v>427</v>
      </c>
      <c r="F2180" t="s">
        <v>428</v>
      </c>
      <c r="G2180">
        <v>1200946</v>
      </c>
      <c r="H2180">
        <v>202204</v>
      </c>
      <c r="I2180" s="400">
        <v>44681</v>
      </c>
      <c r="J2180" t="s">
        <v>1152</v>
      </c>
      <c r="K2180" t="s">
        <v>386</v>
      </c>
      <c r="L2180">
        <v>122377</v>
      </c>
      <c r="M2180" t="s">
        <v>1228</v>
      </c>
      <c r="O2180" t="s">
        <v>1229</v>
      </c>
      <c r="P2180" t="s">
        <v>1230</v>
      </c>
      <c r="Q2180" t="s">
        <v>450</v>
      </c>
      <c r="R2180" s="458">
        <v>2069157</v>
      </c>
      <c r="S2180" t="s">
        <v>3996</v>
      </c>
      <c r="U2180" t="s">
        <v>3996</v>
      </c>
      <c r="V2180" t="s">
        <v>398</v>
      </c>
      <c r="W2180" s="393">
        <v>734358.53</v>
      </c>
      <c r="X2180" s="393">
        <v>195.38</v>
      </c>
      <c r="Y2180" s="393">
        <v>1679.94</v>
      </c>
      <c r="Z2180" s="393">
        <v>734358.53</v>
      </c>
      <c r="AA2180">
        <v>0</v>
      </c>
      <c r="AB2180" s="400">
        <v>44693.007999652778</v>
      </c>
      <c r="AC2180" t="str">
        <f>+VLOOKUP(R2180,DRAFT!A:Q,17,0)</f>
        <v xml:space="preserve">SALARY SUPPORT </v>
      </c>
    </row>
    <row r="2181" spans="1:29">
      <c r="A2181" t="s">
        <v>382</v>
      </c>
      <c r="B2181" t="s">
        <v>440</v>
      </c>
      <c r="C2181" t="s">
        <v>1150</v>
      </c>
      <c r="D2181" t="s">
        <v>1151</v>
      </c>
      <c r="E2181" t="s">
        <v>390</v>
      </c>
      <c r="F2181" t="s">
        <v>391</v>
      </c>
      <c r="G2181">
        <v>6201492</v>
      </c>
      <c r="H2181">
        <v>202204</v>
      </c>
      <c r="I2181" s="400">
        <v>44681</v>
      </c>
      <c r="J2181">
        <v>119010</v>
      </c>
      <c r="K2181" t="s">
        <v>386</v>
      </c>
      <c r="L2181">
        <v>124475</v>
      </c>
      <c r="M2181" t="s">
        <v>1208</v>
      </c>
      <c r="O2181" t="s">
        <v>1209</v>
      </c>
      <c r="P2181" t="s">
        <v>1210</v>
      </c>
      <c r="Q2181" t="s">
        <v>396</v>
      </c>
      <c r="R2181" s="458">
        <v>2600581</v>
      </c>
      <c r="S2181" t="s">
        <v>387</v>
      </c>
      <c r="U2181" t="s">
        <v>3997</v>
      </c>
      <c r="V2181" t="s">
        <v>398</v>
      </c>
      <c r="W2181" s="393">
        <v>2172611</v>
      </c>
      <c r="X2181" s="393">
        <v>578</v>
      </c>
      <c r="Y2181" s="393">
        <v>4970</v>
      </c>
      <c r="Z2181" s="393">
        <v>2172611</v>
      </c>
      <c r="AA2181">
        <v>0</v>
      </c>
      <c r="AB2181" s="400">
        <v>44701.723923113423</v>
      </c>
      <c r="AC2181" t="str">
        <f>+VLOOKUP(R2181,DRAFT!A:Q,17,0)</f>
        <v xml:space="preserve">SALARY SUPPORT </v>
      </c>
    </row>
    <row r="2182" spans="1:29">
      <c r="A2182" t="s">
        <v>382</v>
      </c>
      <c r="B2182" t="s">
        <v>440</v>
      </c>
      <c r="C2182" t="s">
        <v>1150</v>
      </c>
      <c r="D2182" t="s">
        <v>1151</v>
      </c>
      <c r="E2182" t="s">
        <v>427</v>
      </c>
      <c r="F2182" t="s">
        <v>428</v>
      </c>
      <c r="G2182">
        <v>1200946</v>
      </c>
      <c r="H2182">
        <v>202204</v>
      </c>
      <c r="I2182" s="400">
        <v>44681</v>
      </c>
      <c r="J2182" t="s">
        <v>1152</v>
      </c>
      <c r="K2182" t="s">
        <v>386</v>
      </c>
      <c r="L2182">
        <v>124475</v>
      </c>
      <c r="M2182" t="s">
        <v>1208</v>
      </c>
      <c r="O2182" t="s">
        <v>1209</v>
      </c>
      <c r="P2182" t="s">
        <v>1210</v>
      </c>
      <c r="Q2182" t="s">
        <v>396</v>
      </c>
      <c r="R2182" s="458">
        <v>2600581</v>
      </c>
      <c r="S2182" t="s">
        <v>3996</v>
      </c>
      <c r="U2182" t="s">
        <v>3996</v>
      </c>
      <c r="V2182" t="s">
        <v>398</v>
      </c>
      <c r="W2182" s="393">
        <v>2172610.64</v>
      </c>
      <c r="X2182" s="393">
        <v>578.02</v>
      </c>
      <c r="Y2182" s="393">
        <v>4970.13</v>
      </c>
      <c r="Z2182" s="393">
        <v>2172610.64</v>
      </c>
      <c r="AA2182">
        <v>0</v>
      </c>
      <c r="AB2182" s="400">
        <v>44693.007999652778</v>
      </c>
      <c r="AC2182" t="str">
        <f>+VLOOKUP(R2182,DRAFT!A:Q,17,0)</f>
        <v xml:space="preserve">SALARY SUPPORT </v>
      </c>
    </row>
    <row r="2183" spans="1:29">
      <c r="A2183" t="s">
        <v>382</v>
      </c>
      <c r="B2183" t="s">
        <v>440</v>
      </c>
      <c r="C2183" t="s">
        <v>1150</v>
      </c>
      <c r="D2183" t="s">
        <v>1151</v>
      </c>
      <c r="E2183" t="s">
        <v>427</v>
      </c>
      <c r="F2183" t="s">
        <v>428</v>
      </c>
      <c r="G2183">
        <v>1200946</v>
      </c>
      <c r="H2183">
        <v>202204</v>
      </c>
      <c r="I2183" s="400">
        <v>44681</v>
      </c>
      <c r="J2183" t="s">
        <v>1152</v>
      </c>
      <c r="K2183" t="s">
        <v>386</v>
      </c>
      <c r="L2183">
        <v>125338</v>
      </c>
      <c r="M2183" t="s">
        <v>2444</v>
      </c>
      <c r="O2183" t="s">
        <v>2065</v>
      </c>
      <c r="P2183" t="s">
        <v>2066</v>
      </c>
      <c r="Q2183" t="s">
        <v>450</v>
      </c>
      <c r="R2183" s="458">
        <v>2069197</v>
      </c>
      <c r="S2183" t="s">
        <v>3996</v>
      </c>
      <c r="U2183" t="s">
        <v>3996</v>
      </c>
      <c r="V2183" t="s">
        <v>398</v>
      </c>
      <c r="W2183" s="393">
        <v>3607893.27</v>
      </c>
      <c r="X2183" s="393">
        <v>959.88</v>
      </c>
      <c r="Y2183" s="393">
        <v>8253.52</v>
      </c>
      <c r="Z2183" s="393">
        <v>3607893.27</v>
      </c>
      <c r="AA2183">
        <v>0</v>
      </c>
      <c r="AB2183" s="400">
        <v>44693.007999652778</v>
      </c>
      <c r="AC2183" t="str">
        <f>+VLOOKUP(R2183,DRAFT!A:Q,17,0)</f>
        <v xml:space="preserve">SALARY SUPPORT </v>
      </c>
    </row>
    <row r="2184" spans="1:29">
      <c r="A2184" t="s">
        <v>382</v>
      </c>
      <c r="B2184" t="s">
        <v>440</v>
      </c>
      <c r="C2184" t="s">
        <v>1150</v>
      </c>
      <c r="D2184" t="s">
        <v>1151</v>
      </c>
      <c r="E2184" t="s">
        <v>427</v>
      </c>
      <c r="F2184" t="s">
        <v>428</v>
      </c>
      <c r="G2184">
        <v>1200946</v>
      </c>
      <c r="H2184">
        <v>202204</v>
      </c>
      <c r="I2184" s="400">
        <v>44681</v>
      </c>
      <c r="J2184" t="s">
        <v>1152</v>
      </c>
      <c r="K2184" t="s">
        <v>386</v>
      </c>
      <c r="L2184">
        <v>125684</v>
      </c>
      <c r="M2184" t="s">
        <v>2869</v>
      </c>
      <c r="O2184" t="s">
        <v>2870</v>
      </c>
      <c r="P2184" t="s">
        <v>2871</v>
      </c>
      <c r="Q2184" t="s">
        <v>396</v>
      </c>
      <c r="R2184" s="458">
        <v>2069152</v>
      </c>
      <c r="S2184" t="s">
        <v>3996</v>
      </c>
      <c r="U2184" t="s">
        <v>3996</v>
      </c>
      <c r="V2184" t="s">
        <v>398</v>
      </c>
      <c r="W2184" s="393">
        <v>4344790.2699999996</v>
      </c>
      <c r="X2184" s="393">
        <v>1155.93</v>
      </c>
      <c r="Y2184" s="393">
        <v>9939.27</v>
      </c>
      <c r="Z2184" s="393">
        <v>4344790.2699999996</v>
      </c>
      <c r="AA2184">
        <v>0</v>
      </c>
      <c r="AB2184" s="400">
        <v>44693.007999652778</v>
      </c>
      <c r="AC2184" t="str">
        <f>+VLOOKUP(R2184,DRAFT!A:Q,17,0)</f>
        <v xml:space="preserve">SALARY SUPPORT </v>
      </c>
    </row>
    <row r="2185" spans="1:29">
      <c r="A2185" t="s">
        <v>382</v>
      </c>
      <c r="B2185" t="s">
        <v>440</v>
      </c>
      <c r="C2185" t="s">
        <v>1150</v>
      </c>
      <c r="D2185" t="s">
        <v>1151</v>
      </c>
      <c r="E2185" t="s">
        <v>427</v>
      </c>
      <c r="F2185" t="s">
        <v>428</v>
      </c>
      <c r="G2185">
        <v>1200946</v>
      </c>
      <c r="H2185">
        <v>202204</v>
      </c>
      <c r="I2185" s="400">
        <v>44681</v>
      </c>
      <c r="J2185" t="s">
        <v>1152</v>
      </c>
      <c r="K2185" t="s">
        <v>386</v>
      </c>
      <c r="L2185">
        <v>127068</v>
      </c>
      <c r="M2185" t="s">
        <v>2859</v>
      </c>
      <c r="O2185" t="s">
        <v>2860</v>
      </c>
      <c r="P2185" t="s">
        <v>2861</v>
      </c>
      <c r="Q2185" t="s">
        <v>450</v>
      </c>
      <c r="R2185" s="458">
        <v>2586484</v>
      </c>
      <c r="S2185" t="s">
        <v>3996</v>
      </c>
      <c r="U2185" t="s">
        <v>3996</v>
      </c>
      <c r="V2185" t="s">
        <v>398</v>
      </c>
      <c r="W2185" s="393">
        <v>4345220.2699999996</v>
      </c>
      <c r="X2185" s="393">
        <v>1156.05</v>
      </c>
      <c r="Y2185" s="393">
        <v>9940.26</v>
      </c>
      <c r="Z2185" s="393">
        <v>4345220.2699999996</v>
      </c>
      <c r="AA2185">
        <v>0</v>
      </c>
      <c r="AB2185" s="400">
        <v>44693.007999652778</v>
      </c>
      <c r="AC2185" t="str">
        <f>+VLOOKUP(R2185,DRAFT!A:Q,17,0)</f>
        <v xml:space="preserve">SALARY SUPPORT </v>
      </c>
    </row>
    <row r="2186" spans="1:29">
      <c r="A2186" t="s">
        <v>382</v>
      </c>
      <c r="B2186" t="s">
        <v>440</v>
      </c>
      <c r="C2186" t="s">
        <v>1150</v>
      </c>
      <c r="D2186" t="s">
        <v>1151</v>
      </c>
      <c r="E2186" t="s">
        <v>427</v>
      </c>
      <c r="F2186" t="s">
        <v>428</v>
      </c>
      <c r="G2186">
        <v>1200946</v>
      </c>
      <c r="H2186">
        <v>202204</v>
      </c>
      <c r="I2186" s="400">
        <v>44681</v>
      </c>
      <c r="J2186" t="s">
        <v>1152</v>
      </c>
      <c r="K2186" t="s">
        <v>386</v>
      </c>
      <c r="L2186">
        <v>127836</v>
      </c>
      <c r="M2186" t="s">
        <v>2865</v>
      </c>
      <c r="O2186" t="s">
        <v>2866</v>
      </c>
      <c r="P2186" t="s">
        <v>2867</v>
      </c>
      <c r="Q2186" t="s">
        <v>450</v>
      </c>
      <c r="R2186" s="458">
        <v>2586483</v>
      </c>
      <c r="S2186" t="s">
        <v>3996</v>
      </c>
      <c r="U2186" t="s">
        <v>3996</v>
      </c>
      <c r="V2186" t="s">
        <v>398</v>
      </c>
      <c r="W2186" s="393">
        <v>3913513.27</v>
      </c>
      <c r="X2186" s="393">
        <v>1041.19</v>
      </c>
      <c r="Y2186" s="393">
        <v>8952.67</v>
      </c>
      <c r="Z2186" s="393">
        <v>3913513.27</v>
      </c>
      <c r="AA2186">
        <v>0</v>
      </c>
      <c r="AB2186" s="400">
        <v>44693.007999652778</v>
      </c>
      <c r="AC2186" t="str">
        <f>+VLOOKUP(R2186,DRAFT!A:Q,17,0)</f>
        <v xml:space="preserve">SALARY SUPPORT </v>
      </c>
    </row>
    <row r="2187" spans="1:29">
      <c r="A2187" t="s">
        <v>382</v>
      </c>
      <c r="B2187" t="s">
        <v>440</v>
      </c>
      <c r="C2187" t="s">
        <v>1150</v>
      </c>
      <c r="D2187" t="s">
        <v>1151</v>
      </c>
      <c r="E2187" t="s">
        <v>427</v>
      </c>
      <c r="F2187" t="s">
        <v>428</v>
      </c>
      <c r="G2187">
        <v>1200946</v>
      </c>
      <c r="H2187">
        <v>202204</v>
      </c>
      <c r="I2187" s="400">
        <v>44681</v>
      </c>
      <c r="J2187" t="s">
        <v>1152</v>
      </c>
      <c r="K2187" t="s">
        <v>386</v>
      </c>
      <c r="L2187">
        <v>128232</v>
      </c>
      <c r="M2187" t="s">
        <v>2872</v>
      </c>
      <c r="O2187" t="s">
        <v>2873</v>
      </c>
      <c r="P2187" t="s">
        <v>2874</v>
      </c>
      <c r="Q2187" t="s">
        <v>450</v>
      </c>
      <c r="R2187" s="458">
        <v>2069168</v>
      </c>
      <c r="S2187" t="s">
        <v>3996</v>
      </c>
      <c r="U2187" t="s">
        <v>3996</v>
      </c>
      <c r="V2187" t="s">
        <v>398</v>
      </c>
      <c r="W2187" s="393">
        <v>2499336.98</v>
      </c>
      <c r="X2187" s="393">
        <v>664.95</v>
      </c>
      <c r="Y2187" s="393">
        <v>5717.56</v>
      </c>
      <c r="Z2187" s="393">
        <v>2499336.98</v>
      </c>
      <c r="AA2187">
        <v>0</v>
      </c>
      <c r="AB2187" s="400">
        <v>44693.007999652778</v>
      </c>
      <c r="AC2187" t="str">
        <f>+VLOOKUP(R2187,DRAFT!A:Q,17,0)</f>
        <v xml:space="preserve">SALARY SUPPORT </v>
      </c>
    </row>
    <row r="2188" spans="1:29">
      <c r="A2188" t="s">
        <v>382</v>
      </c>
      <c r="B2188" t="s">
        <v>440</v>
      </c>
      <c r="C2188" t="s">
        <v>1150</v>
      </c>
      <c r="D2188" t="s">
        <v>1151</v>
      </c>
      <c r="E2188" t="s">
        <v>427</v>
      </c>
      <c r="F2188" t="s">
        <v>428</v>
      </c>
      <c r="G2188">
        <v>1200947</v>
      </c>
      <c r="H2188">
        <v>202204</v>
      </c>
      <c r="I2188" s="400">
        <v>44681</v>
      </c>
      <c r="J2188" t="s">
        <v>1152</v>
      </c>
      <c r="K2188" t="s">
        <v>386</v>
      </c>
      <c r="L2188" t="s">
        <v>1191</v>
      </c>
      <c r="M2188" t="s">
        <v>1192</v>
      </c>
      <c r="O2188" t="s">
        <v>1193</v>
      </c>
      <c r="P2188" t="s">
        <v>1194</v>
      </c>
      <c r="Q2188" t="s">
        <v>450</v>
      </c>
      <c r="R2188" s="458">
        <v>2069178</v>
      </c>
      <c r="S2188" t="s">
        <v>3996</v>
      </c>
      <c r="U2188" t="s">
        <v>3996</v>
      </c>
      <c r="V2188" t="s">
        <v>398</v>
      </c>
      <c r="W2188" s="393">
        <v>1703625.53</v>
      </c>
      <c r="X2188" s="393">
        <v>453.25</v>
      </c>
      <c r="Y2188" s="393">
        <v>3897.26</v>
      </c>
      <c r="Z2188" s="393">
        <v>1703625.53</v>
      </c>
      <c r="AA2188">
        <v>0</v>
      </c>
      <c r="AB2188" s="400">
        <v>44693.009320289355</v>
      </c>
      <c r="AC2188" t="str">
        <f>+VLOOKUP(R2188,DRAFT!A:Q,17,0)</f>
        <v xml:space="preserve">SALARY SUPPORT </v>
      </c>
    </row>
    <row r="2189" spans="1:29">
      <c r="A2189" t="s">
        <v>382</v>
      </c>
      <c r="B2189" t="s">
        <v>440</v>
      </c>
      <c r="C2189" t="s">
        <v>1150</v>
      </c>
      <c r="D2189" t="s">
        <v>1151</v>
      </c>
      <c r="E2189" t="s">
        <v>390</v>
      </c>
      <c r="F2189" t="s">
        <v>391</v>
      </c>
      <c r="G2189">
        <v>6201492</v>
      </c>
      <c r="H2189">
        <v>202204</v>
      </c>
      <c r="I2189" s="400">
        <v>44681</v>
      </c>
      <c r="J2189">
        <v>119010</v>
      </c>
      <c r="K2189" t="s">
        <v>386</v>
      </c>
      <c r="L2189" t="s">
        <v>1195</v>
      </c>
      <c r="M2189" t="s">
        <v>1196</v>
      </c>
      <c r="O2189" t="s">
        <v>1197</v>
      </c>
      <c r="P2189" t="s">
        <v>1198</v>
      </c>
      <c r="Q2189" t="s">
        <v>450</v>
      </c>
      <c r="R2189" s="458">
        <v>2069163</v>
      </c>
      <c r="S2189" t="s">
        <v>387</v>
      </c>
      <c r="U2189" t="s">
        <v>3998</v>
      </c>
      <c r="V2189" t="s">
        <v>398</v>
      </c>
      <c r="W2189" s="393">
        <v>1431740</v>
      </c>
      <c r="X2189" s="393">
        <v>357.58</v>
      </c>
      <c r="Y2189" s="393">
        <v>3184.65</v>
      </c>
      <c r="Z2189" s="393">
        <v>1431740</v>
      </c>
      <c r="AA2189">
        <v>0</v>
      </c>
      <c r="AB2189" s="400">
        <v>44701.723923113423</v>
      </c>
      <c r="AC2189" t="str">
        <f>+VLOOKUP(R2189,DRAFT!A:Q,17,0)</f>
        <v xml:space="preserve">SALARY SUPPORT </v>
      </c>
    </row>
    <row r="2190" spans="1:29">
      <c r="A2190" t="s">
        <v>381</v>
      </c>
      <c r="B2190" t="s">
        <v>382</v>
      </c>
      <c r="C2190" t="s">
        <v>1252</v>
      </c>
      <c r="D2190" t="s">
        <v>1252</v>
      </c>
      <c r="E2190" t="s">
        <v>383</v>
      </c>
      <c r="F2190" t="s">
        <v>384</v>
      </c>
      <c r="G2190">
        <v>12010329</v>
      </c>
      <c r="H2190">
        <v>202203</v>
      </c>
      <c r="I2190" s="400">
        <v>44651</v>
      </c>
      <c r="J2190">
        <v>122537</v>
      </c>
      <c r="K2190" t="s">
        <v>386</v>
      </c>
      <c r="M2190" t="s">
        <v>387</v>
      </c>
      <c r="O2190" t="s">
        <v>387</v>
      </c>
      <c r="P2190" t="s">
        <v>387</v>
      </c>
      <c r="Q2190" t="s">
        <v>450</v>
      </c>
      <c r="R2190" s="458">
        <v>2069108</v>
      </c>
      <c r="S2190" t="s">
        <v>2878</v>
      </c>
      <c r="U2190" t="s">
        <v>2879</v>
      </c>
      <c r="V2190" t="s">
        <v>376</v>
      </c>
      <c r="W2190" s="393">
        <v>7155.12</v>
      </c>
      <c r="X2190" s="393">
        <v>800.85</v>
      </c>
      <c r="Y2190" s="393">
        <v>7155.12</v>
      </c>
      <c r="Z2190" s="393">
        <v>709.28</v>
      </c>
      <c r="AA2190">
        <v>0</v>
      </c>
      <c r="AB2190" s="400">
        <v>44663.654624270835</v>
      </c>
      <c r="AC2190" t="str">
        <f>+VLOOKUP(R2190,DRAFT!A:Q,17,0)</f>
        <v>SUPPORT</v>
      </c>
    </row>
    <row r="2191" spans="1:29">
      <c r="A2191" t="s">
        <v>382</v>
      </c>
      <c r="B2191" t="s">
        <v>440</v>
      </c>
      <c r="C2191" t="s">
        <v>1272</v>
      </c>
      <c r="D2191" t="s">
        <v>2880</v>
      </c>
      <c r="E2191" t="s">
        <v>390</v>
      </c>
      <c r="F2191" t="s">
        <v>391</v>
      </c>
      <c r="G2191">
        <v>6200665</v>
      </c>
      <c r="H2191">
        <v>202203</v>
      </c>
      <c r="I2191" s="400">
        <v>44638</v>
      </c>
      <c r="J2191" t="s">
        <v>452</v>
      </c>
      <c r="K2191" t="s">
        <v>386</v>
      </c>
      <c r="M2191" t="s">
        <v>387</v>
      </c>
      <c r="O2191" t="s">
        <v>2881</v>
      </c>
      <c r="P2191" t="s">
        <v>2882</v>
      </c>
      <c r="Q2191" t="s">
        <v>450</v>
      </c>
      <c r="R2191" s="458">
        <v>2069106</v>
      </c>
      <c r="S2191" t="s">
        <v>387</v>
      </c>
      <c r="U2191" t="s">
        <v>2883</v>
      </c>
      <c r="V2191" t="s">
        <v>398</v>
      </c>
      <c r="W2191" s="393">
        <v>30600</v>
      </c>
      <c r="X2191" s="393">
        <v>8</v>
      </c>
      <c r="Y2191" s="393">
        <v>71.180000000000007</v>
      </c>
      <c r="Z2191" s="393">
        <v>30600</v>
      </c>
      <c r="AA2191">
        <v>0</v>
      </c>
      <c r="AB2191" s="400">
        <v>44643.701249421298</v>
      </c>
      <c r="AC2191" t="str">
        <f>+VLOOKUP(R2191,DRAFT!A:Q,17,0)</f>
        <v>SUPPORT</v>
      </c>
    </row>
    <row r="2192" spans="1:29">
      <c r="A2192" t="s">
        <v>382</v>
      </c>
      <c r="B2192" t="s">
        <v>440</v>
      </c>
      <c r="C2192" t="s">
        <v>1284</v>
      </c>
      <c r="D2192" t="s">
        <v>1285</v>
      </c>
      <c r="E2192" t="s">
        <v>390</v>
      </c>
      <c r="F2192" t="s">
        <v>391</v>
      </c>
      <c r="G2192">
        <v>6200289</v>
      </c>
      <c r="H2192">
        <v>202202</v>
      </c>
      <c r="I2192" s="400">
        <v>44620</v>
      </c>
      <c r="J2192" t="s">
        <v>452</v>
      </c>
      <c r="K2192" t="s">
        <v>386</v>
      </c>
      <c r="M2192" t="s">
        <v>387</v>
      </c>
      <c r="O2192" t="s">
        <v>544</v>
      </c>
      <c r="P2192" t="s">
        <v>545</v>
      </c>
      <c r="Q2192" t="s">
        <v>450</v>
      </c>
      <c r="R2192" s="458">
        <v>2069103</v>
      </c>
      <c r="S2192" t="s">
        <v>387</v>
      </c>
      <c r="U2192" t="s">
        <v>2884</v>
      </c>
      <c r="V2192" t="s">
        <v>398</v>
      </c>
      <c r="W2192" s="393">
        <v>156237</v>
      </c>
      <c r="X2192" s="393">
        <v>39.92</v>
      </c>
      <c r="Y2192" s="393">
        <v>356.66</v>
      </c>
      <c r="Z2192" s="393">
        <v>156237</v>
      </c>
      <c r="AA2192">
        <v>0</v>
      </c>
      <c r="AB2192" s="400">
        <v>44623.782029780094</v>
      </c>
      <c r="AC2192" t="str">
        <f>+VLOOKUP(R2192,DRAFT!A:Q,17,0)</f>
        <v>SUPPORT</v>
      </c>
    </row>
    <row r="2193" spans="1:29">
      <c r="A2193" t="s">
        <v>382</v>
      </c>
      <c r="B2193" t="s">
        <v>440</v>
      </c>
      <c r="C2193" t="s">
        <v>1284</v>
      </c>
      <c r="D2193" t="s">
        <v>1285</v>
      </c>
      <c r="E2193" t="s">
        <v>390</v>
      </c>
      <c r="F2193" t="s">
        <v>391</v>
      </c>
      <c r="G2193">
        <v>6200289</v>
      </c>
      <c r="H2193">
        <v>202202</v>
      </c>
      <c r="I2193" s="400">
        <v>44620</v>
      </c>
      <c r="J2193" t="s">
        <v>452</v>
      </c>
      <c r="K2193" t="s">
        <v>386</v>
      </c>
      <c r="M2193" t="s">
        <v>387</v>
      </c>
      <c r="O2193" t="s">
        <v>544</v>
      </c>
      <c r="P2193" t="s">
        <v>545</v>
      </c>
      <c r="Q2193" t="s">
        <v>450</v>
      </c>
      <c r="R2193" s="458">
        <v>2069103</v>
      </c>
      <c r="S2193" t="s">
        <v>387</v>
      </c>
      <c r="U2193" t="s">
        <v>2884</v>
      </c>
      <c r="V2193" t="s">
        <v>398</v>
      </c>
      <c r="W2193" s="393">
        <v>3049</v>
      </c>
      <c r="X2193" s="393">
        <v>0.78</v>
      </c>
      <c r="Y2193" s="393">
        <v>6.96</v>
      </c>
      <c r="Z2193" s="393">
        <v>3049</v>
      </c>
      <c r="AA2193">
        <v>0</v>
      </c>
      <c r="AB2193" s="400">
        <v>44623.78202997685</v>
      </c>
      <c r="AC2193" t="str">
        <f>+VLOOKUP(R2193,DRAFT!A:Q,17,0)</f>
        <v>SUPPORT</v>
      </c>
    </row>
    <row r="2194" spans="1:29">
      <c r="A2194" t="s">
        <v>382</v>
      </c>
      <c r="B2194" t="s">
        <v>440</v>
      </c>
      <c r="C2194" t="s">
        <v>1284</v>
      </c>
      <c r="D2194" t="s">
        <v>1285</v>
      </c>
      <c r="E2194" t="s">
        <v>390</v>
      </c>
      <c r="F2194" t="s">
        <v>391</v>
      </c>
      <c r="G2194">
        <v>6200883</v>
      </c>
      <c r="H2194">
        <v>202203</v>
      </c>
      <c r="I2194" s="400">
        <v>44651</v>
      </c>
      <c r="J2194" t="s">
        <v>452</v>
      </c>
      <c r="K2194" t="s">
        <v>386</v>
      </c>
      <c r="M2194" t="s">
        <v>387</v>
      </c>
      <c r="O2194" t="s">
        <v>2885</v>
      </c>
      <c r="P2194" t="s">
        <v>2886</v>
      </c>
      <c r="Q2194" t="s">
        <v>450</v>
      </c>
      <c r="R2194" s="458">
        <v>2069103</v>
      </c>
      <c r="S2194" t="s">
        <v>387</v>
      </c>
      <c r="U2194" t="s">
        <v>2887</v>
      </c>
      <c r="V2194" t="s">
        <v>398</v>
      </c>
      <c r="W2194" s="393">
        <v>11176</v>
      </c>
      <c r="X2194" s="393">
        <v>2.98</v>
      </c>
      <c r="Y2194" s="393">
        <v>26.02</v>
      </c>
      <c r="Z2194" s="393">
        <v>11176</v>
      </c>
      <c r="AA2194">
        <v>0</v>
      </c>
      <c r="AB2194" s="400">
        <v>44655.123406678242</v>
      </c>
      <c r="AC2194" t="str">
        <f>+VLOOKUP(R2194,DRAFT!A:Q,17,0)</f>
        <v>SUPPORT</v>
      </c>
    </row>
    <row r="2195" spans="1:29">
      <c r="A2195" t="s">
        <v>382</v>
      </c>
      <c r="B2195" t="s">
        <v>440</v>
      </c>
      <c r="C2195" t="s">
        <v>1284</v>
      </c>
      <c r="D2195" t="s">
        <v>1285</v>
      </c>
      <c r="E2195" t="s">
        <v>390</v>
      </c>
      <c r="F2195" t="s">
        <v>391</v>
      </c>
      <c r="G2195">
        <v>6200883</v>
      </c>
      <c r="H2195">
        <v>202203</v>
      </c>
      <c r="I2195" s="400">
        <v>44651</v>
      </c>
      <c r="J2195" t="s">
        <v>452</v>
      </c>
      <c r="K2195" t="s">
        <v>386</v>
      </c>
      <c r="M2195" t="s">
        <v>387</v>
      </c>
      <c r="O2195" t="s">
        <v>2885</v>
      </c>
      <c r="P2195" t="s">
        <v>2886</v>
      </c>
      <c r="Q2195" t="s">
        <v>450</v>
      </c>
      <c r="R2195" s="458">
        <v>2069103</v>
      </c>
      <c r="S2195" t="s">
        <v>387</v>
      </c>
      <c r="U2195" t="s">
        <v>2888</v>
      </c>
      <c r="V2195" t="s">
        <v>398</v>
      </c>
      <c r="W2195" s="393">
        <v>11975</v>
      </c>
      <c r="X2195" s="393">
        <v>3.19</v>
      </c>
      <c r="Y2195" s="393">
        <v>27.88</v>
      </c>
      <c r="Z2195" s="393">
        <v>11975</v>
      </c>
      <c r="AA2195">
        <v>0</v>
      </c>
      <c r="AB2195" s="400">
        <v>44655.123406678242</v>
      </c>
      <c r="AC2195" t="str">
        <f>+VLOOKUP(R2195,DRAFT!A:Q,17,0)</f>
        <v>SUPPORT</v>
      </c>
    </row>
    <row r="2196" spans="1:29">
      <c r="A2196" t="s">
        <v>382</v>
      </c>
      <c r="B2196" t="s">
        <v>440</v>
      </c>
      <c r="C2196" t="s">
        <v>1284</v>
      </c>
      <c r="D2196" t="s">
        <v>1285</v>
      </c>
      <c r="E2196" t="s">
        <v>390</v>
      </c>
      <c r="F2196" t="s">
        <v>391</v>
      </c>
      <c r="G2196">
        <v>6201012</v>
      </c>
      <c r="H2196">
        <v>202204</v>
      </c>
      <c r="I2196" s="400">
        <v>44663</v>
      </c>
      <c r="J2196" t="s">
        <v>452</v>
      </c>
      <c r="K2196" t="s">
        <v>386</v>
      </c>
      <c r="M2196" t="s">
        <v>387</v>
      </c>
      <c r="O2196" t="s">
        <v>544</v>
      </c>
      <c r="P2196" t="s">
        <v>545</v>
      </c>
      <c r="Q2196" t="s">
        <v>396</v>
      </c>
      <c r="R2196" s="458">
        <v>2265783</v>
      </c>
      <c r="S2196" t="s">
        <v>387</v>
      </c>
      <c r="U2196" t="s">
        <v>3981</v>
      </c>
      <c r="V2196" t="s">
        <v>398</v>
      </c>
      <c r="W2196" s="393">
        <v>65862</v>
      </c>
      <c r="X2196" s="393">
        <v>17.57</v>
      </c>
      <c r="Y2196" s="393">
        <v>151.84</v>
      </c>
      <c r="Z2196" s="393">
        <v>65862</v>
      </c>
      <c r="AA2196">
        <v>0</v>
      </c>
      <c r="AB2196" s="400">
        <v>44670.779356828702</v>
      </c>
      <c r="AC2196" t="str">
        <f>+VLOOKUP(R2196,DRAFT!A:Q,17,0)</f>
        <v>MAE</v>
      </c>
    </row>
    <row r="2197" spans="1:29">
      <c r="A2197" t="s">
        <v>382</v>
      </c>
      <c r="B2197" t="s">
        <v>440</v>
      </c>
      <c r="C2197" t="s">
        <v>1284</v>
      </c>
      <c r="D2197" t="s">
        <v>1285</v>
      </c>
      <c r="E2197" t="s">
        <v>390</v>
      </c>
      <c r="F2197" t="s">
        <v>391</v>
      </c>
      <c r="G2197">
        <v>6201012</v>
      </c>
      <c r="H2197">
        <v>202204</v>
      </c>
      <c r="I2197" s="400">
        <v>44663</v>
      </c>
      <c r="J2197" t="s">
        <v>452</v>
      </c>
      <c r="K2197" t="s">
        <v>386</v>
      </c>
      <c r="M2197" t="s">
        <v>387</v>
      </c>
      <c r="O2197" t="s">
        <v>544</v>
      </c>
      <c r="P2197" t="s">
        <v>545</v>
      </c>
      <c r="Q2197" t="s">
        <v>396</v>
      </c>
      <c r="R2197" s="458">
        <v>2265779</v>
      </c>
      <c r="S2197" t="s">
        <v>387</v>
      </c>
      <c r="U2197" t="s">
        <v>3980</v>
      </c>
      <c r="V2197" t="s">
        <v>398</v>
      </c>
      <c r="W2197" s="393">
        <v>8322</v>
      </c>
      <c r="X2197" s="393">
        <v>2.2200000000000002</v>
      </c>
      <c r="Y2197" s="393">
        <v>19.190000000000001</v>
      </c>
      <c r="Z2197" s="393">
        <v>8322</v>
      </c>
      <c r="AA2197">
        <v>0</v>
      </c>
      <c r="AB2197" s="400">
        <v>44670.779357025465</v>
      </c>
      <c r="AC2197" t="str">
        <f>+VLOOKUP(R2197,DRAFT!A:Q,17,0)</f>
        <v>MAE</v>
      </c>
    </row>
    <row r="2198" spans="1:29">
      <c r="A2198" t="s">
        <v>382</v>
      </c>
      <c r="B2198" t="s">
        <v>440</v>
      </c>
      <c r="C2198" t="s">
        <v>1284</v>
      </c>
      <c r="D2198" t="s">
        <v>1285</v>
      </c>
      <c r="E2198" t="s">
        <v>390</v>
      </c>
      <c r="F2198" t="s">
        <v>391</v>
      </c>
      <c r="G2198">
        <v>6201179</v>
      </c>
      <c r="H2198">
        <v>202204</v>
      </c>
      <c r="I2198" s="400">
        <v>44672</v>
      </c>
      <c r="J2198" t="s">
        <v>452</v>
      </c>
      <c r="K2198" t="s">
        <v>386</v>
      </c>
      <c r="M2198" t="s">
        <v>387</v>
      </c>
      <c r="O2198" t="s">
        <v>544</v>
      </c>
      <c r="P2198" t="s">
        <v>545</v>
      </c>
      <c r="Q2198" t="s">
        <v>396</v>
      </c>
      <c r="R2198" s="458">
        <v>2265779</v>
      </c>
      <c r="S2198" t="s">
        <v>387</v>
      </c>
      <c r="U2198" t="s">
        <v>3946</v>
      </c>
      <c r="V2198" t="s">
        <v>398</v>
      </c>
      <c r="W2198" s="393">
        <v>-8322</v>
      </c>
      <c r="X2198" s="393">
        <v>-2.2200000000000002</v>
      </c>
      <c r="Y2198" s="393">
        <v>-19.190000000000001</v>
      </c>
      <c r="Z2198" s="393">
        <v>-8322</v>
      </c>
      <c r="AA2198">
        <v>0</v>
      </c>
      <c r="AB2198" s="400">
        <v>44674.709575034722</v>
      </c>
      <c r="AC2198" t="str">
        <f>+VLOOKUP(R2198,DRAFT!A:Q,17,0)</f>
        <v>MAE</v>
      </c>
    </row>
    <row r="2199" spans="1:29">
      <c r="A2199" t="s">
        <v>382</v>
      </c>
      <c r="B2199" t="s">
        <v>440</v>
      </c>
      <c r="C2199" t="s">
        <v>1284</v>
      </c>
      <c r="D2199" t="s">
        <v>1285</v>
      </c>
      <c r="E2199" t="s">
        <v>390</v>
      </c>
      <c r="F2199" t="s">
        <v>391</v>
      </c>
      <c r="G2199">
        <v>6201179</v>
      </c>
      <c r="H2199">
        <v>202204</v>
      </c>
      <c r="I2199" s="400">
        <v>44672</v>
      </c>
      <c r="J2199" t="s">
        <v>452</v>
      </c>
      <c r="K2199" t="s">
        <v>386</v>
      </c>
      <c r="M2199" t="s">
        <v>387</v>
      </c>
      <c r="O2199" t="s">
        <v>544</v>
      </c>
      <c r="P2199" t="s">
        <v>545</v>
      </c>
      <c r="Q2199" t="s">
        <v>396</v>
      </c>
      <c r="R2199" s="458">
        <v>2265783</v>
      </c>
      <c r="S2199" t="s">
        <v>387</v>
      </c>
      <c r="U2199" t="s">
        <v>3945</v>
      </c>
      <c r="V2199" t="s">
        <v>398</v>
      </c>
      <c r="W2199" s="393">
        <v>-65862</v>
      </c>
      <c r="X2199" s="393">
        <v>-17.57</v>
      </c>
      <c r="Y2199" s="393">
        <v>-151.84</v>
      </c>
      <c r="Z2199" s="393">
        <v>-65862</v>
      </c>
      <c r="AA2199">
        <v>0</v>
      </c>
      <c r="AB2199" s="400">
        <v>44674.709575034722</v>
      </c>
      <c r="AC2199" t="str">
        <f>+VLOOKUP(R2199,DRAFT!A:Q,17,0)</f>
        <v>MAE</v>
      </c>
    </row>
    <row r="2200" spans="1:29">
      <c r="A2200" t="s">
        <v>382</v>
      </c>
      <c r="B2200" t="s">
        <v>440</v>
      </c>
      <c r="C2200" t="s">
        <v>1284</v>
      </c>
      <c r="D2200" t="s">
        <v>2341</v>
      </c>
      <c r="E2200" t="s">
        <v>390</v>
      </c>
      <c r="F2200" t="s">
        <v>391</v>
      </c>
      <c r="G2200">
        <v>6200070</v>
      </c>
      <c r="H2200">
        <v>202201</v>
      </c>
      <c r="I2200" s="400">
        <v>44582</v>
      </c>
      <c r="J2200" t="s">
        <v>1016</v>
      </c>
      <c r="K2200" t="s">
        <v>386</v>
      </c>
      <c r="M2200" t="s">
        <v>387</v>
      </c>
      <c r="O2200" t="s">
        <v>2342</v>
      </c>
      <c r="P2200" t="s">
        <v>2343</v>
      </c>
      <c r="Q2200" t="s">
        <v>450</v>
      </c>
      <c r="R2200" s="458">
        <v>2069103</v>
      </c>
      <c r="S2200" t="s">
        <v>387</v>
      </c>
      <c r="U2200" t="s">
        <v>2889</v>
      </c>
      <c r="V2200" t="s">
        <v>398</v>
      </c>
      <c r="W2200" s="393">
        <v>117600</v>
      </c>
      <c r="X2200" s="393">
        <v>29.37</v>
      </c>
      <c r="Y2200" s="393">
        <v>258.49</v>
      </c>
      <c r="Z2200" s="393">
        <v>117600</v>
      </c>
      <c r="AA2200">
        <v>0</v>
      </c>
      <c r="AB2200" s="400">
        <v>44595.893650925929</v>
      </c>
      <c r="AC2200" t="str">
        <f>+VLOOKUP(R2200,DRAFT!A:Q,17,0)</f>
        <v>SUPPORT</v>
      </c>
    </row>
    <row r="2201" spans="1:29">
      <c r="A2201" t="s">
        <v>382</v>
      </c>
      <c r="B2201" t="s">
        <v>440</v>
      </c>
      <c r="C2201" t="s">
        <v>1284</v>
      </c>
      <c r="D2201" t="s">
        <v>2341</v>
      </c>
      <c r="E2201" t="s">
        <v>390</v>
      </c>
      <c r="F2201" t="s">
        <v>391</v>
      </c>
      <c r="G2201">
        <v>6200070</v>
      </c>
      <c r="H2201">
        <v>202201</v>
      </c>
      <c r="I2201" s="400">
        <v>44582</v>
      </c>
      <c r="J2201" t="s">
        <v>1016</v>
      </c>
      <c r="K2201" t="s">
        <v>386</v>
      </c>
      <c r="M2201" t="s">
        <v>387</v>
      </c>
      <c r="O2201" t="s">
        <v>2342</v>
      </c>
      <c r="P2201" t="s">
        <v>2343</v>
      </c>
      <c r="Q2201" t="s">
        <v>450</v>
      </c>
      <c r="R2201" s="458">
        <v>2069103</v>
      </c>
      <c r="S2201" t="s">
        <v>387</v>
      </c>
      <c r="U2201" t="s">
        <v>2890</v>
      </c>
      <c r="V2201" t="s">
        <v>398</v>
      </c>
      <c r="W2201" s="393">
        <v>73600</v>
      </c>
      <c r="X2201" s="393">
        <v>18.38</v>
      </c>
      <c r="Y2201" s="393">
        <v>161.78</v>
      </c>
      <c r="Z2201" s="393">
        <v>73600</v>
      </c>
      <c r="AA2201">
        <v>0</v>
      </c>
      <c r="AB2201" s="400">
        <v>44595.893650925929</v>
      </c>
      <c r="AC2201" t="str">
        <f>+VLOOKUP(R2201,DRAFT!A:Q,17,0)</f>
        <v>SUPPORT</v>
      </c>
    </row>
    <row r="2202" spans="1:29">
      <c r="A2202" t="s">
        <v>382</v>
      </c>
      <c r="B2202" t="s">
        <v>440</v>
      </c>
      <c r="C2202" t="s">
        <v>1284</v>
      </c>
      <c r="D2202" t="s">
        <v>2341</v>
      </c>
      <c r="E2202" t="s">
        <v>390</v>
      </c>
      <c r="F2202" t="s">
        <v>391</v>
      </c>
      <c r="G2202">
        <v>6200289</v>
      </c>
      <c r="H2202">
        <v>202202</v>
      </c>
      <c r="I2202" s="400">
        <v>44620</v>
      </c>
      <c r="J2202" t="s">
        <v>452</v>
      </c>
      <c r="K2202" t="s">
        <v>386</v>
      </c>
      <c r="M2202" t="s">
        <v>387</v>
      </c>
      <c r="O2202" t="s">
        <v>544</v>
      </c>
      <c r="P2202" t="s">
        <v>545</v>
      </c>
      <c r="Q2202" t="s">
        <v>450</v>
      </c>
      <c r="R2202" s="458">
        <v>2069103</v>
      </c>
      <c r="S2202" t="s">
        <v>387</v>
      </c>
      <c r="U2202" t="s">
        <v>2884</v>
      </c>
      <c r="V2202" t="s">
        <v>398</v>
      </c>
      <c r="W2202" s="393">
        <v>822300</v>
      </c>
      <c r="X2202" s="393">
        <v>210.11</v>
      </c>
      <c r="Y2202" s="393">
        <v>1877.17</v>
      </c>
      <c r="Z2202" s="393">
        <v>822300</v>
      </c>
      <c r="AA2202">
        <v>43</v>
      </c>
      <c r="AB2202" s="400">
        <v>44623.782028703703</v>
      </c>
      <c r="AC2202" t="str">
        <f>+VLOOKUP(R2202,DRAFT!A:Q,17,0)</f>
        <v>SUPPORT</v>
      </c>
    </row>
    <row r="2203" spans="1:29">
      <c r="A2203" t="s">
        <v>382</v>
      </c>
      <c r="B2203" t="s">
        <v>440</v>
      </c>
      <c r="C2203" t="s">
        <v>1284</v>
      </c>
      <c r="D2203" t="s">
        <v>2341</v>
      </c>
      <c r="E2203" t="s">
        <v>390</v>
      </c>
      <c r="F2203" t="s">
        <v>391</v>
      </c>
      <c r="G2203">
        <v>6200289</v>
      </c>
      <c r="H2203">
        <v>202202</v>
      </c>
      <c r="I2203" s="400">
        <v>44620</v>
      </c>
      <c r="J2203" t="s">
        <v>452</v>
      </c>
      <c r="K2203" t="s">
        <v>386</v>
      </c>
      <c r="M2203" t="s">
        <v>387</v>
      </c>
      <c r="O2203" t="s">
        <v>544</v>
      </c>
      <c r="P2203" t="s">
        <v>545</v>
      </c>
      <c r="Q2203" t="s">
        <v>450</v>
      </c>
      <c r="R2203" s="458">
        <v>2069103</v>
      </c>
      <c r="S2203" t="s">
        <v>387</v>
      </c>
      <c r="U2203" t="s">
        <v>2884</v>
      </c>
      <c r="V2203" t="s">
        <v>398</v>
      </c>
      <c r="W2203" s="393">
        <v>60973</v>
      </c>
      <c r="X2203" s="393">
        <v>15.58</v>
      </c>
      <c r="Y2203" s="393">
        <v>139.19</v>
      </c>
      <c r="Z2203" s="393">
        <v>60973</v>
      </c>
      <c r="AA2203">
        <v>43</v>
      </c>
      <c r="AB2203" s="400">
        <v>44623.782028900459</v>
      </c>
      <c r="AC2203" t="str">
        <f>+VLOOKUP(R2203,DRAFT!A:Q,17,0)</f>
        <v>SUPPORT</v>
      </c>
    </row>
    <row r="2204" spans="1:29">
      <c r="A2204" t="s">
        <v>382</v>
      </c>
      <c r="B2204" t="s">
        <v>440</v>
      </c>
      <c r="C2204" t="s">
        <v>1284</v>
      </c>
      <c r="D2204" t="s">
        <v>1308</v>
      </c>
      <c r="E2204" t="s">
        <v>390</v>
      </c>
      <c r="F2204" t="s">
        <v>391</v>
      </c>
      <c r="G2204">
        <v>6200072</v>
      </c>
      <c r="H2204">
        <v>202201</v>
      </c>
      <c r="I2204" s="400">
        <v>44592</v>
      </c>
      <c r="J2204" t="s">
        <v>452</v>
      </c>
      <c r="K2204" t="s">
        <v>386</v>
      </c>
      <c r="M2204" t="s">
        <v>387</v>
      </c>
      <c r="O2204" t="s">
        <v>2891</v>
      </c>
      <c r="P2204" t="s">
        <v>2892</v>
      </c>
      <c r="Q2204" t="s">
        <v>450</v>
      </c>
      <c r="R2204" s="458">
        <v>2069103</v>
      </c>
      <c r="S2204" t="s">
        <v>2893</v>
      </c>
      <c r="U2204" t="s">
        <v>2894</v>
      </c>
      <c r="V2204" t="s">
        <v>398</v>
      </c>
      <c r="W2204" s="393">
        <v>117000</v>
      </c>
      <c r="X2204" s="393">
        <v>29.22</v>
      </c>
      <c r="Y2204" s="393">
        <v>260.25</v>
      </c>
      <c r="Z2204" s="393">
        <v>117000</v>
      </c>
      <c r="AA2204">
        <v>0</v>
      </c>
      <c r="AB2204" s="400">
        <v>44596.004851423611</v>
      </c>
      <c r="AC2204" t="str">
        <f>+VLOOKUP(R2204,DRAFT!A:Q,17,0)</f>
        <v>SUPPORT</v>
      </c>
    </row>
    <row r="2205" spans="1:29">
      <c r="A2205" t="s">
        <v>382</v>
      </c>
      <c r="B2205" t="s">
        <v>440</v>
      </c>
      <c r="C2205" t="s">
        <v>1284</v>
      </c>
      <c r="D2205" t="s">
        <v>1308</v>
      </c>
      <c r="E2205" t="s">
        <v>390</v>
      </c>
      <c r="F2205" t="s">
        <v>391</v>
      </c>
      <c r="G2205">
        <v>6200067</v>
      </c>
      <c r="H2205">
        <v>202201</v>
      </c>
      <c r="I2205" s="400">
        <v>44575</v>
      </c>
      <c r="J2205" t="s">
        <v>1016</v>
      </c>
      <c r="K2205" t="s">
        <v>386</v>
      </c>
      <c r="M2205" t="s">
        <v>387</v>
      </c>
      <c r="O2205" t="s">
        <v>2895</v>
      </c>
      <c r="P2205" t="s">
        <v>2896</v>
      </c>
      <c r="Q2205" t="s">
        <v>450</v>
      </c>
      <c r="R2205" s="458">
        <v>2069103</v>
      </c>
      <c r="S2205" t="s">
        <v>387</v>
      </c>
      <c r="U2205" t="s">
        <v>2897</v>
      </c>
      <c r="V2205" t="s">
        <v>398</v>
      </c>
      <c r="W2205" s="393">
        <v>135000</v>
      </c>
      <c r="X2205" s="393">
        <v>34</v>
      </c>
      <c r="Y2205" s="393">
        <v>298.93</v>
      </c>
      <c r="Z2205" s="393">
        <v>135000</v>
      </c>
      <c r="AA2205">
        <v>0</v>
      </c>
      <c r="AB2205" s="400">
        <v>44595.840211423609</v>
      </c>
      <c r="AC2205" t="str">
        <f>+VLOOKUP(R2205,DRAFT!A:Q,17,0)</f>
        <v>SUPPORT</v>
      </c>
    </row>
    <row r="2206" spans="1:29">
      <c r="A2206" t="s">
        <v>382</v>
      </c>
      <c r="B2206" t="s">
        <v>440</v>
      </c>
      <c r="C2206" t="s">
        <v>1284</v>
      </c>
      <c r="D2206" t="s">
        <v>1308</v>
      </c>
      <c r="E2206" t="s">
        <v>390</v>
      </c>
      <c r="F2206" t="s">
        <v>391</v>
      </c>
      <c r="G2206">
        <v>6200640</v>
      </c>
      <c r="H2206">
        <v>202203</v>
      </c>
      <c r="I2206" s="400">
        <v>44638</v>
      </c>
      <c r="J2206">
        <v>122536</v>
      </c>
      <c r="K2206" t="s">
        <v>386</v>
      </c>
      <c r="M2206" t="s">
        <v>387</v>
      </c>
      <c r="O2206" t="s">
        <v>2898</v>
      </c>
      <c r="P2206" t="s">
        <v>2899</v>
      </c>
      <c r="Q2206" t="s">
        <v>450</v>
      </c>
      <c r="R2206" s="458">
        <v>2069103</v>
      </c>
      <c r="S2206" t="s">
        <v>387</v>
      </c>
      <c r="U2206" t="s">
        <v>2900</v>
      </c>
      <c r="V2206" t="s">
        <v>398</v>
      </c>
      <c r="W2206" s="393">
        <v>100000</v>
      </c>
      <c r="X2206" s="393">
        <v>26.13</v>
      </c>
      <c r="Y2206" s="393">
        <v>232.6</v>
      </c>
      <c r="Z2206" s="393">
        <v>100000</v>
      </c>
      <c r="AA2206">
        <v>0</v>
      </c>
      <c r="AB2206" s="400">
        <v>44642.946594791669</v>
      </c>
      <c r="AC2206" t="str">
        <f>+VLOOKUP(R2206,DRAFT!A:Q,17,0)</f>
        <v>SUPPORT</v>
      </c>
    </row>
    <row r="2207" spans="1:29">
      <c r="A2207" t="s">
        <v>382</v>
      </c>
      <c r="B2207" t="s">
        <v>440</v>
      </c>
      <c r="C2207" t="s">
        <v>1284</v>
      </c>
      <c r="D2207" t="s">
        <v>1308</v>
      </c>
      <c r="E2207" t="s">
        <v>390</v>
      </c>
      <c r="F2207" t="s">
        <v>391</v>
      </c>
      <c r="G2207">
        <v>6200883</v>
      </c>
      <c r="H2207">
        <v>202203</v>
      </c>
      <c r="I2207" s="400">
        <v>44651</v>
      </c>
      <c r="J2207" t="s">
        <v>452</v>
      </c>
      <c r="K2207" t="s">
        <v>386</v>
      </c>
      <c r="M2207" t="s">
        <v>387</v>
      </c>
      <c r="O2207" t="s">
        <v>2885</v>
      </c>
      <c r="P2207" t="s">
        <v>2886</v>
      </c>
      <c r="Q2207" t="s">
        <v>450</v>
      </c>
      <c r="R2207" s="458">
        <v>2069103</v>
      </c>
      <c r="S2207" t="s">
        <v>387</v>
      </c>
      <c r="U2207" t="s">
        <v>2887</v>
      </c>
      <c r="V2207" t="s">
        <v>398</v>
      </c>
      <c r="W2207" s="393">
        <v>58824</v>
      </c>
      <c r="X2207" s="393">
        <v>15.66</v>
      </c>
      <c r="Y2207" s="393">
        <v>136.96</v>
      </c>
      <c r="Z2207" s="393">
        <v>58824</v>
      </c>
      <c r="AA2207">
        <v>192</v>
      </c>
      <c r="AB2207" s="400">
        <v>44655.123406481478</v>
      </c>
      <c r="AC2207" t="str">
        <f>+VLOOKUP(R2207,DRAFT!A:Q,17,0)</f>
        <v>SUPPORT</v>
      </c>
    </row>
    <row r="2208" spans="1:29">
      <c r="A2208" t="s">
        <v>382</v>
      </c>
      <c r="B2208" t="s">
        <v>440</v>
      </c>
      <c r="C2208" t="s">
        <v>1284</v>
      </c>
      <c r="D2208" t="s">
        <v>1308</v>
      </c>
      <c r="E2208" t="s">
        <v>390</v>
      </c>
      <c r="F2208" t="s">
        <v>391</v>
      </c>
      <c r="G2208">
        <v>6200883</v>
      </c>
      <c r="H2208">
        <v>202203</v>
      </c>
      <c r="I2208" s="400">
        <v>44651</v>
      </c>
      <c r="J2208" t="s">
        <v>452</v>
      </c>
      <c r="K2208" t="s">
        <v>386</v>
      </c>
      <c r="M2208" t="s">
        <v>387</v>
      </c>
      <c r="O2208" t="s">
        <v>2885</v>
      </c>
      <c r="P2208" t="s">
        <v>2886</v>
      </c>
      <c r="Q2208" t="s">
        <v>450</v>
      </c>
      <c r="R2208" s="458">
        <v>2069103</v>
      </c>
      <c r="S2208" t="s">
        <v>387</v>
      </c>
      <c r="U2208" t="s">
        <v>2888</v>
      </c>
      <c r="V2208" t="s">
        <v>398</v>
      </c>
      <c r="W2208" s="393">
        <v>63025</v>
      </c>
      <c r="X2208" s="393">
        <v>16.78</v>
      </c>
      <c r="Y2208" s="393">
        <v>146.74</v>
      </c>
      <c r="Z2208" s="393">
        <v>63025</v>
      </c>
      <c r="AA2208">
        <v>192</v>
      </c>
      <c r="AB2208" s="400">
        <v>44655.123406678242</v>
      </c>
      <c r="AC2208" t="str">
        <f>+VLOOKUP(R2208,DRAFT!A:Q,17,0)</f>
        <v>SUPPORT</v>
      </c>
    </row>
    <row r="2209" spans="1:29">
      <c r="A2209" t="s">
        <v>382</v>
      </c>
      <c r="B2209" t="s">
        <v>440</v>
      </c>
      <c r="C2209" t="s">
        <v>1309</v>
      </c>
      <c r="D2209" t="s">
        <v>2901</v>
      </c>
      <c r="E2209" t="s">
        <v>390</v>
      </c>
      <c r="F2209" t="s">
        <v>391</v>
      </c>
      <c r="G2209">
        <v>6200587</v>
      </c>
      <c r="H2209">
        <v>202203</v>
      </c>
      <c r="I2209" s="400">
        <v>44634</v>
      </c>
      <c r="J2209" t="s">
        <v>452</v>
      </c>
      <c r="K2209" t="s">
        <v>386</v>
      </c>
      <c r="M2209" t="s">
        <v>387</v>
      </c>
      <c r="O2209" t="s">
        <v>1108</v>
      </c>
      <c r="P2209" t="s">
        <v>1109</v>
      </c>
      <c r="Q2209" t="s">
        <v>450</v>
      </c>
      <c r="R2209" s="458">
        <v>2069101</v>
      </c>
      <c r="S2209" t="s">
        <v>387</v>
      </c>
      <c r="U2209" t="s">
        <v>2902</v>
      </c>
      <c r="V2209" t="s">
        <v>398</v>
      </c>
      <c r="W2209" s="393">
        <v>7378</v>
      </c>
      <c r="X2209" s="393">
        <v>1.89</v>
      </c>
      <c r="Y2209" s="393">
        <v>16.84</v>
      </c>
      <c r="Z2209" s="393">
        <v>7378</v>
      </c>
      <c r="AA2209">
        <v>0</v>
      </c>
      <c r="AB2209" s="400">
        <v>44637.864390358794</v>
      </c>
      <c r="AC2209" t="str">
        <f>+VLOOKUP(R2209,DRAFT!A:Q,17,0)</f>
        <v>SUPPORT</v>
      </c>
    </row>
    <row r="2210" spans="1:29">
      <c r="A2210" t="s">
        <v>382</v>
      </c>
      <c r="B2210" t="s">
        <v>440</v>
      </c>
      <c r="C2210" t="s">
        <v>1309</v>
      </c>
      <c r="D2210" t="s">
        <v>1317</v>
      </c>
      <c r="E2210" t="s">
        <v>390</v>
      </c>
      <c r="F2210" t="s">
        <v>391</v>
      </c>
      <c r="G2210">
        <v>6200587</v>
      </c>
      <c r="H2210">
        <v>202203</v>
      </c>
      <c r="I2210" s="400">
        <v>44634</v>
      </c>
      <c r="J2210" t="s">
        <v>452</v>
      </c>
      <c r="K2210" t="s">
        <v>386</v>
      </c>
      <c r="M2210" t="s">
        <v>387</v>
      </c>
      <c r="O2210" t="s">
        <v>1108</v>
      </c>
      <c r="P2210" t="s">
        <v>1109</v>
      </c>
      <c r="Q2210" t="s">
        <v>450</v>
      </c>
      <c r="R2210" s="458">
        <v>2069101</v>
      </c>
      <c r="S2210" t="s">
        <v>387</v>
      </c>
      <c r="U2210" t="s">
        <v>2902</v>
      </c>
      <c r="V2210" t="s">
        <v>398</v>
      </c>
      <c r="W2210" s="393">
        <v>92222</v>
      </c>
      <c r="X2210" s="393">
        <v>23.56</v>
      </c>
      <c r="Y2210" s="393">
        <v>210.53</v>
      </c>
      <c r="Z2210" s="393">
        <v>92222</v>
      </c>
      <c r="AA2210">
        <v>210</v>
      </c>
      <c r="AB2210" s="400">
        <v>44637.864390358794</v>
      </c>
      <c r="AC2210" t="str">
        <f>+VLOOKUP(R2210,DRAFT!A:Q,17,0)</f>
        <v>SUPPORT</v>
      </c>
    </row>
    <row r="2211" spans="1:29">
      <c r="A2211" t="s">
        <v>382</v>
      </c>
      <c r="B2211" t="s">
        <v>440</v>
      </c>
      <c r="C2211" t="s">
        <v>1326</v>
      </c>
      <c r="D2211" t="s">
        <v>1327</v>
      </c>
      <c r="E2211" t="s">
        <v>390</v>
      </c>
      <c r="F2211" t="s">
        <v>391</v>
      </c>
      <c r="G2211">
        <v>6200446</v>
      </c>
      <c r="H2211">
        <v>202202</v>
      </c>
      <c r="I2211" s="400">
        <v>44620</v>
      </c>
      <c r="J2211">
        <v>122536</v>
      </c>
      <c r="K2211" t="s">
        <v>386</v>
      </c>
      <c r="M2211" t="s">
        <v>387</v>
      </c>
      <c r="O2211" t="s">
        <v>1328</v>
      </c>
      <c r="P2211" t="s">
        <v>1329</v>
      </c>
      <c r="Q2211" t="s">
        <v>450</v>
      </c>
      <c r="R2211" s="458">
        <v>2069099</v>
      </c>
      <c r="S2211" t="s">
        <v>387</v>
      </c>
      <c r="U2211" t="s">
        <v>2903</v>
      </c>
      <c r="V2211" t="s">
        <v>398</v>
      </c>
      <c r="W2211" s="393">
        <v>401516</v>
      </c>
      <c r="X2211" s="393">
        <v>102.59</v>
      </c>
      <c r="Y2211" s="393">
        <v>916.59</v>
      </c>
      <c r="Z2211" s="393">
        <v>401516</v>
      </c>
      <c r="AA2211">
        <v>0</v>
      </c>
      <c r="AB2211" s="400">
        <v>44627.969152314814</v>
      </c>
      <c r="AC2211" t="str">
        <f>+VLOOKUP(R2211,DRAFT!A:Q,17,0)</f>
        <v>SUPPORT</v>
      </c>
    </row>
    <row r="2212" spans="1:29">
      <c r="A2212" t="s">
        <v>382</v>
      </c>
      <c r="B2212" t="s">
        <v>440</v>
      </c>
      <c r="C2212" t="s">
        <v>1326</v>
      </c>
      <c r="D2212" t="s">
        <v>1337</v>
      </c>
      <c r="E2212" t="s">
        <v>390</v>
      </c>
      <c r="F2212" t="s">
        <v>391</v>
      </c>
      <c r="G2212">
        <v>6200090</v>
      </c>
      <c r="H2212">
        <v>202201</v>
      </c>
      <c r="I2212" s="400">
        <v>44592</v>
      </c>
      <c r="J2212">
        <v>127949</v>
      </c>
      <c r="K2212" t="s">
        <v>386</v>
      </c>
      <c r="M2212" t="s">
        <v>387</v>
      </c>
      <c r="O2212" t="s">
        <v>1328</v>
      </c>
      <c r="P2212" t="s">
        <v>1329</v>
      </c>
      <c r="Q2212" t="s">
        <v>450</v>
      </c>
      <c r="R2212" s="458">
        <v>2069099</v>
      </c>
      <c r="S2212" t="s">
        <v>387</v>
      </c>
      <c r="U2212" t="s">
        <v>2904</v>
      </c>
      <c r="V2212" t="s">
        <v>398</v>
      </c>
      <c r="W2212" s="393">
        <v>2394131.56</v>
      </c>
      <c r="X2212" s="393">
        <v>597.92999999999995</v>
      </c>
      <c r="Y2212" s="393">
        <v>5325.31</v>
      </c>
      <c r="Z2212" s="393">
        <v>2394131.56</v>
      </c>
      <c r="AA2212">
        <v>0</v>
      </c>
      <c r="AB2212" s="400">
        <v>44598.846128206016</v>
      </c>
      <c r="AC2212" t="str">
        <f>+VLOOKUP(R2212,DRAFT!A:Q,17,0)</f>
        <v>SUPPORT</v>
      </c>
    </row>
    <row r="2213" spans="1:29">
      <c r="A2213" t="s">
        <v>382</v>
      </c>
      <c r="B2213" t="s">
        <v>440</v>
      </c>
      <c r="C2213" t="s">
        <v>1326</v>
      </c>
      <c r="D2213" t="s">
        <v>1337</v>
      </c>
      <c r="E2213" t="s">
        <v>390</v>
      </c>
      <c r="F2213" t="s">
        <v>391</v>
      </c>
      <c r="G2213">
        <v>6200446</v>
      </c>
      <c r="H2213">
        <v>202202</v>
      </c>
      <c r="I2213" s="400">
        <v>44620</v>
      </c>
      <c r="J2213">
        <v>122536</v>
      </c>
      <c r="K2213" t="s">
        <v>386</v>
      </c>
      <c r="M2213" t="s">
        <v>387</v>
      </c>
      <c r="O2213" t="s">
        <v>1328</v>
      </c>
      <c r="P2213" t="s">
        <v>1329</v>
      </c>
      <c r="Q2213" t="s">
        <v>450</v>
      </c>
      <c r="R2213" s="458">
        <v>2069099</v>
      </c>
      <c r="S2213" t="s">
        <v>387</v>
      </c>
      <c r="U2213" t="s">
        <v>2903</v>
      </c>
      <c r="V2213" t="s">
        <v>398</v>
      </c>
      <c r="W2213" s="393">
        <v>193257</v>
      </c>
      <c r="X2213" s="393">
        <v>49.38</v>
      </c>
      <c r="Y2213" s="393">
        <v>441.17</v>
      </c>
      <c r="Z2213" s="393">
        <v>193257</v>
      </c>
      <c r="AA2213">
        <v>196</v>
      </c>
      <c r="AB2213" s="400">
        <v>44627.96915193287</v>
      </c>
      <c r="AC2213" t="str">
        <f>+VLOOKUP(R2213,DRAFT!A:Q,17,0)</f>
        <v>SUPPORT</v>
      </c>
    </row>
    <row r="2214" spans="1:29">
      <c r="A2214" t="s">
        <v>381</v>
      </c>
      <c r="B2214" t="s">
        <v>382</v>
      </c>
      <c r="C2214" t="s">
        <v>1338</v>
      </c>
      <c r="D2214" t="s">
        <v>1338</v>
      </c>
      <c r="E2214" t="s">
        <v>383</v>
      </c>
      <c r="F2214" t="s">
        <v>384</v>
      </c>
      <c r="G2214">
        <v>12010426</v>
      </c>
      <c r="H2214">
        <v>202203</v>
      </c>
      <c r="I2214" s="400">
        <v>44651</v>
      </c>
      <c r="J2214">
        <v>122537</v>
      </c>
      <c r="K2214" t="s">
        <v>386</v>
      </c>
      <c r="M2214" t="s">
        <v>387</v>
      </c>
      <c r="O2214" t="s">
        <v>387</v>
      </c>
      <c r="P2214" t="s">
        <v>387</v>
      </c>
      <c r="Q2214" t="s">
        <v>450</v>
      </c>
      <c r="R2214" s="458">
        <v>2069097</v>
      </c>
      <c r="S2214" t="s">
        <v>2905</v>
      </c>
      <c r="U2214" t="s">
        <v>2906</v>
      </c>
      <c r="V2214" t="s">
        <v>376</v>
      </c>
      <c r="W2214" s="393">
        <v>597.4</v>
      </c>
      <c r="X2214" s="393">
        <v>66.87</v>
      </c>
      <c r="Y2214" s="393">
        <v>597.4</v>
      </c>
      <c r="Z2214" s="393">
        <v>59.22</v>
      </c>
      <c r="AA2214">
        <v>0</v>
      </c>
      <c r="AB2214" s="400">
        <v>44669.981677581018</v>
      </c>
      <c r="AC2214" t="str">
        <f>+VLOOKUP(R2214,DRAFT!A:Q,17,0)</f>
        <v>SUPPORT</v>
      </c>
    </row>
    <row r="2215" spans="1:29">
      <c r="A2215" t="s">
        <v>381</v>
      </c>
      <c r="B2215" t="s">
        <v>382</v>
      </c>
      <c r="C2215" t="s">
        <v>1338</v>
      </c>
      <c r="D2215" t="s">
        <v>1338</v>
      </c>
      <c r="E2215" t="s">
        <v>383</v>
      </c>
      <c r="F2215" t="s">
        <v>384</v>
      </c>
      <c r="G2215">
        <v>12010425</v>
      </c>
      <c r="H2215">
        <v>202203</v>
      </c>
      <c r="I2215" s="400">
        <v>44651</v>
      </c>
      <c r="J2215">
        <v>122537</v>
      </c>
      <c r="K2215" t="s">
        <v>386</v>
      </c>
      <c r="M2215" t="s">
        <v>387</v>
      </c>
      <c r="O2215" t="s">
        <v>387</v>
      </c>
      <c r="P2215" t="s">
        <v>387</v>
      </c>
      <c r="Q2215" t="s">
        <v>450</v>
      </c>
      <c r="R2215" s="458">
        <v>2069097</v>
      </c>
      <c r="S2215" t="s">
        <v>2907</v>
      </c>
      <c r="U2215" t="s">
        <v>2908</v>
      </c>
      <c r="V2215" t="s">
        <v>376</v>
      </c>
      <c r="W2215" s="393">
        <v>575.28</v>
      </c>
      <c r="X2215" s="393">
        <v>64.39</v>
      </c>
      <c r="Y2215" s="393">
        <v>575.28</v>
      </c>
      <c r="Z2215" s="393">
        <v>57.03</v>
      </c>
      <c r="AA2215">
        <v>0</v>
      </c>
      <c r="AB2215" s="400">
        <v>44669.963937766202</v>
      </c>
      <c r="AC2215" t="str">
        <f>+VLOOKUP(R2215,DRAFT!A:Q,17,0)</f>
        <v>SUPPORT</v>
      </c>
    </row>
    <row r="2216" spans="1:29">
      <c r="A2216" t="s">
        <v>381</v>
      </c>
      <c r="B2216" t="s">
        <v>382</v>
      </c>
      <c r="C2216" t="s">
        <v>1338</v>
      </c>
      <c r="D2216" t="s">
        <v>1338</v>
      </c>
      <c r="E2216" t="s">
        <v>383</v>
      </c>
      <c r="F2216" t="s">
        <v>384</v>
      </c>
      <c r="G2216">
        <v>12010425</v>
      </c>
      <c r="H2216">
        <v>202203</v>
      </c>
      <c r="I2216" s="400">
        <v>44651</v>
      </c>
      <c r="J2216">
        <v>122537</v>
      </c>
      <c r="K2216" t="s">
        <v>386</v>
      </c>
      <c r="M2216" t="s">
        <v>387</v>
      </c>
      <c r="O2216" t="s">
        <v>387</v>
      </c>
      <c r="P2216" t="s">
        <v>387</v>
      </c>
      <c r="Q2216" t="s">
        <v>450</v>
      </c>
      <c r="R2216" s="458">
        <v>2069097</v>
      </c>
      <c r="S2216" t="s">
        <v>2907</v>
      </c>
      <c r="U2216" t="s">
        <v>2909</v>
      </c>
      <c r="V2216" t="s">
        <v>376</v>
      </c>
      <c r="W2216" s="393">
        <v>575.28</v>
      </c>
      <c r="X2216" s="393">
        <v>64.39</v>
      </c>
      <c r="Y2216" s="393">
        <v>575.28</v>
      </c>
      <c r="Z2216" s="393">
        <v>57.03</v>
      </c>
      <c r="AA2216">
        <v>0</v>
      </c>
      <c r="AB2216" s="400">
        <v>44669.963937766202</v>
      </c>
      <c r="AC2216" t="str">
        <f>+VLOOKUP(R2216,DRAFT!A:Q,17,0)</f>
        <v>SUPPORT</v>
      </c>
    </row>
    <row r="2217" spans="1:29">
      <c r="A2217" t="s">
        <v>382</v>
      </c>
      <c r="B2217" t="s">
        <v>440</v>
      </c>
      <c r="C2217" t="s">
        <v>2376</v>
      </c>
      <c r="D2217" t="s">
        <v>2377</v>
      </c>
      <c r="E2217" t="s">
        <v>390</v>
      </c>
      <c r="F2217" t="s">
        <v>391</v>
      </c>
      <c r="G2217">
        <v>6200067</v>
      </c>
      <c r="H2217">
        <v>202201</v>
      </c>
      <c r="I2217" s="400">
        <v>44575</v>
      </c>
      <c r="J2217" t="s">
        <v>1016</v>
      </c>
      <c r="K2217" t="s">
        <v>386</v>
      </c>
      <c r="M2217" t="s">
        <v>387</v>
      </c>
      <c r="O2217" t="s">
        <v>2915</v>
      </c>
      <c r="P2217" t="s">
        <v>2916</v>
      </c>
      <c r="Q2217" t="s">
        <v>450</v>
      </c>
      <c r="R2217" s="458">
        <v>2069093</v>
      </c>
      <c r="S2217" t="s">
        <v>387</v>
      </c>
      <c r="U2217" t="s">
        <v>2917</v>
      </c>
      <c r="V2217" t="s">
        <v>398</v>
      </c>
      <c r="W2217" s="393">
        <v>135400</v>
      </c>
      <c r="X2217" s="393">
        <v>34.1</v>
      </c>
      <c r="Y2217" s="393">
        <v>299.82</v>
      </c>
      <c r="Z2217" s="393">
        <v>135400</v>
      </c>
      <c r="AA2217">
        <v>0</v>
      </c>
      <c r="AB2217" s="400">
        <v>44595.840211608796</v>
      </c>
      <c r="AC2217" t="str">
        <f>+VLOOKUP(R2217,DRAFT!A:Q,17,0)</f>
        <v>SUPPORT</v>
      </c>
    </row>
    <row r="2218" spans="1:29">
      <c r="A2218" t="s">
        <v>382</v>
      </c>
      <c r="B2218" t="s">
        <v>440</v>
      </c>
      <c r="C2218" t="s">
        <v>2376</v>
      </c>
      <c r="D2218" t="s">
        <v>2377</v>
      </c>
      <c r="E2218" t="s">
        <v>390</v>
      </c>
      <c r="F2218" t="s">
        <v>391</v>
      </c>
      <c r="G2218">
        <v>6200070</v>
      </c>
      <c r="H2218">
        <v>202201</v>
      </c>
      <c r="I2218" s="400">
        <v>44582</v>
      </c>
      <c r="J2218" t="s">
        <v>1016</v>
      </c>
      <c r="K2218" t="s">
        <v>386</v>
      </c>
      <c r="M2218" t="s">
        <v>387</v>
      </c>
      <c r="O2218" t="s">
        <v>2378</v>
      </c>
      <c r="P2218" t="s">
        <v>2379</v>
      </c>
      <c r="Q2218" t="s">
        <v>450</v>
      </c>
      <c r="R2218" s="458">
        <v>2069093</v>
      </c>
      <c r="S2218" t="s">
        <v>387</v>
      </c>
      <c r="U2218" t="s">
        <v>2913</v>
      </c>
      <c r="V2218" t="s">
        <v>398</v>
      </c>
      <c r="W2218" s="393">
        <v>11700</v>
      </c>
      <c r="X2218" s="393">
        <v>2.92</v>
      </c>
      <c r="Y2218" s="393">
        <v>25.72</v>
      </c>
      <c r="Z2218" s="393">
        <v>11700</v>
      </c>
      <c r="AA2218">
        <v>0</v>
      </c>
      <c r="AB2218" s="400">
        <v>44595.893651122686</v>
      </c>
      <c r="AC2218" t="str">
        <f>+VLOOKUP(R2218,DRAFT!A:Q,17,0)</f>
        <v>SUPPORT</v>
      </c>
    </row>
    <row r="2219" spans="1:29">
      <c r="A2219" t="s">
        <v>382</v>
      </c>
      <c r="B2219" t="s">
        <v>440</v>
      </c>
      <c r="C2219" t="s">
        <v>2376</v>
      </c>
      <c r="D2219" t="s">
        <v>2377</v>
      </c>
      <c r="E2219" t="s">
        <v>390</v>
      </c>
      <c r="F2219" t="s">
        <v>391</v>
      </c>
      <c r="G2219">
        <v>6200070</v>
      </c>
      <c r="H2219">
        <v>202201</v>
      </c>
      <c r="I2219" s="400">
        <v>44582</v>
      </c>
      <c r="J2219" t="s">
        <v>1016</v>
      </c>
      <c r="K2219" t="s">
        <v>386</v>
      </c>
      <c r="M2219" t="s">
        <v>387</v>
      </c>
      <c r="O2219" t="s">
        <v>2378</v>
      </c>
      <c r="P2219" t="s">
        <v>2379</v>
      </c>
      <c r="Q2219" t="s">
        <v>450</v>
      </c>
      <c r="R2219" s="458">
        <v>2069093</v>
      </c>
      <c r="S2219" t="s">
        <v>387</v>
      </c>
      <c r="U2219" t="s">
        <v>2914</v>
      </c>
      <c r="V2219" t="s">
        <v>398</v>
      </c>
      <c r="W2219" s="393">
        <v>22350</v>
      </c>
      <c r="X2219" s="393">
        <v>5.58</v>
      </c>
      <c r="Y2219" s="393">
        <v>49.13</v>
      </c>
      <c r="Z2219" s="393">
        <v>22350</v>
      </c>
      <c r="AA2219">
        <v>0</v>
      </c>
      <c r="AB2219" s="400">
        <v>44595.893651122686</v>
      </c>
      <c r="AC2219" t="str">
        <f>+VLOOKUP(R2219,DRAFT!A:Q,17,0)</f>
        <v>SUPPORT</v>
      </c>
    </row>
    <row r="2220" spans="1:29">
      <c r="A2220" t="s">
        <v>382</v>
      </c>
      <c r="B2220" t="s">
        <v>2910</v>
      </c>
      <c r="C2220" t="s">
        <v>2376</v>
      </c>
      <c r="D2220" t="s">
        <v>2377</v>
      </c>
      <c r="E2220" t="s">
        <v>427</v>
      </c>
      <c r="F2220" t="s">
        <v>428</v>
      </c>
      <c r="G2220">
        <v>1200105</v>
      </c>
      <c r="H2220">
        <v>202201</v>
      </c>
      <c r="I2220" s="400">
        <v>44582</v>
      </c>
      <c r="J2220" t="s">
        <v>1152</v>
      </c>
      <c r="K2220" t="s">
        <v>386</v>
      </c>
      <c r="M2220" t="s">
        <v>387</v>
      </c>
      <c r="O2220" t="s">
        <v>509</v>
      </c>
      <c r="P2220" t="s">
        <v>510</v>
      </c>
      <c r="Q2220" t="s">
        <v>450</v>
      </c>
      <c r="R2220" s="458">
        <v>2069093</v>
      </c>
      <c r="S2220" t="s">
        <v>2911</v>
      </c>
      <c r="U2220" t="s">
        <v>2912</v>
      </c>
      <c r="V2220" t="s">
        <v>398</v>
      </c>
      <c r="W2220" s="393">
        <v>40188</v>
      </c>
      <c r="X2220" s="393">
        <v>10.039999999999999</v>
      </c>
      <c r="Y2220" s="393">
        <v>88.34</v>
      </c>
      <c r="Z2220" s="393">
        <v>40188</v>
      </c>
      <c r="AA2220">
        <v>0</v>
      </c>
      <c r="AB2220" s="400">
        <v>44600.908303969911</v>
      </c>
      <c r="AC2220" t="str">
        <f>+VLOOKUP(R2220,DRAFT!A:Q,17,0)</f>
        <v>SUPPORT</v>
      </c>
    </row>
    <row r="2221" spans="1:29">
      <c r="A2221" t="s">
        <v>382</v>
      </c>
      <c r="B2221" t="s">
        <v>440</v>
      </c>
      <c r="C2221" t="s">
        <v>2376</v>
      </c>
      <c r="D2221" t="s">
        <v>2377</v>
      </c>
      <c r="E2221" t="s">
        <v>390</v>
      </c>
      <c r="F2221" t="s">
        <v>391</v>
      </c>
      <c r="G2221">
        <v>6200067</v>
      </c>
      <c r="H2221">
        <v>202201</v>
      </c>
      <c r="I2221" s="400">
        <v>44575</v>
      </c>
      <c r="J2221" t="s">
        <v>1016</v>
      </c>
      <c r="K2221" t="s">
        <v>386</v>
      </c>
      <c r="M2221" t="s">
        <v>387</v>
      </c>
      <c r="O2221" t="s">
        <v>2378</v>
      </c>
      <c r="P2221" t="s">
        <v>2379</v>
      </c>
      <c r="Q2221" t="s">
        <v>450</v>
      </c>
      <c r="R2221" s="458">
        <v>2069093</v>
      </c>
      <c r="S2221" t="s">
        <v>387</v>
      </c>
      <c r="U2221" t="s">
        <v>2918</v>
      </c>
      <c r="V2221" t="s">
        <v>398</v>
      </c>
      <c r="W2221" s="393">
        <v>61875</v>
      </c>
      <c r="X2221" s="393">
        <v>15.59</v>
      </c>
      <c r="Y2221" s="393">
        <v>137.01</v>
      </c>
      <c r="Z2221" s="393">
        <v>61875</v>
      </c>
      <c r="AA2221">
        <v>0</v>
      </c>
      <c r="AB2221" s="400">
        <v>44595.840211608796</v>
      </c>
      <c r="AC2221" t="str">
        <f>+VLOOKUP(R2221,DRAFT!A:Q,17,0)</f>
        <v>SUPPORT</v>
      </c>
    </row>
    <row r="2222" spans="1:29">
      <c r="A2222" t="s">
        <v>382</v>
      </c>
      <c r="B2222" t="s">
        <v>440</v>
      </c>
      <c r="C2222" t="s">
        <v>2376</v>
      </c>
      <c r="D2222" t="s">
        <v>2377</v>
      </c>
      <c r="E2222" t="s">
        <v>390</v>
      </c>
      <c r="F2222" t="s">
        <v>391</v>
      </c>
      <c r="G2222">
        <v>6200067</v>
      </c>
      <c r="H2222">
        <v>202201</v>
      </c>
      <c r="I2222" s="400">
        <v>44575</v>
      </c>
      <c r="J2222" t="s">
        <v>1016</v>
      </c>
      <c r="K2222" t="s">
        <v>386</v>
      </c>
      <c r="M2222" t="s">
        <v>387</v>
      </c>
      <c r="O2222" t="s">
        <v>2378</v>
      </c>
      <c r="P2222" t="s">
        <v>2379</v>
      </c>
      <c r="Q2222" t="s">
        <v>450</v>
      </c>
      <c r="R2222" s="458">
        <v>2069093</v>
      </c>
      <c r="S2222" t="s">
        <v>387</v>
      </c>
      <c r="U2222" t="s">
        <v>2919</v>
      </c>
      <c r="V2222" t="s">
        <v>398</v>
      </c>
      <c r="W2222" s="393">
        <v>27400</v>
      </c>
      <c r="X2222" s="393">
        <v>6.9</v>
      </c>
      <c r="Y2222" s="393">
        <v>60.67</v>
      </c>
      <c r="Z2222" s="393">
        <v>27400</v>
      </c>
      <c r="AA2222">
        <v>0</v>
      </c>
      <c r="AB2222" s="400">
        <v>44595.840211608796</v>
      </c>
      <c r="AC2222" t="str">
        <f>+VLOOKUP(R2222,DRAFT!A:Q,17,0)</f>
        <v>SUPPORT</v>
      </c>
    </row>
    <row r="2223" spans="1:29">
      <c r="A2223" t="s">
        <v>382</v>
      </c>
      <c r="B2223" t="s">
        <v>440</v>
      </c>
      <c r="C2223" t="s">
        <v>2376</v>
      </c>
      <c r="D2223" t="s">
        <v>2377</v>
      </c>
      <c r="E2223" t="s">
        <v>390</v>
      </c>
      <c r="F2223" t="s">
        <v>391</v>
      </c>
      <c r="G2223">
        <v>6200067</v>
      </c>
      <c r="H2223">
        <v>202201</v>
      </c>
      <c r="I2223" s="400">
        <v>44575</v>
      </c>
      <c r="J2223" t="s">
        <v>1016</v>
      </c>
      <c r="K2223" t="s">
        <v>386</v>
      </c>
      <c r="M2223" t="s">
        <v>387</v>
      </c>
      <c r="O2223" t="s">
        <v>2915</v>
      </c>
      <c r="P2223" t="s">
        <v>2916</v>
      </c>
      <c r="Q2223" t="s">
        <v>450</v>
      </c>
      <c r="R2223" s="458">
        <v>2069093</v>
      </c>
      <c r="S2223" t="s">
        <v>387</v>
      </c>
      <c r="U2223" t="s">
        <v>2920</v>
      </c>
      <c r="V2223" t="s">
        <v>398</v>
      </c>
      <c r="W2223" s="393">
        <v>101000</v>
      </c>
      <c r="X2223" s="393">
        <v>25.44</v>
      </c>
      <c r="Y2223" s="393">
        <v>223.64</v>
      </c>
      <c r="Z2223" s="393">
        <v>101000</v>
      </c>
      <c r="AA2223">
        <v>0</v>
      </c>
      <c r="AB2223" s="400">
        <v>44595.840211608796</v>
      </c>
      <c r="AC2223" t="str">
        <f>+VLOOKUP(R2223,DRAFT!A:Q,17,0)</f>
        <v>SUPPORT</v>
      </c>
    </row>
    <row r="2224" spans="1:29">
      <c r="A2224" t="s">
        <v>382</v>
      </c>
      <c r="B2224" t="s">
        <v>440</v>
      </c>
      <c r="C2224" t="s">
        <v>2376</v>
      </c>
      <c r="D2224" t="s">
        <v>2377</v>
      </c>
      <c r="E2224" t="s">
        <v>390</v>
      </c>
      <c r="F2224" t="s">
        <v>391</v>
      </c>
      <c r="G2224">
        <v>6200067</v>
      </c>
      <c r="H2224">
        <v>202201</v>
      </c>
      <c r="I2224" s="400">
        <v>44575</v>
      </c>
      <c r="J2224" t="s">
        <v>1016</v>
      </c>
      <c r="K2224" t="s">
        <v>386</v>
      </c>
      <c r="M2224" t="s">
        <v>387</v>
      </c>
      <c r="O2224" t="s">
        <v>2915</v>
      </c>
      <c r="P2224" t="s">
        <v>2916</v>
      </c>
      <c r="Q2224" t="s">
        <v>450</v>
      </c>
      <c r="R2224" s="458">
        <v>2069093</v>
      </c>
      <c r="S2224" t="s">
        <v>387</v>
      </c>
      <c r="U2224" t="s">
        <v>2921</v>
      </c>
      <c r="V2224" t="s">
        <v>398</v>
      </c>
      <c r="W2224" s="393">
        <v>68200</v>
      </c>
      <c r="X2224" s="393">
        <v>17.18</v>
      </c>
      <c r="Y2224" s="393">
        <v>151.02000000000001</v>
      </c>
      <c r="Z2224" s="393">
        <v>68200</v>
      </c>
      <c r="AA2224">
        <v>0</v>
      </c>
      <c r="AB2224" s="400">
        <v>44595.840211805553</v>
      </c>
      <c r="AC2224" t="str">
        <f>+VLOOKUP(R2224,DRAFT!A:Q,17,0)</f>
        <v>SUPPORT</v>
      </c>
    </row>
    <row r="2225" spans="1:29">
      <c r="A2225" t="s">
        <v>382</v>
      </c>
      <c r="B2225" t="s">
        <v>440</v>
      </c>
      <c r="C2225" t="s">
        <v>2376</v>
      </c>
      <c r="D2225" t="s">
        <v>2377</v>
      </c>
      <c r="E2225" t="s">
        <v>390</v>
      </c>
      <c r="F2225" t="s">
        <v>391</v>
      </c>
      <c r="G2225">
        <v>6200067</v>
      </c>
      <c r="H2225">
        <v>202201</v>
      </c>
      <c r="I2225" s="400">
        <v>44575</v>
      </c>
      <c r="J2225" t="s">
        <v>1016</v>
      </c>
      <c r="K2225" t="s">
        <v>386</v>
      </c>
      <c r="M2225" t="s">
        <v>387</v>
      </c>
      <c r="O2225" t="s">
        <v>2915</v>
      </c>
      <c r="P2225" t="s">
        <v>2916</v>
      </c>
      <c r="Q2225" t="s">
        <v>450</v>
      </c>
      <c r="R2225" s="458">
        <v>2069093</v>
      </c>
      <c r="S2225" t="s">
        <v>387</v>
      </c>
      <c r="U2225" t="s">
        <v>2921</v>
      </c>
      <c r="V2225" t="s">
        <v>398</v>
      </c>
      <c r="W2225" s="393">
        <v>-25</v>
      </c>
      <c r="X2225" s="393">
        <v>-0.01</v>
      </c>
      <c r="Y2225" s="393">
        <v>-0.06</v>
      </c>
      <c r="Z2225" s="393">
        <v>-25</v>
      </c>
      <c r="AA2225">
        <v>0</v>
      </c>
      <c r="AB2225" s="400">
        <v>44595.840211805553</v>
      </c>
      <c r="AC2225" t="str">
        <f>+VLOOKUP(R2225,DRAFT!A:Q,17,0)</f>
        <v>SUPPORT</v>
      </c>
    </row>
    <row r="2226" spans="1:29">
      <c r="A2226" t="s">
        <v>382</v>
      </c>
      <c r="B2226" t="s">
        <v>440</v>
      </c>
      <c r="C2226" t="s">
        <v>1348</v>
      </c>
      <c r="D2226" t="s">
        <v>2399</v>
      </c>
      <c r="E2226" t="s">
        <v>390</v>
      </c>
      <c r="F2226" t="s">
        <v>391</v>
      </c>
      <c r="G2226">
        <v>6200032</v>
      </c>
      <c r="H2226">
        <v>202201</v>
      </c>
      <c r="I2226" s="400">
        <v>44592</v>
      </c>
      <c r="J2226" t="s">
        <v>452</v>
      </c>
      <c r="K2226" t="s">
        <v>386</v>
      </c>
      <c r="M2226" t="s">
        <v>387</v>
      </c>
      <c r="O2226" t="s">
        <v>2925</v>
      </c>
      <c r="P2226" t="s">
        <v>2926</v>
      </c>
      <c r="Q2226" t="s">
        <v>450</v>
      </c>
      <c r="R2226" s="458">
        <v>2069091</v>
      </c>
      <c r="S2226" t="s">
        <v>2927</v>
      </c>
      <c r="U2226" t="s">
        <v>2928</v>
      </c>
      <c r="V2226" t="s">
        <v>398</v>
      </c>
      <c r="W2226" s="393">
        <v>1000000</v>
      </c>
      <c r="X2226" s="393">
        <v>249.75</v>
      </c>
      <c r="Y2226" s="393">
        <v>2224.3200000000002</v>
      </c>
      <c r="Z2226" s="393">
        <v>1000000</v>
      </c>
      <c r="AA2226">
        <v>307</v>
      </c>
      <c r="AB2226" s="400">
        <v>44593.911524305557</v>
      </c>
      <c r="AC2226" t="str">
        <f>+VLOOKUP(R2226,DRAFT!A:Q,17,0)</f>
        <v>SUPPORT</v>
      </c>
    </row>
    <row r="2227" spans="1:29">
      <c r="A2227" t="s">
        <v>382</v>
      </c>
      <c r="B2227" t="s">
        <v>1251</v>
      </c>
      <c r="C2227" t="s">
        <v>1348</v>
      </c>
      <c r="D2227" t="s">
        <v>2399</v>
      </c>
      <c r="E2227" t="s">
        <v>1254</v>
      </c>
      <c r="F2227" t="s">
        <v>1255</v>
      </c>
      <c r="G2227">
        <v>5200006</v>
      </c>
      <c r="H2227">
        <v>202201</v>
      </c>
      <c r="I2227" s="400">
        <v>44585</v>
      </c>
      <c r="J2227" t="s">
        <v>1049</v>
      </c>
      <c r="K2227" t="s">
        <v>386</v>
      </c>
      <c r="M2227" t="s">
        <v>387</v>
      </c>
      <c r="O2227" t="s">
        <v>2922</v>
      </c>
      <c r="P2227" t="s">
        <v>2923</v>
      </c>
      <c r="Q2227" t="s">
        <v>450</v>
      </c>
      <c r="R2227" s="458">
        <v>2069091</v>
      </c>
      <c r="S2227" t="s">
        <v>387</v>
      </c>
      <c r="U2227" t="s">
        <v>2924</v>
      </c>
      <c r="V2227" t="s">
        <v>398</v>
      </c>
      <c r="W2227" s="393">
        <v>552000</v>
      </c>
      <c r="X2227" s="393">
        <v>137.86000000000001</v>
      </c>
      <c r="Y2227" s="393">
        <v>1213.32</v>
      </c>
      <c r="Z2227" s="393">
        <v>552000</v>
      </c>
      <c r="AA2227">
        <v>307</v>
      </c>
      <c r="AB2227" s="400">
        <v>44595.965582175922</v>
      </c>
      <c r="AC2227" t="str">
        <f>+VLOOKUP(R2227,DRAFT!A:Q,17,0)</f>
        <v>SUPPORT</v>
      </c>
    </row>
    <row r="2228" spans="1:29">
      <c r="A2228" t="s">
        <v>382</v>
      </c>
      <c r="B2228" t="s">
        <v>440</v>
      </c>
      <c r="C2228" t="s">
        <v>1348</v>
      </c>
      <c r="D2228" t="s">
        <v>1349</v>
      </c>
      <c r="E2228" t="s">
        <v>390</v>
      </c>
      <c r="F2228" t="s">
        <v>391</v>
      </c>
      <c r="G2228">
        <v>6200072</v>
      </c>
      <c r="H2228">
        <v>202201</v>
      </c>
      <c r="I2228" s="400">
        <v>44592</v>
      </c>
      <c r="J2228" t="s">
        <v>452</v>
      </c>
      <c r="K2228" t="s">
        <v>386</v>
      </c>
      <c r="M2228" t="s">
        <v>387</v>
      </c>
      <c r="O2228" t="s">
        <v>587</v>
      </c>
      <c r="P2228" t="s">
        <v>588</v>
      </c>
      <c r="Q2228" t="s">
        <v>450</v>
      </c>
      <c r="R2228" s="458">
        <v>2069091</v>
      </c>
      <c r="S2228" t="s">
        <v>2932</v>
      </c>
      <c r="U2228" t="s">
        <v>2933</v>
      </c>
      <c r="V2228" t="s">
        <v>398</v>
      </c>
      <c r="W2228" s="393">
        <v>33000</v>
      </c>
      <c r="X2228" s="393">
        <v>8.24</v>
      </c>
      <c r="Y2228" s="393">
        <v>73.400000000000006</v>
      </c>
      <c r="Z2228" s="393">
        <v>33000</v>
      </c>
      <c r="AA2228">
        <v>0</v>
      </c>
      <c r="AB2228" s="400">
        <v>44596.004851423611</v>
      </c>
      <c r="AC2228" t="str">
        <f>+VLOOKUP(R2228,DRAFT!A:Q,17,0)</f>
        <v>SUPPORT</v>
      </c>
    </row>
    <row r="2229" spans="1:29">
      <c r="A2229" t="s">
        <v>382</v>
      </c>
      <c r="B2229" t="s">
        <v>440</v>
      </c>
      <c r="C2229" t="s">
        <v>1348</v>
      </c>
      <c r="D2229" t="s">
        <v>1349</v>
      </c>
      <c r="E2229" t="s">
        <v>390</v>
      </c>
      <c r="F2229" t="s">
        <v>391</v>
      </c>
      <c r="G2229">
        <v>6200070</v>
      </c>
      <c r="H2229">
        <v>202201</v>
      </c>
      <c r="I2229" s="400">
        <v>44582</v>
      </c>
      <c r="J2229" t="s">
        <v>1016</v>
      </c>
      <c r="K2229" t="s">
        <v>386</v>
      </c>
      <c r="M2229" t="s">
        <v>387</v>
      </c>
      <c r="O2229" t="s">
        <v>2929</v>
      </c>
      <c r="P2229" t="s">
        <v>2930</v>
      </c>
      <c r="Q2229" t="s">
        <v>450</v>
      </c>
      <c r="R2229" s="458">
        <v>2069091</v>
      </c>
      <c r="S2229" t="s">
        <v>387</v>
      </c>
      <c r="U2229" t="s">
        <v>2931</v>
      </c>
      <c r="V2229" t="s">
        <v>398</v>
      </c>
      <c r="W2229" s="393">
        <v>15000</v>
      </c>
      <c r="X2229" s="393">
        <v>3.75</v>
      </c>
      <c r="Y2229" s="393">
        <v>32.97</v>
      </c>
      <c r="Z2229" s="393">
        <v>15000</v>
      </c>
      <c r="AA2229">
        <v>0</v>
      </c>
      <c r="AB2229" s="400">
        <v>44595.893650925929</v>
      </c>
      <c r="AC2229" t="str">
        <f>+VLOOKUP(R2229,DRAFT!A:Q,17,0)</f>
        <v>SUPPORT</v>
      </c>
    </row>
    <row r="2230" spans="1:29">
      <c r="A2230" t="s">
        <v>382</v>
      </c>
      <c r="B2230" t="s">
        <v>440</v>
      </c>
      <c r="C2230" t="s">
        <v>1348</v>
      </c>
      <c r="D2230" t="s">
        <v>1349</v>
      </c>
      <c r="E2230" t="s">
        <v>390</v>
      </c>
      <c r="F2230" t="s">
        <v>391</v>
      </c>
      <c r="G2230">
        <v>6200333</v>
      </c>
      <c r="H2230">
        <v>202202</v>
      </c>
      <c r="I2230" s="400">
        <v>44620</v>
      </c>
      <c r="J2230" t="s">
        <v>452</v>
      </c>
      <c r="K2230" t="s">
        <v>386</v>
      </c>
      <c r="M2230" t="s">
        <v>387</v>
      </c>
      <c r="O2230" t="s">
        <v>587</v>
      </c>
      <c r="P2230" t="s">
        <v>588</v>
      </c>
      <c r="Q2230" t="s">
        <v>450</v>
      </c>
      <c r="R2230" s="458">
        <v>2069091</v>
      </c>
      <c r="S2230" t="s">
        <v>2932</v>
      </c>
      <c r="U2230" t="s">
        <v>2934</v>
      </c>
      <c r="V2230" t="s">
        <v>398</v>
      </c>
      <c r="W2230" s="393">
        <v>20000</v>
      </c>
      <c r="X2230" s="393">
        <v>5.1100000000000003</v>
      </c>
      <c r="Y2230" s="393">
        <v>45.66</v>
      </c>
      <c r="Z2230" s="393">
        <v>20000</v>
      </c>
      <c r="AA2230">
        <v>0</v>
      </c>
      <c r="AB2230" s="400">
        <v>44624.652668055554</v>
      </c>
      <c r="AC2230" t="str">
        <f>+VLOOKUP(R2230,DRAFT!A:Q,17,0)</f>
        <v>SUPPORT</v>
      </c>
    </row>
    <row r="2231" spans="1:29">
      <c r="A2231" t="s">
        <v>382</v>
      </c>
      <c r="B2231" t="s">
        <v>440</v>
      </c>
      <c r="C2231" t="s">
        <v>1348</v>
      </c>
      <c r="D2231" t="s">
        <v>1349</v>
      </c>
      <c r="E2231" t="s">
        <v>390</v>
      </c>
      <c r="F2231" t="s">
        <v>391</v>
      </c>
      <c r="G2231">
        <v>6200884</v>
      </c>
      <c r="H2231">
        <v>202203</v>
      </c>
      <c r="I2231" s="400">
        <v>44651</v>
      </c>
      <c r="J2231" t="s">
        <v>452</v>
      </c>
      <c r="K2231" t="s">
        <v>386</v>
      </c>
      <c r="M2231" t="s">
        <v>387</v>
      </c>
      <c r="O2231" t="s">
        <v>587</v>
      </c>
      <c r="P2231" t="s">
        <v>588</v>
      </c>
      <c r="Q2231" t="s">
        <v>450</v>
      </c>
      <c r="R2231" s="458">
        <v>2069091</v>
      </c>
      <c r="S2231" t="s">
        <v>2935</v>
      </c>
      <c r="U2231" t="s">
        <v>2936</v>
      </c>
      <c r="V2231" t="s">
        <v>398</v>
      </c>
      <c r="W2231" s="393">
        <v>20000</v>
      </c>
      <c r="X2231" s="393">
        <v>5.32</v>
      </c>
      <c r="Y2231" s="393">
        <v>46.57</v>
      </c>
      <c r="Z2231" s="393">
        <v>20000</v>
      </c>
      <c r="AA2231">
        <v>0</v>
      </c>
      <c r="AB2231" s="400">
        <v>44655.137911608799</v>
      </c>
      <c r="AC2231" t="str">
        <f>+VLOOKUP(R2231,DRAFT!A:Q,17,0)</f>
        <v>SUPPORT</v>
      </c>
    </row>
    <row r="2232" spans="1:29">
      <c r="A2232" t="s">
        <v>382</v>
      </c>
      <c r="B2232" t="s">
        <v>440</v>
      </c>
      <c r="C2232" t="s">
        <v>2409</v>
      </c>
      <c r="D2232" t="s">
        <v>3999</v>
      </c>
      <c r="E2232" t="s">
        <v>390</v>
      </c>
      <c r="F2232" t="s">
        <v>391</v>
      </c>
      <c r="G2232">
        <v>6201308</v>
      </c>
      <c r="H2232">
        <v>202204</v>
      </c>
      <c r="I2232" s="400">
        <v>44679</v>
      </c>
      <c r="J2232" t="s">
        <v>452</v>
      </c>
      <c r="K2232" t="s">
        <v>386</v>
      </c>
      <c r="L2232" t="s">
        <v>2411</v>
      </c>
      <c r="M2232" t="s">
        <v>4080</v>
      </c>
      <c r="O2232" t="s">
        <v>4000</v>
      </c>
      <c r="P2232" t="s">
        <v>4001</v>
      </c>
      <c r="Q2232" t="s">
        <v>450</v>
      </c>
      <c r="R2232" s="458">
        <v>2069087</v>
      </c>
      <c r="S2232" t="s">
        <v>4002</v>
      </c>
      <c r="U2232" t="s">
        <v>4003</v>
      </c>
      <c r="V2232" t="s">
        <v>398</v>
      </c>
      <c r="W2232" s="393">
        <v>106001</v>
      </c>
      <c r="X2232" s="393">
        <v>28.2</v>
      </c>
      <c r="Y2232" s="393">
        <v>241.82</v>
      </c>
      <c r="Z2232" s="393">
        <v>106001</v>
      </c>
      <c r="AA2232">
        <v>0</v>
      </c>
      <c r="AB2232" s="400">
        <v>44687.144955011572</v>
      </c>
      <c r="AC2232" t="str">
        <f>+VLOOKUP(R2232,DRAFT!A:Q,17,0)</f>
        <v>SUPPORT</v>
      </c>
    </row>
    <row r="2233" spans="1:29">
      <c r="A2233" t="s">
        <v>382</v>
      </c>
      <c r="B2233" t="s">
        <v>440</v>
      </c>
      <c r="C2233" t="s">
        <v>2409</v>
      </c>
      <c r="D2233" t="s">
        <v>2410</v>
      </c>
      <c r="E2233" t="s">
        <v>390</v>
      </c>
      <c r="F2233" t="s">
        <v>391</v>
      </c>
      <c r="G2233">
        <v>6201308</v>
      </c>
      <c r="H2233">
        <v>202204</v>
      </c>
      <c r="I2233" s="400">
        <v>44679</v>
      </c>
      <c r="J2233" t="s">
        <v>452</v>
      </c>
      <c r="K2233" t="s">
        <v>386</v>
      </c>
      <c r="L2233" t="s">
        <v>2411</v>
      </c>
      <c r="M2233" t="s">
        <v>4080</v>
      </c>
      <c r="O2233" t="s">
        <v>4000</v>
      </c>
      <c r="P2233" t="s">
        <v>4001</v>
      </c>
      <c r="Q2233" t="s">
        <v>450</v>
      </c>
      <c r="R2233" s="458">
        <v>2069087</v>
      </c>
      <c r="S2233" t="s">
        <v>4002</v>
      </c>
      <c r="U2233" t="s">
        <v>4003</v>
      </c>
      <c r="V2233" t="s">
        <v>398</v>
      </c>
      <c r="W2233" s="393">
        <v>557900</v>
      </c>
      <c r="X2233" s="393">
        <v>148.43</v>
      </c>
      <c r="Y2233" s="393">
        <v>1272.74</v>
      </c>
      <c r="Z2233" s="393">
        <v>557900</v>
      </c>
      <c r="AA2233">
        <v>200</v>
      </c>
      <c r="AB2233" s="400">
        <v>44687.144954479169</v>
      </c>
      <c r="AC2233" t="str">
        <f>+VLOOKUP(R2233,DRAFT!A:Q,17,0)</f>
        <v>SUPPORT</v>
      </c>
    </row>
    <row r="2234" spans="1:29">
      <c r="A2234" t="s">
        <v>382</v>
      </c>
      <c r="B2234" t="s">
        <v>1214</v>
      </c>
      <c r="C2234" t="s">
        <v>1362</v>
      </c>
      <c r="D2234" t="s">
        <v>2937</v>
      </c>
      <c r="E2234" t="s">
        <v>2565</v>
      </c>
      <c r="F2234" t="s">
        <v>2566</v>
      </c>
      <c r="G2234">
        <v>22200100</v>
      </c>
      <c r="H2234">
        <v>202203</v>
      </c>
      <c r="I2234" s="400">
        <v>44643</v>
      </c>
      <c r="J2234" t="s">
        <v>2567</v>
      </c>
      <c r="K2234" t="s">
        <v>386</v>
      </c>
      <c r="L2234" t="s">
        <v>2420</v>
      </c>
      <c r="M2234" t="s">
        <v>2421</v>
      </c>
      <c r="O2234" t="s">
        <v>2876</v>
      </c>
      <c r="P2234" t="s">
        <v>2877</v>
      </c>
      <c r="Q2234" t="s">
        <v>396</v>
      </c>
      <c r="R2234" s="458">
        <v>2265775</v>
      </c>
      <c r="S2234" t="s">
        <v>387</v>
      </c>
      <c r="U2234" t="s">
        <v>2938</v>
      </c>
      <c r="V2234" t="s">
        <v>398</v>
      </c>
      <c r="W2234" s="393">
        <v>102000</v>
      </c>
      <c r="X2234" s="393">
        <v>26.65</v>
      </c>
      <c r="Y2234" s="393">
        <v>237.25</v>
      </c>
      <c r="Z2234" s="393">
        <v>102000</v>
      </c>
      <c r="AA2234">
        <v>0</v>
      </c>
      <c r="AB2234" s="400">
        <v>44651.774820451392</v>
      </c>
      <c r="AC2234" t="str">
        <f>+VLOOKUP(R2234,DRAFT!A:Q,17,0)</f>
        <v>MAE</v>
      </c>
    </row>
    <row r="2235" spans="1:29">
      <c r="A2235" t="s">
        <v>382</v>
      </c>
      <c r="B2235" t="s">
        <v>440</v>
      </c>
      <c r="C2235" t="s">
        <v>1362</v>
      </c>
      <c r="D2235" t="s">
        <v>2937</v>
      </c>
      <c r="E2235" t="s">
        <v>390</v>
      </c>
      <c r="F2235" t="s">
        <v>391</v>
      </c>
      <c r="G2235">
        <v>6201102</v>
      </c>
      <c r="H2235">
        <v>202204</v>
      </c>
      <c r="I2235" s="400">
        <v>44659</v>
      </c>
      <c r="J2235">
        <v>122536</v>
      </c>
      <c r="K2235" t="s">
        <v>386</v>
      </c>
      <c r="L2235">
        <v>123780</v>
      </c>
      <c r="M2235" t="s">
        <v>1153</v>
      </c>
      <c r="O2235" t="s">
        <v>1154</v>
      </c>
      <c r="P2235" t="s">
        <v>1155</v>
      </c>
      <c r="Q2235" t="s">
        <v>396</v>
      </c>
      <c r="R2235" s="458">
        <v>2630507</v>
      </c>
      <c r="S2235" t="s">
        <v>387</v>
      </c>
      <c r="U2235" t="s">
        <v>4004</v>
      </c>
      <c r="V2235" t="s">
        <v>398</v>
      </c>
      <c r="W2235" s="393">
        <v>330000</v>
      </c>
      <c r="X2235" s="393">
        <v>88.04</v>
      </c>
      <c r="Y2235" s="393">
        <v>760.82</v>
      </c>
      <c r="Z2235" s="393">
        <v>330000</v>
      </c>
      <c r="AA2235">
        <v>0</v>
      </c>
      <c r="AB2235" s="400">
        <v>44671.942053043982</v>
      </c>
      <c r="AC2235" t="str">
        <f>+VLOOKUP(R2235,DRAFT!A:Q,17,0)</f>
        <v>1.3.2</v>
      </c>
    </row>
    <row r="2236" spans="1:29">
      <c r="A2236" t="s">
        <v>382</v>
      </c>
      <c r="B2236" t="s">
        <v>440</v>
      </c>
      <c r="C2236" t="s">
        <v>1362</v>
      </c>
      <c r="D2236" t="s">
        <v>2937</v>
      </c>
      <c r="E2236" t="s">
        <v>390</v>
      </c>
      <c r="F2236" t="s">
        <v>391</v>
      </c>
      <c r="G2236">
        <v>6201255</v>
      </c>
      <c r="H2236">
        <v>202204</v>
      </c>
      <c r="I2236" s="400">
        <v>44679</v>
      </c>
      <c r="J2236" t="s">
        <v>452</v>
      </c>
      <c r="K2236" t="s">
        <v>386</v>
      </c>
      <c r="L2236">
        <v>125684</v>
      </c>
      <c r="M2236" t="s">
        <v>2869</v>
      </c>
      <c r="O2236" t="s">
        <v>2870</v>
      </c>
      <c r="P2236" t="s">
        <v>2871</v>
      </c>
      <c r="Q2236" t="s">
        <v>396</v>
      </c>
      <c r="R2236" s="458">
        <v>2265775</v>
      </c>
      <c r="S2236" t="s">
        <v>387</v>
      </c>
      <c r="U2236" t="s">
        <v>4005</v>
      </c>
      <c r="V2236" t="s">
        <v>398</v>
      </c>
      <c r="W2236" s="393">
        <v>12000</v>
      </c>
      <c r="X2236" s="393">
        <v>3.19</v>
      </c>
      <c r="Y2236" s="393">
        <v>27.38</v>
      </c>
      <c r="Z2236" s="393">
        <v>12000</v>
      </c>
      <c r="AA2236">
        <v>0</v>
      </c>
      <c r="AB2236" s="400">
        <v>44684.118292395833</v>
      </c>
      <c r="AC2236" t="str">
        <f>+VLOOKUP(R2236,DRAFT!A:Q,17,0)</f>
        <v>MAE</v>
      </c>
    </row>
    <row r="2237" spans="1:29">
      <c r="A2237" t="s">
        <v>382</v>
      </c>
      <c r="B2237" t="s">
        <v>440</v>
      </c>
      <c r="C2237" t="s">
        <v>1362</v>
      </c>
      <c r="D2237" t="s">
        <v>2937</v>
      </c>
      <c r="E2237" t="s">
        <v>390</v>
      </c>
      <c r="F2237" t="s">
        <v>391</v>
      </c>
      <c r="G2237">
        <v>6201157</v>
      </c>
      <c r="H2237">
        <v>202204</v>
      </c>
      <c r="I2237" s="400">
        <v>44671</v>
      </c>
      <c r="J2237" t="s">
        <v>452</v>
      </c>
      <c r="K2237" t="s">
        <v>386</v>
      </c>
      <c r="L2237">
        <v>125684</v>
      </c>
      <c r="M2237" t="s">
        <v>2869</v>
      </c>
      <c r="O2237" t="s">
        <v>2870</v>
      </c>
      <c r="P2237" t="s">
        <v>2871</v>
      </c>
      <c r="Q2237" t="s">
        <v>396</v>
      </c>
      <c r="R2237" s="458">
        <v>2265775</v>
      </c>
      <c r="S2237" t="s">
        <v>387</v>
      </c>
      <c r="U2237" t="s">
        <v>4007</v>
      </c>
      <c r="V2237" t="s">
        <v>398</v>
      </c>
      <c r="W2237" s="393">
        <v>96000</v>
      </c>
      <c r="X2237" s="393">
        <v>25.61</v>
      </c>
      <c r="Y2237" s="393">
        <v>221.33</v>
      </c>
      <c r="Z2237" s="393">
        <v>96000</v>
      </c>
      <c r="AA2237">
        <v>0</v>
      </c>
      <c r="AB2237" s="400">
        <v>44673.073709062497</v>
      </c>
      <c r="AC2237" t="str">
        <f>+VLOOKUP(R2237,DRAFT!A:Q,17,0)</f>
        <v>MAE</v>
      </c>
    </row>
    <row r="2238" spans="1:29">
      <c r="A2238" t="s">
        <v>382</v>
      </c>
      <c r="B2238" t="s">
        <v>440</v>
      </c>
      <c r="C2238" t="s">
        <v>1362</v>
      </c>
      <c r="D2238" t="s">
        <v>2937</v>
      </c>
      <c r="E2238" t="s">
        <v>390</v>
      </c>
      <c r="F2238" t="s">
        <v>391</v>
      </c>
      <c r="G2238">
        <v>6201085</v>
      </c>
      <c r="H2238">
        <v>202204</v>
      </c>
      <c r="I2238" s="400">
        <v>44669</v>
      </c>
      <c r="J2238" t="s">
        <v>452</v>
      </c>
      <c r="K2238" t="s">
        <v>386</v>
      </c>
      <c r="L2238">
        <v>125684</v>
      </c>
      <c r="M2238" t="s">
        <v>2869</v>
      </c>
      <c r="O2238" t="s">
        <v>2870</v>
      </c>
      <c r="P2238" t="s">
        <v>2871</v>
      </c>
      <c r="Q2238" t="s">
        <v>396</v>
      </c>
      <c r="R2238" s="458">
        <v>2265775</v>
      </c>
      <c r="S2238" t="s">
        <v>387</v>
      </c>
      <c r="U2238" t="s">
        <v>4006</v>
      </c>
      <c r="V2238" t="s">
        <v>398</v>
      </c>
      <c r="W2238" s="393">
        <v>270000</v>
      </c>
      <c r="X2238" s="393">
        <v>72.040000000000006</v>
      </c>
      <c r="Y2238" s="393">
        <v>622.49</v>
      </c>
      <c r="Z2238" s="393">
        <v>270000</v>
      </c>
      <c r="AA2238">
        <v>0</v>
      </c>
      <c r="AB2238" s="400">
        <v>44671.754449965279</v>
      </c>
      <c r="AC2238" t="str">
        <f>+VLOOKUP(R2238,DRAFT!A:Q,17,0)</f>
        <v>MAE</v>
      </c>
    </row>
    <row r="2239" spans="1:29">
      <c r="A2239" t="s">
        <v>382</v>
      </c>
      <c r="B2239" t="s">
        <v>440</v>
      </c>
      <c r="C2239" t="s">
        <v>1362</v>
      </c>
      <c r="D2239" t="s">
        <v>2937</v>
      </c>
      <c r="E2239" t="s">
        <v>390</v>
      </c>
      <c r="F2239" t="s">
        <v>391</v>
      </c>
      <c r="G2239">
        <v>6201086</v>
      </c>
      <c r="H2239">
        <v>202204</v>
      </c>
      <c r="I2239" s="400">
        <v>44669</v>
      </c>
      <c r="J2239" t="s">
        <v>452</v>
      </c>
      <c r="K2239" t="s">
        <v>386</v>
      </c>
      <c r="L2239">
        <v>129170</v>
      </c>
      <c r="M2239" t="s">
        <v>4008</v>
      </c>
      <c r="O2239" t="s">
        <v>4009</v>
      </c>
      <c r="P2239" t="s">
        <v>4010</v>
      </c>
      <c r="Q2239" t="s">
        <v>396</v>
      </c>
      <c r="R2239" s="458">
        <v>2630507</v>
      </c>
      <c r="S2239" t="s">
        <v>4012</v>
      </c>
      <c r="U2239" t="s">
        <v>4013</v>
      </c>
      <c r="V2239" t="s">
        <v>398</v>
      </c>
      <c r="W2239" s="393">
        <v>72000</v>
      </c>
      <c r="X2239" s="393">
        <v>19.21</v>
      </c>
      <c r="Y2239" s="393">
        <v>166</v>
      </c>
      <c r="Z2239" s="393">
        <v>72000</v>
      </c>
      <c r="AA2239">
        <v>0</v>
      </c>
      <c r="AB2239" s="400">
        <v>44671.772824884261</v>
      </c>
      <c r="AC2239" t="str">
        <f>+VLOOKUP(R2239,DRAFT!A:Q,17,0)</f>
        <v>1.3.2</v>
      </c>
    </row>
    <row r="2240" spans="1:29">
      <c r="A2240" t="s">
        <v>382</v>
      </c>
      <c r="B2240" t="s">
        <v>440</v>
      </c>
      <c r="C2240" t="s">
        <v>1362</v>
      </c>
      <c r="D2240" t="s">
        <v>2937</v>
      </c>
      <c r="E2240" t="s">
        <v>390</v>
      </c>
      <c r="F2240" t="s">
        <v>391</v>
      </c>
      <c r="G2240">
        <v>6201284</v>
      </c>
      <c r="H2240">
        <v>202204</v>
      </c>
      <c r="I2240" s="400">
        <v>44679</v>
      </c>
      <c r="J2240">
        <v>122536</v>
      </c>
      <c r="K2240" t="s">
        <v>386</v>
      </c>
      <c r="L2240">
        <v>129170</v>
      </c>
      <c r="M2240" t="s">
        <v>4008</v>
      </c>
      <c r="O2240" t="s">
        <v>4009</v>
      </c>
      <c r="P2240" t="s">
        <v>4010</v>
      </c>
      <c r="Q2240" t="s">
        <v>396</v>
      </c>
      <c r="R2240" s="458">
        <v>2630507</v>
      </c>
      <c r="S2240" t="s">
        <v>387</v>
      </c>
      <c r="U2240" t="s">
        <v>4011</v>
      </c>
      <c r="V2240" t="s">
        <v>398</v>
      </c>
      <c r="W2240" s="393">
        <v>42000</v>
      </c>
      <c r="X2240" s="393">
        <v>11.17</v>
      </c>
      <c r="Y2240" s="393">
        <v>95.81</v>
      </c>
      <c r="Z2240" s="393">
        <v>42000</v>
      </c>
      <c r="AA2240">
        <v>0</v>
      </c>
      <c r="AB2240" s="400">
        <v>44685.703339085645</v>
      </c>
      <c r="AC2240" t="str">
        <f>+VLOOKUP(R2240,DRAFT!A:Q,17,0)</f>
        <v>1.3.2</v>
      </c>
    </row>
    <row r="2241" spans="1:29">
      <c r="A2241" t="s">
        <v>382</v>
      </c>
      <c r="B2241" t="s">
        <v>1214</v>
      </c>
      <c r="C2241" t="s">
        <v>1362</v>
      </c>
      <c r="D2241" t="s">
        <v>2937</v>
      </c>
      <c r="E2241" t="s">
        <v>2565</v>
      </c>
      <c r="F2241" t="s">
        <v>2566</v>
      </c>
      <c r="G2241">
        <v>22200145</v>
      </c>
      <c r="H2241">
        <v>202204</v>
      </c>
      <c r="I2241" s="400">
        <v>44673</v>
      </c>
      <c r="J2241" t="s">
        <v>2567</v>
      </c>
      <c r="K2241" t="s">
        <v>386</v>
      </c>
      <c r="L2241" t="s">
        <v>2420</v>
      </c>
      <c r="M2241" t="s">
        <v>2421</v>
      </c>
      <c r="O2241" t="s">
        <v>2876</v>
      </c>
      <c r="P2241" t="s">
        <v>2877</v>
      </c>
      <c r="Q2241" t="s">
        <v>396</v>
      </c>
      <c r="R2241" s="458">
        <v>2265775</v>
      </c>
      <c r="S2241" t="s">
        <v>387</v>
      </c>
      <c r="U2241" t="s">
        <v>4015</v>
      </c>
      <c r="V2241" t="s">
        <v>398</v>
      </c>
      <c r="W2241" s="393">
        <v>264000</v>
      </c>
      <c r="X2241" s="393">
        <v>70.44</v>
      </c>
      <c r="Y2241" s="393">
        <v>608.65</v>
      </c>
      <c r="Z2241" s="393">
        <v>264000</v>
      </c>
      <c r="AA2241">
        <v>0</v>
      </c>
      <c r="AB2241" s="400">
        <v>44674.716667627312</v>
      </c>
      <c r="AC2241" t="str">
        <f>+VLOOKUP(R2241,DRAFT!A:Q,17,0)</f>
        <v>MAE</v>
      </c>
    </row>
    <row r="2242" spans="1:29">
      <c r="A2242" t="s">
        <v>382</v>
      </c>
      <c r="B2242" t="s">
        <v>1214</v>
      </c>
      <c r="C2242" t="s">
        <v>1362</v>
      </c>
      <c r="D2242" t="s">
        <v>2937</v>
      </c>
      <c r="E2242" t="s">
        <v>2565</v>
      </c>
      <c r="F2242" t="s">
        <v>2566</v>
      </c>
      <c r="G2242">
        <v>22200144</v>
      </c>
      <c r="H2242">
        <v>202204</v>
      </c>
      <c r="I2242" s="400">
        <v>44673</v>
      </c>
      <c r="J2242" t="s">
        <v>2567</v>
      </c>
      <c r="K2242" t="s">
        <v>386</v>
      </c>
      <c r="L2242" t="s">
        <v>2420</v>
      </c>
      <c r="M2242" t="s">
        <v>2421</v>
      </c>
      <c r="O2242" t="s">
        <v>2876</v>
      </c>
      <c r="P2242" t="s">
        <v>2877</v>
      </c>
      <c r="Q2242" t="s">
        <v>396</v>
      </c>
      <c r="R2242" s="458">
        <v>2265775</v>
      </c>
      <c r="S2242" t="s">
        <v>387</v>
      </c>
      <c r="U2242" t="s">
        <v>4014</v>
      </c>
      <c r="V2242" t="s">
        <v>398</v>
      </c>
      <c r="W2242" s="393">
        <v>150000</v>
      </c>
      <c r="X2242" s="393">
        <v>40.020000000000003</v>
      </c>
      <c r="Y2242" s="393">
        <v>345.83</v>
      </c>
      <c r="Z2242" s="393">
        <v>150000</v>
      </c>
      <c r="AA2242">
        <v>0</v>
      </c>
      <c r="AB2242" s="400">
        <v>44674.714862766203</v>
      </c>
      <c r="AC2242" t="str">
        <f>+VLOOKUP(R2242,DRAFT!A:Q,17,0)</f>
        <v>MAE</v>
      </c>
    </row>
    <row r="2243" spans="1:29">
      <c r="A2243" t="s">
        <v>382</v>
      </c>
      <c r="B2243" t="s">
        <v>440</v>
      </c>
      <c r="C2243" t="s">
        <v>1362</v>
      </c>
      <c r="D2243" t="s">
        <v>2937</v>
      </c>
      <c r="E2243" t="s">
        <v>390</v>
      </c>
      <c r="F2243" t="s">
        <v>391</v>
      </c>
      <c r="G2243">
        <v>6201249</v>
      </c>
      <c r="H2243">
        <v>202204</v>
      </c>
      <c r="I2243" s="400">
        <v>44679</v>
      </c>
      <c r="J2243" t="s">
        <v>452</v>
      </c>
      <c r="K2243" t="s">
        <v>386</v>
      </c>
      <c r="L2243" t="s">
        <v>1195</v>
      </c>
      <c r="M2243" t="s">
        <v>1196</v>
      </c>
      <c r="O2243" t="s">
        <v>1197</v>
      </c>
      <c r="P2243" t="s">
        <v>1198</v>
      </c>
      <c r="Q2243" t="s">
        <v>396</v>
      </c>
      <c r="R2243" s="458">
        <v>2265775</v>
      </c>
      <c r="S2243" t="s">
        <v>387</v>
      </c>
      <c r="U2243" t="s">
        <v>4016</v>
      </c>
      <c r="V2243" t="s">
        <v>398</v>
      </c>
      <c r="W2243" s="393">
        <v>282000</v>
      </c>
      <c r="X2243" s="393">
        <v>75.03</v>
      </c>
      <c r="Y2243" s="393">
        <v>643.33000000000004</v>
      </c>
      <c r="Z2243" s="393">
        <v>282000</v>
      </c>
      <c r="AA2243">
        <v>0</v>
      </c>
      <c r="AB2243" s="400">
        <v>44684.087428738429</v>
      </c>
      <c r="AC2243" t="str">
        <f>+VLOOKUP(R2243,DRAFT!A:Q,17,0)</f>
        <v>MAE</v>
      </c>
    </row>
    <row r="2244" spans="1:29">
      <c r="A2244" t="s">
        <v>382</v>
      </c>
      <c r="B2244" t="s">
        <v>440</v>
      </c>
      <c r="C2244" t="s">
        <v>1362</v>
      </c>
      <c r="D2244" t="s">
        <v>2937</v>
      </c>
      <c r="E2244" t="s">
        <v>390</v>
      </c>
      <c r="F2244" t="s">
        <v>391</v>
      </c>
      <c r="G2244">
        <v>6201092</v>
      </c>
      <c r="H2244">
        <v>202204</v>
      </c>
      <c r="I2244" s="400">
        <v>44669</v>
      </c>
      <c r="J2244" t="s">
        <v>452</v>
      </c>
      <c r="K2244" t="s">
        <v>386</v>
      </c>
      <c r="L2244" t="s">
        <v>1195</v>
      </c>
      <c r="M2244" t="s">
        <v>1196</v>
      </c>
      <c r="O2244" t="s">
        <v>1197</v>
      </c>
      <c r="P2244" t="s">
        <v>1198</v>
      </c>
      <c r="Q2244" t="s">
        <v>396</v>
      </c>
      <c r="R2244" s="458">
        <v>2265775</v>
      </c>
      <c r="S2244" t="s">
        <v>4017</v>
      </c>
      <c r="U2244" t="s">
        <v>4018</v>
      </c>
      <c r="V2244" t="s">
        <v>398</v>
      </c>
      <c r="W2244" s="393">
        <v>258000</v>
      </c>
      <c r="X2244" s="393">
        <v>68.83</v>
      </c>
      <c r="Y2244" s="393">
        <v>594.82000000000005</v>
      </c>
      <c r="Z2244" s="393">
        <v>258000</v>
      </c>
      <c r="AA2244">
        <v>0</v>
      </c>
      <c r="AB2244" s="400">
        <v>44671.917729976849</v>
      </c>
      <c r="AC2244" t="str">
        <f>+VLOOKUP(R2244,DRAFT!A:Q,17,0)</f>
        <v>MAE</v>
      </c>
    </row>
    <row r="2245" spans="1:29">
      <c r="A2245" t="s">
        <v>382</v>
      </c>
      <c r="B2245" t="s">
        <v>440</v>
      </c>
      <c r="C2245" t="s">
        <v>1362</v>
      </c>
      <c r="D2245" t="s">
        <v>2937</v>
      </c>
      <c r="E2245" t="s">
        <v>390</v>
      </c>
      <c r="F2245" t="s">
        <v>391</v>
      </c>
      <c r="G2245">
        <v>6201092</v>
      </c>
      <c r="H2245">
        <v>202204</v>
      </c>
      <c r="I2245" s="400">
        <v>44669</v>
      </c>
      <c r="J2245" t="s">
        <v>452</v>
      </c>
      <c r="K2245" t="s">
        <v>386</v>
      </c>
      <c r="L2245" t="s">
        <v>1195</v>
      </c>
      <c r="M2245" t="s">
        <v>1196</v>
      </c>
      <c r="O2245" t="s">
        <v>1197</v>
      </c>
      <c r="P2245" t="s">
        <v>1198</v>
      </c>
      <c r="Q2245" t="s">
        <v>396</v>
      </c>
      <c r="R2245" s="458">
        <v>2265775</v>
      </c>
      <c r="S2245" t="s">
        <v>4017</v>
      </c>
      <c r="U2245" t="s">
        <v>4019</v>
      </c>
      <c r="V2245" t="s">
        <v>398</v>
      </c>
      <c r="W2245" s="393">
        <v>84000</v>
      </c>
      <c r="X2245" s="393">
        <v>22.41</v>
      </c>
      <c r="Y2245" s="393">
        <v>193.66</v>
      </c>
      <c r="Z2245" s="393">
        <v>84000</v>
      </c>
      <c r="AA2245">
        <v>0</v>
      </c>
      <c r="AB2245" s="400">
        <v>44671.917729976849</v>
      </c>
      <c r="AC2245" t="str">
        <f>+VLOOKUP(R2245,DRAFT!A:Q,17,0)</f>
        <v>MAE</v>
      </c>
    </row>
    <row r="2246" spans="1:29">
      <c r="A2246" t="s">
        <v>382</v>
      </c>
      <c r="B2246" t="s">
        <v>440</v>
      </c>
      <c r="C2246" t="s">
        <v>1362</v>
      </c>
      <c r="D2246" t="s">
        <v>1363</v>
      </c>
      <c r="E2246" t="s">
        <v>390</v>
      </c>
      <c r="F2246" t="s">
        <v>391</v>
      </c>
      <c r="G2246">
        <v>6200152</v>
      </c>
      <c r="H2246">
        <v>202201</v>
      </c>
      <c r="I2246" s="400">
        <v>44582</v>
      </c>
      <c r="J2246">
        <v>127949</v>
      </c>
      <c r="K2246" t="s">
        <v>386</v>
      </c>
      <c r="L2246">
        <v>122745</v>
      </c>
      <c r="M2246" t="s">
        <v>2939</v>
      </c>
      <c r="O2246" t="s">
        <v>512</v>
      </c>
      <c r="P2246" t="s">
        <v>513</v>
      </c>
      <c r="Q2246" t="s">
        <v>396</v>
      </c>
      <c r="R2246" s="458">
        <v>2265775</v>
      </c>
      <c r="S2246" t="s">
        <v>387</v>
      </c>
      <c r="U2246" t="s">
        <v>2940</v>
      </c>
      <c r="V2246" t="s">
        <v>398</v>
      </c>
      <c r="W2246" s="393">
        <v>1199</v>
      </c>
      <c r="X2246" s="393">
        <v>0.3</v>
      </c>
      <c r="Y2246" s="393">
        <v>2.64</v>
      </c>
      <c r="Z2246" s="393">
        <v>1199</v>
      </c>
      <c r="AA2246">
        <v>0</v>
      </c>
      <c r="AB2246" s="400">
        <v>44602.812309606481</v>
      </c>
      <c r="AC2246" t="str">
        <f>+VLOOKUP(R2246,DRAFT!A:Q,17,0)</f>
        <v>MAE</v>
      </c>
    </row>
    <row r="2247" spans="1:29">
      <c r="A2247" t="s">
        <v>382</v>
      </c>
      <c r="B2247" t="s">
        <v>440</v>
      </c>
      <c r="C2247" t="s">
        <v>1362</v>
      </c>
      <c r="D2247" t="s">
        <v>1363</v>
      </c>
      <c r="E2247" t="s">
        <v>390</v>
      </c>
      <c r="F2247" t="s">
        <v>391</v>
      </c>
      <c r="G2247">
        <v>6200178</v>
      </c>
      <c r="H2247">
        <v>202201</v>
      </c>
      <c r="I2247" s="400">
        <v>44575</v>
      </c>
      <c r="J2247">
        <v>127949</v>
      </c>
      <c r="K2247" t="s">
        <v>386</v>
      </c>
      <c r="L2247" t="s">
        <v>2941</v>
      </c>
      <c r="M2247" t="s">
        <v>2942</v>
      </c>
      <c r="O2247" t="s">
        <v>509</v>
      </c>
      <c r="P2247" t="s">
        <v>510</v>
      </c>
      <c r="Q2247" t="s">
        <v>450</v>
      </c>
      <c r="R2247" s="458">
        <v>2069083</v>
      </c>
      <c r="S2247" t="s">
        <v>387</v>
      </c>
      <c r="U2247" t="s">
        <v>2943</v>
      </c>
      <c r="V2247" t="s">
        <v>398</v>
      </c>
      <c r="W2247" s="393">
        <v>19040</v>
      </c>
      <c r="X2247" s="393">
        <v>4.8</v>
      </c>
      <c r="Y2247" s="393">
        <v>42.16</v>
      </c>
      <c r="Z2247" s="393">
        <v>19040</v>
      </c>
      <c r="AA2247">
        <v>0</v>
      </c>
      <c r="AB2247" s="400">
        <v>44603.558198726852</v>
      </c>
      <c r="AC2247" t="str">
        <f>+VLOOKUP(R2247,DRAFT!A:Q,17,0)</f>
        <v>SUPPORT</v>
      </c>
    </row>
    <row r="2248" spans="1:29">
      <c r="A2248" t="s">
        <v>382</v>
      </c>
      <c r="B2248" t="s">
        <v>440</v>
      </c>
      <c r="C2248" t="s">
        <v>1362</v>
      </c>
      <c r="D2248" t="s">
        <v>1363</v>
      </c>
      <c r="E2248" t="s">
        <v>390</v>
      </c>
      <c r="F2248" t="s">
        <v>391</v>
      </c>
      <c r="G2248">
        <v>6200178</v>
      </c>
      <c r="H2248">
        <v>202201</v>
      </c>
      <c r="I2248" s="400">
        <v>44575</v>
      </c>
      <c r="J2248">
        <v>127949</v>
      </c>
      <c r="K2248" t="s">
        <v>386</v>
      </c>
      <c r="L2248" t="s">
        <v>2941</v>
      </c>
      <c r="M2248" t="s">
        <v>2942</v>
      </c>
      <c r="O2248" t="s">
        <v>512</v>
      </c>
      <c r="P2248" t="s">
        <v>513</v>
      </c>
      <c r="Q2248" t="s">
        <v>450</v>
      </c>
      <c r="R2248" s="458">
        <v>2069083</v>
      </c>
      <c r="S2248" t="s">
        <v>2944</v>
      </c>
      <c r="U2248" t="s">
        <v>2943</v>
      </c>
      <c r="V2248" t="s">
        <v>398</v>
      </c>
      <c r="W2248" s="393">
        <v>1962</v>
      </c>
      <c r="X2248" s="393">
        <v>0.49</v>
      </c>
      <c r="Y2248" s="393">
        <v>4.34</v>
      </c>
      <c r="Z2248" s="393">
        <v>1962</v>
      </c>
      <c r="AA2248">
        <v>0</v>
      </c>
      <c r="AB2248" s="400">
        <v>44603.558198923609</v>
      </c>
      <c r="AC2248" t="str">
        <f>+VLOOKUP(R2248,DRAFT!A:Q,17,0)</f>
        <v>SUPPORT</v>
      </c>
    </row>
    <row r="2249" spans="1:29">
      <c r="A2249" t="s">
        <v>382</v>
      </c>
      <c r="B2249" t="s">
        <v>1214</v>
      </c>
      <c r="C2249" t="s">
        <v>1362</v>
      </c>
      <c r="D2249" t="s">
        <v>1363</v>
      </c>
      <c r="E2249" t="s">
        <v>2565</v>
      </c>
      <c r="F2249" t="s">
        <v>2566</v>
      </c>
      <c r="G2249">
        <v>22200007</v>
      </c>
      <c r="H2249">
        <v>202201</v>
      </c>
      <c r="I2249" s="400">
        <v>44580</v>
      </c>
      <c r="J2249" t="s">
        <v>2567</v>
      </c>
      <c r="K2249" t="s">
        <v>386</v>
      </c>
      <c r="L2249" t="s">
        <v>2420</v>
      </c>
      <c r="M2249" t="s">
        <v>2421</v>
      </c>
      <c r="O2249" t="s">
        <v>2948</v>
      </c>
      <c r="P2249" t="s">
        <v>2949</v>
      </c>
      <c r="Q2249" t="s">
        <v>396</v>
      </c>
      <c r="R2249" s="458">
        <v>2265775</v>
      </c>
      <c r="S2249" t="s">
        <v>387</v>
      </c>
      <c r="U2249" t="s">
        <v>2950</v>
      </c>
      <c r="V2249" t="s">
        <v>398</v>
      </c>
      <c r="W2249" s="393">
        <v>1453</v>
      </c>
      <c r="X2249" s="393">
        <v>0.37</v>
      </c>
      <c r="Y2249" s="393">
        <v>3.22</v>
      </c>
      <c r="Z2249" s="393">
        <v>1453</v>
      </c>
      <c r="AA2249">
        <v>0</v>
      </c>
      <c r="AB2249" s="400">
        <v>44594.703216516202</v>
      </c>
      <c r="AC2249" t="str">
        <f>+VLOOKUP(R2249,DRAFT!A:Q,17,0)</f>
        <v>MAE</v>
      </c>
    </row>
    <row r="2250" spans="1:29">
      <c r="A2250" t="s">
        <v>382</v>
      </c>
      <c r="B2250" t="s">
        <v>1214</v>
      </c>
      <c r="C2250" t="s">
        <v>1362</v>
      </c>
      <c r="D2250" t="s">
        <v>1363</v>
      </c>
      <c r="E2250" t="s">
        <v>2565</v>
      </c>
      <c r="F2250" t="s">
        <v>2566</v>
      </c>
      <c r="G2250">
        <v>22200006</v>
      </c>
      <c r="H2250">
        <v>202201</v>
      </c>
      <c r="I2250" s="400">
        <v>44611</v>
      </c>
      <c r="J2250" t="s">
        <v>2567</v>
      </c>
      <c r="K2250" t="s">
        <v>386</v>
      </c>
      <c r="L2250" t="s">
        <v>2420</v>
      </c>
      <c r="M2250" t="s">
        <v>2421</v>
      </c>
      <c r="O2250" t="s">
        <v>2948</v>
      </c>
      <c r="P2250" t="s">
        <v>2949</v>
      </c>
      <c r="Q2250" t="s">
        <v>396</v>
      </c>
      <c r="R2250" s="458">
        <v>2265775</v>
      </c>
      <c r="S2250" t="s">
        <v>387</v>
      </c>
      <c r="U2250" t="s">
        <v>2952</v>
      </c>
      <c r="V2250" t="s">
        <v>398</v>
      </c>
      <c r="W2250" s="393">
        <v>-1453</v>
      </c>
      <c r="X2250" s="393">
        <v>-0.36</v>
      </c>
      <c r="Y2250" s="393">
        <v>-3.23</v>
      </c>
      <c r="Z2250" s="393">
        <v>-1453</v>
      </c>
      <c r="AA2250">
        <v>0</v>
      </c>
      <c r="AB2250" s="400">
        <v>44594.695712418979</v>
      </c>
      <c r="AC2250" t="str">
        <f>+VLOOKUP(R2250,DRAFT!A:Q,17,0)</f>
        <v>MAE</v>
      </c>
    </row>
    <row r="2251" spans="1:29">
      <c r="A2251" t="s">
        <v>382</v>
      </c>
      <c r="B2251" t="s">
        <v>1214</v>
      </c>
      <c r="C2251" t="s">
        <v>1362</v>
      </c>
      <c r="D2251" t="s">
        <v>1363</v>
      </c>
      <c r="E2251" t="s">
        <v>2565</v>
      </c>
      <c r="F2251" t="s">
        <v>2566</v>
      </c>
      <c r="G2251">
        <v>22200007</v>
      </c>
      <c r="H2251">
        <v>202201</v>
      </c>
      <c r="I2251" s="400">
        <v>44580</v>
      </c>
      <c r="J2251" t="s">
        <v>2567</v>
      </c>
      <c r="K2251" t="s">
        <v>386</v>
      </c>
      <c r="L2251" t="s">
        <v>2420</v>
      </c>
      <c r="M2251" t="s">
        <v>2421</v>
      </c>
      <c r="O2251" t="s">
        <v>2945</v>
      </c>
      <c r="P2251" t="s">
        <v>2946</v>
      </c>
      <c r="Q2251" t="s">
        <v>396</v>
      </c>
      <c r="R2251" s="458">
        <v>2265775</v>
      </c>
      <c r="S2251" t="s">
        <v>387</v>
      </c>
      <c r="U2251" t="s">
        <v>2953</v>
      </c>
      <c r="V2251" t="s">
        <v>398</v>
      </c>
      <c r="W2251" s="393">
        <v>1852</v>
      </c>
      <c r="X2251" s="393">
        <v>0.47</v>
      </c>
      <c r="Y2251" s="393">
        <v>4.0999999999999996</v>
      </c>
      <c r="Z2251" s="393">
        <v>1852</v>
      </c>
      <c r="AA2251">
        <v>0</v>
      </c>
      <c r="AB2251" s="400">
        <v>44594.703216666669</v>
      </c>
      <c r="AC2251" t="str">
        <f>+VLOOKUP(R2251,DRAFT!A:Q,17,0)</f>
        <v>MAE</v>
      </c>
    </row>
    <row r="2252" spans="1:29">
      <c r="A2252" t="s">
        <v>382</v>
      </c>
      <c r="B2252" t="s">
        <v>1214</v>
      </c>
      <c r="C2252" t="s">
        <v>1362</v>
      </c>
      <c r="D2252" t="s">
        <v>1363</v>
      </c>
      <c r="E2252" t="s">
        <v>2565</v>
      </c>
      <c r="F2252" t="s">
        <v>2566</v>
      </c>
      <c r="G2252">
        <v>22200006</v>
      </c>
      <c r="H2252">
        <v>202201</v>
      </c>
      <c r="I2252" s="400">
        <v>44611</v>
      </c>
      <c r="J2252" t="s">
        <v>2567</v>
      </c>
      <c r="K2252" t="s">
        <v>386</v>
      </c>
      <c r="L2252" t="s">
        <v>2420</v>
      </c>
      <c r="M2252" t="s">
        <v>2421</v>
      </c>
      <c r="O2252" t="s">
        <v>2945</v>
      </c>
      <c r="P2252" t="s">
        <v>2946</v>
      </c>
      <c r="Q2252" t="s">
        <v>396</v>
      </c>
      <c r="R2252" s="458">
        <v>2265775</v>
      </c>
      <c r="S2252" t="s">
        <v>387</v>
      </c>
      <c r="U2252" t="s">
        <v>2947</v>
      </c>
      <c r="V2252" t="s">
        <v>398</v>
      </c>
      <c r="W2252" s="393">
        <v>-1852</v>
      </c>
      <c r="X2252" s="393">
        <v>-0.46</v>
      </c>
      <c r="Y2252" s="393">
        <v>-4.12</v>
      </c>
      <c r="Z2252" s="393">
        <v>-1852</v>
      </c>
      <c r="AA2252">
        <v>0</v>
      </c>
      <c r="AB2252" s="400">
        <v>44594.695712071756</v>
      </c>
      <c r="AC2252" t="str">
        <f>+VLOOKUP(R2252,DRAFT!A:Q,17,0)</f>
        <v>MAE</v>
      </c>
    </row>
    <row r="2253" spans="1:29">
      <c r="A2253" t="s">
        <v>382</v>
      </c>
      <c r="B2253" t="s">
        <v>440</v>
      </c>
      <c r="C2253" t="s">
        <v>1362</v>
      </c>
      <c r="D2253" t="s">
        <v>1363</v>
      </c>
      <c r="E2253" t="s">
        <v>390</v>
      </c>
      <c r="F2253" t="s">
        <v>391</v>
      </c>
      <c r="G2253">
        <v>6200129</v>
      </c>
      <c r="H2253">
        <v>202201</v>
      </c>
      <c r="I2253" s="400">
        <v>44579</v>
      </c>
      <c r="J2253">
        <v>127949</v>
      </c>
      <c r="K2253" t="s">
        <v>386</v>
      </c>
      <c r="L2253" t="s">
        <v>2420</v>
      </c>
      <c r="M2253" t="s">
        <v>2421</v>
      </c>
      <c r="O2253" t="s">
        <v>1367</v>
      </c>
      <c r="P2253" t="s">
        <v>1368</v>
      </c>
      <c r="Q2253" t="s">
        <v>396</v>
      </c>
      <c r="R2253" s="458">
        <v>2265776</v>
      </c>
      <c r="S2253" t="s">
        <v>387</v>
      </c>
      <c r="U2253" t="s">
        <v>2951</v>
      </c>
      <c r="V2253" t="s">
        <v>398</v>
      </c>
      <c r="W2253" s="393">
        <v>26000</v>
      </c>
      <c r="X2253" s="393">
        <v>6.55</v>
      </c>
      <c r="Y2253" s="393">
        <v>57.57</v>
      </c>
      <c r="Z2253" s="393">
        <v>26000</v>
      </c>
      <c r="AA2253">
        <v>0</v>
      </c>
      <c r="AB2253" s="400">
        <v>44602.256734571762</v>
      </c>
      <c r="AC2253" t="str">
        <f>+VLOOKUP(R2253,DRAFT!A:Q,17,0)</f>
        <v>MAE</v>
      </c>
    </row>
    <row r="2254" spans="1:29">
      <c r="A2254" t="s">
        <v>382</v>
      </c>
      <c r="B2254" t="s">
        <v>440</v>
      </c>
      <c r="C2254" t="s">
        <v>1362</v>
      </c>
      <c r="D2254" t="s">
        <v>1363</v>
      </c>
      <c r="E2254" t="s">
        <v>390</v>
      </c>
      <c r="F2254" t="s">
        <v>391</v>
      </c>
      <c r="G2254">
        <v>6200129</v>
      </c>
      <c r="H2254">
        <v>202201</v>
      </c>
      <c r="I2254" s="400">
        <v>44579</v>
      </c>
      <c r="J2254">
        <v>127949</v>
      </c>
      <c r="K2254" t="s">
        <v>386</v>
      </c>
      <c r="L2254" t="s">
        <v>2420</v>
      </c>
      <c r="M2254" t="s">
        <v>2421</v>
      </c>
      <c r="O2254" t="s">
        <v>512</v>
      </c>
      <c r="P2254" t="s">
        <v>513</v>
      </c>
      <c r="Q2254" t="s">
        <v>396</v>
      </c>
      <c r="R2254" s="458">
        <v>2265776</v>
      </c>
      <c r="S2254" t="s">
        <v>387</v>
      </c>
      <c r="U2254" t="s">
        <v>2951</v>
      </c>
      <c r="V2254" t="s">
        <v>398</v>
      </c>
      <c r="W2254" s="393">
        <v>3037</v>
      </c>
      <c r="X2254" s="393">
        <v>0.76</v>
      </c>
      <c r="Y2254" s="393">
        <v>6.72</v>
      </c>
      <c r="Z2254" s="393">
        <v>3037</v>
      </c>
      <c r="AA2254">
        <v>0</v>
      </c>
      <c r="AB2254" s="400">
        <v>44602.256734756942</v>
      </c>
      <c r="AC2254" t="str">
        <f>+VLOOKUP(R2254,DRAFT!A:Q,17,0)</f>
        <v>MAE</v>
      </c>
    </row>
    <row r="2255" spans="1:29">
      <c r="A2255" t="s">
        <v>382</v>
      </c>
      <c r="B2255" t="s">
        <v>1214</v>
      </c>
      <c r="C2255" t="s">
        <v>1362</v>
      </c>
      <c r="D2255" t="s">
        <v>1363</v>
      </c>
      <c r="E2255" t="s">
        <v>2565</v>
      </c>
      <c r="F2255" t="s">
        <v>2566</v>
      </c>
      <c r="G2255">
        <v>22200005</v>
      </c>
      <c r="H2255">
        <v>202201</v>
      </c>
      <c r="I2255" s="400">
        <v>44611</v>
      </c>
      <c r="J2255" t="s">
        <v>2567</v>
      </c>
      <c r="K2255" t="s">
        <v>386</v>
      </c>
      <c r="L2255" t="s">
        <v>2420</v>
      </c>
      <c r="M2255" t="s">
        <v>2421</v>
      </c>
      <c r="O2255" t="s">
        <v>2948</v>
      </c>
      <c r="P2255" t="s">
        <v>2949</v>
      </c>
      <c r="Q2255" t="s">
        <v>396</v>
      </c>
      <c r="R2255" s="458">
        <v>2265775</v>
      </c>
      <c r="S2255" t="s">
        <v>387</v>
      </c>
      <c r="U2255" t="s">
        <v>2950</v>
      </c>
      <c r="V2255" t="s">
        <v>398</v>
      </c>
      <c r="W2255" s="393">
        <v>1453</v>
      </c>
      <c r="X2255" s="393">
        <v>0.36</v>
      </c>
      <c r="Y2255" s="393">
        <v>3.23</v>
      </c>
      <c r="Z2255" s="393">
        <v>1453</v>
      </c>
      <c r="AA2255">
        <v>0</v>
      </c>
      <c r="AB2255" s="400">
        <v>44594.669841631941</v>
      </c>
      <c r="AC2255" t="str">
        <f>+VLOOKUP(R2255,DRAFT!A:Q,17,0)</f>
        <v>MAE</v>
      </c>
    </row>
    <row r="2256" spans="1:29">
      <c r="A2256" t="s">
        <v>382</v>
      </c>
      <c r="B2256" t="s">
        <v>1214</v>
      </c>
      <c r="C2256" t="s">
        <v>1362</v>
      </c>
      <c r="D2256" t="s">
        <v>1363</v>
      </c>
      <c r="E2256" t="s">
        <v>2565</v>
      </c>
      <c r="F2256" t="s">
        <v>2566</v>
      </c>
      <c r="G2256">
        <v>22200005</v>
      </c>
      <c r="H2256">
        <v>202201</v>
      </c>
      <c r="I2256" s="400">
        <v>44611</v>
      </c>
      <c r="J2256" t="s">
        <v>2567</v>
      </c>
      <c r="K2256" t="s">
        <v>386</v>
      </c>
      <c r="L2256" t="s">
        <v>2420</v>
      </c>
      <c r="M2256" t="s">
        <v>2421</v>
      </c>
      <c r="O2256" t="s">
        <v>2945</v>
      </c>
      <c r="P2256" t="s">
        <v>2946</v>
      </c>
      <c r="Q2256" t="s">
        <v>396</v>
      </c>
      <c r="R2256" s="458">
        <v>2265775</v>
      </c>
      <c r="S2256" t="s">
        <v>387</v>
      </c>
      <c r="U2256" t="s">
        <v>2953</v>
      </c>
      <c r="V2256" t="s">
        <v>398</v>
      </c>
      <c r="W2256" s="393">
        <v>1852</v>
      </c>
      <c r="X2256" s="393">
        <v>0.46</v>
      </c>
      <c r="Y2256" s="393">
        <v>4.12</v>
      </c>
      <c r="Z2256" s="393">
        <v>1852</v>
      </c>
      <c r="AA2256">
        <v>0</v>
      </c>
      <c r="AB2256" s="400">
        <v>44594.669842013885</v>
      </c>
      <c r="AC2256" t="str">
        <f>+VLOOKUP(R2256,DRAFT!A:Q,17,0)</f>
        <v>MAE</v>
      </c>
    </row>
    <row r="2257" spans="1:29">
      <c r="A2257" t="s">
        <v>382</v>
      </c>
      <c r="B2257" t="s">
        <v>440</v>
      </c>
      <c r="C2257" t="s">
        <v>1362</v>
      </c>
      <c r="D2257" t="s">
        <v>1363</v>
      </c>
      <c r="E2257" t="s">
        <v>390</v>
      </c>
      <c r="F2257" t="s">
        <v>391</v>
      </c>
      <c r="G2257">
        <v>6200286</v>
      </c>
      <c r="H2257">
        <v>202202</v>
      </c>
      <c r="I2257" s="400">
        <v>44593</v>
      </c>
      <c r="J2257">
        <v>127949</v>
      </c>
      <c r="K2257" t="s">
        <v>386</v>
      </c>
      <c r="L2257">
        <v>119010</v>
      </c>
      <c r="M2257" t="s">
        <v>1158</v>
      </c>
      <c r="O2257" t="s">
        <v>509</v>
      </c>
      <c r="P2257" t="s">
        <v>510</v>
      </c>
      <c r="Q2257" t="s">
        <v>450</v>
      </c>
      <c r="R2257" s="458">
        <v>2069083</v>
      </c>
      <c r="S2257" t="s">
        <v>387</v>
      </c>
      <c r="U2257" t="s">
        <v>2954</v>
      </c>
      <c r="V2257" t="s">
        <v>398</v>
      </c>
      <c r="W2257" s="393">
        <v>16520</v>
      </c>
      <c r="X2257" s="393">
        <v>4.13</v>
      </c>
      <c r="Y2257" s="393">
        <v>36.75</v>
      </c>
      <c r="Z2257" s="393">
        <v>16520</v>
      </c>
      <c r="AA2257">
        <v>0</v>
      </c>
      <c r="AB2257" s="400">
        <v>44623.766392129626</v>
      </c>
      <c r="AC2257" t="str">
        <f>+VLOOKUP(R2257,DRAFT!A:Q,17,0)</f>
        <v>SUPPORT</v>
      </c>
    </row>
    <row r="2258" spans="1:29">
      <c r="A2258" t="s">
        <v>382</v>
      </c>
      <c r="B2258" t="s">
        <v>440</v>
      </c>
      <c r="C2258" t="s">
        <v>1362</v>
      </c>
      <c r="D2258" t="s">
        <v>1363</v>
      </c>
      <c r="E2258" t="s">
        <v>390</v>
      </c>
      <c r="F2258" t="s">
        <v>391</v>
      </c>
      <c r="G2258">
        <v>6200286</v>
      </c>
      <c r="H2258">
        <v>202202</v>
      </c>
      <c r="I2258" s="400">
        <v>44593</v>
      </c>
      <c r="J2258">
        <v>127949</v>
      </c>
      <c r="K2258" t="s">
        <v>386</v>
      </c>
      <c r="L2258">
        <v>119010</v>
      </c>
      <c r="M2258" t="s">
        <v>1158</v>
      </c>
      <c r="O2258" t="s">
        <v>512</v>
      </c>
      <c r="P2258" t="s">
        <v>513</v>
      </c>
      <c r="Q2258" t="s">
        <v>450</v>
      </c>
      <c r="R2258" s="458">
        <v>2069083</v>
      </c>
      <c r="S2258" t="s">
        <v>387</v>
      </c>
      <c r="U2258" t="s">
        <v>2954</v>
      </c>
      <c r="V2258" t="s">
        <v>398</v>
      </c>
      <c r="W2258" s="393">
        <v>1962</v>
      </c>
      <c r="X2258" s="393">
        <v>0.49</v>
      </c>
      <c r="Y2258" s="393">
        <v>4.3600000000000003</v>
      </c>
      <c r="Z2258" s="393">
        <v>1962</v>
      </c>
      <c r="AA2258">
        <v>0</v>
      </c>
      <c r="AB2258" s="400">
        <v>44623.766392129626</v>
      </c>
      <c r="AC2258" t="str">
        <f>+VLOOKUP(R2258,DRAFT!A:Q,17,0)</f>
        <v>SUPPORT</v>
      </c>
    </row>
    <row r="2259" spans="1:29">
      <c r="A2259" t="s">
        <v>382</v>
      </c>
      <c r="B2259" t="s">
        <v>440</v>
      </c>
      <c r="C2259" t="s">
        <v>1362</v>
      </c>
      <c r="D2259" t="s">
        <v>1363</v>
      </c>
      <c r="E2259" t="s">
        <v>390</v>
      </c>
      <c r="F2259" t="s">
        <v>391</v>
      </c>
      <c r="G2259">
        <v>6200293</v>
      </c>
      <c r="H2259">
        <v>202202</v>
      </c>
      <c r="I2259" s="400">
        <v>44594</v>
      </c>
      <c r="J2259">
        <v>127949</v>
      </c>
      <c r="K2259" t="s">
        <v>386</v>
      </c>
      <c r="L2259" t="s">
        <v>1175</v>
      </c>
      <c r="M2259" t="s">
        <v>1176</v>
      </c>
      <c r="O2259" t="s">
        <v>2915</v>
      </c>
      <c r="P2259" t="s">
        <v>2916</v>
      </c>
      <c r="Q2259" t="s">
        <v>450</v>
      </c>
      <c r="R2259" s="458">
        <v>2069083</v>
      </c>
      <c r="S2259" t="s">
        <v>387</v>
      </c>
      <c r="U2259" t="s">
        <v>2955</v>
      </c>
      <c r="V2259" t="s">
        <v>398</v>
      </c>
      <c r="W2259" s="393">
        <v>36000</v>
      </c>
      <c r="X2259" s="393">
        <v>8.99</v>
      </c>
      <c r="Y2259" s="393">
        <v>80.08</v>
      </c>
      <c r="Z2259" s="393">
        <v>36000</v>
      </c>
      <c r="AA2259">
        <v>0</v>
      </c>
      <c r="AB2259" s="400">
        <v>44623.807527349534</v>
      </c>
      <c r="AC2259" t="str">
        <f>+VLOOKUP(R2259,DRAFT!A:Q,17,0)</f>
        <v>SUPPORT</v>
      </c>
    </row>
    <row r="2260" spans="1:29">
      <c r="A2260" t="s">
        <v>382</v>
      </c>
      <c r="B2260" t="s">
        <v>440</v>
      </c>
      <c r="C2260" t="s">
        <v>1362</v>
      </c>
      <c r="D2260" t="s">
        <v>1363</v>
      </c>
      <c r="E2260" t="s">
        <v>390</v>
      </c>
      <c r="F2260" t="s">
        <v>391</v>
      </c>
      <c r="G2260">
        <v>6200293</v>
      </c>
      <c r="H2260">
        <v>202202</v>
      </c>
      <c r="I2260" s="400">
        <v>44594</v>
      </c>
      <c r="J2260">
        <v>127949</v>
      </c>
      <c r="K2260" t="s">
        <v>386</v>
      </c>
      <c r="L2260" t="s">
        <v>1175</v>
      </c>
      <c r="M2260" t="s">
        <v>1176</v>
      </c>
      <c r="O2260" t="s">
        <v>512</v>
      </c>
      <c r="P2260" t="s">
        <v>513</v>
      </c>
      <c r="Q2260" t="s">
        <v>450</v>
      </c>
      <c r="R2260" s="458">
        <v>2069083</v>
      </c>
      <c r="S2260" t="s">
        <v>387</v>
      </c>
      <c r="U2260" t="s">
        <v>2955</v>
      </c>
      <c r="V2260" t="s">
        <v>398</v>
      </c>
      <c r="W2260" s="393">
        <v>3037</v>
      </c>
      <c r="X2260" s="393">
        <v>0.76</v>
      </c>
      <c r="Y2260" s="393">
        <v>6.76</v>
      </c>
      <c r="Z2260" s="393">
        <v>3037</v>
      </c>
      <c r="AA2260">
        <v>0</v>
      </c>
      <c r="AB2260" s="400">
        <v>44623.807527546298</v>
      </c>
      <c r="AC2260" t="str">
        <f>+VLOOKUP(R2260,DRAFT!A:Q,17,0)</f>
        <v>SUPPORT</v>
      </c>
    </row>
    <row r="2261" spans="1:29">
      <c r="A2261" t="s">
        <v>382</v>
      </c>
      <c r="B2261" t="s">
        <v>440</v>
      </c>
      <c r="C2261" t="s">
        <v>1362</v>
      </c>
      <c r="D2261" t="s">
        <v>1363</v>
      </c>
      <c r="E2261" t="s">
        <v>390</v>
      </c>
      <c r="F2261" t="s">
        <v>391</v>
      </c>
      <c r="G2261">
        <v>6200372</v>
      </c>
      <c r="H2261">
        <v>202202</v>
      </c>
      <c r="I2261" s="400">
        <v>44600</v>
      </c>
      <c r="J2261">
        <v>127949</v>
      </c>
      <c r="K2261" t="s">
        <v>386</v>
      </c>
      <c r="L2261" t="s">
        <v>2420</v>
      </c>
      <c r="M2261" t="s">
        <v>2421</v>
      </c>
      <c r="O2261" t="s">
        <v>1367</v>
      </c>
      <c r="P2261" t="s">
        <v>1368</v>
      </c>
      <c r="Q2261" t="s">
        <v>396</v>
      </c>
      <c r="R2261" s="458">
        <v>2265775</v>
      </c>
      <c r="S2261" t="s">
        <v>2956</v>
      </c>
      <c r="U2261" t="s">
        <v>2957</v>
      </c>
      <c r="V2261" t="s">
        <v>398</v>
      </c>
      <c r="W2261" s="393">
        <v>53550</v>
      </c>
      <c r="X2261" s="393">
        <v>13.63</v>
      </c>
      <c r="Y2261" s="393">
        <v>120.56</v>
      </c>
      <c r="Z2261" s="393">
        <v>53550</v>
      </c>
      <c r="AA2261">
        <v>0</v>
      </c>
      <c r="AB2261" s="400">
        <v>44626.916603668978</v>
      </c>
      <c r="AC2261" t="str">
        <f>+VLOOKUP(R2261,DRAFT!A:Q,17,0)</f>
        <v>MAE</v>
      </c>
    </row>
    <row r="2262" spans="1:29">
      <c r="A2262" t="s">
        <v>382</v>
      </c>
      <c r="B2262" t="s">
        <v>440</v>
      </c>
      <c r="C2262" t="s">
        <v>1362</v>
      </c>
      <c r="D2262" t="s">
        <v>1363</v>
      </c>
      <c r="E2262" t="s">
        <v>390</v>
      </c>
      <c r="F2262" t="s">
        <v>391</v>
      </c>
      <c r="G2262">
        <v>6200372</v>
      </c>
      <c r="H2262">
        <v>202202</v>
      </c>
      <c r="I2262" s="400">
        <v>44600</v>
      </c>
      <c r="J2262">
        <v>127949</v>
      </c>
      <c r="K2262" t="s">
        <v>386</v>
      </c>
      <c r="L2262" t="s">
        <v>2420</v>
      </c>
      <c r="M2262" t="s">
        <v>2421</v>
      </c>
      <c r="O2262" t="s">
        <v>512</v>
      </c>
      <c r="P2262" t="s">
        <v>513</v>
      </c>
      <c r="Q2262" t="s">
        <v>396</v>
      </c>
      <c r="R2262" s="458">
        <v>2265775</v>
      </c>
      <c r="S2262" t="s">
        <v>2956</v>
      </c>
      <c r="U2262" t="s">
        <v>2957</v>
      </c>
      <c r="V2262" t="s">
        <v>398</v>
      </c>
      <c r="W2262" s="393">
        <v>1962</v>
      </c>
      <c r="X2262" s="393">
        <v>0.5</v>
      </c>
      <c r="Y2262" s="393">
        <v>4.42</v>
      </c>
      <c r="Z2262" s="393">
        <v>1962</v>
      </c>
      <c r="AA2262">
        <v>0</v>
      </c>
      <c r="AB2262" s="400">
        <v>44626.916603668978</v>
      </c>
      <c r="AC2262" t="str">
        <f>+VLOOKUP(R2262,DRAFT!A:Q,17,0)</f>
        <v>MAE</v>
      </c>
    </row>
    <row r="2263" spans="1:29">
      <c r="A2263" t="s">
        <v>382</v>
      </c>
      <c r="B2263" t="s">
        <v>440</v>
      </c>
      <c r="C2263" t="s">
        <v>1362</v>
      </c>
      <c r="D2263" t="s">
        <v>1363</v>
      </c>
      <c r="E2263" t="s">
        <v>390</v>
      </c>
      <c r="F2263" t="s">
        <v>391</v>
      </c>
      <c r="G2263">
        <v>6200476</v>
      </c>
      <c r="H2263">
        <v>202202</v>
      </c>
      <c r="I2263" s="400">
        <v>44615</v>
      </c>
      <c r="J2263">
        <v>122536</v>
      </c>
      <c r="K2263" t="s">
        <v>386</v>
      </c>
      <c r="L2263" t="s">
        <v>2420</v>
      </c>
      <c r="M2263" t="s">
        <v>2421</v>
      </c>
      <c r="O2263" t="s">
        <v>1367</v>
      </c>
      <c r="P2263" t="s">
        <v>1368</v>
      </c>
      <c r="Q2263" t="s">
        <v>396</v>
      </c>
      <c r="R2263" s="458">
        <v>2265775</v>
      </c>
      <c r="S2263" t="s">
        <v>387</v>
      </c>
      <c r="U2263" t="s">
        <v>2958</v>
      </c>
      <c r="V2263" t="s">
        <v>398</v>
      </c>
      <c r="W2263" s="393">
        <v>47550</v>
      </c>
      <c r="X2263" s="393">
        <v>12</v>
      </c>
      <c r="Y2263" s="393">
        <v>106.98</v>
      </c>
      <c r="Z2263" s="393">
        <v>47550</v>
      </c>
      <c r="AA2263">
        <v>0</v>
      </c>
      <c r="AB2263" s="400">
        <v>44628.616604317132</v>
      </c>
      <c r="AC2263" t="str">
        <f>+VLOOKUP(R2263,DRAFT!A:Q,17,0)</f>
        <v>MAE</v>
      </c>
    </row>
    <row r="2264" spans="1:29">
      <c r="A2264" t="s">
        <v>382</v>
      </c>
      <c r="B2264" t="s">
        <v>440</v>
      </c>
      <c r="C2264" t="s">
        <v>1362</v>
      </c>
      <c r="D2264" t="s">
        <v>1363</v>
      </c>
      <c r="E2264" t="s">
        <v>390</v>
      </c>
      <c r="F2264" t="s">
        <v>391</v>
      </c>
      <c r="G2264">
        <v>6200476</v>
      </c>
      <c r="H2264">
        <v>202202</v>
      </c>
      <c r="I2264" s="400">
        <v>44615</v>
      </c>
      <c r="J2264">
        <v>122536</v>
      </c>
      <c r="K2264" t="s">
        <v>386</v>
      </c>
      <c r="L2264" t="s">
        <v>2420</v>
      </c>
      <c r="M2264" t="s">
        <v>2421</v>
      </c>
      <c r="O2264" t="s">
        <v>512</v>
      </c>
      <c r="P2264" t="s">
        <v>513</v>
      </c>
      <c r="Q2264" t="s">
        <v>396</v>
      </c>
      <c r="R2264" s="458">
        <v>2265775</v>
      </c>
      <c r="S2264" t="s">
        <v>2959</v>
      </c>
      <c r="U2264" t="s">
        <v>2958</v>
      </c>
      <c r="V2264" t="s">
        <v>398</v>
      </c>
      <c r="W2264" s="393">
        <v>1962</v>
      </c>
      <c r="X2264" s="393">
        <v>0.49</v>
      </c>
      <c r="Y2264" s="393">
        <v>4.41</v>
      </c>
      <c r="Z2264" s="393">
        <v>1962</v>
      </c>
      <c r="AA2264">
        <v>0</v>
      </c>
      <c r="AB2264" s="400">
        <v>44628.616604317132</v>
      </c>
      <c r="AC2264" t="str">
        <f>+VLOOKUP(R2264,DRAFT!A:Q,17,0)</f>
        <v>MAE</v>
      </c>
    </row>
    <row r="2265" spans="1:29">
      <c r="A2265" t="s">
        <v>382</v>
      </c>
      <c r="B2265" t="s">
        <v>440</v>
      </c>
      <c r="C2265" t="s">
        <v>1362</v>
      </c>
      <c r="D2265" t="s">
        <v>1363</v>
      </c>
      <c r="E2265" t="s">
        <v>390</v>
      </c>
      <c r="F2265" t="s">
        <v>391</v>
      </c>
      <c r="G2265">
        <v>6200283</v>
      </c>
      <c r="H2265">
        <v>202202</v>
      </c>
      <c r="I2265" s="400">
        <v>44593</v>
      </c>
      <c r="J2265">
        <v>127949</v>
      </c>
      <c r="K2265" t="s">
        <v>386</v>
      </c>
      <c r="L2265" t="s">
        <v>1191</v>
      </c>
      <c r="M2265" t="s">
        <v>1192</v>
      </c>
      <c r="O2265" t="s">
        <v>509</v>
      </c>
      <c r="P2265" t="s">
        <v>510</v>
      </c>
      <c r="Q2265" t="s">
        <v>450</v>
      </c>
      <c r="R2265" s="458">
        <v>2069083</v>
      </c>
      <c r="S2265" t="s">
        <v>387</v>
      </c>
      <c r="U2265" t="s">
        <v>2960</v>
      </c>
      <c r="V2265" t="s">
        <v>398</v>
      </c>
      <c r="W2265" s="393">
        <v>6550</v>
      </c>
      <c r="X2265" s="393">
        <v>1.64</v>
      </c>
      <c r="Y2265" s="393">
        <v>14.57</v>
      </c>
      <c r="Z2265" s="393">
        <v>6550</v>
      </c>
      <c r="AA2265">
        <v>0</v>
      </c>
      <c r="AB2265" s="400">
        <v>44623.741473877315</v>
      </c>
      <c r="AC2265" t="str">
        <f>+VLOOKUP(R2265,DRAFT!A:Q,17,0)</f>
        <v>SUPPORT</v>
      </c>
    </row>
    <row r="2266" spans="1:29">
      <c r="A2266" t="s">
        <v>382</v>
      </c>
      <c r="B2266" t="s">
        <v>440</v>
      </c>
      <c r="C2266" t="s">
        <v>1362</v>
      </c>
      <c r="D2266" t="s">
        <v>1363</v>
      </c>
      <c r="E2266" t="s">
        <v>390</v>
      </c>
      <c r="F2266" t="s">
        <v>391</v>
      </c>
      <c r="G2266">
        <v>6200283</v>
      </c>
      <c r="H2266">
        <v>202202</v>
      </c>
      <c r="I2266" s="400">
        <v>44593</v>
      </c>
      <c r="J2266">
        <v>127949</v>
      </c>
      <c r="K2266" t="s">
        <v>386</v>
      </c>
      <c r="L2266" t="s">
        <v>1191</v>
      </c>
      <c r="M2266" t="s">
        <v>1192</v>
      </c>
      <c r="O2266" t="s">
        <v>512</v>
      </c>
      <c r="P2266" t="s">
        <v>513</v>
      </c>
      <c r="Q2266" t="s">
        <v>450</v>
      </c>
      <c r="R2266" s="458">
        <v>2069083</v>
      </c>
      <c r="S2266" t="s">
        <v>387</v>
      </c>
      <c r="U2266" t="s">
        <v>2960</v>
      </c>
      <c r="V2266" t="s">
        <v>398</v>
      </c>
      <c r="W2266" s="393">
        <v>795</v>
      </c>
      <c r="X2266" s="393">
        <v>0.2</v>
      </c>
      <c r="Y2266" s="393">
        <v>1.77</v>
      </c>
      <c r="Z2266" s="393">
        <v>795</v>
      </c>
      <c r="AA2266">
        <v>0</v>
      </c>
      <c r="AB2266" s="400">
        <v>44623.741473877315</v>
      </c>
      <c r="AC2266" t="str">
        <f>+VLOOKUP(R2266,DRAFT!A:Q,17,0)</f>
        <v>SUPPORT</v>
      </c>
    </row>
    <row r="2267" spans="1:29">
      <c r="A2267" t="s">
        <v>382</v>
      </c>
      <c r="B2267" t="s">
        <v>440</v>
      </c>
      <c r="C2267" t="s">
        <v>1362</v>
      </c>
      <c r="D2267" t="s">
        <v>1363</v>
      </c>
      <c r="E2267" t="s">
        <v>390</v>
      </c>
      <c r="F2267" t="s">
        <v>391</v>
      </c>
      <c r="G2267">
        <v>6200314</v>
      </c>
      <c r="H2267">
        <v>202202</v>
      </c>
      <c r="I2267" s="400">
        <v>44594</v>
      </c>
      <c r="J2267">
        <v>127949</v>
      </c>
      <c r="K2267" t="s">
        <v>386</v>
      </c>
      <c r="L2267" t="s">
        <v>1191</v>
      </c>
      <c r="M2267" t="s">
        <v>1192</v>
      </c>
      <c r="O2267" t="s">
        <v>1367</v>
      </c>
      <c r="P2267" t="s">
        <v>1368</v>
      </c>
      <c r="Q2267" t="s">
        <v>450</v>
      </c>
      <c r="R2267" s="458">
        <v>2069083</v>
      </c>
      <c r="S2267" t="s">
        <v>387</v>
      </c>
      <c r="U2267" t="s">
        <v>2961</v>
      </c>
      <c r="V2267" t="s">
        <v>398</v>
      </c>
      <c r="W2267" s="393">
        <v>9000</v>
      </c>
      <c r="X2267" s="393">
        <v>2.25</v>
      </c>
      <c r="Y2267" s="393">
        <v>20.02</v>
      </c>
      <c r="Z2267" s="393">
        <v>9000</v>
      </c>
      <c r="AA2267">
        <v>0</v>
      </c>
      <c r="AB2267" s="400">
        <v>44624.112751504632</v>
      </c>
      <c r="AC2267" t="str">
        <f>+VLOOKUP(R2267,DRAFT!A:Q,17,0)</f>
        <v>SUPPORT</v>
      </c>
    </row>
    <row r="2268" spans="1:29">
      <c r="A2268" t="s">
        <v>382</v>
      </c>
      <c r="B2268" t="s">
        <v>440</v>
      </c>
      <c r="C2268" t="s">
        <v>1362</v>
      </c>
      <c r="D2268" t="s">
        <v>1363</v>
      </c>
      <c r="E2268" t="s">
        <v>390</v>
      </c>
      <c r="F2268" t="s">
        <v>391</v>
      </c>
      <c r="G2268">
        <v>6200314</v>
      </c>
      <c r="H2268">
        <v>202202</v>
      </c>
      <c r="I2268" s="400">
        <v>44594</v>
      </c>
      <c r="J2268">
        <v>127949</v>
      </c>
      <c r="K2268" t="s">
        <v>386</v>
      </c>
      <c r="L2268" t="s">
        <v>1191</v>
      </c>
      <c r="M2268" t="s">
        <v>1192</v>
      </c>
      <c r="O2268" t="s">
        <v>512</v>
      </c>
      <c r="P2268" t="s">
        <v>513</v>
      </c>
      <c r="Q2268" t="s">
        <v>450</v>
      </c>
      <c r="R2268" s="458">
        <v>2069083</v>
      </c>
      <c r="S2268" t="s">
        <v>387</v>
      </c>
      <c r="U2268" t="s">
        <v>2961</v>
      </c>
      <c r="V2268" t="s">
        <v>398</v>
      </c>
      <c r="W2268" s="393">
        <v>1199</v>
      </c>
      <c r="X2268" s="393">
        <v>0.3</v>
      </c>
      <c r="Y2268" s="393">
        <v>2.67</v>
      </c>
      <c r="Z2268" s="393">
        <v>1199</v>
      </c>
      <c r="AA2268">
        <v>0</v>
      </c>
      <c r="AB2268" s="400">
        <v>44624.112751504632</v>
      </c>
      <c r="AC2268" t="str">
        <f>+VLOOKUP(R2268,DRAFT!A:Q,17,0)</f>
        <v>SUPPORT</v>
      </c>
    </row>
    <row r="2269" spans="1:29">
      <c r="A2269" t="s">
        <v>382</v>
      </c>
      <c r="B2269" t="s">
        <v>440</v>
      </c>
      <c r="C2269" t="s">
        <v>1362</v>
      </c>
      <c r="D2269" t="s">
        <v>1363</v>
      </c>
      <c r="E2269" t="s">
        <v>390</v>
      </c>
      <c r="F2269" t="s">
        <v>391</v>
      </c>
      <c r="G2269">
        <v>6200595</v>
      </c>
      <c r="H2269">
        <v>202203</v>
      </c>
      <c r="I2269" s="400">
        <v>44634</v>
      </c>
      <c r="J2269" t="s">
        <v>452</v>
      </c>
      <c r="K2269" t="s">
        <v>386</v>
      </c>
      <c r="L2269" t="s">
        <v>1175</v>
      </c>
      <c r="M2269" t="s">
        <v>1176</v>
      </c>
      <c r="O2269" t="s">
        <v>1555</v>
      </c>
      <c r="P2269" t="s">
        <v>1556</v>
      </c>
      <c r="Q2269" t="s">
        <v>450</v>
      </c>
      <c r="R2269" s="458">
        <v>2069083</v>
      </c>
      <c r="S2269" t="s">
        <v>387</v>
      </c>
      <c r="U2269" t="s">
        <v>2962</v>
      </c>
      <c r="V2269" t="s">
        <v>398</v>
      </c>
      <c r="W2269" s="393">
        <v>3976</v>
      </c>
      <c r="X2269" s="393">
        <v>1.02</v>
      </c>
      <c r="Y2269" s="393">
        <v>9.08</v>
      </c>
      <c r="Z2269" s="393">
        <v>3976</v>
      </c>
      <c r="AA2269">
        <v>0</v>
      </c>
      <c r="AB2269" s="400">
        <v>44638.67776111111</v>
      </c>
      <c r="AC2269" t="str">
        <f>+VLOOKUP(R2269,DRAFT!A:Q,17,0)</f>
        <v>SUPPORT</v>
      </c>
    </row>
    <row r="2270" spans="1:29">
      <c r="A2270" t="s">
        <v>382</v>
      </c>
      <c r="B2270" t="s">
        <v>440</v>
      </c>
      <c r="C2270" t="s">
        <v>1362</v>
      </c>
      <c r="D2270" t="s">
        <v>1363</v>
      </c>
      <c r="E2270" t="s">
        <v>390</v>
      </c>
      <c r="F2270" t="s">
        <v>391</v>
      </c>
      <c r="G2270">
        <v>6200744</v>
      </c>
      <c r="H2270">
        <v>202203</v>
      </c>
      <c r="I2270" s="400">
        <v>44629</v>
      </c>
      <c r="J2270">
        <v>122536</v>
      </c>
      <c r="K2270" t="s">
        <v>386</v>
      </c>
      <c r="L2270" t="s">
        <v>2420</v>
      </c>
      <c r="M2270" t="s">
        <v>2421</v>
      </c>
      <c r="O2270" t="s">
        <v>1367</v>
      </c>
      <c r="P2270" t="s">
        <v>1368</v>
      </c>
      <c r="Q2270" t="s">
        <v>396</v>
      </c>
      <c r="R2270" s="458">
        <v>2265775</v>
      </c>
      <c r="S2270" t="s">
        <v>387</v>
      </c>
      <c r="U2270" t="s">
        <v>2963</v>
      </c>
      <c r="V2270" t="s">
        <v>398</v>
      </c>
      <c r="W2270" s="393">
        <v>21250</v>
      </c>
      <c r="X2270" s="393">
        <v>5.5</v>
      </c>
      <c r="Y2270" s="393">
        <v>49.06</v>
      </c>
      <c r="Z2270" s="393">
        <v>21250</v>
      </c>
      <c r="AA2270">
        <v>0</v>
      </c>
      <c r="AB2270" s="400">
        <v>44651.750575266204</v>
      </c>
      <c r="AC2270" t="str">
        <f>+VLOOKUP(R2270,DRAFT!A:Q,17,0)</f>
        <v>MAE</v>
      </c>
    </row>
    <row r="2271" spans="1:29">
      <c r="A2271" t="s">
        <v>382</v>
      </c>
      <c r="B2271" t="s">
        <v>440</v>
      </c>
      <c r="C2271" t="s">
        <v>1362</v>
      </c>
      <c r="D2271" t="s">
        <v>1363</v>
      </c>
      <c r="E2271" t="s">
        <v>390</v>
      </c>
      <c r="F2271" t="s">
        <v>391</v>
      </c>
      <c r="G2271">
        <v>6200744</v>
      </c>
      <c r="H2271">
        <v>202203</v>
      </c>
      <c r="I2271" s="400">
        <v>44629</v>
      </c>
      <c r="J2271">
        <v>122536</v>
      </c>
      <c r="K2271" t="s">
        <v>386</v>
      </c>
      <c r="L2271" t="s">
        <v>2420</v>
      </c>
      <c r="M2271" t="s">
        <v>2421</v>
      </c>
      <c r="O2271" t="s">
        <v>512</v>
      </c>
      <c r="P2271" t="s">
        <v>513</v>
      </c>
      <c r="Q2271" t="s">
        <v>396</v>
      </c>
      <c r="R2271" s="458">
        <v>2265775</v>
      </c>
      <c r="S2271" t="s">
        <v>387</v>
      </c>
      <c r="U2271" t="s">
        <v>2963</v>
      </c>
      <c r="V2271" t="s">
        <v>398</v>
      </c>
      <c r="W2271" s="393">
        <v>1962</v>
      </c>
      <c r="X2271" s="393">
        <v>0.51</v>
      </c>
      <c r="Y2271" s="393">
        <v>4.53</v>
      </c>
      <c r="Z2271" s="393">
        <v>1962</v>
      </c>
      <c r="AA2271">
        <v>0</v>
      </c>
      <c r="AB2271" s="400">
        <v>44651.750575266204</v>
      </c>
      <c r="AC2271" t="str">
        <f>+VLOOKUP(R2271,DRAFT!A:Q,17,0)</f>
        <v>MAE</v>
      </c>
    </row>
    <row r="2272" spans="1:29">
      <c r="A2272" t="s">
        <v>382</v>
      </c>
      <c r="B2272" t="s">
        <v>440</v>
      </c>
      <c r="C2272" t="s">
        <v>1362</v>
      </c>
      <c r="D2272" t="s">
        <v>1363</v>
      </c>
      <c r="E2272" t="s">
        <v>390</v>
      </c>
      <c r="F2272" t="s">
        <v>391</v>
      </c>
      <c r="G2272">
        <v>6200987</v>
      </c>
      <c r="H2272">
        <v>202203</v>
      </c>
      <c r="I2272" s="400">
        <v>44651</v>
      </c>
      <c r="J2272">
        <v>127949</v>
      </c>
      <c r="K2272" t="s">
        <v>386</v>
      </c>
      <c r="L2272" t="s">
        <v>2420</v>
      </c>
      <c r="M2272" t="s">
        <v>2421</v>
      </c>
      <c r="O2272" t="s">
        <v>1367</v>
      </c>
      <c r="P2272" t="s">
        <v>1368</v>
      </c>
      <c r="Q2272" t="s">
        <v>396</v>
      </c>
      <c r="R2272" s="458">
        <v>2265776</v>
      </c>
      <c r="S2272" t="s">
        <v>2964</v>
      </c>
      <c r="U2272" t="s">
        <v>2965</v>
      </c>
      <c r="V2272" t="s">
        <v>398</v>
      </c>
      <c r="W2272" s="393">
        <v>-26000</v>
      </c>
      <c r="X2272" s="393">
        <v>-6.55</v>
      </c>
      <c r="Y2272" s="393">
        <v>-57.57</v>
      </c>
      <c r="Z2272" s="393">
        <v>-26000</v>
      </c>
      <c r="AA2272">
        <v>0</v>
      </c>
      <c r="AB2272" s="400">
        <v>44658.700476238424</v>
      </c>
      <c r="AC2272" t="str">
        <f>+VLOOKUP(R2272,DRAFT!A:Q,17,0)</f>
        <v>MAE</v>
      </c>
    </row>
    <row r="2273" spans="1:29">
      <c r="A2273" t="s">
        <v>382</v>
      </c>
      <c r="B2273" t="s">
        <v>440</v>
      </c>
      <c r="C2273" t="s">
        <v>1362</v>
      </c>
      <c r="D2273" t="s">
        <v>1363</v>
      </c>
      <c r="E2273" t="s">
        <v>390</v>
      </c>
      <c r="F2273" t="s">
        <v>391</v>
      </c>
      <c r="G2273">
        <v>6200987</v>
      </c>
      <c r="H2273">
        <v>202203</v>
      </c>
      <c r="I2273" s="400">
        <v>44651</v>
      </c>
      <c r="J2273">
        <v>127949</v>
      </c>
      <c r="K2273" t="s">
        <v>386</v>
      </c>
      <c r="L2273" t="s">
        <v>2420</v>
      </c>
      <c r="M2273" t="s">
        <v>2421</v>
      </c>
      <c r="O2273" t="s">
        <v>512</v>
      </c>
      <c r="P2273" t="s">
        <v>513</v>
      </c>
      <c r="Q2273" t="s">
        <v>396</v>
      </c>
      <c r="R2273" s="458">
        <v>2265776</v>
      </c>
      <c r="S2273" t="s">
        <v>2964</v>
      </c>
      <c r="U2273" t="s">
        <v>2965</v>
      </c>
      <c r="V2273" t="s">
        <v>398</v>
      </c>
      <c r="W2273" s="393">
        <v>-3037</v>
      </c>
      <c r="X2273" s="393">
        <v>-0.76</v>
      </c>
      <c r="Y2273" s="393">
        <v>-6.72</v>
      </c>
      <c r="Z2273" s="393">
        <v>-3037</v>
      </c>
      <c r="AA2273">
        <v>0</v>
      </c>
      <c r="AB2273" s="400">
        <v>44658.700476238424</v>
      </c>
      <c r="AC2273" t="str">
        <f>+VLOOKUP(R2273,DRAFT!A:Q,17,0)</f>
        <v>MAE</v>
      </c>
    </row>
    <row r="2274" spans="1:29">
      <c r="A2274" t="s">
        <v>382</v>
      </c>
      <c r="B2274" t="s">
        <v>440</v>
      </c>
      <c r="C2274" t="s">
        <v>1362</v>
      </c>
      <c r="D2274" t="s">
        <v>1363</v>
      </c>
      <c r="E2274" t="s">
        <v>390</v>
      </c>
      <c r="F2274" t="s">
        <v>391</v>
      </c>
      <c r="G2274">
        <v>6200987</v>
      </c>
      <c r="H2274">
        <v>202203</v>
      </c>
      <c r="I2274" s="400">
        <v>44651</v>
      </c>
      <c r="J2274">
        <v>127949</v>
      </c>
      <c r="K2274" t="s">
        <v>386</v>
      </c>
      <c r="L2274" t="s">
        <v>2420</v>
      </c>
      <c r="M2274" t="s">
        <v>2421</v>
      </c>
      <c r="O2274" t="s">
        <v>1367</v>
      </c>
      <c r="P2274" t="s">
        <v>1368</v>
      </c>
      <c r="Q2274" t="s">
        <v>396</v>
      </c>
      <c r="R2274" s="458">
        <v>2265775</v>
      </c>
      <c r="S2274" t="s">
        <v>2964</v>
      </c>
      <c r="U2274" t="s">
        <v>2965</v>
      </c>
      <c r="V2274" t="s">
        <v>398</v>
      </c>
      <c r="W2274" s="393">
        <v>26000</v>
      </c>
      <c r="X2274" s="393">
        <v>6.55</v>
      </c>
      <c r="Y2274" s="393">
        <v>57.57</v>
      </c>
      <c r="Z2274" s="393">
        <v>26000</v>
      </c>
      <c r="AA2274">
        <v>0</v>
      </c>
      <c r="AB2274" s="400">
        <v>44658.700476238424</v>
      </c>
      <c r="AC2274" t="str">
        <f>+VLOOKUP(R2274,DRAFT!A:Q,17,0)</f>
        <v>MAE</v>
      </c>
    </row>
    <row r="2275" spans="1:29">
      <c r="A2275" t="s">
        <v>382</v>
      </c>
      <c r="B2275" t="s">
        <v>440</v>
      </c>
      <c r="C2275" t="s">
        <v>1362</v>
      </c>
      <c r="D2275" t="s">
        <v>1363</v>
      </c>
      <c r="E2275" t="s">
        <v>390</v>
      </c>
      <c r="F2275" t="s">
        <v>391</v>
      </c>
      <c r="G2275">
        <v>6200987</v>
      </c>
      <c r="H2275">
        <v>202203</v>
      </c>
      <c r="I2275" s="400">
        <v>44651</v>
      </c>
      <c r="J2275">
        <v>127949</v>
      </c>
      <c r="K2275" t="s">
        <v>386</v>
      </c>
      <c r="L2275" t="s">
        <v>2420</v>
      </c>
      <c r="M2275" t="s">
        <v>2421</v>
      </c>
      <c r="O2275" t="s">
        <v>512</v>
      </c>
      <c r="P2275" t="s">
        <v>513</v>
      </c>
      <c r="Q2275" t="s">
        <v>396</v>
      </c>
      <c r="R2275" s="458">
        <v>2265775</v>
      </c>
      <c r="S2275" t="s">
        <v>2964</v>
      </c>
      <c r="U2275" t="s">
        <v>2965</v>
      </c>
      <c r="V2275" t="s">
        <v>398</v>
      </c>
      <c r="W2275" s="393">
        <v>3037</v>
      </c>
      <c r="X2275" s="393">
        <v>0.76</v>
      </c>
      <c r="Y2275" s="393">
        <v>6.72</v>
      </c>
      <c r="Z2275" s="393">
        <v>3037</v>
      </c>
      <c r="AA2275">
        <v>0</v>
      </c>
      <c r="AB2275" s="400">
        <v>44658.700476238424</v>
      </c>
      <c r="AC2275" t="str">
        <f>+VLOOKUP(R2275,DRAFT!A:Q,17,0)</f>
        <v>MAE</v>
      </c>
    </row>
    <row r="2276" spans="1:29">
      <c r="A2276" t="s">
        <v>382</v>
      </c>
      <c r="B2276" t="s">
        <v>440</v>
      </c>
      <c r="C2276" t="s">
        <v>1362</v>
      </c>
      <c r="D2276" t="s">
        <v>1363</v>
      </c>
      <c r="E2276" t="s">
        <v>390</v>
      </c>
      <c r="F2276" t="s">
        <v>391</v>
      </c>
      <c r="G2276">
        <v>6201157</v>
      </c>
      <c r="H2276">
        <v>202204</v>
      </c>
      <c r="I2276" s="400">
        <v>44671</v>
      </c>
      <c r="J2276" t="s">
        <v>452</v>
      </c>
      <c r="K2276" t="s">
        <v>386</v>
      </c>
      <c r="L2276">
        <v>125684</v>
      </c>
      <c r="M2276" t="s">
        <v>2869</v>
      </c>
      <c r="O2276" t="s">
        <v>531</v>
      </c>
      <c r="P2276" t="s">
        <v>532</v>
      </c>
      <c r="Q2276" t="s">
        <v>396</v>
      </c>
      <c r="R2276" s="458">
        <v>2265775</v>
      </c>
      <c r="S2276" t="s">
        <v>387</v>
      </c>
      <c r="U2276" t="s">
        <v>4027</v>
      </c>
      <c r="V2276" t="s">
        <v>398</v>
      </c>
      <c r="W2276" s="393">
        <v>1597</v>
      </c>
      <c r="X2276" s="393">
        <v>0.43</v>
      </c>
      <c r="Y2276" s="393">
        <v>3.68</v>
      </c>
      <c r="Z2276" s="393">
        <v>1597</v>
      </c>
      <c r="AA2276">
        <v>0</v>
      </c>
      <c r="AB2276" s="400">
        <v>44673.073709259261</v>
      </c>
      <c r="AC2276" t="str">
        <f>+VLOOKUP(R2276,DRAFT!A:Q,17,0)</f>
        <v>MAE</v>
      </c>
    </row>
    <row r="2277" spans="1:29">
      <c r="A2277" t="s">
        <v>382</v>
      </c>
      <c r="B2277" t="s">
        <v>440</v>
      </c>
      <c r="C2277" t="s">
        <v>1362</v>
      </c>
      <c r="D2277" t="s">
        <v>1386</v>
      </c>
      <c r="E2277" t="s">
        <v>390</v>
      </c>
      <c r="F2277" t="s">
        <v>391</v>
      </c>
      <c r="G2277">
        <v>6200038</v>
      </c>
      <c r="H2277">
        <v>202201</v>
      </c>
      <c r="I2277" s="400">
        <v>44592</v>
      </c>
      <c r="J2277" t="s">
        <v>452</v>
      </c>
      <c r="K2277" t="s">
        <v>386</v>
      </c>
      <c r="L2277">
        <v>125338</v>
      </c>
      <c r="M2277" t="s">
        <v>2444</v>
      </c>
      <c r="O2277" t="s">
        <v>1001</v>
      </c>
      <c r="P2277" t="s">
        <v>1002</v>
      </c>
      <c r="Q2277" t="s">
        <v>450</v>
      </c>
      <c r="R2277" s="458">
        <v>2069083</v>
      </c>
      <c r="S2277" t="s">
        <v>387</v>
      </c>
      <c r="U2277" t="s">
        <v>2966</v>
      </c>
      <c r="V2277" t="s">
        <v>398</v>
      </c>
      <c r="W2277" s="393">
        <v>9100</v>
      </c>
      <c r="X2277" s="393">
        <v>2.27</v>
      </c>
      <c r="Y2277" s="393">
        <v>20.239999999999998</v>
      </c>
      <c r="Z2277" s="393">
        <v>9100</v>
      </c>
      <c r="AA2277">
        <v>0</v>
      </c>
      <c r="AB2277" s="400">
        <v>44594.001705671297</v>
      </c>
      <c r="AC2277" t="str">
        <f>+VLOOKUP(R2277,DRAFT!A:Q,17,0)</f>
        <v>SUPPORT</v>
      </c>
    </row>
    <row r="2278" spans="1:29">
      <c r="A2278" t="s">
        <v>382</v>
      </c>
      <c r="B2278" t="s">
        <v>440</v>
      </c>
      <c r="C2278" t="s">
        <v>1362</v>
      </c>
      <c r="D2278" t="s">
        <v>1386</v>
      </c>
      <c r="E2278" t="s">
        <v>390</v>
      </c>
      <c r="F2278" t="s">
        <v>391</v>
      </c>
      <c r="G2278">
        <v>6200427</v>
      </c>
      <c r="H2278">
        <v>202202</v>
      </c>
      <c r="I2278" s="400">
        <v>44620</v>
      </c>
      <c r="J2278" t="s">
        <v>452</v>
      </c>
      <c r="K2278" t="s">
        <v>386</v>
      </c>
      <c r="L2278" t="s">
        <v>1392</v>
      </c>
      <c r="M2278" t="s">
        <v>1393</v>
      </c>
      <c r="O2278" t="s">
        <v>1001</v>
      </c>
      <c r="P2278" t="s">
        <v>1002</v>
      </c>
      <c r="Q2278" t="s">
        <v>450</v>
      </c>
      <c r="R2278" s="458">
        <v>2069083</v>
      </c>
      <c r="S2278" t="s">
        <v>2967</v>
      </c>
      <c r="T2278" t="s">
        <v>2967</v>
      </c>
      <c r="U2278" t="s">
        <v>2968</v>
      </c>
      <c r="V2278" t="s">
        <v>398</v>
      </c>
      <c r="W2278" s="393">
        <v>9500</v>
      </c>
      <c r="X2278" s="393">
        <v>2.4300000000000002</v>
      </c>
      <c r="Y2278" s="393">
        <v>21.69</v>
      </c>
      <c r="Z2278" s="393">
        <v>9500</v>
      </c>
      <c r="AA2278">
        <v>0</v>
      </c>
      <c r="AB2278" s="400">
        <v>44627.628553437498</v>
      </c>
      <c r="AC2278" t="str">
        <f>+VLOOKUP(R2278,DRAFT!A:Q,17,0)</f>
        <v>SUPPORT</v>
      </c>
    </row>
    <row r="2279" spans="1:29">
      <c r="A2279" t="s">
        <v>382</v>
      </c>
      <c r="B2279" t="s">
        <v>440</v>
      </c>
      <c r="C2279" t="s">
        <v>1362</v>
      </c>
      <c r="D2279" t="s">
        <v>1386</v>
      </c>
      <c r="E2279" t="s">
        <v>390</v>
      </c>
      <c r="F2279" t="s">
        <v>391</v>
      </c>
      <c r="G2279">
        <v>6200427</v>
      </c>
      <c r="H2279">
        <v>202202</v>
      </c>
      <c r="I2279" s="400">
        <v>44620</v>
      </c>
      <c r="J2279" t="s">
        <v>452</v>
      </c>
      <c r="K2279" t="s">
        <v>386</v>
      </c>
      <c r="L2279" t="s">
        <v>1392</v>
      </c>
      <c r="M2279" t="s">
        <v>1393</v>
      </c>
      <c r="O2279" t="s">
        <v>1001</v>
      </c>
      <c r="P2279" t="s">
        <v>1002</v>
      </c>
      <c r="Q2279" t="s">
        <v>450</v>
      </c>
      <c r="R2279" s="458">
        <v>2069083</v>
      </c>
      <c r="S2279" t="s">
        <v>2969</v>
      </c>
      <c r="T2279" t="s">
        <v>2969</v>
      </c>
      <c r="U2279" t="s">
        <v>2968</v>
      </c>
      <c r="V2279" t="s">
        <v>398</v>
      </c>
      <c r="W2279" s="393">
        <v>9500</v>
      </c>
      <c r="X2279" s="393">
        <v>2.4300000000000002</v>
      </c>
      <c r="Y2279" s="393">
        <v>21.69</v>
      </c>
      <c r="Z2279" s="393">
        <v>9500</v>
      </c>
      <c r="AA2279">
        <v>0</v>
      </c>
      <c r="AB2279" s="400">
        <v>44627.628553437498</v>
      </c>
      <c r="AC2279" t="str">
        <f>+VLOOKUP(R2279,DRAFT!A:Q,17,0)</f>
        <v>SUPPORT</v>
      </c>
    </row>
    <row r="2280" spans="1:29">
      <c r="A2280" t="s">
        <v>382</v>
      </c>
      <c r="B2280" t="s">
        <v>1214</v>
      </c>
      <c r="C2280" t="s">
        <v>1362</v>
      </c>
      <c r="D2280" t="s">
        <v>2970</v>
      </c>
      <c r="E2280" t="s">
        <v>2565</v>
      </c>
      <c r="F2280" t="s">
        <v>2566</v>
      </c>
      <c r="G2280">
        <v>22200007</v>
      </c>
      <c r="H2280">
        <v>202201</v>
      </c>
      <c r="I2280" s="400">
        <v>44580</v>
      </c>
      <c r="J2280" t="s">
        <v>2567</v>
      </c>
      <c r="K2280" t="s">
        <v>386</v>
      </c>
      <c r="L2280" t="s">
        <v>2420</v>
      </c>
      <c r="M2280" t="s">
        <v>2421</v>
      </c>
      <c r="O2280" t="s">
        <v>2971</v>
      </c>
      <c r="P2280" t="s">
        <v>2972</v>
      </c>
      <c r="Q2280" t="s">
        <v>396</v>
      </c>
      <c r="R2280" s="458">
        <v>2265775</v>
      </c>
      <c r="S2280" t="s">
        <v>387</v>
      </c>
      <c r="U2280" t="s">
        <v>2980</v>
      </c>
      <c r="V2280" t="s">
        <v>398</v>
      </c>
      <c r="W2280" s="393">
        <v>637</v>
      </c>
      <c r="X2280" s="393">
        <v>0.16</v>
      </c>
      <c r="Y2280" s="393">
        <v>1.41</v>
      </c>
      <c r="Z2280" s="393">
        <v>637</v>
      </c>
      <c r="AA2280">
        <v>0</v>
      </c>
      <c r="AB2280" s="400">
        <v>44594.703216666669</v>
      </c>
      <c r="AC2280" t="str">
        <f>+VLOOKUP(R2280,DRAFT!A:Q,17,0)</f>
        <v>MAE</v>
      </c>
    </row>
    <row r="2281" spans="1:29">
      <c r="A2281" t="s">
        <v>382</v>
      </c>
      <c r="B2281" t="s">
        <v>1214</v>
      </c>
      <c r="C2281" t="s">
        <v>1362</v>
      </c>
      <c r="D2281" t="s">
        <v>2970</v>
      </c>
      <c r="E2281" t="s">
        <v>2565</v>
      </c>
      <c r="F2281" t="s">
        <v>2566</v>
      </c>
      <c r="G2281">
        <v>22200005</v>
      </c>
      <c r="H2281">
        <v>202201</v>
      </c>
      <c r="I2281" s="400">
        <v>44611</v>
      </c>
      <c r="J2281" t="s">
        <v>2567</v>
      </c>
      <c r="K2281" t="s">
        <v>386</v>
      </c>
      <c r="L2281" t="s">
        <v>2420</v>
      </c>
      <c r="M2281" t="s">
        <v>2421</v>
      </c>
      <c r="O2281" t="s">
        <v>642</v>
      </c>
      <c r="P2281" t="s">
        <v>643</v>
      </c>
      <c r="Q2281" t="s">
        <v>396</v>
      </c>
      <c r="R2281" s="458">
        <v>2265775</v>
      </c>
      <c r="S2281" t="s">
        <v>387</v>
      </c>
      <c r="U2281" t="s">
        <v>2974</v>
      </c>
      <c r="V2281" t="s">
        <v>398</v>
      </c>
      <c r="W2281" s="393">
        <v>6197</v>
      </c>
      <c r="X2281" s="393">
        <v>1.55</v>
      </c>
      <c r="Y2281" s="393">
        <v>13.78</v>
      </c>
      <c r="Z2281" s="393">
        <v>6197</v>
      </c>
      <c r="AA2281">
        <v>0</v>
      </c>
      <c r="AB2281" s="400">
        <v>44594.669841817129</v>
      </c>
      <c r="AC2281" t="str">
        <f>+VLOOKUP(R2281,DRAFT!A:Q,17,0)</f>
        <v>MAE</v>
      </c>
    </row>
    <row r="2282" spans="1:29">
      <c r="A2282" t="s">
        <v>382</v>
      </c>
      <c r="B2282" t="s">
        <v>1214</v>
      </c>
      <c r="C2282" t="s">
        <v>1362</v>
      </c>
      <c r="D2282" t="s">
        <v>2970</v>
      </c>
      <c r="E2282" t="s">
        <v>2565</v>
      </c>
      <c r="F2282" t="s">
        <v>2566</v>
      </c>
      <c r="G2282">
        <v>22200005</v>
      </c>
      <c r="H2282">
        <v>202201</v>
      </c>
      <c r="I2282" s="400">
        <v>44611</v>
      </c>
      <c r="J2282" t="s">
        <v>2567</v>
      </c>
      <c r="K2282" t="s">
        <v>386</v>
      </c>
      <c r="L2282" t="s">
        <v>2420</v>
      </c>
      <c r="M2282" t="s">
        <v>2421</v>
      </c>
      <c r="O2282" t="s">
        <v>593</v>
      </c>
      <c r="P2282" t="s">
        <v>594</v>
      </c>
      <c r="Q2282" t="s">
        <v>396</v>
      </c>
      <c r="R2282" s="458">
        <v>2265775</v>
      </c>
      <c r="S2282" t="s">
        <v>387</v>
      </c>
      <c r="U2282" t="s">
        <v>2975</v>
      </c>
      <c r="V2282" t="s">
        <v>398</v>
      </c>
      <c r="W2282" s="393">
        <v>1630</v>
      </c>
      <c r="X2282" s="393">
        <v>0.41</v>
      </c>
      <c r="Y2282" s="393">
        <v>3.63</v>
      </c>
      <c r="Z2282" s="393">
        <v>1630</v>
      </c>
      <c r="AA2282">
        <v>0</v>
      </c>
      <c r="AB2282" s="400">
        <v>44594.669841817129</v>
      </c>
      <c r="AC2282" t="str">
        <f>+VLOOKUP(R2282,DRAFT!A:Q,17,0)</f>
        <v>MAE</v>
      </c>
    </row>
    <row r="2283" spans="1:29">
      <c r="A2283" t="s">
        <v>382</v>
      </c>
      <c r="B2283" t="s">
        <v>1214</v>
      </c>
      <c r="C2283" t="s">
        <v>1362</v>
      </c>
      <c r="D2283" t="s">
        <v>2970</v>
      </c>
      <c r="E2283" t="s">
        <v>2565</v>
      </c>
      <c r="F2283" t="s">
        <v>2566</v>
      </c>
      <c r="G2283">
        <v>22200005</v>
      </c>
      <c r="H2283">
        <v>202201</v>
      </c>
      <c r="I2283" s="400">
        <v>44611</v>
      </c>
      <c r="J2283" t="s">
        <v>2567</v>
      </c>
      <c r="K2283" t="s">
        <v>386</v>
      </c>
      <c r="L2283" t="s">
        <v>2420</v>
      </c>
      <c r="M2283" t="s">
        <v>2421</v>
      </c>
      <c r="O2283" t="s">
        <v>642</v>
      </c>
      <c r="P2283" t="s">
        <v>643</v>
      </c>
      <c r="Q2283" t="s">
        <v>396</v>
      </c>
      <c r="R2283" s="458">
        <v>2265775</v>
      </c>
      <c r="S2283" t="s">
        <v>387</v>
      </c>
      <c r="U2283" t="s">
        <v>2976</v>
      </c>
      <c r="V2283" t="s">
        <v>398</v>
      </c>
      <c r="W2283" s="393">
        <v>2296</v>
      </c>
      <c r="X2283" s="393">
        <v>0.56999999999999995</v>
      </c>
      <c r="Y2283" s="393">
        <v>5.1100000000000003</v>
      </c>
      <c r="Z2283" s="393">
        <v>2296</v>
      </c>
      <c r="AA2283">
        <v>0</v>
      </c>
      <c r="AB2283" s="400">
        <v>44594.669841817129</v>
      </c>
      <c r="AC2283" t="str">
        <f>+VLOOKUP(R2283,DRAFT!A:Q,17,0)</f>
        <v>MAE</v>
      </c>
    </row>
    <row r="2284" spans="1:29">
      <c r="A2284" t="s">
        <v>382</v>
      </c>
      <c r="B2284" t="s">
        <v>1214</v>
      </c>
      <c r="C2284" t="s">
        <v>1362</v>
      </c>
      <c r="D2284" t="s">
        <v>2970</v>
      </c>
      <c r="E2284" t="s">
        <v>2565</v>
      </c>
      <c r="F2284" t="s">
        <v>2566</v>
      </c>
      <c r="G2284">
        <v>22200006</v>
      </c>
      <c r="H2284">
        <v>202201</v>
      </c>
      <c r="I2284" s="400">
        <v>44611</v>
      </c>
      <c r="J2284" t="s">
        <v>2567</v>
      </c>
      <c r="K2284" t="s">
        <v>386</v>
      </c>
      <c r="L2284" t="s">
        <v>2420</v>
      </c>
      <c r="M2284" t="s">
        <v>2421</v>
      </c>
      <c r="O2284" t="s">
        <v>642</v>
      </c>
      <c r="P2284" t="s">
        <v>643</v>
      </c>
      <c r="Q2284" t="s">
        <v>396</v>
      </c>
      <c r="R2284" s="458">
        <v>2265775</v>
      </c>
      <c r="S2284" t="s">
        <v>387</v>
      </c>
      <c r="U2284" t="s">
        <v>2977</v>
      </c>
      <c r="V2284" t="s">
        <v>398</v>
      </c>
      <c r="W2284" s="393">
        <v>-2296</v>
      </c>
      <c r="X2284" s="393">
        <v>-0.56999999999999995</v>
      </c>
      <c r="Y2284" s="393">
        <v>-5.1100000000000003</v>
      </c>
      <c r="Z2284" s="393">
        <v>-2296</v>
      </c>
      <c r="AA2284">
        <v>0</v>
      </c>
      <c r="AB2284" s="400">
        <v>44594.69571226852</v>
      </c>
      <c r="AC2284" t="str">
        <f>+VLOOKUP(R2284,DRAFT!A:Q,17,0)</f>
        <v>MAE</v>
      </c>
    </row>
    <row r="2285" spans="1:29">
      <c r="A2285" t="s">
        <v>382</v>
      </c>
      <c r="B2285" t="s">
        <v>1214</v>
      </c>
      <c r="C2285" t="s">
        <v>1362</v>
      </c>
      <c r="D2285" t="s">
        <v>2970</v>
      </c>
      <c r="E2285" t="s">
        <v>2565</v>
      </c>
      <c r="F2285" t="s">
        <v>2566</v>
      </c>
      <c r="G2285">
        <v>22200006</v>
      </c>
      <c r="H2285">
        <v>202201</v>
      </c>
      <c r="I2285" s="400">
        <v>44611</v>
      </c>
      <c r="J2285" t="s">
        <v>2567</v>
      </c>
      <c r="K2285" t="s">
        <v>386</v>
      </c>
      <c r="L2285" t="s">
        <v>2420</v>
      </c>
      <c r="M2285" t="s">
        <v>2421</v>
      </c>
      <c r="O2285" t="s">
        <v>593</v>
      </c>
      <c r="P2285" t="s">
        <v>594</v>
      </c>
      <c r="Q2285" t="s">
        <v>396</v>
      </c>
      <c r="R2285" s="458">
        <v>2265775</v>
      </c>
      <c r="S2285" t="s">
        <v>387</v>
      </c>
      <c r="U2285" t="s">
        <v>2978</v>
      </c>
      <c r="V2285" t="s">
        <v>398</v>
      </c>
      <c r="W2285" s="393">
        <v>-1630</v>
      </c>
      <c r="X2285" s="393">
        <v>-0.41</v>
      </c>
      <c r="Y2285" s="393">
        <v>-3.63</v>
      </c>
      <c r="Z2285" s="393">
        <v>-1630</v>
      </c>
      <c r="AA2285">
        <v>0</v>
      </c>
      <c r="AB2285" s="400">
        <v>44594.69571226852</v>
      </c>
      <c r="AC2285" t="str">
        <f>+VLOOKUP(R2285,DRAFT!A:Q,17,0)</f>
        <v>MAE</v>
      </c>
    </row>
    <row r="2286" spans="1:29">
      <c r="A2286" t="s">
        <v>382</v>
      </c>
      <c r="B2286" t="s">
        <v>1214</v>
      </c>
      <c r="C2286" t="s">
        <v>1362</v>
      </c>
      <c r="D2286" t="s">
        <v>2970</v>
      </c>
      <c r="E2286" t="s">
        <v>2565</v>
      </c>
      <c r="F2286" t="s">
        <v>2566</v>
      </c>
      <c r="G2286">
        <v>22200006</v>
      </c>
      <c r="H2286">
        <v>202201</v>
      </c>
      <c r="I2286" s="400">
        <v>44611</v>
      </c>
      <c r="J2286" t="s">
        <v>2567</v>
      </c>
      <c r="K2286" t="s">
        <v>386</v>
      </c>
      <c r="L2286" t="s">
        <v>2420</v>
      </c>
      <c r="M2286" t="s">
        <v>2421</v>
      </c>
      <c r="O2286" t="s">
        <v>642</v>
      </c>
      <c r="P2286" t="s">
        <v>643</v>
      </c>
      <c r="Q2286" t="s">
        <v>396</v>
      </c>
      <c r="R2286" s="458">
        <v>2265775</v>
      </c>
      <c r="S2286" t="s">
        <v>387</v>
      </c>
      <c r="U2286" t="s">
        <v>2979</v>
      </c>
      <c r="V2286" t="s">
        <v>398</v>
      </c>
      <c r="W2286" s="393">
        <v>-6197</v>
      </c>
      <c r="X2286" s="393">
        <v>-1.55</v>
      </c>
      <c r="Y2286" s="393">
        <v>-13.78</v>
      </c>
      <c r="Z2286" s="393">
        <v>-6197</v>
      </c>
      <c r="AA2286">
        <v>0</v>
      </c>
      <c r="AB2286" s="400">
        <v>44594.69571226852</v>
      </c>
      <c r="AC2286" t="str">
        <f>+VLOOKUP(R2286,DRAFT!A:Q,17,0)</f>
        <v>MAE</v>
      </c>
    </row>
    <row r="2287" spans="1:29">
      <c r="A2287" t="s">
        <v>382</v>
      </c>
      <c r="B2287" t="s">
        <v>1214</v>
      </c>
      <c r="C2287" t="s">
        <v>1362</v>
      </c>
      <c r="D2287" t="s">
        <v>2970</v>
      </c>
      <c r="E2287" t="s">
        <v>2565</v>
      </c>
      <c r="F2287" t="s">
        <v>2566</v>
      </c>
      <c r="G2287">
        <v>22200006</v>
      </c>
      <c r="H2287">
        <v>202201</v>
      </c>
      <c r="I2287" s="400">
        <v>44611</v>
      </c>
      <c r="J2287" t="s">
        <v>2567</v>
      </c>
      <c r="K2287" t="s">
        <v>386</v>
      </c>
      <c r="L2287" t="s">
        <v>2420</v>
      </c>
      <c r="M2287" t="s">
        <v>2421</v>
      </c>
      <c r="O2287" t="s">
        <v>2971</v>
      </c>
      <c r="P2287" t="s">
        <v>2972</v>
      </c>
      <c r="Q2287" t="s">
        <v>396</v>
      </c>
      <c r="R2287" s="458">
        <v>2265775</v>
      </c>
      <c r="S2287" t="s">
        <v>387</v>
      </c>
      <c r="U2287" t="s">
        <v>2973</v>
      </c>
      <c r="V2287" t="s">
        <v>398</v>
      </c>
      <c r="W2287" s="393">
        <v>-637</v>
      </c>
      <c r="X2287" s="393">
        <v>-0.16</v>
      </c>
      <c r="Y2287" s="393">
        <v>-1.42</v>
      </c>
      <c r="Z2287" s="393">
        <v>-637</v>
      </c>
      <c r="AA2287">
        <v>0</v>
      </c>
      <c r="AB2287" s="400">
        <v>44594.695712071756</v>
      </c>
      <c r="AC2287" t="str">
        <f>+VLOOKUP(R2287,DRAFT!A:Q,17,0)</f>
        <v>MAE</v>
      </c>
    </row>
    <row r="2288" spans="1:29">
      <c r="A2288" t="s">
        <v>382</v>
      </c>
      <c r="B2288" t="s">
        <v>1214</v>
      </c>
      <c r="C2288" t="s">
        <v>1362</v>
      </c>
      <c r="D2288" t="s">
        <v>2970</v>
      </c>
      <c r="E2288" t="s">
        <v>2565</v>
      </c>
      <c r="F2288" t="s">
        <v>2566</v>
      </c>
      <c r="G2288">
        <v>22200007</v>
      </c>
      <c r="H2288">
        <v>202201</v>
      </c>
      <c r="I2288" s="400">
        <v>44580</v>
      </c>
      <c r="J2288" t="s">
        <v>2567</v>
      </c>
      <c r="K2288" t="s">
        <v>386</v>
      </c>
      <c r="L2288" t="s">
        <v>2420</v>
      </c>
      <c r="M2288" t="s">
        <v>2421</v>
      </c>
      <c r="O2288" t="s">
        <v>642</v>
      </c>
      <c r="P2288" t="s">
        <v>643</v>
      </c>
      <c r="Q2288" t="s">
        <v>396</v>
      </c>
      <c r="R2288" s="458">
        <v>2265775</v>
      </c>
      <c r="S2288" t="s">
        <v>387</v>
      </c>
      <c r="U2288" t="s">
        <v>2974</v>
      </c>
      <c r="V2288" t="s">
        <v>398</v>
      </c>
      <c r="W2288" s="393">
        <v>6197</v>
      </c>
      <c r="X2288" s="393">
        <v>1.56</v>
      </c>
      <c r="Y2288" s="393">
        <v>13.72</v>
      </c>
      <c r="Z2288" s="393">
        <v>6197</v>
      </c>
      <c r="AA2288">
        <v>0</v>
      </c>
      <c r="AB2288" s="400">
        <v>44594.703216516202</v>
      </c>
      <c r="AC2288" t="str">
        <f>+VLOOKUP(R2288,DRAFT!A:Q,17,0)</f>
        <v>MAE</v>
      </c>
    </row>
    <row r="2289" spans="1:29">
      <c r="A2289" t="s">
        <v>382</v>
      </c>
      <c r="B2289" t="s">
        <v>1214</v>
      </c>
      <c r="C2289" t="s">
        <v>1362</v>
      </c>
      <c r="D2289" t="s">
        <v>2970</v>
      </c>
      <c r="E2289" t="s">
        <v>2565</v>
      </c>
      <c r="F2289" t="s">
        <v>2566</v>
      </c>
      <c r="G2289">
        <v>22200007</v>
      </c>
      <c r="H2289">
        <v>202201</v>
      </c>
      <c r="I2289" s="400">
        <v>44580</v>
      </c>
      <c r="J2289" t="s">
        <v>2567</v>
      </c>
      <c r="K2289" t="s">
        <v>386</v>
      </c>
      <c r="L2289" t="s">
        <v>2420</v>
      </c>
      <c r="M2289" t="s">
        <v>2421</v>
      </c>
      <c r="O2289" t="s">
        <v>593</v>
      </c>
      <c r="P2289" t="s">
        <v>594</v>
      </c>
      <c r="Q2289" t="s">
        <v>396</v>
      </c>
      <c r="R2289" s="458">
        <v>2265775</v>
      </c>
      <c r="S2289" t="s">
        <v>387</v>
      </c>
      <c r="U2289" t="s">
        <v>2975</v>
      </c>
      <c r="V2289" t="s">
        <v>398</v>
      </c>
      <c r="W2289" s="393">
        <v>1630</v>
      </c>
      <c r="X2289" s="393">
        <v>0.41</v>
      </c>
      <c r="Y2289" s="393">
        <v>3.61</v>
      </c>
      <c r="Z2289" s="393">
        <v>1630</v>
      </c>
      <c r="AA2289">
        <v>0</v>
      </c>
      <c r="AB2289" s="400">
        <v>44594.703216516202</v>
      </c>
      <c r="AC2289" t="str">
        <f>+VLOOKUP(R2289,DRAFT!A:Q,17,0)</f>
        <v>MAE</v>
      </c>
    </row>
    <row r="2290" spans="1:29">
      <c r="A2290" t="s">
        <v>382</v>
      </c>
      <c r="B2290" t="s">
        <v>1214</v>
      </c>
      <c r="C2290" t="s">
        <v>1362</v>
      </c>
      <c r="D2290" t="s">
        <v>2970</v>
      </c>
      <c r="E2290" t="s">
        <v>2565</v>
      </c>
      <c r="F2290" t="s">
        <v>2566</v>
      </c>
      <c r="G2290">
        <v>22200007</v>
      </c>
      <c r="H2290">
        <v>202201</v>
      </c>
      <c r="I2290" s="400">
        <v>44580</v>
      </c>
      <c r="J2290" t="s">
        <v>2567</v>
      </c>
      <c r="K2290" t="s">
        <v>386</v>
      </c>
      <c r="L2290" t="s">
        <v>2420</v>
      </c>
      <c r="M2290" t="s">
        <v>2421</v>
      </c>
      <c r="O2290" t="s">
        <v>642</v>
      </c>
      <c r="P2290" t="s">
        <v>643</v>
      </c>
      <c r="Q2290" t="s">
        <v>396</v>
      </c>
      <c r="R2290" s="458">
        <v>2265775</v>
      </c>
      <c r="S2290" t="s">
        <v>387</v>
      </c>
      <c r="U2290" t="s">
        <v>2976</v>
      </c>
      <c r="V2290" t="s">
        <v>398</v>
      </c>
      <c r="W2290" s="393">
        <v>2296</v>
      </c>
      <c r="X2290" s="393">
        <v>0.57999999999999996</v>
      </c>
      <c r="Y2290" s="393">
        <v>5.08</v>
      </c>
      <c r="Z2290" s="393">
        <v>2296</v>
      </c>
      <c r="AA2290">
        <v>0</v>
      </c>
      <c r="AB2290" s="400">
        <v>44594.703216666669</v>
      </c>
      <c r="AC2290" t="str">
        <f>+VLOOKUP(R2290,DRAFT!A:Q,17,0)</f>
        <v>MAE</v>
      </c>
    </row>
    <row r="2291" spans="1:29">
      <c r="A2291" t="s">
        <v>382</v>
      </c>
      <c r="B2291" t="s">
        <v>1214</v>
      </c>
      <c r="C2291" t="s">
        <v>1362</v>
      </c>
      <c r="D2291" t="s">
        <v>2970</v>
      </c>
      <c r="E2291" t="s">
        <v>2565</v>
      </c>
      <c r="F2291" t="s">
        <v>2566</v>
      </c>
      <c r="G2291">
        <v>22200005</v>
      </c>
      <c r="H2291">
        <v>202201</v>
      </c>
      <c r="I2291" s="400">
        <v>44611</v>
      </c>
      <c r="J2291" t="s">
        <v>2567</v>
      </c>
      <c r="K2291" t="s">
        <v>386</v>
      </c>
      <c r="L2291" t="s">
        <v>2420</v>
      </c>
      <c r="M2291" t="s">
        <v>2421</v>
      </c>
      <c r="O2291" t="s">
        <v>2971</v>
      </c>
      <c r="P2291" t="s">
        <v>2972</v>
      </c>
      <c r="Q2291" t="s">
        <v>396</v>
      </c>
      <c r="R2291" s="458">
        <v>2265775</v>
      </c>
      <c r="S2291" t="s">
        <v>387</v>
      </c>
      <c r="U2291" t="s">
        <v>2980</v>
      </c>
      <c r="V2291" t="s">
        <v>398</v>
      </c>
      <c r="W2291" s="393">
        <v>637</v>
      </c>
      <c r="X2291" s="393">
        <v>0.16</v>
      </c>
      <c r="Y2291" s="393">
        <v>1.42</v>
      </c>
      <c r="Z2291" s="393">
        <v>637</v>
      </c>
      <c r="AA2291">
        <v>0</v>
      </c>
      <c r="AB2291" s="400">
        <v>44594.669842013885</v>
      </c>
      <c r="AC2291" t="str">
        <f>+VLOOKUP(R2291,DRAFT!A:Q,17,0)</f>
        <v>MAE</v>
      </c>
    </row>
    <row r="2292" spans="1:29">
      <c r="A2292" t="s">
        <v>382</v>
      </c>
      <c r="B2292" t="s">
        <v>1214</v>
      </c>
      <c r="C2292" t="s">
        <v>1362</v>
      </c>
      <c r="D2292" t="s">
        <v>2970</v>
      </c>
      <c r="E2292" t="s">
        <v>2565</v>
      </c>
      <c r="F2292" t="s">
        <v>2566</v>
      </c>
      <c r="G2292">
        <v>22200004</v>
      </c>
      <c r="H2292">
        <v>202201</v>
      </c>
      <c r="I2292" s="400">
        <v>44580</v>
      </c>
      <c r="J2292" t="s">
        <v>2567</v>
      </c>
      <c r="K2292" t="s">
        <v>386</v>
      </c>
      <c r="L2292" t="s">
        <v>1215</v>
      </c>
      <c r="M2292" t="s">
        <v>1216</v>
      </c>
      <c r="O2292" t="s">
        <v>1104</v>
      </c>
      <c r="P2292" t="s">
        <v>1105</v>
      </c>
      <c r="Q2292" t="s">
        <v>450</v>
      </c>
      <c r="R2292" s="458">
        <v>2069083</v>
      </c>
      <c r="S2292" t="s">
        <v>387</v>
      </c>
      <c r="U2292" t="s">
        <v>2981</v>
      </c>
      <c r="V2292" t="s">
        <v>398</v>
      </c>
      <c r="W2292" s="393">
        <v>7889</v>
      </c>
      <c r="X2292" s="393">
        <v>1.99</v>
      </c>
      <c r="Y2292" s="393">
        <v>17.47</v>
      </c>
      <c r="Z2292" s="393">
        <v>7889</v>
      </c>
      <c r="AA2292">
        <v>0</v>
      </c>
      <c r="AB2292" s="400">
        <v>44592.67172392361</v>
      </c>
      <c r="AC2292" t="str">
        <f>+VLOOKUP(R2292,DRAFT!A:Q,17,0)</f>
        <v>SUPPORT</v>
      </c>
    </row>
    <row r="2293" spans="1:29">
      <c r="A2293" t="s">
        <v>382</v>
      </c>
      <c r="B2293" t="s">
        <v>440</v>
      </c>
      <c r="C2293" t="s">
        <v>1362</v>
      </c>
      <c r="D2293" t="s">
        <v>2970</v>
      </c>
      <c r="E2293" t="s">
        <v>390</v>
      </c>
      <c r="F2293" t="s">
        <v>391</v>
      </c>
      <c r="G2293">
        <v>6200297</v>
      </c>
      <c r="H2293">
        <v>202202</v>
      </c>
      <c r="I2293" s="400">
        <v>44620</v>
      </c>
      <c r="J2293" t="s">
        <v>452</v>
      </c>
      <c r="K2293" t="s">
        <v>386</v>
      </c>
      <c r="L2293">
        <v>125684</v>
      </c>
      <c r="M2293" t="s">
        <v>2869</v>
      </c>
      <c r="O2293" t="s">
        <v>2076</v>
      </c>
      <c r="P2293" t="s">
        <v>2077</v>
      </c>
      <c r="Q2293" t="s">
        <v>396</v>
      </c>
      <c r="R2293" s="458">
        <v>2265775</v>
      </c>
      <c r="S2293" t="s">
        <v>387</v>
      </c>
      <c r="U2293" t="s">
        <v>2982</v>
      </c>
      <c r="V2293" t="s">
        <v>398</v>
      </c>
      <c r="W2293" s="393">
        <v>2296</v>
      </c>
      <c r="X2293" s="393">
        <v>0.59</v>
      </c>
      <c r="Y2293" s="393">
        <v>5.24</v>
      </c>
      <c r="Z2293" s="393">
        <v>2296</v>
      </c>
      <c r="AA2293">
        <v>0</v>
      </c>
      <c r="AB2293" s="400">
        <v>44623.83004375</v>
      </c>
      <c r="AC2293" t="str">
        <f>+VLOOKUP(R2293,DRAFT!A:Q,17,0)</f>
        <v>MAE</v>
      </c>
    </row>
    <row r="2294" spans="1:29">
      <c r="A2294" t="s">
        <v>382</v>
      </c>
      <c r="B2294" t="s">
        <v>440</v>
      </c>
      <c r="C2294" t="s">
        <v>1362</v>
      </c>
      <c r="D2294" t="s">
        <v>2970</v>
      </c>
      <c r="E2294" t="s">
        <v>390</v>
      </c>
      <c r="F2294" t="s">
        <v>391</v>
      </c>
      <c r="G2294">
        <v>6200297</v>
      </c>
      <c r="H2294">
        <v>202202</v>
      </c>
      <c r="I2294" s="400">
        <v>44620</v>
      </c>
      <c r="J2294" t="s">
        <v>452</v>
      </c>
      <c r="K2294" t="s">
        <v>386</v>
      </c>
      <c r="L2294">
        <v>125684</v>
      </c>
      <c r="M2294" t="s">
        <v>2869</v>
      </c>
      <c r="O2294" t="s">
        <v>906</v>
      </c>
      <c r="P2294" t="s">
        <v>907</v>
      </c>
      <c r="Q2294" t="s">
        <v>396</v>
      </c>
      <c r="R2294" s="458">
        <v>2265775</v>
      </c>
      <c r="S2294" t="s">
        <v>387</v>
      </c>
      <c r="U2294" t="s">
        <v>2983</v>
      </c>
      <c r="V2294" t="s">
        <v>398</v>
      </c>
      <c r="W2294" s="393">
        <v>1111</v>
      </c>
      <c r="X2294" s="393">
        <v>0.28000000000000003</v>
      </c>
      <c r="Y2294" s="393">
        <v>2.54</v>
      </c>
      <c r="Z2294" s="393">
        <v>1111</v>
      </c>
      <c r="AA2294">
        <v>0</v>
      </c>
      <c r="AB2294" s="400">
        <v>44623.83004375</v>
      </c>
      <c r="AC2294" t="str">
        <f>+VLOOKUP(R2294,DRAFT!A:Q,17,0)</f>
        <v>MAE</v>
      </c>
    </row>
    <row r="2295" spans="1:29">
      <c r="A2295" t="s">
        <v>382</v>
      </c>
      <c r="B2295" t="s">
        <v>440</v>
      </c>
      <c r="C2295" t="s">
        <v>1362</v>
      </c>
      <c r="D2295" t="s">
        <v>2970</v>
      </c>
      <c r="E2295" t="s">
        <v>390</v>
      </c>
      <c r="F2295" t="s">
        <v>391</v>
      </c>
      <c r="G2295">
        <v>6200272</v>
      </c>
      <c r="H2295">
        <v>202202</v>
      </c>
      <c r="I2295" s="400">
        <v>44610</v>
      </c>
      <c r="J2295" t="s">
        <v>452</v>
      </c>
      <c r="K2295" t="s">
        <v>386</v>
      </c>
      <c r="L2295" t="s">
        <v>1191</v>
      </c>
      <c r="M2295" t="s">
        <v>1192</v>
      </c>
      <c r="O2295" t="s">
        <v>906</v>
      </c>
      <c r="P2295" t="s">
        <v>907</v>
      </c>
      <c r="Q2295" t="s">
        <v>450</v>
      </c>
      <c r="R2295" s="458">
        <v>2069083</v>
      </c>
      <c r="S2295" t="s">
        <v>387</v>
      </c>
      <c r="U2295" t="s">
        <v>2984</v>
      </c>
      <c r="V2295" t="s">
        <v>398</v>
      </c>
      <c r="W2295" s="393">
        <v>2296</v>
      </c>
      <c r="X2295" s="393">
        <v>0.57999999999999996</v>
      </c>
      <c r="Y2295" s="393">
        <v>5.17</v>
      </c>
      <c r="Z2295" s="393">
        <v>2296</v>
      </c>
      <c r="AA2295">
        <v>0</v>
      </c>
      <c r="AB2295" s="400">
        <v>44622.95213769676</v>
      </c>
      <c r="AC2295" t="str">
        <f>+VLOOKUP(R2295,DRAFT!A:Q,17,0)</f>
        <v>SUPPORT</v>
      </c>
    </row>
    <row r="2296" spans="1:29">
      <c r="A2296" t="s">
        <v>382</v>
      </c>
      <c r="B2296" t="s">
        <v>440</v>
      </c>
      <c r="C2296" t="s">
        <v>1362</v>
      </c>
      <c r="D2296" t="s">
        <v>2970</v>
      </c>
      <c r="E2296" t="s">
        <v>390</v>
      </c>
      <c r="F2296" t="s">
        <v>391</v>
      </c>
      <c r="G2296">
        <v>6200615</v>
      </c>
      <c r="H2296">
        <v>202203</v>
      </c>
      <c r="I2296" s="400">
        <v>44634</v>
      </c>
      <c r="J2296" t="s">
        <v>452</v>
      </c>
      <c r="K2296" t="s">
        <v>386</v>
      </c>
      <c r="L2296">
        <v>122377</v>
      </c>
      <c r="M2296" t="s">
        <v>1228</v>
      </c>
      <c r="O2296" t="s">
        <v>749</v>
      </c>
      <c r="P2296" t="s">
        <v>750</v>
      </c>
      <c r="Q2296" t="s">
        <v>450</v>
      </c>
      <c r="R2296" s="458">
        <v>2069083</v>
      </c>
      <c r="S2296" t="s">
        <v>387</v>
      </c>
      <c r="U2296" t="s">
        <v>2985</v>
      </c>
      <c r="V2296" t="s">
        <v>398</v>
      </c>
      <c r="W2296" s="393">
        <v>4148</v>
      </c>
      <c r="X2296" s="393">
        <v>1</v>
      </c>
      <c r="Y2296" s="393">
        <v>9.8699999999999992</v>
      </c>
      <c r="Z2296" s="393">
        <v>4148</v>
      </c>
      <c r="AA2296">
        <v>0</v>
      </c>
      <c r="AB2296" s="400">
        <v>44642.740014733798</v>
      </c>
      <c r="AC2296" t="str">
        <f>+VLOOKUP(R2296,DRAFT!A:Q,17,0)</f>
        <v>SUPPORT</v>
      </c>
    </row>
    <row r="2297" spans="1:29">
      <c r="A2297" t="s">
        <v>382</v>
      </c>
      <c r="B2297" t="s">
        <v>440</v>
      </c>
      <c r="C2297" t="s">
        <v>1362</v>
      </c>
      <c r="D2297" t="s">
        <v>2970</v>
      </c>
      <c r="E2297" t="s">
        <v>390</v>
      </c>
      <c r="F2297" t="s">
        <v>391</v>
      </c>
      <c r="G2297">
        <v>6200615</v>
      </c>
      <c r="H2297">
        <v>202203</v>
      </c>
      <c r="I2297" s="400">
        <v>44634</v>
      </c>
      <c r="J2297" t="s">
        <v>452</v>
      </c>
      <c r="K2297" t="s">
        <v>386</v>
      </c>
      <c r="L2297">
        <v>122377</v>
      </c>
      <c r="M2297" t="s">
        <v>1228</v>
      </c>
      <c r="O2297" t="s">
        <v>906</v>
      </c>
      <c r="P2297" t="s">
        <v>907</v>
      </c>
      <c r="Q2297" t="s">
        <v>450</v>
      </c>
      <c r="R2297" s="458">
        <v>2069083</v>
      </c>
      <c r="S2297" t="s">
        <v>387</v>
      </c>
      <c r="U2297" t="s">
        <v>2986</v>
      </c>
      <c r="V2297" t="s">
        <v>398</v>
      </c>
      <c r="W2297" s="393">
        <v>4667</v>
      </c>
      <c r="X2297" s="393">
        <v>1.1299999999999999</v>
      </c>
      <c r="Y2297" s="393">
        <v>11.11</v>
      </c>
      <c r="Z2297" s="393">
        <v>4667</v>
      </c>
      <c r="AA2297">
        <v>0</v>
      </c>
      <c r="AB2297" s="400">
        <v>44642.740014930554</v>
      </c>
      <c r="AC2297" t="str">
        <f>+VLOOKUP(R2297,DRAFT!A:Q,17,0)</f>
        <v>SUPPORT</v>
      </c>
    </row>
    <row r="2298" spans="1:29">
      <c r="A2298" t="s">
        <v>382</v>
      </c>
      <c r="B2298" t="s">
        <v>440</v>
      </c>
      <c r="C2298" t="s">
        <v>1362</v>
      </c>
      <c r="D2298" t="s">
        <v>2970</v>
      </c>
      <c r="E2298" t="s">
        <v>390</v>
      </c>
      <c r="F2298" t="s">
        <v>391</v>
      </c>
      <c r="G2298">
        <v>6200615</v>
      </c>
      <c r="H2298">
        <v>202203</v>
      </c>
      <c r="I2298" s="400">
        <v>44634</v>
      </c>
      <c r="J2298" t="s">
        <v>452</v>
      </c>
      <c r="K2298" t="s">
        <v>386</v>
      </c>
      <c r="L2298">
        <v>122377</v>
      </c>
      <c r="M2298" t="s">
        <v>1228</v>
      </c>
      <c r="O2298" t="s">
        <v>906</v>
      </c>
      <c r="P2298" t="s">
        <v>907</v>
      </c>
      <c r="Q2298" t="s">
        <v>450</v>
      </c>
      <c r="R2298" s="458">
        <v>2069083</v>
      </c>
      <c r="S2298" t="s">
        <v>387</v>
      </c>
      <c r="U2298" t="s">
        <v>2987</v>
      </c>
      <c r="V2298" t="s">
        <v>398</v>
      </c>
      <c r="W2298" s="393">
        <v>5556</v>
      </c>
      <c r="X2298" s="393">
        <v>1.34</v>
      </c>
      <c r="Y2298" s="393">
        <v>13.23</v>
      </c>
      <c r="Z2298" s="393">
        <v>5556</v>
      </c>
      <c r="AA2298">
        <v>0</v>
      </c>
      <c r="AB2298" s="400">
        <v>44642.740014930554</v>
      </c>
      <c r="AC2298" t="str">
        <f>+VLOOKUP(R2298,DRAFT!A:Q,17,0)</f>
        <v>SUPPORT</v>
      </c>
    </row>
    <row r="2299" spans="1:29">
      <c r="A2299" t="s">
        <v>382</v>
      </c>
      <c r="B2299" t="s">
        <v>440</v>
      </c>
      <c r="C2299" t="s">
        <v>1362</v>
      </c>
      <c r="D2299" t="s">
        <v>1399</v>
      </c>
      <c r="E2299" t="s">
        <v>390</v>
      </c>
      <c r="F2299" t="s">
        <v>391</v>
      </c>
      <c r="G2299">
        <v>6200066</v>
      </c>
      <c r="H2299">
        <v>202201</v>
      </c>
      <c r="I2299" s="400">
        <v>44592</v>
      </c>
      <c r="J2299" t="s">
        <v>452</v>
      </c>
      <c r="K2299" t="s">
        <v>386</v>
      </c>
      <c r="L2299">
        <v>123780</v>
      </c>
      <c r="M2299" t="s">
        <v>1153</v>
      </c>
      <c r="O2299" t="s">
        <v>849</v>
      </c>
      <c r="P2299" t="s">
        <v>850</v>
      </c>
      <c r="Q2299" t="s">
        <v>396</v>
      </c>
      <c r="R2299" s="458">
        <v>2265775</v>
      </c>
      <c r="S2299" t="s">
        <v>2988</v>
      </c>
      <c r="T2299" t="s">
        <v>2988</v>
      </c>
      <c r="U2299" t="s">
        <v>2989</v>
      </c>
      <c r="V2299" t="s">
        <v>398</v>
      </c>
      <c r="W2299" s="393">
        <v>95000</v>
      </c>
      <c r="X2299" s="393">
        <v>23.73</v>
      </c>
      <c r="Y2299" s="393">
        <v>211.31</v>
      </c>
      <c r="Z2299" s="393">
        <v>95000</v>
      </c>
      <c r="AA2299">
        <v>0</v>
      </c>
      <c r="AB2299" s="400">
        <v>44595.82721103009</v>
      </c>
      <c r="AC2299" t="str">
        <f>+VLOOKUP(R2299,DRAFT!A:Q,17,0)</f>
        <v>MAE</v>
      </c>
    </row>
    <row r="2300" spans="1:29">
      <c r="A2300" t="s">
        <v>382</v>
      </c>
      <c r="B2300" t="s">
        <v>440</v>
      </c>
      <c r="C2300" t="s">
        <v>1362</v>
      </c>
      <c r="D2300" t="s">
        <v>1399</v>
      </c>
      <c r="E2300" t="s">
        <v>390</v>
      </c>
      <c r="F2300" t="s">
        <v>391</v>
      </c>
      <c r="G2300">
        <v>6200066</v>
      </c>
      <c r="H2300">
        <v>202201</v>
      </c>
      <c r="I2300" s="400">
        <v>44592</v>
      </c>
      <c r="J2300" t="s">
        <v>452</v>
      </c>
      <c r="K2300" t="s">
        <v>386</v>
      </c>
      <c r="L2300" t="s">
        <v>2420</v>
      </c>
      <c r="M2300" t="s">
        <v>2421</v>
      </c>
      <c r="O2300" t="s">
        <v>642</v>
      </c>
      <c r="P2300" t="s">
        <v>643</v>
      </c>
      <c r="Q2300" t="s">
        <v>396</v>
      </c>
      <c r="R2300" s="458">
        <v>2265775</v>
      </c>
      <c r="S2300" t="s">
        <v>2990</v>
      </c>
      <c r="T2300" t="s">
        <v>2990</v>
      </c>
      <c r="U2300" t="s">
        <v>2991</v>
      </c>
      <c r="V2300" t="s">
        <v>398</v>
      </c>
      <c r="W2300" s="393">
        <v>151000</v>
      </c>
      <c r="X2300" s="393">
        <v>37.71</v>
      </c>
      <c r="Y2300" s="393">
        <v>335.87</v>
      </c>
      <c r="Z2300" s="393">
        <v>151000</v>
      </c>
      <c r="AA2300">
        <v>0</v>
      </c>
      <c r="AB2300" s="400">
        <v>44595.82721103009</v>
      </c>
      <c r="AC2300" t="str">
        <f>+VLOOKUP(R2300,DRAFT!A:Q,17,0)</f>
        <v>MAE</v>
      </c>
    </row>
    <row r="2301" spans="1:29">
      <c r="A2301" t="s">
        <v>382</v>
      </c>
      <c r="B2301" t="s">
        <v>440</v>
      </c>
      <c r="C2301" t="s">
        <v>1362</v>
      </c>
      <c r="D2301" t="s">
        <v>1399</v>
      </c>
      <c r="E2301" t="s">
        <v>390</v>
      </c>
      <c r="F2301" t="s">
        <v>391</v>
      </c>
      <c r="G2301">
        <v>6200062</v>
      </c>
      <c r="H2301">
        <v>202201</v>
      </c>
      <c r="I2301" s="400">
        <v>44592</v>
      </c>
      <c r="J2301" t="s">
        <v>452</v>
      </c>
      <c r="K2301" t="s">
        <v>386</v>
      </c>
      <c r="L2301" t="s">
        <v>2420</v>
      </c>
      <c r="M2301" t="s">
        <v>2421</v>
      </c>
      <c r="O2301" t="s">
        <v>642</v>
      </c>
      <c r="P2301" t="s">
        <v>643</v>
      </c>
      <c r="Q2301" t="s">
        <v>396</v>
      </c>
      <c r="R2301" s="458">
        <v>2265775</v>
      </c>
      <c r="S2301" t="s">
        <v>387</v>
      </c>
      <c r="U2301" t="s">
        <v>2992</v>
      </c>
      <c r="V2301" t="s">
        <v>398</v>
      </c>
      <c r="W2301" s="393">
        <v>302000</v>
      </c>
      <c r="X2301" s="393">
        <v>75.42</v>
      </c>
      <c r="Y2301" s="393">
        <v>671.74</v>
      </c>
      <c r="Z2301" s="393">
        <v>302000</v>
      </c>
      <c r="AA2301">
        <v>318</v>
      </c>
      <c r="AB2301" s="400">
        <v>44595.790801932868</v>
      </c>
      <c r="AC2301" t="str">
        <f>+VLOOKUP(R2301,DRAFT!A:Q,17,0)</f>
        <v>MAE</v>
      </c>
    </row>
    <row r="2302" spans="1:29">
      <c r="A2302" t="s">
        <v>382</v>
      </c>
      <c r="B2302" t="s">
        <v>440</v>
      </c>
      <c r="C2302" t="s">
        <v>1362</v>
      </c>
      <c r="D2302" t="s">
        <v>1399</v>
      </c>
      <c r="E2302" t="s">
        <v>390</v>
      </c>
      <c r="F2302" t="s">
        <v>391</v>
      </c>
      <c r="G2302">
        <v>6200066</v>
      </c>
      <c r="H2302">
        <v>202201</v>
      </c>
      <c r="I2302" s="400">
        <v>44592</v>
      </c>
      <c r="J2302" t="s">
        <v>452</v>
      </c>
      <c r="K2302" t="s">
        <v>386</v>
      </c>
      <c r="L2302" t="s">
        <v>2420</v>
      </c>
      <c r="M2302" t="s">
        <v>2421</v>
      </c>
      <c r="O2302" t="s">
        <v>849</v>
      </c>
      <c r="P2302" t="s">
        <v>850</v>
      </c>
      <c r="Q2302" t="s">
        <v>396</v>
      </c>
      <c r="R2302" s="458">
        <v>2265775</v>
      </c>
      <c r="S2302" t="s">
        <v>2993</v>
      </c>
      <c r="T2302" t="s">
        <v>2993</v>
      </c>
      <c r="U2302" t="s">
        <v>2994</v>
      </c>
      <c r="V2302" t="s">
        <v>398</v>
      </c>
      <c r="W2302" s="393">
        <v>95000</v>
      </c>
      <c r="X2302" s="393">
        <v>23.73</v>
      </c>
      <c r="Y2302" s="393">
        <v>211.31</v>
      </c>
      <c r="Z2302" s="393">
        <v>95000</v>
      </c>
      <c r="AA2302">
        <v>0</v>
      </c>
      <c r="AB2302" s="400">
        <v>44595.82721103009</v>
      </c>
      <c r="AC2302" t="str">
        <f>+VLOOKUP(R2302,DRAFT!A:Q,17,0)</f>
        <v>MAE</v>
      </c>
    </row>
    <row r="2303" spans="1:29">
      <c r="A2303" t="s">
        <v>382</v>
      </c>
      <c r="B2303" t="s">
        <v>440</v>
      </c>
      <c r="C2303" t="s">
        <v>1362</v>
      </c>
      <c r="D2303" t="s">
        <v>1399</v>
      </c>
      <c r="E2303" t="s">
        <v>390</v>
      </c>
      <c r="F2303" t="s">
        <v>391</v>
      </c>
      <c r="G2303">
        <v>6200066</v>
      </c>
      <c r="H2303">
        <v>202201</v>
      </c>
      <c r="I2303" s="400">
        <v>44592</v>
      </c>
      <c r="J2303" t="s">
        <v>452</v>
      </c>
      <c r="K2303" t="s">
        <v>386</v>
      </c>
      <c r="L2303" t="s">
        <v>1162</v>
      </c>
      <c r="M2303" t="s">
        <v>1163</v>
      </c>
      <c r="O2303" t="s">
        <v>849</v>
      </c>
      <c r="P2303" t="s">
        <v>850</v>
      </c>
      <c r="Q2303" t="s">
        <v>396</v>
      </c>
      <c r="R2303" s="458">
        <v>2265775</v>
      </c>
      <c r="S2303" t="s">
        <v>2995</v>
      </c>
      <c r="T2303" t="s">
        <v>2995</v>
      </c>
      <c r="U2303" t="s">
        <v>2996</v>
      </c>
      <c r="V2303" t="s">
        <v>398</v>
      </c>
      <c r="W2303" s="393">
        <v>95000</v>
      </c>
      <c r="X2303" s="393">
        <v>23.73</v>
      </c>
      <c r="Y2303" s="393">
        <v>211.31</v>
      </c>
      <c r="Z2303" s="393">
        <v>95000</v>
      </c>
      <c r="AA2303">
        <v>0</v>
      </c>
      <c r="AB2303" s="400">
        <v>44595.82721103009</v>
      </c>
      <c r="AC2303" t="str">
        <f>+VLOOKUP(R2303,DRAFT!A:Q,17,0)</f>
        <v>MAE</v>
      </c>
    </row>
    <row r="2304" spans="1:29">
      <c r="A2304" t="s">
        <v>382</v>
      </c>
      <c r="B2304" t="s">
        <v>440</v>
      </c>
      <c r="C2304" t="s">
        <v>1362</v>
      </c>
      <c r="D2304" t="s">
        <v>1399</v>
      </c>
      <c r="E2304" t="s">
        <v>390</v>
      </c>
      <c r="F2304" t="s">
        <v>391</v>
      </c>
      <c r="G2304">
        <v>6200066</v>
      </c>
      <c r="H2304">
        <v>202201</v>
      </c>
      <c r="I2304" s="400">
        <v>44592</v>
      </c>
      <c r="J2304" t="s">
        <v>452</v>
      </c>
      <c r="K2304" t="s">
        <v>386</v>
      </c>
      <c r="L2304" t="s">
        <v>1195</v>
      </c>
      <c r="M2304" t="s">
        <v>1196</v>
      </c>
      <c r="O2304" t="s">
        <v>849</v>
      </c>
      <c r="P2304" t="s">
        <v>850</v>
      </c>
      <c r="Q2304" t="s">
        <v>396</v>
      </c>
      <c r="R2304" s="458">
        <v>2265775</v>
      </c>
      <c r="S2304" t="s">
        <v>2997</v>
      </c>
      <c r="T2304" t="s">
        <v>2997</v>
      </c>
      <c r="U2304" t="s">
        <v>2998</v>
      </c>
      <c r="V2304" t="s">
        <v>398</v>
      </c>
      <c r="W2304" s="393">
        <v>95000</v>
      </c>
      <c r="X2304" s="393">
        <v>23.73</v>
      </c>
      <c r="Y2304" s="393">
        <v>211.31</v>
      </c>
      <c r="Z2304" s="393">
        <v>95000</v>
      </c>
      <c r="AA2304">
        <v>0</v>
      </c>
      <c r="AB2304" s="400">
        <v>44595.82721103009</v>
      </c>
      <c r="AC2304" t="str">
        <f>+VLOOKUP(R2304,DRAFT!A:Q,17,0)</f>
        <v>MAE</v>
      </c>
    </row>
    <row r="2305" spans="1:29">
      <c r="A2305" t="s">
        <v>382</v>
      </c>
      <c r="B2305" t="s">
        <v>440</v>
      </c>
      <c r="C2305" t="s">
        <v>1362</v>
      </c>
      <c r="D2305" t="s">
        <v>1399</v>
      </c>
      <c r="E2305" t="s">
        <v>390</v>
      </c>
      <c r="F2305" t="s">
        <v>391</v>
      </c>
      <c r="G2305">
        <v>6200509</v>
      </c>
      <c r="H2305">
        <v>202202</v>
      </c>
      <c r="I2305" s="400">
        <v>44620</v>
      </c>
      <c r="J2305">
        <v>124932</v>
      </c>
      <c r="K2305" t="s">
        <v>386</v>
      </c>
      <c r="L2305" t="s">
        <v>2420</v>
      </c>
      <c r="M2305" t="s">
        <v>2421</v>
      </c>
      <c r="O2305" t="s">
        <v>642</v>
      </c>
      <c r="P2305" t="s">
        <v>643</v>
      </c>
      <c r="Q2305" t="s">
        <v>396</v>
      </c>
      <c r="R2305" s="458">
        <v>2265775</v>
      </c>
      <c r="S2305" t="s">
        <v>387</v>
      </c>
      <c r="U2305" t="s">
        <v>3000</v>
      </c>
      <c r="V2305" t="s">
        <v>398</v>
      </c>
      <c r="W2305" s="393">
        <v>151000</v>
      </c>
      <c r="X2305" s="393">
        <v>38.58</v>
      </c>
      <c r="Y2305" s="393">
        <v>344.71</v>
      </c>
      <c r="Z2305" s="393">
        <v>151000</v>
      </c>
      <c r="AA2305">
        <v>0</v>
      </c>
      <c r="AB2305" s="400">
        <v>44629.75094302083</v>
      </c>
      <c r="AC2305" t="str">
        <f>+VLOOKUP(R2305,DRAFT!A:Q,17,0)</f>
        <v>MAE</v>
      </c>
    </row>
    <row r="2306" spans="1:29">
      <c r="A2306" t="s">
        <v>382</v>
      </c>
      <c r="B2306" t="s">
        <v>440</v>
      </c>
      <c r="C2306" t="s">
        <v>1362</v>
      </c>
      <c r="D2306" t="s">
        <v>1399</v>
      </c>
      <c r="E2306" t="s">
        <v>390</v>
      </c>
      <c r="F2306" t="s">
        <v>391</v>
      </c>
      <c r="G2306">
        <v>6200523</v>
      </c>
      <c r="H2306">
        <v>202202</v>
      </c>
      <c r="I2306" s="400">
        <v>44620</v>
      </c>
      <c r="J2306">
        <v>122536</v>
      </c>
      <c r="K2306" t="s">
        <v>386</v>
      </c>
      <c r="L2306" t="s">
        <v>2420</v>
      </c>
      <c r="M2306" t="s">
        <v>2421</v>
      </c>
      <c r="O2306" t="s">
        <v>642</v>
      </c>
      <c r="P2306" t="s">
        <v>643</v>
      </c>
      <c r="Q2306" t="s">
        <v>396</v>
      </c>
      <c r="R2306" s="458">
        <v>2265775</v>
      </c>
      <c r="S2306" t="s">
        <v>387</v>
      </c>
      <c r="U2306" t="s">
        <v>2999</v>
      </c>
      <c r="V2306" t="s">
        <v>398</v>
      </c>
      <c r="W2306" s="393">
        <v>302000</v>
      </c>
      <c r="X2306" s="393">
        <v>77.16</v>
      </c>
      <c r="Y2306" s="393">
        <v>689.41</v>
      </c>
      <c r="Z2306" s="393">
        <v>302000</v>
      </c>
      <c r="AA2306">
        <v>318</v>
      </c>
      <c r="AB2306" s="400">
        <v>44629.796408946757</v>
      </c>
      <c r="AC2306" t="str">
        <f>+VLOOKUP(R2306,DRAFT!A:Q,17,0)</f>
        <v>MAE</v>
      </c>
    </row>
    <row r="2307" spans="1:29">
      <c r="A2307" t="s">
        <v>382</v>
      </c>
      <c r="B2307" t="s">
        <v>440</v>
      </c>
      <c r="C2307" t="s">
        <v>1362</v>
      </c>
      <c r="D2307" t="s">
        <v>1399</v>
      </c>
      <c r="E2307" t="s">
        <v>390</v>
      </c>
      <c r="F2307" t="s">
        <v>391</v>
      </c>
      <c r="G2307">
        <v>6200528</v>
      </c>
      <c r="H2307">
        <v>202202</v>
      </c>
      <c r="I2307" s="400">
        <v>44620</v>
      </c>
      <c r="J2307" t="s">
        <v>452</v>
      </c>
      <c r="K2307" t="s">
        <v>386</v>
      </c>
      <c r="L2307" t="s">
        <v>1191</v>
      </c>
      <c r="M2307" t="s">
        <v>1192</v>
      </c>
      <c r="O2307" t="s">
        <v>1409</v>
      </c>
      <c r="P2307" t="s">
        <v>1410</v>
      </c>
      <c r="Q2307" t="s">
        <v>450</v>
      </c>
      <c r="R2307" s="458">
        <v>2069083</v>
      </c>
      <c r="S2307" t="s">
        <v>3001</v>
      </c>
      <c r="U2307" t="s">
        <v>3002</v>
      </c>
      <c r="V2307" t="s">
        <v>398</v>
      </c>
      <c r="W2307" s="393">
        <v>300000</v>
      </c>
      <c r="X2307" s="393">
        <v>76.650000000000006</v>
      </c>
      <c r="Y2307" s="393">
        <v>684.85</v>
      </c>
      <c r="Z2307" s="393">
        <v>300000</v>
      </c>
      <c r="AA2307">
        <v>318</v>
      </c>
      <c r="AB2307" s="400">
        <v>44629.810295138886</v>
      </c>
      <c r="AC2307" t="str">
        <f>+VLOOKUP(R2307,DRAFT!A:Q,17,0)</f>
        <v>SUPPORT</v>
      </c>
    </row>
    <row r="2308" spans="1:29">
      <c r="A2308" t="s">
        <v>382</v>
      </c>
      <c r="B2308" t="s">
        <v>440</v>
      </c>
      <c r="C2308" t="s">
        <v>1362</v>
      </c>
      <c r="D2308" t="s">
        <v>1399</v>
      </c>
      <c r="E2308" t="s">
        <v>390</v>
      </c>
      <c r="F2308" t="s">
        <v>391</v>
      </c>
      <c r="G2308">
        <v>6200299</v>
      </c>
      <c r="H2308">
        <v>202202</v>
      </c>
      <c r="I2308" s="400">
        <v>44620</v>
      </c>
      <c r="J2308" t="s">
        <v>452</v>
      </c>
      <c r="K2308" t="s">
        <v>386</v>
      </c>
      <c r="L2308" t="s">
        <v>1195</v>
      </c>
      <c r="M2308" t="s">
        <v>1196</v>
      </c>
      <c r="O2308" t="s">
        <v>593</v>
      </c>
      <c r="P2308" t="s">
        <v>594</v>
      </c>
      <c r="Q2308" t="s">
        <v>396</v>
      </c>
      <c r="R2308" s="458">
        <v>2265775</v>
      </c>
      <c r="S2308" t="s">
        <v>387</v>
      </c>
      <c r="U2308" t="s">
        <v>3003</v>
      </c>
      <c r="V2308" t="s">
        <v>398</v>
      </c>
      <c r="W2308" s="393">
        <v>8100</v>
      </c>
      <c r="X2308" s="393">
        <v>2.0699999999999998</v>
      </c>
      <c r="Y2308" s="393">
        <v>18.489999999999998</v>
      </c>
      <c r="Z2308" s="393">
        <v>8100</v>
      </c>
      <c r="AA2308">
        <v>0</v>
      </c>
      <c r="AB2308" s="400">
        <v>44623.843000312503</v>
      </c>
      <c r="AC2308" t="str">
        <f>+VLOOKUP(R2308,DRAFT!A:Q,17,0)</f>
        <v>MAE</v>
      </c>
    </row>
    <row r="2309" spans="1:29">
      <c r="A2309" t="s">
        <v>382</v>
      </c>
      <c r="B2309" t="s">
        <v>440</v>
      </c>
      <c r="C2309" t="s">
        <v>1362</v>
      </c>
      <c r="D2309" t="s">
        <v>1399</v>
      </c>
      <c r="E2309" t="s">
        <v>390</v>
      </c>
      <c r="F2309" t="s">
        <v>391</v>
      </c>
      <c r="G2309">
        <v>6200299</v>
      </c>
      <c r="H2309">
        <v>202202</v>
      </c>
      <c r="I2309" s="400">
        <v>44620</v>
      </c>
      <c r="J2309" t="s">
        <v>452</v>
      </c>
      <c r="K2309" t="s">
        <v>386</v>
      </c>
      <c r="L2309" t="s">
        <v>1195</v>
      </c>
      <c r="M2309" t="s">
        <v>1196</v>
      </c>
      <c r="O2309" t="s">
        <v>794</v>
      </c>
      <c r="P2309" t="s">
        <v>795</v>
      </c>
      <c r="Q2309" t="s">
        <v>396</v>
      </c>
      <c r="R2309" s="458">
        <v>2265775</v>
      </c>
      <c r="S2309" t="s">
        <v>387</v>
      </c>
      <c r="U2309" t="s">
        <v>3004</v>
      </c>
      <c r="V2309" t="s">
        <v>398</v>
      </c>
      <c r="W2309" s="393">
        <v>6000</v>
      </c>
      <c r="X2309" s="393">
        <v>1.53</v>
      </c>
      <c r="Y2309" s="393">
        <v>13.7</v>
      </c>
      <c r="Z2309" s="393">
        <v>6000</v>
      </c>
      <c r="AA2309">
        <v>0</v>
      </c>
      <c r="AB2309" s="400">
        <v>44623.843000312503</v>
      </c>
      <c r="AC2309" t="str">
        <f>+VLOOKUP(R2309,DRAFT!A:Q,17,0)</f>
        <v>MAE</v>
      </c>
    </row>
    <row r="2310" spans="1:29">
      <c r="A2310" t="s">
        <v>382</v>
      </c>
      <c r="B2310" t="s">
        <v>440</v>
      </c>
      <c r="C2310" t="s">
        <v>1362</v>
      </c>
      <c r="D2310" t="s">
        <v>1399</v>
      </c>
      <c r="E2310" t="s">
        <v>390</v>
      </c>
      <c r="F2310" t="s">
        <v>391</v>
      </c>
      <c r="G2310">
        <v>6200868</v>
      </c>
      <c r="H2310">
        <v>202203</v>
      </c>
      <c r="I2310" s="400">
        <v>44645</v>
      </c>
      <c r="J2310">
        <v>127949</v>
      </c>
      <c r="K2310" t="s">
        <v>386</v>
      </c>
      <c r="L2310">
        <v>119010</v>
      </c>
      <c r="M2310" t="s">
        <v>1158</v>
      </c>
      <c r="O2310" t="s">
        <v>849</v>
      </c>
      <c r="P2310" t="s">
        <v>850</v>
      </c>
      <c r="Q2310" t="s">
        <v>450</v>
      </c>
      <c r="R2310" s="458">
        <v>2069083</v>
      </c>
      <c r="S2310" t="s">
        <v>3005</v>
      </c>
      <c r="U2310" t="s">
        <v>3006</v>
      </c>
      <c r="V2310" t="s">
        <v>398</v>
      </c>
      <c r="W2310" s="393">
        <v>95000</v>
      </c>
      <c r="X2310" s="393">
        <v>25.29</v>
      </c>
      <c r="Y2310" s="393">
        <v>221.19</v>
      </c>
      <c r="Z2310" s="393">
        <v>95000</v>
      </c>
      <c r="AA2310">
        <v>0</v>
      </c>
      <c r="AB2310" s="400">
        <v>44655.006353668985</v>
      </c>
      <c r="AC2310" t="str">
        <f>+VLOOKUP(R2310,DRAFT!A:Q,17,0)</f>
        <v>SUPPORT</v>
      </c>
    </row>
    <row r="2311" spans="1:29">
      <c r="A2311" t="s">
        <v>382</v>
      </c>
      <c r="B2311" t="s">
        <v>440</v>
      </c>
      <c r="C2311" t="s">
        <v>1362</v>
      </c>
      <c r="D2311" t="s">
        <v>1399</v>
      </c>
      <c r="E2311" t="s">
        <v>390</v>
      </c>
      <c r="F2311" t="s">
        <v>391</v>
      </c>
      <c r="G2311">
        <v>6200868</v>
      </c>
      <c r="H2311">
        <v>202203</v>
      </c>
      <c r="I2311" s="400">
        <v>44645</v>
      </c>
      <c r="J2311">
        <v>127949</v>
      </c>
      <c r="K2311" t="s">
        <v>386</v>
      </c>
      <c r="L2311">
        <v>122377</v>
      </c>
      <c r="M2311" t="s">
        <v>1228</v>
      </c>
      <c r="O2311" t="s">
        <v>849</v>
      </c>
      <c r="P2311" t="s">
        <v>850</v>
      </c>
      <c r="Q2311" t="s">
        <v>450</v>
      </c>
      <c r="R2311" s="458">
        <v>2069083</v>
      </c>
      <c r="S2311" t="s">
        <v>3007</v>
      </c>
      <c r="U2311" t="s">
        <v>3008</v>
      </c>
      <c r="V2311" t="s">
        <v>398</v>
      </c>
      <c r="W2311" s="393">
        <v>95000</v>
      </c>
      <c r="X2311" s="393">
        <v>25.29</v>
      </c>
      <c r="Y2311" s="393">
        <v>221.19</v>
      </c>
      <c r="Z2311" s="393">
        <v>95000</v>
      </c>
      <c r="AA2311">
        <v>0</v>
      </c>
      <c r="AB2311" s="400">
        <v>44655.006353668985</v>
      </c>
      <c r="AC2311" t="str">
        <f>+VLOOKUP(R2311,DRAFT!A:Q,17,0)</f>
        <v>SUPPORT</v>
      </c>
    </row>
    <row r="2312" spans="1:29">
      <c r="A2312" t="s">
        <v>382</v>
      </c>
      <c r="B2312" t="s">
        <v>440</v>
      </c>
      <c r="C2312" t="s">
        <v>1362</v>
      </c>
      <c r="D2312" t="s">
        <v>1399</v>
      </c>
      <c r="E2312" t="s">
        <v>390</v>
      </c>
      <c r="F2312" t="s">
        <v>391</v>
      </c>
      <c r="G2312">
        <v>6200868</v>
      </c>
      <c r="H2312">
        <v>202203</v>
      </c>
      <c r="I2312" s="400">
        <v>44645</v>
      </c>
      <c r="J2312">
        <v>127949</v>
      </c>
      <c r="K2312" t="s">
        <v>386</v>
      </c>
      <c r="L2312">
        <v>125684</v>
      </c>
      <c r="M2312" t="s">
        <v>2869</v>
      </c>
      <c r="O2312" t="s">
        <v>849</v>
      </c>
      <c r="P2312" t="s">
        <v>850</v>
      </c>
      <c r="Q2312" t="s">
        <v>396</v>
      </c>
      <c r="R2312" s="458">
        <v>2265775</v>
      </c>
      <c r="S2312" t="s">
        <v>3009</v>
      </c>
      <c r="U2312" t="s">
        <v>3010</v>
      </c>
      <c r="V2312" t="s">
        <v>398</v>
      </c>
      <c r="W2312" s="393">
        <v>95000</v>
      </c>
      <c r="X2312" s="393">
        <v>25.29</v>
      </c>
      <c r="Y2312" s="393">
        <v>221.19</v>
      </c>
      <c r="Z2312" s="393">
        <v>95000</v>
      </c>
      <c r="AA2312">
        <v>0</v>
      </c>
      <c r="AB2312" s="400">
        <v>44655.006353321762</v>
      </c>
      <c r="AC2312" t="str">
        <f>+VLOOKUP(R2312,DRAFT!A:Q,17,0)</f>
        <v>MAE</v>
      </c>
    </row>
    <row r="2313" spans="1:29">
      <c r="A2313" t="s">
        <v>382</v>
      </c>
      <c r="B2313" t="s">
        <v>440</v>
      </c>
      <c r="C2313" t="s">
        <v>1362</v>
      </c>
      <c r="D2313" t="s">
        <v>1399</v>
      </c>
      <c r="E2313" t="s">
        <v>390</v>
      </c>
      <c r="F2313" t="s">
        <v>391</v>
      </c>
      <c r="G2313">
        <v>6200868</v>
      </c>
      <c r="H2313">
        <v>202203</v>
      </c>
      <c r="I2313" s="400">
        <v>44645</v>
      </c>
      <c r="J2313">
        <v>127949</v>
      </c>
      <c r="K2313" t="s">
        <v>386</v>
      </c>
      <c r="L2313" t="s">
        <v>2420</v>
      </c>
      <c r="M2313" t="s">
        <v>2421</v>
      </c>
      <c r="O2313" t="s">
        <v>849</v>
      </c>
      <c r="P2313" t="s">
        <v>850</v>
      </c>
      <c r="Q2313" t="s">
        <v>396</v>
      </c>
      <c r="R2313" s="458">
        <v>2265775</v>
      </c>
      <c r="S2313" t="s">
        <v>3017</v>
      </c>
      <c r="U2313" t="s">
        <v>3018</v>
      </c>
      <c r="V2313" t="s">
        <v>398</v>
      </c>
      <c r="W2313" s="393">
        <v>95000</v>
      </c>
      <c r="X2313" s="393">
        <v>25.29</v>
      </c>
      <c r="Y2313" s="393">
        <v>221.19</v>
      </c>
      <c r="Z2313" s="393">
        <v>95000</v>
      </c>
      <c r="AA2313">
        <v>0</v>
      </c>
      <c r="AB2313" s="400">
        <v>44655.006353506942</v>
      </c>
      <c r="AC2313" t="str">
        <f>+VLOOKUP(R2313,DRAFT!A:Q,17,0)</f>
        <v>MAE</v>
      </c>
    </row>
    <row r="2314" spans="1:29">
      <c r="A2314" t="s">
        <v>382</v>
      </c>
      <c r="B2314" t="s">
        <v>440</v>
      </c>
      <c r="C2314" t="s">
        <v>1362</v>
      </c>
      <c r="D2314" t="s">
        <v>1399</v>
      </c>
      <c r="E2314" t="s">
        <v>390</v>
      </c>
      <c r="F2314" t="s">
        <v>391</v>
      </c>
      <c r="G2314">
        <v>6200897</v>
      </c>
      <c r="H2314">
        <v>202203</v>
      </c>
      <c r="I2314" s="400">
        <v>44645</v>
      </c>
      <c r="J2314">
        <v>127949</v>
      </c>
      <c r="K2314" t="s">
        <v>386</v>
      </c>
      <c r="L2314" t="s">
        <v>2420</v>
      </c>
      <c r="M2314" t="s">
        <v>2421</v>
      </c>
      <c r="O2314" t="s">
        <v>642</v>
      </c>
      <c r="P2314" t="s">
        <v>643</v>
      </c>
      <c r="Q2314" t="s">
        <v>396</v>
      </c>
      <c r="R2314" s="458">
        <v>2265775</v>
      </c>
      <c r="S2314" t="s">
        <v>3011</v>
      </c>
      <c r="U2314" t="s">
        <v>3012</v>
      </c>
      <c r="V2314" t="s">
        <v>398</v>
      </c>
      <c r="W2314" s="393">
        <v>302000</v>
      </c>
      <c r="X2314" s="393">
        <v>80.39</v>
      </c>
      <c r="Y2314" s="393">
        <v>703.15</v>
      </c>
      <c r="Z2314" s="393">
        <v>302000</v>
      </c>
      <c r="AA2314">
        <v>318</v>
      </c>
      <c r="AB2314" s="400">
        <v>44655.719900462966</v>
      </c>
      <c r="AC2314" t="str">
        <f>+VLOOKUP(R2314,DRAFT!A:Q,17,0)</f>
        <v>MAE</v>
      </c>
    </row>
    <row r="2315" spans="1:29">
      <c r="A2315" t="s">
        <v>382</v>
      </c>
      <c r="B2315" t="s">
        <v>440</v>
      </c>
      <c r="C2315" t="s">
        <v>1362</v>
      </c>
      <c r="D2315" t="s">
        <v>1399</v>
      </c>
      <c r="E2315" t="s">
        <v>390</v>
      </c>
      <c r="F2315" t="s">
        <v>391</v>
      </c>
      <c r="G2315">
        <v>6200897</v>
      </c>
      <c r="H2315">
        <v>202203</v>
      </c>
      <c r="I2315" s="400">
        <v>44645</v>
      </c>
      <c r="J2315">
        <v>127949</v>
      </c>
      <c r="K2315" t="s">
        <v>386</v>
      </c>
      <c r="L2315" t="s">
        <v>2420</v>
      </c>
      <c r="M2315" t="s">
        <v>2421</v>
      </c>
      <c r="O2315" t="s">
        <v>642</v>
      </c>
      <c r="P2315" t="s">
        <v>643</v>
      </c>
      <c r="Q2315" t="s">
        <v>396</v>
      </c>
      <c r="R2315" s="458">
        <v>2265775</v>
      </c>
      <c r="S2315" t="s">
        <v>3013</v>
      </c>
      <c r="U2315" t="s">
        <v>3014</v>
      </c>
      <c r="V2315" t="s">
        <v>398</v>
      </c>
      <c r="W2315" s="393">
        <v>302000</v>
      </c>
      <c r="X2315" s="393">
        <v>80.39</v>
      </c>
      <c r="Y2315" s="393">
        <v>703.15</v>
      </c>
      <c r="Z2315" s="393">
        <v>302000</v>
      </c>
      <c r="AA2315">
        <v>318</v>
      </c>
      <c r="AB2315" s="400">
        <v>44655.719900462966</v>
      </c>
      <c r="AC2315" t="str">
        <f>+VLOOKUP(R2315,DRAFT!A:Q,17,0)</f>
        <v>MAE</v>
      </c>
    </row>
    <row r="2316" spans="1:29">
      <c r="A2316" t="s">
        <v>382</v>
      </c>
      <c r="B2316" t="s">
        <v>440</v>
      </c>
      <c r="C2316" t="s">
        <v>1362</v>
      </c>
      <c r="D2316" t="s">
        <v>1399</v>
      </c>
      <c r="E2316" t="s">
        <v>390</v>
      </c>
      <c r="F2316" t="s">
        <v>391</v>
      </c>
      <c r="G2316">
        <v>6200868</v>
      </c>
      <c r="H2316">
        <v>202203</v>
      </c>
      <c r="I2316" s="400">
        <v>44645</v>
      </c>
      <c r="J2316">
        <v>127949</v>
      </c>
      <c r="K2316" t="s">
        <v>386</v>
      </c>
      <c r="L2316" t="s">
        <v>2420</v>
      </c>
      <c r="M2316" t="s">
        <v>2421</v>
      </c>
      <c r="O2316" t="s">
        <v>849</v>
      </c>
      <c r="P2316" t="s">
        <v>850</v>
      </c>
      <c r="Q2316" t="s">
        <v>396</v>
      </c>
      <c r="R2316" s="458">
        <v>2265775</v>
      </c>
      <c r="S2316" t="s">
        <v>3015</v>
      </c>
      <c r="U2316" t="s">
        <v>3016</v>
      </c>
      <c r="V2316" t="s">
        <v>398</v>
      </c>
      <c r="W2316" s="393">
        <v>95000</v>
      </c>
      <c r="X2316" s="393">
        <v>25.29</v>
      </c>
      <c r="Y2316" s="393">
        <v>221.19</v>
      </c>
      <c r="Z2316" s="393">
        <v>95000</v>
      </c>
      <c r="AA2316">
        <v>0</v>
      </c>
      <c r="AB2316" s="400">
        <v>44655.006353321762</v>
      </c>
      <c r="AC2316" t="str">
        <f>+VLOOKUP(R2316,DRAFT!A:Q,17,0)</f>
        <v>MAE</v>
      </c>
    </row>
    <row r="2317" spans="1:29">
      <c r="A2317" t="s">
        <v>382</v>
      </c>
      <c r="B2317" t="s">
        <v>440</v>
      </c>
      <c r="C2317" t="s">
        <v>1362</v>
      </c>
      <c r="D2317" t="s">
        <v>1399</v>
      </c>
      <c r="E2317" t="s">
        <v>390</v>
      </c>
      <c r="F2317" t="s">
        <v>391</v>
      </c>
      <c r="G2317">
        <v>6200868</v>
      </c>
      <c r="H2317">
        <v>202203</v>
      </c>
      <c r="I2317" s="400">
        <v>44645</v>
      </c>
      <c r="J2317">
        <v>127949</v>
      </c>
      <c r="K2317" t="s">
        <v>386</v>
      </c>
      <c r="L2317" t="s">
        <v>1187</v>
      </c>
      <c r="M2317" t="s">
        <v>1188</v>
      </c>
      <c r="O2317" t="s">
        <v>849</v>
      </c>
      <c r="P2317" t="s">
        <v>850</v>
      </c>
      <c r="Q2317" t="s">
        <v>450</v>
      </c>
      <c r="R2317" s="458">
        <v>2069083</v>
      </c>
      <c r="S2317" t="s">
        <v>3019</v>
      </c>
      <c r="U2317" t="s">
        <v>3020</v>
      </c>
      <c r="V2317" t="s">
        <v>398</v>
      </c>
      <c r="W2317" s="393">
        <v>95000</v>
      </c>
      <c r="X2317" s="393">
        <v>25.29</v>
      </c>
      <c r="Y2317" s="393">
        <v>221.19</v>
      </c>
      <c r="Z2317" s="393">
        <v>95000</v>
      </c>
      <c r="AA2317">
        <v>0</v>
      </c>
      <c r="AB2317" s="400">
        <v>44655.006353668985</v>
      </c>
      <c r="AC2317" t="str">
        <f>+VLOOKUP(R2317,DRAFT!A:Q,17,0)</f>
        <v>SUPPORT</v>
      </c>
    </row>
    <row r="2318" spans="1:29">
      <c r="A2318" t="s">
        <v>382</v>
      </c>
      <c r="B2318" t="s">
        <v>440</v>
      </c>
      <c r="C2318" t="s">
        <v>1362</v>
      </c>
      <c r="D2318" t="s">
        <v>1399</v>
      </c>
      <c r="E2318" t="s">
        <v>390</v>
      </c>
      <c r="F2318" t="s">
        <v>391</v>
      </c>
      <c r="G2318">
        <v>6200777</v>
      </c>
      <c r="H2318">
        <v>202203</v>
      </c>
      <c r="I2318" s="400">
        <v>44645</v>
      </c>
      <c r="J2318">
        <v>127949</v>
      </c>
      <c r="K2318" t="s">
        <v>386</v>
      </c>
      <c r="L2318" t="s">
        <v>1191</v>
      </c>
      <c r="M2318" t="s">
        <v>1192</v>
      </c>
      <c r="O2318" t="s">
        <v>1409</v>
      </c>
      <c r="P2318" t="s">
        <v>1410</v>
      </c>
      <c r="Q2318" t="s">
        <v>450</v>
      </c>
      <c r="R2318" s="458">
        <v>2069083</v>
      </c>
      <c r="S2318" t="s">
        <v>387</v>
      </c>
      <c r="U2318" t="s">
        <v>3021</v>
      </c>
      <c r="V2318" t="s">
        <v>398</v>
      </c>
      <c r="W2318" s="393">
        <v>300000</v>
      </c>
      <c r="X2318" s="393">
        <v>79.86</v>
      </c>
      <c r="Y2318" s="393">
        <v>698.5</v>
      </c>
      <c r="Z2318" s="393">
        <v>300000</v>
      </c>
      <c r="AA2318">
        <v>318</v>
      </c>
      <c r="AB2318" s="400">
        <v>44653.024448067132</v>
      </c>
      <c r="AC2318" t="str">
        <f>+VLOOKUP(R2318,DRAFT!A:Q,17,0)</f>
        <v>SUPPORT</v>
      </c>
    </row>
    <row r="2319" spans="1:29">
      <c r="A2319" t="s">
        <v>382</v>
      </c>
      <c r="B2319" t="s">
        <v>440</v>
      </c>
      <c r="C2319" t="s">
        <v>1362</v>
      </c>
      <c r="D2319" t="s">
        <v>1399</v>
      </c>
      <c r="E2319" t="s">
        <v>390</v>
      </c>
      <c r="F2319" t="s">
        <v>391</v>
      </c>
      <c r="G2319">
        <v>6201258</v>
      </c>
      <c r="H2319">
        <v>202204</v>
      </c>
      <c r="I2319" s="400">
        <v>44673</v>
      </c>
      <c r="J2319">
        <v>122536</v>
      </c>
      <c r="K2319" t="s">
        <v>386</v>
      </c>
      <c r="L2319">
        <v>125684</v>
      </c>
      <c r="M2319" t="s">
        <v>2869</v>
      </c>
      <c r="O2319" t="s">
        <v>849</v>
      </c>
      <c r="P2319" t="s">
        <v>850</v>
      </c>
      <c r="Q2319" t="s">
        <v>396</v>
      </c>
      <c r="R2319" s="458">
        <v>2265775</v>
      </c>
      <c r="S2319" t="s">
        <v>387</v>
      </c>
      <c r="U2319" t="s">
        <v>4032</v>
      </c>
      <c r="V2319" t="s">
        <v>398</v>
      </c>
      <c r="W2319" s="393">
        <v>325001</v>
      </c>
      <c r="X2319" s="393">
        <v>86.47</v>
      </c>
      <c r="Y2319" s="393">
        <v>741.42</v>
      </c>
      <c r="Z2319" s="393">
        <v>325001</v>
      </c>
      <c r="AA2319">
        <v>318</v>
      </c>
      <c r="AB2319" s="400">
        <v>44684.754019479165</v>
      </c>
      <c r="AC2319" t="str">
        <f>+VLOOKUP(R2319,DRAFT!A:Q,17,0)</f>
        <v>MAE</v>
      </c>
    </row>
    <row r="2320" spans="1:29">
      <c r="A2320" t="s">
        <v>382</v>
      </c>
      <c r="B2320" t="s">
        <v>440</v>
      </c>
      <c r="C2320" t="s">
        <v>1362</v>
      </c>
      <c r="D2320" t="s">
        <v>1399</v>
      </c>
      <c r="E2320" t="s">
        <v>390</v>
      </c>
      <c r="F2320" t="s">
        <v>391</v>
      </c>
      <c r="G2320">
        <v>6201069</v>
      </c>
      <c r="H2320">
        <v>202204</v>
      </c>
      <c r="I2320" s="400">
        <v>44663</v>
      </c>
      <c r="J2320" t="s">
        <v>3947</v>
      </c>
      <c r="K2320" t="s">
        <v>386</v>
      </c>
      <c r="L2320">
        <v>125684</v>
      </c>
      <c r="M2320" t="s">
        <v>2869</v>
      </c>
      <c r="O2320" t="s">
        <v>849</v>
      </c>
      <c r="P2320" t="s">
        <v>850</v>
      </c>
      <c r="Q2320" t="s">
        <v>396</v>
      </c>
      <c r="R2320" s="458">
        <v>2265775</v>
      </c>
      <c r="S2320" t="s">
        <v>387</v>
      </c>
      <c r="U2320" t="s">
        <v>4033</v>
      </c>
      <c r="V2320" t="s">
        <v>398</v>
      </c>
      <c r="W2320" s="393">
        <v>130000</v>
      </c>
      <c r="X2320" s="393">
        <v>34.68</v>
      </c>
      <c r="Y2320" s="393">
        <v>299.72000000000003</v>
      </c>
      <c r="Z2320" s="393">
        <v>130000</v>
      </c>
      <c r="AA2320">
        <v>0</v>
      </c>
      <c r="AB2320" s="400">
        <v>44671.058282372687</v>
      </c>
      <c r="AC2320" t="str">
        <f>+VLOOKUP(R2320,DRAFT!A:Q,17,0)</f>
        <v>MAE</v>
      </c>
    </row>
    <row r="2321" spans="1:29">
      <c r="A2321" t="s">
        <v>382</v>
      </c>
      <c r="B2321" t="s">
        <v>440</v>
      </c>
      <c r="C2321" t="s">
        <v>1362</v>
      </c>
      <c r="D2321" t="s">
        <v>1399</v>
      </c>
      <c r="E2321" t="s">
        <v>390</v>
      </c>
      <c r="F2321" t="s">
        <v>391</v>
      </c>
      <c r="G2321">
        <v>6201232</v>
      </c>
      <c r="H2321">
        <v>202204</v>
      </c>
      <c r="I2321" s="400">
        <v>44673</v>
      </c>
      <c r="J2321">
        <v>122536</v>
      </c>
      <c r="K2321" t="s">
        <v>386</v>
      </c>
      <c r="L2321" t="s">
        <v>1195</v>
      </c>
      <c r="M2321" t="s">
        <v>1196</v>
      </c>
      <c r="O2321" t="s">
        <v>849</v>
      </c>
      <c r="P2321" t="s">
        <v>850</v>
      </c>
      <c r="Q2321" t="s">
        <v>396</v>
      </c>
      <c r="R2321" s="458">
        <v>2265775</v>
      </c>
      <c r="S2321" t="s">
        <v>387</v>
      </c>
      <c r="U2321" t="s">
        <v>4034</v>
      </c>
      <c r="V2321" t="s">
        <v>398</v>
      </c>
      <c r="W2321" s="393">
        <v>95000</v>
      </c>
      <c r="X2321" s="393">
        <v>25.27</v>
      </c>
      <c r="Y2321" s="393">
        <v>216.72</v>
      </c>
      <c r="Z2321" s="393">
        <v>95000</v>
      </c>
      <c r="AA2321">
        <v>0</v>
      </c>
      <c r="AB2321" s="400">
        <v>44683.948210381946</v>
      </c>
      <c r="AC2321" t="str">
        <f>+VLOOKUP(R2321,DRAFT!A:Q,17,0)</f>
        <v>MAE</v>
      </c>
    </row>
    <row r="2322" spans="1:29">
      <c r="A2322" t="s">
        <v>382</v>
      </c>
      <c r="B2322" t="s">
        <v>1214</v>
      </c>
      <c r="C2322" t="s">
        <v>1362</v>
      </c>
      <c r="D2322" t="s">
        <v>1421</v>
      </c>
      <c r="E2322" t="s">
        <v>2565</v>
      </c>
      <c r="F2322" t="s">
        <v>2566</v>
      </c>
      <c r="G2322">
        <v>22200005</v>
      </c>
      <c r="H2322">
        <v>202201</v>
      </c>
      <c r="I2322" s="400">
        <v>44611</v>
      </c>
      <c r="J2322" t="s">
        <v>2567</v>
      </c>
      <c r="K2322" t="s">
        <v>386</v>
      </c>
      <c r="L2322" t="s">
        <v>2420</v>
      </c>
      <c r="M2322" t="s">
        <v>2421</v>
      </c>
      <c r="O2322" t="s">
        <v>3024</v>
      </c>
      <c r="P2322" t="s">
        <v>3025</v>
      </c>
      <c r="Q2322" t="s">
        <v>396</v>
      </c>
      <c r="R2322" s="458">
        <v>2265775</v>
      </c>
      <c r="S2322" t="s">
        <v>387</v>
      </c>
      <c r="U2322" t="s">
        <v>3026</v>
      </c>
      <c r="V2322" t="s">
        <v>398</v>
      </c>
      <c r="W2322" s="393">
        <v>24000</v>
      </c>
      <c r="X2322" s="393">
        <v>5.99</v>
      </c>
      <c r="Y2322" s="393">
        <v>53.38</v>
      </c>
      <c r="Z2322" s="393">
        <v>24000</v>
      </c>
      <c r="AA2322">
        <v>0</v>
      </c>
      <c r="AB2322" s="400">
        <v>44594.669840891205</v>
      </c>
      <c r="AC2322" t="str">
        <f>+VLOOKUP(R2322,DRAFT!A:Q,17,0)</f>
        <v>MAE</v>
      </c>
    </row>
    <row r="2323" spans="1:29">
      <c r="A2323" t="s">
        <v>382</v>
      </c>
      <c r="B2323" t="s">
        <v>1214</v>
      </c>
      <c r="C2323" t="s">
        <v>1362</v>
      </c>
      <c r="D2323" t="s">
        <v>1421</v>
      </c>
      <c r="E2323" t="s">
        <v>2565</v>
      </c>
      <c r="F2323" t="s">
        <v>2566</v>
      </c>
      <c r="G2323">
        <v>22200005</v>
      </c>
      <c r="H2323">
        <v>202201</v>
      </c>
      <c r="I2323" s="400">
        <v>44611</v>
      </c>
      <c r="J2323" t="s">
        <v>2567</v>
      </c>
      <c r="K2323" t="s">
        <v>386</v>
      </c>
      <c r="L2323" t="s">
        <v>2420</v>
      </c>
      <c r="M2323" t="s">
        <v>2421</v>
      </c>
      <c r="O2323" t="s">
        <v>2948</v>
      </c>
      <c r="P2323" t="s">
        <v>2949</v>
      </c>
      <c r="Q2323" t="s">
        <v>396</v>
      </c>
      <c r="R2323" s="458">
        <v>2265775</v>
      </c>
      <c r="S2323" t="s">
        <v>387</v>
      </c>
      <c r="U2323" t="s">
        <v>2950</v>
      </c>
      <c r="V2323" t="s">
        <v>398</v>
      </c>
      <c r="W2323" s="393">
        <v>7647</v>
      </c>
      <c r="X2323" s="393">
        <v>1.91</v>
      </c>
      <c r="Y2323" s="393">
        <v>17.010000000000002</v>
      </c>
      <c r="Z2323" s="393">
        <v>7647</v>
      </c>
      <c r="AA2323">
        <v>147</v>
      </c>
      <c r="AB2323" s="400">
        <v>44594.669840891205</v>
      </c>
      <c r="AC2323" t="str">
        <f>+VLOOKUP(R2323,DRAFT!A:Q,17,0)</f>
        <v>MAE</v>
      </c>
    </row>
    <row r="2324" spans="1:29">
      <c r="A2324" t="s">
        <v>382</v>
      </c>
      <c r="B2324" t="s">
        <v>1214</v>
      </c>
      <c r="C2324" t="s">
        <v>1362</v>
      </c>
      <c r="D2324" t="s">
        <v>1421</v>
      </c>
      <c r="E2324" t="s">
        <v>2565</v>
      </c>
      <c r="F2324" t="s">
        <v>2566</v>
      </c>
      <c r="G2324">
        <v>22200005</v>
      </c>
      <c r="H2324">
        <v>202201</v>
      </c>
      <c r="I2324" s="400">
        <v>44611</v>
      </c>
      <c r="J2324" t="s">
        <v>2567</v>
      </c>
      <c r="K2324" t="s">
        <v>386</v>
      </c>
      <c r="L2324" t="s">
        <v>2420</v>
      </c>
      <c r="M2324" t="s">
        <v>2421</v>
      </c>
      <c r="O2324" t="s">
        <v>642</v>
      </c>
      <c r="P2324" t="s">
        <v>643</v>
      </c>
      <c r="Q2324" t="s">
        <v>396</v>
      </c>
      <c r="R2324" s="458">
        <v>2265775</v>
      </c>
      <c r="S2324" t="s">
        <v>387</v>
      </c>
      <c r="U2324" t="s">
        <v>2974</v>
      </c>
      <c r="V2324" t="s">
        <v>398</v>
      </c>
      <c r="W2324" s="393">
        <v>75803</v>
      </c>
      <c r="X2324" s="393">
        <v>18.93</v>
      </c>
      <c r="Y2324" s="393">
        <v>168.61</v>
      </c>
      <c r="Z2324" s="393">
        <v>75803</v>
      </c>
      <c r="AA2324">
        <v>212</v>
      </c>
      <c r="AB2324" s="400">
        <v>44594.669841284725</v>
      </c>
      <c r="AC2324" t="str">
        <f>+VLOOKUP(R2324,DRAFT!A:Q,17,0)</f>
        <v>MAE</v>
      </c>
    </row>
    <row r="2325" spans="1:29">
      <c r="A2325" t="s">
        <v>382</v>
      </c>
      <c r="B2325" t="s">
        <v>1214</v>
      </c>
      <c r="C2325" t="s">
        <v>1362</v>
      </c>
      <c r="D2325" t="s">
        <v>1421</v>
      </c>
      <c r="E2325" t="s">
        <v>2565</v>
      </c>
      <c r="F2325" t="s">
        <v>2566</v>
      </c>
      <c r="G2325">
        <v>22200005</v>
      </c>
      <c r="H2325">
        <v>202201</v>
      </c>
      <c r="I2325" s="400">
        <v>44611</v>
      </c>
      <c r="J2325" t="s">
        <v>2567</v>
      </c>
      <c r="K2325" t="s">
        <v>386</v>
      </c>
      <c r="L2325" t="s">
        <v>2420</v>
      </c>
      <c r="M2325" t="s">
        <v>2421</v>
      </c>
      <c r="O2325" t="s">
        <v>593</v>
      </c>
      <c r="P2325" t="s">
        <v>594</v>
      </c>
      <c r="Q2325" t="s">
        <v>396</v>
      </c>
      <c r="R2325" s="458">
        <v>2265775</v>
      </c>
      <c r="S2325" t="s">
        <v>387</v>
      </c>
      <c r="U2325" t="s">
        <v>2975</v>
      </c>
      <c r="V2325" t="s">
        <v>398</v>
      </c>
      <c r="W2325" s="393">
        <v>20370</v>
      </c>
      <c r="X2325" s="393">
        <v>5.09</v>
      </c>
      <c r="Y2325" s="393">
        <v>45.31</v>
      </c>
      <c r="Z2325" s="393">
        <v>20370</v>
      </c>
      <c r="AA2325">
        <v>212</v>
      </c>
      <c r="AB2325" s="400">
        <v>44594.669841284725</v>
      </c>
      <c r="AC2325" t="str">
        <f>+VLOOKUP(R2325,DRAFT!A:Q,17,0)</f>
        <v>MAE</v>
      </c>
    </row>
    <row r="2326" spans="1:29">
      <c r="A2326" t="s">
        <v>382</v>
      </c>
      <c r="B2326" t="s">
        <v>1214</v>
      </c>
      <c r="C2326" t="s">
        <v>1362</v>
      </c>
      <c r="D2326" t="s">
        <v>1421</v>
      </c>
      <c r="E2326" t="s">
        <v>2565</v>
      </c>
      <c r="F2326" t="s">
        <v>2566</v>
      </c>
      <c r="G2326">
        <v>22200005</v>
      </c>
      <c r="H2326">
        <v>202201</v>
      </c>
      <c r="I2326" s="400">
        <v>44611</v>
      </c>
      <c r="J2326" t="s">
        <v>2567</v>
      </c>
      <c r="K2326" t="s">
        <v>386</v>
      </c>
      <c r="L2326" t="s">
        <v>2420</v>
      </c>
      <c r="M2326" t="s">
        <v>2421</v>
      </c>
      <c r="O2326" t="s">
        <v>3027</v>
      </c>
      <c r="P2326" t="s">
        <v>3028</v>
      </c>
      <c r="Q2326" t="s">
        <v>396</v>
      </c>
      <c r="R2326" s="458">
        <v>2265775</v>
      </c>
      <c r="S2326" t="s">
        <v>387</v>
      </c>
      <c r="U2326" t="s">
        <v>3029</v>
      </c>
      <c r="V2326" t="s">
        <v>398</v>
      </c>
      <c r="W2326" s="393">
        <v>17000</v>
      </c>
      <c r="X2326" s="393">
        <v>4.25</v>
      </c>
      <c r="Y2326" s="393">
        <v>37.81</v>
      </c>
      <c r="Z2326" s="393">
        <v>17000</v>
      </c>
      <c r="AA2326">
        <v>0</v>
      </c>
      <c r="AB2326" s="400">
        <v>44594.669841284725</v>
      </c>
      <c r="AC2326" t="str">
        <f>+VLOOKUP(R2326,DRAFT!A:Q,17,0)</f>
        <v>MAE</v>
      </c>
    </row>
    <row r="2327" spans="1:29">
      <c r="A2327" t="s">
        <v>382</v>
      </c>
      <c r="B2327" t="s">
        <v>1214</v>
      </c>
      <c r="C2327" t="s">
        <v>1362</v>
      </c>
      <c r="D2327" t="s">
        <v>1421</v>
      </c>
      <c r="E2327" t="s">
        <v>2565</v>
      </c>
      <c r="F2327" t="s">
        <v>2566</v>
      </c>
      <c r="G2327">
        <v>22200005</v>
      </c>
      <c r="H2327">
        <v>202201</v>
      </c>
      <c r="I2327" s="400">
        <v>44611</v>
      </c>
      <c r="J2327" t="s">
        <v>2567</v>
      </c>
      <c r="K2327" t="s">
        <v>386</v>
      </c>
      <c r="L2327" t="s">
        <v>2420</v>
      </c>
      <c r="M2327" t="s">
        <v>2421</v>
      </c>
      <c r="O2327" t="s">
        <v>3030</v>
      </c>
      <c r="P2327" t="s">
        <v>3031</v>
      </c>
      <c r="Q2327" t="s">
        <v>396</v>
      </c>
      <c r="R2327" s="458">
        <v>2265775</v>
      </c>
      <c r="S2327" t="s">
        <v>387</v>
      </c>
      <c r="U2327" t="s">
        <v>3032</v>
      </c>
      <c r="V2327" t="s">
        <v>398</v>
      </c>
      <c r="W2327" s="393">
        <v>37000</v>
      </c>
      <c r="X2327" s="393">
        <v>9.24</v>
      </c>
      <c r="Y2327" s="393">
        <v>82.3</v>
      </c>
      <c r="Z2327" s="393">
        <v>37000</v>
      </c>
      <c r="AA2327">
        <v>0</v>
      </c>
      <c r="AB2327" s="400">
        <v>44594.669841435185</v>
      </c>
      <c r="AC2327" t="str">
        <f>+VLOOKUP(R2327,DRAFT!A:Q,17,0)</f>
        <v>MAE</v>
      </c>
    </row>
    <row r="2328" spans="1:29">
      <c r="A2328" t="s">
        <v>382</v>
      </c>
      <c r="B2328" t="s">
        <v>1214</v>
      </c>
      <c r="C2328" t="s">
        <v>1362</v>
      </c>
      <c r="D2328" t="s">
        <v>1421</v>
      </c>
      <c r="E2328" t="s">
        <v>2565</v>
      </c>
      <c r="F2328" t="s">
        <v>2566</v>
      </c>
      <c r="G2328">
        <v>22200005</v>
      </c>
      <c r="H2328">
        <v>202201</v>
      </c>
      <c r="I2328" s="400">
        <v>44611</v>
      </c>
      <c r="J2328" t="s">
        <v>2567</v>
      </c>
      <c r="K2328" t="s">
        <v>386</v>
      </c>
      <c r="L2328" t="s">
        <v>2420</v>
      </c>
      <c r="M2328" t="s">
        <v>2421</v>
      </c>
      <c r="O2328" t="s">
        <v>3033</v>
      </c>
      <c r="P2328" t="s">
        <v>3034</v>
      </c>
      <c r="Q2328" t="s">
        <v>396</v>
      </c>
      <c r="R2328" s="458">
        <v>2265775</v>
      </c>
      <c r="S2328" t="s">
        <v>387</v>
      </c>
      <c r="U2328" t="s">
        <v>3035</v>
      </c>
      <c r="V2328" t="s">
        <v>398</v>
      </c>
      <c r="W2328" s="393">
        <v>108000</v>
      </c>
      <c r="X2328" s="393">
        <v>26.97</v>
      </c>
      <c r="Y2328" s="393">
        <v>240.23</v>
      </c>
      <c r="Z2328" s="393">
        <v>108000</v>
      </c>
      <c r="AA2328">
        <v>0</v>
      </c>
      <c r="AB2328" s="400">
        <v>44594.669841435185</v>
      </c>
      <c r="AC2328" t="str">
        <f>+VLOOKUP(R2328,DRAFT!A:Q,17,0)</f>
        <v>MAE</v>
      </c>
    </row>
    <row r="2329" spans="1:29">
      <c r="A2329" t="s">
        <v>382</v>
      </c>
      <c r="B2329" t="s">
        <v>1214</v>
      </c>
      <c r="C2329" t="s">
        <v>1362</v>
      </c>
      <c r="D2329" t="s">
        <v>1421</v>
      </c>
      <c r="E2329" t="s">
        <v>2565</v>
      </c>
      <c r="F2329" t="s">
        <v>2566</v>
      </c>
      <c r="G2329">
        <v>22200005</v>
      </c>
      <c r="H2329">
        <v>202201</v>
      </c>
      <c r="I2329" s="400">
        <v>44611</v>
      </c>
      <c r="J2329" t="s">
        <v>2567</v>
      </c>
      <c r="K2329" t="s">
        <v>386</v>
      </c>
      <c r="L2329" t="s">
        <v>2420</v>
      </c>
      <c r="M2329" t="s">
        <v>2421</v>
      </c>
      <c r="O2329" t="s">
        <v>794</v>
      </c>
      <c r="P2329" t="s">
        <v>795</v>
      </c>
      <c r="Q2329" t="s">
        <v>396</v>
      </c>
      <c r="R2329" s="458">
        <v>2265775</v>
      </c>
      <c r="S2329" t="s">
        <v>387</v>
      </c>
      <c r="U2329" t="s">
        <v>3036</v>
      </c>
      <c r="V2329" t="s">
        <v>398</v>
      </c>
      <c r="W2329" s="393">
        <v>24000</v>
      </c>
      <c r="X2329" s="393">
        <v>5.99</v>
      </c>
      <c r="Y2329" s="393">
        <v>53.38</v>
      </c>
      <c r="Z2329" s="393">
        <v>24000</v>
      </c>
      <c r="AA2329">
        <v>0</v>
      </c>
      <c r="AB2329" s="400">
        <v>44594.669841435185</v>
      </c>
      <c r="AC2329" t="str">
        <f>+VLOOKUP(R2329,DRAFT!A:Q,17,0)</f>
        <v>MAE</v>
      </c>
    </row>
    <row r="2330" spans="1:29">
      <c r="A2330" t="s">
        <v>382</v>
      </c>
      <c r="B2330" t="s">
        <v>1214</v>
      </c>
      <c r="C2330" t="s">
        <v>1362</v>
      </c>
      <c r="D2330" t="s">
        <v>1421</v>
      </c>
      <c r="E2330" t="s">
        <v>2565</v>
      </c>
      <c r="F2330" t="s">
        <v>2566</v>
      </c>
      <c r="G2330">
        <v>22200005</v>
      </c>
      <c r="H2330">
        <v>202201</v>
      </c>
      <c r="I2330" s="400">
        <v>44611</v>
      </c>
      <c r="J2330" t="s">
        <v>2567</v>
      </c>
      <c r="K2330" t="s">
        <v>386</v>
      </c>
      <c r="L2330" t="s">
        <v>2420</v>
      </c>
      <c r="M2330" t="s">
        <v>2421</v>
      </c>
      <c r="O2330" t="s">
        <v>642</v>
      </c>
      <c r="P2330" t="s">
        <v>643</v>
      </c>
      <c r="Q2330" t="s">
        <v>396</v>
      </c>
      <c r="R2330" s="458">
        <v>2265775</v>
      </c>
      <c r="S2330" t="s">
        <v>387</v>
      </c>
      <c r="U2330" t="s">
        <v>2976</v>
      </c>
      <c r="V2330" t="s">
        <v>398</v>
      </c>
      <c r="W2330" s="393">
        <v>28704</v>
      </c>
      <c r="X2330" s="393">
        <v>7.17</v>
      </c>
      <c r="Y2330" s="393">
        <v>63.85</v>
      </c>
      <c r="Z2330" s="393">
        <v>28704</v>
      </c>
      <c r="AA2330">
        <v>212</v>
      </c>
      <c r="AB2330" s="400">
        <v>44594.669841435185</v>
      </c>
      <c r="AC2330" t="str">
        <f>+VLOOKUP(R2330,DRAFT!A:Q,17,0)</f>
        <v>MAE</v>
      </c>
    </row>
    <row r="2331" spans="1:29">
      <c r="A2331" t="s">
        <v>382</v>
      </c>
      <c r="B2331" t="s">
        <v>1214</v>
      </c>
      <c r="C2331" t="s">
        <v>1362</v>
      </c>
      <c r="D2331" t="s">
        <v>1421</v>
      </c>
      <c r="E2331" t="s">
        <v>2565</v>
      </c>
      <c r="F2331" t="s">
        <v>2566</v>
      </c>
      <c r="G2331">
        <v>22200005</v>
      </c>
      <c r="H2331">
        <v>202201</v>
      </c>
      <c r="I2331" s="400">
        <v>44611</v>
      </c>
      <c r="J2331" t="s">
        <v>2567</v>
      </c>
      <c r="K2331" t="s">
        <v>386</v>
      </c>
      <c r="L2331" t="s">
        <v>2420</v>
      </c>
      <c r="M2331" t="s">
        <v>2421</v>
      </c>
      <c r="O2331" t="s">
        <v>2945</v>
      </c>
      <c r="P2331" t="s">
        <v>2946</v>
      </c>
      <c r="Q2331" t="s">
        <v>396</v>
      </c>
      <c r="R2331" s="458">
        <v>2265775</v>
      </c>
      <c r="S2331" t="s">
        <v>387</v>
      </c>
      <c r="U2331" t="s">
        <v>2953</v>
      </c>
      <c r="V2331" t="s">
        <v>398</v>
      </c>
      <c r="W2331" s="393">
        <v>9748</v>
      </c>
      <c r="X2331" s="393">
        <v>2.4300000000000002</v>
      </c>
      <c r="Y2331" s="393">
        <v>21.68</v>
      </c>
      <c r="Z2331" s="393">
        <v>9748</v>
      </c>
      <c r="AA2331">
        <v>147</v>
      </c>
      <c r="AB2331" s="400">
        <v>44594.669841435185</v>
      </c>
      <c r="AC2331" t="str">
        <f>+VLOOKUP(R2331,DRAFT!A:Q,17,0)</f>
        <v>MAE</v>
      </c>
    </row>
    <row r="2332" spans="1:29">
      <c r="A2332" t="s">
        <v>382</v>
      </c>
      <c r="B2332" t="s">
        <v>1214</v>
      </c>
      <c r="C2332" t="s">
        <v>1362</v>
      </c>
      <c r="D2332" t="s">
        <v>1421</v>
      </c>
      <c r="E2332" t="s">
        <v>2565</v>
      </c>
      <c r="F2332" t="s">
        <v>2566</v>
      </c>
      <c r="G2332">
        <v>22200005</v>
      </c>
      <c r="H2332">
        <v>202201</v>
      </c>
      <c r="I2332" s="400">
        <v>44611</v>
      </c>
      <c r="J2332" t="s">
        <v>2567</v>
      </c>
      <c r="K2332" t="s">
        <v>386</v>
      </c>
      <c r="L2332" t="s">
        <v>2420</v>
      </c>
      <c r="M2332" t="s">
        <v>2421</v>
      </c>
      <c r="O2332" t="s">
        <v>2971</v>
      </c>
      <c r="P2332" t="s">
        <v>2972</v>
      </c>
      <c r="Q2332" t="s">
        <v>396</v>
      </c>
      <c r="R2332" s="458">
        <v>2265775</v>
      </c>
      <c r="S2332" t="s">
        <v>387</v>
      </c>
      <c r="U2332" t="s">
        <v>2980</v>
      </c>
      <c r="V2332" t="s">
        <v>398</v>
      </c>
      <c r="W2332" s="393">
        <v>7963</v>
      </c>
      <c r="X2332" s="393">
        <v>1.99</v>
      </c>
      <c r="Y2332" s="393">
        <v>17.71</v>
      </c>
      <c r="Z2332" s="393">
        <v>7963</v>
      </c>
      <c r="AA2332">
        <v>212</v>
      </c>
      <c r="AB2332" s="400">
        <v>44594.669841631941</v>
      </c>
      <c r="AC2332" t="str">
        <f>+VLOOKUP(R2332,DRAFT!A:Q,17,0)</f>
        <v>MAE</v>
      </c>
    </row>
    <row r="2333" spans="1:29">
      <c r="A2333" t="s">
        <v>382</v>
      </c>
      <c r="B2333" t="s">
        <v>1214</v>
      </c>
      <c r="C2333" t="s">
        <v>1362</v>
      </c>
      <c r="D2333" t="s">
        <v>1421</v>
      </c>
      <c r="E2333" t="s">
        <v>2565</v>
      </c>
      <c r="F2333" t="s">
        <v>2566</v>
      </c>
      <c r="G2333">
        <v>22200006</v>
      </c>
      <c r="H2333">
        <v>202201</v>
      </c>
      <c r="I2333" s="400">
        <v>44611</v>
      </c>
      <c r="J2333" t="s">
        <v>2567</v>
      </c>
      <c r="K2333" t="s">
        <v>386</v>
      </c>
      <c r="L2333" t="s">
        <v>2420</v>
      </c>
      <c r="M2333" t="s">
        <v>2421</v>
      </c>
      <c r="O2333" t="s">
        <v>2971</v>
      </c>
      <c r="P2333" t="s">
        <v>2972</v>
      </c>
      <c r="Q2333" t="s">
        <v>396</v>
      </c>
      <c r="R2333" s="458">
        <v>2265775</v>
      </c>
      <c r="S2333" t="s">
        <v>387</v>
      </c>
      <c r="U2333" t="s">
        <v>2973</v>
      </c>
      <c r="V2333" t="s">
        <v>398</v>
      </c>
      <c r="W2333" s="393">
        <v>-7963</v>
      </c>
      <c r="X2333" s="393">
        <v>-1.99</v>
      </c>
      <c r="Y2333" s="393">
        <v>-17.71</v>
      </c>
      <c r="Z2333" s="393">
        <v>-7963</v>
      </c>
      <c r="AA2333">
        <v>212</v>
      </c>
      <c r="AB2333" s="400">
        <v>44594.695711539352</v>
      </c>
      <c r="AC2333" t="str">
        <f>+VLOOKUP(R2333,DRAFT!A:Q,17,0)</f>
        <v>MAE</v>
      </c>
    </row>
    <row r="2334" spans="1:29">
      <c r="A2334" t="s">
        <v>382</v>
      </c>
      <c r="B2334" t="s">
        <v>1214</v>
      </c>
      <c r="C2334" t="s">
        <v>1362</v>
      </c>
      <c r="D2334" t="s">
        <v>1421</v>
      </c>
      <c r="E2334" t="s">
        <v>2565</v>
      </c>
      <c r="F2334" t="s">
        <v>2566</v>
      </c>
      <c r="G2334">
        <v>22200006</v>
      </c>
      <c r="H2334">
        <v>202201</v>
      </c>
      <c r="I2334" s="400">
        <v>44611</v>
      </c>
      <c r="J2334" t="s">
        <v>2567</v>
      </c>
      <c r="K2334" t="s">
        <v>386</v>
      </c>
      <c r="L2334" t="s">
        <v>2420</v>
      </c>
      <c r="M2334" t="s">
        <v>2421</v>
      </c>
      <c r="O2334" t="s">
        <v>2945</v>
      </c>
      <c r="P2334" t="s">
        <v>2946</v>
      </c>
      <c r="Q2334" t="s">
        <v>396</v>
      </c>
      <c r="R2334" s="458">
        <v>2265775</v>
      </c>
      <c r="S2334" t="s">
        <v>387</v>
      </c>
      <c r="U2334" t="s">
        <v>2947</v>
      </c>
      <c r="V2334" t="s">
        <v>398</v>
      </c>
      <c r="W2334" s="393">
        <v>-9748</v>
      </c>
      <c r="X2334" s="393">
        <v>-2.4300000000000002</v>
      </c>
      <c r="Y2334" s="393">
        <v>-21.68</v>
      </c>
      <c r="Z2334" s="393">
        <v>-9748</v>
      </c>
      <c r="AA2334">
        <v>147</v>
      </c>
      <c r="AB2334" s="400">
        <v>44594.695711539352</v>
      </c>
      <c r="AC2334" t="str">
        <f>+VLOOKUP(R2334,DRAFT!A:Q,17,0)</f>
        <v>MAE</v>
      </c>
    </row>
    <row r="2335" spans="1:29">
      <c r="A2335" t="s">
        <v>382</v>
      </c>
      <c r="B2335" t="s">
        <v>1214</v>
      </c>
      <c r="C2335" t="s">
        <v>1362</v>
      </c>
      <c r="D2335" t="s">
        <v>1421</v>
      </c>
      <c r="E2335" t="s">
        <v>2565</v>
      </c>
      <c r="F2335" t="s">
        <v>2566</v>
      </c>
      <c r="G2335">
        <v>22200006</v>
      </c>
      <c r="H2335">
        <v>202201</v>
      </c>
      <c r="I2335" s="400">
        <v>44611</v>
      </c>
      <c r="J2335" t="s">
        <v>2567</v>
      </c>
      <c r="K2335" t="s">
        <v>386</v>
      </c>
      <c r="L2335" t="s">
        <v>2420</v>
      </c>
      <c r="M2335" t="s">
        <v>2421</v>
      </c>
      <c r="O2335" t="s">
        <v>642</v>
      </c>
      <c r="P2335" t="s">
        <v>643</v>
      </c>
      <c r="Q2335" t="s">
        <v>396</v>
      </c>
      <c r="R2335" s="458">
        <v>2265775</v>
      </c>
      <c r="S2335" t="s">
        <v>387</v>
      </c>
      <c r="U2335" t="s">
        <v>2977</v>
      </c>
      <c r="V2335" t="s">
        <v>398</v>
      </c>
      <c r="W2335" s="393">
        <v>-28704</v>
      </c>
      <c r="X2335" s="393">
        <v>-7.17</v>
      </c>
      <c r="Y2335" s="393">
        <v>-63.85</v>
      </c>
      <c r="Z2335" s="393">
        <v>-28704</v>
      </c>
      <c r="AA2335">
        <v>212</v>
      </c>
      <c r="AB2335" s="400">
        <v>44594.69571172454</v>
      </c>
      <c r="AC2335" t="str">
        <f>+VLOOKUP(R2335,DRAFT!A:Q,17,0)</f>
        <v>MAE</v>
      </c>
    </row>
    <row r="2336" spans="1:29">
      <c r="A2336" t="s">
        <v>382</v>
      </c>
      <c r="B2336" t="s">
        <v>1214</v>
      </c>
      <c r="C2336" t="s">
        <v>1362</v>
      </c>
      <c r="D2336" t="s">
        <v>1421</v>
      </c>
      <c r="E2336" t="s">
        <v>2565</v>
      </c>
      <c r="F2336" t="s">
        <v>2566</v>
      </c>
      <c r="G2336">
        <v>22200006</v>
      </c>
      <c r="H2336">
        <v>202201</v>
      </c>
      <c r="I2336" s="400">
        <v>44611</v>
      </c>
      <c r="J2336" t="s">
        <v>2567</v>
      </c>
      <c r="K2336" t="s">
        <v>386</v>
      </c>
      <c r="L2336" t="s">
        <v>2420</v>
      </c>
      <c r="M2336" t="s">
        <v>2421</v>
      </c>
      <c r="O2336" t="s">
        <v>642</v>
      </c>
      <c r="P2336" t="s">
        <v>643</v>
      </c>
      <c r="Q2336" t="s">
        <v>396</v>
      </c>
      <c r="R2336" s="458">
        <v>2265775</v>
      </c>
      <c r="S2336" t="s">
        <v>387</v>
      </c>
      <c r="U2336" t="s">
        <v>3022</v>
      </c>
      <c r="V2336" t="s">
        <v>398</v>
      </c>
      <c r="W2336" s="393">
        <v>-24000</v>
      </c>
      <c r="X2336" s="393">
        <v>-5.99</v>
      </c>
      <c r="Y2336" s="393">
        <v>-53.38</v>
      </c>
      <c r="Z2336" s="393">
        <v>-24000</v>
      </c>
      <c r="AA2336">
        <v>0</v>
      </c>
      <c r="AB2336" s="400">
        <v>44594.69571172454</v>
      </c>
      <c r="AC2336" t="str">
        <f>+VLOOKUP(R2336,DRAFT!A:Q,17,0)</f>
        <v>MAE</v>
      </c>
    </row>
    <row r="2337" spans="1:29">
      <c r="A2337" t="s">
        <v>382</v>
      </c>
      <c r="B2337" t="s">
        <v>1214</v>
      </c>
      <c r="C2337" t="s">
        <v>1362</v>
      </c>
      <c r="D2337" t="s">
        <v>1421</v>
      </c>
      <c r="E2337" t="s">
        <v>2565</v>
      </c>
      <c r="F2337" t="s">
        <v>2566</v>
      </c>
      <c r="G2337">
        <v>22200006</v>
      </c>
      <c r="H2337">
        <v>202201</v>
      </c>
      <c r="I2337" s="400">
        <v>44611</v>
      </c>
      <c r="J2337" t="s">
        <v>2567</v>
      </c>
      <c r="K2337" t="s">
        <v>386</v>
      </c>
      <c r="L2337" t="s">
        <v>2420</v>
      </c>
      <c r="M2337" t="s">
        <v>2421</v>
      </c>
      <c r="O2337" t="s">
        <v>3033</v>
      </c>
      <c r="P2337" t="s">
        <v>3034</v>
      </c>
      <c r="Q2337" t="s">
        <v>396</v>
      </c>
      <c r="R2337" s="458">
        <v>2265775</v>
      </c>
      <c r="S2337" t="s">
        <v>387</v>
      </c>
      <c r="U2337" t="s">
        <v>3037</v>
      </c>
      <c r="V2337" t="s">
        <v>398</v>
      </c>
      <c r="W2337" s="393">
        <v>-108000</v>
      </c>
      <c r="X2337" s="393">
        <v>-26.97</v>
      </c>
      <c r="Y2337" s="393">
        <v>-240.23</v>
      </c>
      <c r="Z2337" s="393">
        <v>-108000</v>
      </c>
      <c r="AA2337">
        <v>0</v>
      </c>
      <c r="AB2337" s="400">
        <v>44594.69571172454</v>
      </c>
      <c r="AC2337" t="str">
        <f>+VLOOKUP(R2337,DRAFT!A:Q,17,0)</f>
        <v>MAE</v>
      </c>
    </row>
    <row r="2338" spans="1:29">
      <c r="A2338" t="s">
        <v>382</v>
      </c>
      <c r="B2338" t="s">
        <v>1214</v>
      </c>
      <c r="C2338" t="s">
        <v>1362</v>
      </c>
      <c r="D2338" t="s">
        <v>1421</v>
      </c>
      <c r="E2338" t="s">
        <v>2565</v>
      </c>
      <c r="F2338" t="s">
        <v>2566</v>
      </c>
      <c r="G2338">
        <v>22200006</v>
      </c>
      <c r="H2338">
        <v>202201</v>
      </c>
      <c r="I2338" s="400">
        <v>44611</v>
      </c>
      <c r="J2338" t="s">
        <v>2567</v>
      </c>
      <c r="K2338" t="s">
        <v>386</v>
      </c>
      <c r="L2338" t="s">
        <v>2420</v>
      </c>
      <c r="M2338" t="s">
        <v>2421</v>
      </c>
      <c r="O2338" t="s">
        <v>3030</v>
      </c>
      <c r="P2338" t="s">
        <v>3031</v>
      </c>
      <c r="Q2338" t="s">
        <v>396</v>
      </c>
      <c r="R2338" s="458">
        <v>2265775</v>
      </c>
      <c r="S2338" t="s">
        <v>387</v>
      </c>
      <c r="U2338" t="s">
        <v>3038</v>
      </c>
      <c r="V2338" t="s">
        <v>398</v>
      </c>
      <c r="W2338" s="393">
        <v>-37000</v>
      </c>
      <c r="X2338" s="393">
        <v>-9.24</v>
      </c>
      <c r="Y2338" s="393">
        <v>-82.3</v>
      </c>
      <c r="Z2338" s="393">
        <v>-37000</v>
      </c>
      <c r="AA2338">
        <v>0</v>
      </c>
      <c r="AB2338" s="400">
        <v>44594.69571172454</v>
      </c>
      <c r="AC2338" t="str">
        <f>+VLOOKUP(R2338,DRAFT!A:Q,17,0)</f>
        <v>MAE</v>
      </c>
    </row>
    <row r="2339" spans="1:29">
      <c r="A2339" t="s">
        <v>382</v>
      </c>
      <c r="B2339" t="s">
        <v>1214</v>
      </c>
      <c r="C2339" t="s">
        <v>1362</v>
      </c>
      <c r="D2339" t="s">
        <v>1421</v>
      </c>
      <c r="E2339" t="s">
        <v>2565</v>
      </c>
      <c r="F2339" t="s">
        <v>2566</v>
      </c>
      <c r="G2339">
        <v>22200006</v>
      </c>
      <c r="H2339">
        <v>202201</v>
      </c>
      <c r="I2339" s="400">
        <v>44611</v>
      </c>
      <c r="J2339" t="s">
        <v>2567</v>
      </c>
      <c r="K2339" t="s">
        <v>386</v>
      </c>
      <c r="L2339" t="s">
        <v>2420</v>
      </c>
      <c r="M2339" t="s">
        <v>2421</v>
      </c>
      <c r="O2339" t="s">
        <v>3027</v>
      </c>
      <c r="P2339" t="s">
        <v>3028</v>
      </c>
      <c r="Q2339" t="s">
        <v>396</v>
      </c>
      <c r="R2339" s="458">
        <v>2265775</v>
      </c>
      <c r="S2339" t="s">
        <v>387</v>
      </c>
      <c r="U2339" t="s">
        <v>3039</v>
      </c>
      <c r="V2339" t="s">
        <v>398</v>
      </c>
      <c r="W2339" s="393">
        <v>-17000</v>
      </c>
      <c r="X2339" s="393">
        <v>-4.25</v>
      </c>
      <c r="Y2339" s="393">
        <v>-37.81</v>
      </c>
      <c r="Z2339" s="393">
        <v>-17000</v>
      </c>
      <c r="AA2339">
        <v>0</v>
      </c>
      <c r="AB2339" s="400">
        <v>44594.69571172454</v>
      </c>
      <c r="AC2339" t="str">
        <f>+VLOOKUP(R2339,DRAFT!A:Q,17,0)</f>
        <v>MAE</v>
      </c>
    </row>
    <row r="2340" spans="1:29">
      <c r="A2340" t="s">
        <v>382</v>
      </c>
      <c r="B2340" t="s">
        <v>1214</v>
      </c>
      <c r="C2340" t="s">
        <v>1362</v>
      </c>
      <c r="D2340" t="s">
        <v>1421</v>
      </c>
      <c r="E2340" t="s">
        <v>2565</v>
      </c>
      <c r="F2340" t="s">
        <v>2566</v>
      </c>
      <c r="G2340">
        <v>22200006</v>
      </c>
      <c r="H2340">
        <v>202201</v>
      </c>
      <c r="I2340" s="400">
        <v>44611</v>
      </c>
      <c r="J2340" t="s">
        <v>2567</v>
      </c>
      <c r="K2340" t="s">
        <v>386</v>
      </c>
      <c r="L2340" t="s">
        <v>2420</v>
      </c>
      <c r="M2340" t="s">
        <v>2421</v>
      </c>
      <c r="O2340" t="s">
        <v>593</v>
      </c>
      <c r="P2340" t="s">
        <v>594</v>
      </c>
      <c r="Q2340" t="s">
        <v>396</v>
      </c>
      <c r="R2340" s="458">
        <v>2265775</v>
      </c>
      <c r="S2340" t="s">
        <v>387</v>
      </c>
      <c r="U2340" t="s">
        <v>2978</v>
      </c>
      <c r="V2340" t="s">
        <v>398</v>
      </c>
      <c r="W2340" s="393">
        <v>-20370</v>
      </c>
      <c r="X2340" s="393">
        <v>-5.09</v>
      </c>
      <c r="Y2340" s="393">
        <v>-45.31</v>
      </c>
      <c r="Z2340" s="393">
        <v>-20370</v>
      </c>
      <c r="AA2340">
        <v>212</v>
      </c>
      <c r="AB2340" s="400">
        <v>44594.69571172454</v>
      </c>
      <c r="AC2340" t="str">
        <f>+VLOOKUP(R2340,DRAFT!A:Q,17,0)</f>
        <v>MAE</v>
      </c>
    </row>
    <row r="2341" spans="1:29">
      <c r="A2341" t="s">
        <v>382</v>
      </c>
      <c r="B2341" t="s">
        <v>1214</v>
      </c>
      <c r="C2341" t="s">
        <v>1362</v>
      </c>
      <c r="D2341" t="s">
        <v>1421</v>
      </c>
      <c r="E2341" t="s">
        <v>2565</v>
      </c>
      <c r="F2341" t="s">
        <v>2566</v>
      </c>
      <c r="G2341">
        <v>22200006</v>
      </c>
      <c r="H2341">
        <v>202201</v>
      </c>
      <c r="I2341" s="400">
        <v>44611</v>
      </c>
      <c r="J2341" t="s">
        <v>2567</v>
      </c>
      <c r="K2341" t="s">
        <v>386</v>
      </c>
      <c r="L2341" t="s">
        <v>2420</v>
      </c>
      <c r="M2341" t="s">
        <v>2421</v>
      </c>
      <c r="O2341" t="s">
        <v>642</v>
      </c>
      <c r="P2341" t="s">
        <v>643</v>
      </c>
      <c r="Q2341" t="s">
        <v>396</v>
      </c>
      <c r="R2341" s="458">
        <v>2265775</v>
      </c>
      <c r="S2341" t="s">
        <v>387</v>
      </c>
      <c r="U2341" t="s">
        <v>2979</v>
      </c>
      <c r="V2341" t="s">
        <v>398</v>
      </c>
      <c r="W2341" s="393">
        <v>-75803</v>
      </c>
      <c r="X2341" s="393">
        <v>-18.93</v>
      </c>
      <c r="Y2341" s="393">
        <v>-168.61</v>
      </c>
      <c r="Z2341" s="393">
        <v>-75803</v>
      </c>
      <c r="AA2341">
        <v>212</v>
      </c>
      <c r="AB2341" s="400">
        <v>44594.695711886576</v>
      </c>
      <c r="AC2341" t="str">
        <f>+VLOOKUP(R2341,DRAFT!A:Q,17,0)</f>
        <v>MAE</v>
      </c>
    </row>
    <row r="2342" spans="1:29">
      <c r="A2342" t="s">
        <v>382</v>
      </c>
      <c r="B2342" t="s">
        <v>1214</v>
      </c>
      <c r="C2342" t="s">
        <v>1362</v>
      </c>
      <c r="D2342" t="s">
        <v>1421</v>
      </c>
      <c r="E2342" t="s">
        <v>2565</v>
      </c>
      <c r="F2342" t="s">
        <v>2566</v>
      </c>
      <c r="G2342">
        <v>22200006</v>
      </c>
      <c r="H2342">
        <v>202201</v>
      </c>
      <c r="I2342" s="400">
        <v>44611</v>
      </c>
      <c r="J2342" t="s">
        <v>2567</v>
      </c>
      <c r="K2342" t="s">
        <v>386</v>
      </c>
      <c r="L2342" t="s">
        <v>2420</v>
      </c>
      <c r="M2342" t="s">
        <v>2421</v>
      </c>
      <c r="O2342" t="s">
        <v>2948</v>
      </c>
      <c r="P2342" t="s">
        <v>2949</v>
      </c>
      <c r="Q2342" t="s">
        <v>396</v>
      </c>
      <c r="R2342" s="458">
        <v>2265775</v>
      </c>
      <c r="S2342" t="s">
        <v>387</v>
      </c>
      <c r="U2342" t="s">
        <v>2952</v>
      </c>
      <c r="V2342" t="s">
        <v>398</v>
      </c>
      <c r="W2342" s="393">
        <v>-7647</v>
      </c>
      <c r="X2342" s="393">
        <v>-1.91</v>
      </c>
      <c r="Y2342" s="393">
        <v>-17.010000000000002</v>
      </c>
      <c r="Z2342" s="393">
        <v>-7647</v>
      </c>
      <c r="AA2342">
        <v>147</v>
      </c>
      <c r="AB2342" s="400">
        <v>44594.695711886576</v>
      </c>
      <c r="AC2342" t="str">
        <f>+VLOOKUP(R2342,DRAFT!A:Q,17,0)</f>
        <v>MAE</v>
      </c>
    </row>
    <row r="2343" spans="1:29">
      <c r="A2343" t="s">
        <v>382</v>
      </c>
      <c r="B2343" t="s">
        <v>1214</v>
      </c>
      <c r="C2343" t="s">
        <v>1362</v>
      </c>
      <c r="D2343" t="s">
        <v>1421</v>
      </c>
      <c r="E2343" t="s">
        <v>2565</v>
      </c>
      <c r="F2343" t="s">
        <v>2566</v>
      </c>
      <c r="G2343">
        <v>22200006</v>
      </c>
      <c r="H2343">
        <v>202201</v>
      </c>
      <c r="I2343" s="400">
        <v>44611</v>
      </c>
      <c r="J2343" t="s">
        <v>2567</v>
      </c>
      <c r="K2343" t="s">
        <v>386</v>
      </c>
      <c r="L2343" t="s">
        <v>2420</v>
      </c>
      <c r="M2343" t="s">
        <v>2421</v>
      </c>
      <c r="O2343" t="s">
        <v>3024</v>
      </c>
      <c r="P2343" t="s">
        <v>3025</v>
      </c>
      <c r="Q2343" t="s">
        <v>396</v>
      </c>
      <c r="R2343" s="458">
        <v>2265775</v>
      </c>
      <c r="S2343" t="s">
        <v>387</v>
      </c>
      <c r="U2343" t="s">
        <v>3040</v>
      </c>
      <c r="V2343" t="s">
        <v>398</v>
      </c>
      <c r="W2343" s="393">
        <v>-24000</v>
      </c>
      <c r="X2343" s="393">
        <v>-5.99</v>
      </c>
      <c r="Y2343" s="393">
        <v>-53.38</v>
      </c>
      <c r="Z2343" s="393">
        <v>-24000</v>
      </c>
      <c r="AA2343">
        <v>0</v>
      </c>
      <c r="AB2343" s="400">
        <v>44594.695711886576</v>
      </c>
      <c r="AC2343" t="str">
        <f>+VLOOKUP(R2343,DRAFT!A:Q,17,0)</f>
        <v>MAE</v>
      </c>
    </row>
    <row r="2344" spans="1:29">
      <c r="A2344" t="s">
        <v>382</v>
      </c>
      <c r="B2344" t="s">
        <v>1214</v>
      </c>
      <c r="C2344" t="s">
        <v>1362</v>
      </c>
      <c r="D2344" t="s">
        <v>1421</v>
      </c>
      <c r="E2344" t="s">
        <v>2565</v>
      </c>
      <c r="F2344" t="s">
        <v>2566</v>
      </c>
      <c r="G2344">
        <v>22200020</v>
      </c>
      <c r="H2344">
        <v>202201</v>
      </c>
      <c r="I2344" s="400">
        <v>44611</v>
      </c>
      <c r="J2344" t="s">
        <v>2567</v>
      </c>
      <c r="K2344" t="s">
        <v>386</v>
      </c>
      <c r="L2344" t="s">
        <v>2420</v>
      </c>
      <c r="M2344" t="s">
        <v>2421</v>
      </c>
      <c r="O2344" t="s">
        <v>794</v>
      </c>
      <c r="P2344" t="s">
        <v>795</v>
      </c>
      <c r="Q2344" t="s">
        <v>396</v>
      </c>
      <c r="R2344" s="458">
        <v>2265775</v>
      </c>
      <c r="S2344" t="s">
        <v>387</v>
      </c>
      <c r="U2344" t="s">
        <v>3022</v>
      </c>
      <c r="V2344" t="s">
        <v>398</v>
      </c>
      <c r="W2344" s="393">
        <v>-24000</v>
      </c>
      <c r="X2344" s="393">
        <v>-6.11</v>
      </c>
      <c r="Y2344" s="393">
        <v>-54.03</v>
      </c>
      <c r="Z2344" s="393">
        <v>-24000</v>
      </c>
      <c r="AA2344">
        <v>0</v>
      </c>
      <c r="AB2344" s="400">
        <v>44599.624801967591</v>
      </c>
      <c r="AC2344" t="str">
        <f>+VLOOKUP(R2344,DRAFT!A:Q,17,0)</f>
        <v>MAE</v>
      </c>
    </row>
    <row r="2345" spans="1:29">
      <c r="A2345" t="s">
        <v>382</v>
      </c>
      <c r="B2345" t="s">
        <v>1214</v>
      </c>
      <c r="C2345" t="s">
        <v>1362</v>
      </c>
      <c r="D2345" t="s">
        <v>1421</v>
      </c>
      <c r="E2345" t="s">
        <v>2565</v>
      </c>
      <c r="F2345" t="s">
        <v>2566</v>
      </c>
      <c r="G2345">
        <v>22200020</v>
      </c>
      <c r="H2345">
        <v>202201</v>
      </c>
      <c r="I2345" s="400">
        <v>44611</v>
      </c>
      <c r="J2345" t="s">
        <v>2567</v>
      </c>
      <c r="K2345" t="s">
        <v>386</v>
      </c>
      <c r="L2345" t="s">
        <v>2420</v>
      </c>
      <c r="M2345" t="s">
        <v>2421</v>
      </c>
      <c r="O2345" t="s">
        <v>642</v>
      </c>
      <c r="P2345" t="s">
        <v>643</v>
      </c>
      <c r="Q2345" t="s">
        <v>396</v>
      </c>
      <c r="R2345" s="458">
        <v>2265775</v>
      </c>
      <c r="S2345" t="s">
        <v>387</v>
      </c>
      <c r="U2345" t="s">
        <v>3023</v>
      </c>
      <c r="V2345" t="s">
        <v>398</v>
      </c>
      <c r="W2345" s="393">
        <v>24000</v>
      </c>
      <c r="X2345" s="393">
        <v>6.11</v>
      </c>
      <c r="Y2345" s="393">
        <v>54.03</v>
      </c>
      <c r="Z2345" s="393">
        <v>24000</v>
      </c>
      <c r="AA2345">
        <v>0</v>
      </c>
      <c r="AB2345" s="400">
        <v>44599.624801967591</v>
      </c>
      <c r="AC2345" t="str">
        <f>+VLOOKUP(R2345,DRAFT!A:Q,17,0)</f>
        <v>MAE</v>
      </c>
    </row>
    <row r="2346" spans="1:29">
      <c r="A2346" t="s">
        <v>382</v>
      </c>
      <c r="B2346" t="s">
        <v>1214</v>
      </c>
      <c r="C2346" t="s">
        <v>1362</v>
      </c>
      <c r="D2346" t="s">
        <v>1421</v>
      </c>
      <c r="E2346" t="s">
        <v>2565</v>
      </c>
      <c r="F2346" t="s">
        <v>2566</v>
      </c>
      <c r="G2346">
        <v>22200007</v>
      </c>
      <c r="H2346">
        <v>202201</v>
      </c>
      <c r="I2346" s="400">
        <v>44580</v>
      </c>
      <c r="J2346" t="s">
        <v>2567</v>
      </c>
      <c r="K2346" t="s">
        <v>386</v>
      </c>
      <c r="L2346" t="s">
        <v>2420</v>
      </c>
      <c r="M2346" t="s">
        <v>2421</v>
      </c>
      <c r="O2346" t="s">
        <v>3024</v>
      </c>
      <c r="P2346" t="s">
        <v>3025</v>
      </c>
      <c r="Q2346" t="s">
        <v>396</v>
      </c>
      <c r="R2346" s="458">
        <v>2265775</v>
      </c>
      <c r="S2346" t="s">
        <v>387</v>
      </c>
      <c r="U2346" t="s">
        <v>3026</v>
      </c>
      <c r="V2346" t="s">
        <v>398</v>
      </c>
      <c r="W2346" s="393">
        <v>24000</v>
      </c>
      <c r="X2346" s="393">
        <v>6.05</v>
      </c>
      <c r="Y2346" s="393">
        <v>53.14</v>
      </c>
      <c r="Z2346" s="393">
        <v>24000</v>
      </c>
      <c r="AA2346">
        <v>0</v>
      </c>
      <c r="AB2346" s="400">
        <v>44594.703215972222</v>
      </c>
      <c r="AC2346" t="str">
        <f>+VLOOKUP(R2346,DRAFT!A:Q,17,0)</f>
        <v>MAE</v>
      </c>
    </row>
    <row r="2347" spans="1:29">
      <c r="A2347" t="s">
        <v>382</v>
      </c>
      <c r="B2347" t="s">
        <v>1214</v>
      </c>
      <c r="C2347" t="s">
        <v>1362</v>
      </c>
      <c r="D2347" t="s">
        <v>1421</v>
      </c>
      <c r="E2347" t="s">
        <v>2565</v>
      </c>
      <c r="F2347" t="s">
        <v>2566</v>
      </c>
      <c r="G2347">
        <v>22200007</v>
      </c>
      <c r="H2347">
        <v>202201</v>
      </c>
      <c r="I2347" s="400">
        <v>44580</v>
      </c>
      <c r="J2347" t="s">
        <v>2567</v>
      </c>
      <c r="K2347" t="s">
        <v>386</v>
      </c>
      <c r="L2347" t="s">
        <v>2420</v>
      </c>
      <c r="M2347" t="s">
        <v>2421</v>
      </c>
      <c r="O2347" t="s">
        <v>2948</v>
      </c>
      <c r="P2347" t="s">
        <v>2949</v>
      </c>
      <c r="Q2347" t="s">
        <v>396</v>
      </c>
      <c r="R2347" s="458">
        <v>2265775</v>
      </c>
      <c r="S2347" t="s">
        <v>387</v>
      </c>
      <c r="U2347" t="s">
        <v>2950</v>
      </c>
      <c r="V2347" t="s">
        <v>398</v>
      </c>
      <c r="W2347" s="393">
        <v>7647</v>
      </c>
      <c r="X2347" s="393">
        <v>1.93</v>
      </c>
      <c r="Y2347" s="393">
        <v>16.93</v>
      </c>
      <c r="Z2347" s="393">
        <v>7647</v>
      </c>
      <c r="AA2347">
        <v>147</v>
      </c>
      <c r="AB2347" s="400">
        <v>44594.703215972222</v>
      </c>
      <c r="AC2347" t="str">
        <f>+VLOOKUP(R2347,DRAFT!A:Q,17,0)</f>
        <v>MAE</v>
      </c>
    </row>
    <row r="2348" spans="1:29">
      <c r="A2348" t="s">
        <v>382</v>
      </c>
      <c r="B2348" t="s">
        <v>1214</v>
      </c>
      <c r="C2348" t="s">
        <v>1362</v>
      </c>
      <c r="D2348" t="s">
        <v>1421</v>
      </c>
      <c r="E2348" t="s">
        <v>2565</v>
      </c>
      <c r="F2348" t="s">
        <v>2566</v>
      </c>
      <c r="G2348">
        <v>22200007</v>
      </c>
      <c r="H2348">
        <v>202201</v>
      </c>
      <c r="I2348" s="400">
        <v>44580</v>
      </c>
      <c r="J2348" t="s">
        <v>2567</v>
      </c>
      <c r="K2348" t="s">
        <v>386</v>
      </c>
      <c r="L2348" t="s">
        <v>2420</v>
      </c>
      <c r="M2348" t="s">
        <v>2421</v>
      </c>
      <c r="O2348" t="s">
        <v>642</v>
      </c>
      <c r="P2348" t="s">
        <v>643</v>
      </c>
      <c r="Q2348" t="s">
        <v>396</v>
      </c>
      <c r="R2348" s="458">
        <v>2265775</v>
      </c>
      <c r="S2348" t="s">
        <v>387</v>
      </c>
      <c r="U2348" t="s">
        <v>2974</v>
      </c>
      <c r="V2348" t="s">
        <v>398</v>
      </c>
      <c r="W2348" s="393">
        <v>75803</v>
      </c>
      <c r="X2348" s="393">
        <v>19.09</v>
      </c>
      <c r="Y2348" s="393">
        <v>167.85</v>
      </c>
      <c r="Z2348" s="393">
        <v>75803</v>
      </c>
      <c r="AA2348">
        <v>212</v>
      </c>
      <c r="AB2348" s="400">
        <v>44594.703215972222</v>
      </c>
      <c r="AC2348" t="str">
        <f>+VLOOKUP(R2348,DRAFT!A:Q,17,0)</f>
        <v>MAE</v>
      </c>
    </row>
    <row r="2349" spans="1:29">
      <c r="A2349" t="s">
        <v>382</v>
      </c>
      <c r="B2349" t="s">
        <v>1214</v>
      </c>
      <c r="C2349" t="s">
        <v>1362</v>
      </c>
      <c r="D2349" t="s">
        <v>1421</v>
      </c>
      <c r="E2349" t="s">
        <v>2565</v>
      </c>
      <c r="F2349" t="s">
        <v>2566</v>
      </c>
      <c r="G2349">
        <v>22200007</v>
      </c>
      <c r="H2349">
        <v>202201</v>
      </c>
      <c r="I2349" s="400">
        <v>44580</v>
      </c>
      <c r="J2349" t="s">
        <v>2567</v>
      </c>
      <c r="K2349" t="s">
        <v>386</v>
      </c>
      <c r="L2349" t="s">
        <v>2420</v>
      </c>
      <c r="M2349" t="s">
        <v>2421</v>
      </c>
      <c r="O2349" t="s">
        <v>593</v>
      </c>
      <c r="P2349" t="s">
        <v>594</v>
      </c>
      <c r="Q2349" t="s">
        <v>396</v>
      </c>
      <c r="R2349" s="458">
        <v>2265775</v>
      </c>
      <c r="S2349" t="s">
        <v>387</v>
      </c>
      <c r="U2349" t="s">
        <v>2975</v>
      </c>
      <c r="V2349" t="s">
        <v>398</v>
      </c>
      <c r="W2349" s="393">
        <v>20370</v>
      </c>
      <c r="X2349" s="393">
        <v>5.13</v>
      </c>
      <c r="Y2349" s="393">
        <v>45.11</v>
      </c>
      <c r="Z2349" s="393">
        <v>20370</v>
      </c>
      <c r="AA2349">
        <v>212</v>
      </c>
      <c r="AB2349" s="400">
        <v>44594.703215972222</v>
      </c>
      <c r="AC2349" t="str">
        <f>+VLOOKUP(R2349,DRAFT!A:Q,17,0)</f>
        <v>MAE</v>
      </c>
    </row>
    <row r="2350" spans="1:29">
      <c r="A2350" t="s">
        <v>382</v>
      </c>
      <c r="B2350" t="s">
        <v>1214</v>
      </c>
      <c r="C2350" t="s">
        <v>1362</v>
      </c>
      <c r="D2350" t="s">
        <v>1421</v>
      </c>
      <c r="E2350" t="s">
        <v>2565</v>
      </c>
      <c r="F2350" t="s">
        <v>2566</v>
      </c>
      <c r="G2350">
        <v>22200007</v>
      </c>
      <c r="H2350">
        <v>202201</v>
      </c>
      <c r="I2350" s="400">
        <v>44580</v>
      </c>
      <c r="J2350" t="s">
        <v>2567</v>
      </c>
      <c r="K2350" t="s">
        <v>386</v>
      </c>
      <c r="L2350" t="s">
        <v>2420</v>
      </c>
      <c r="M2350" t="s">
        <v>2421</v>
      </c>
      <c r="O2350" t="s">
        <v>3027</v>
      </c>
      <c r="P2350" t="s">
        <v>3028</v>
      </c>
      <c r="Q2350" t="s">
        <v>396</v>
      </c>
      <c r="R2350" s="458">
        <v>2265775</v>
      </c>
      <c r="S2350" t="s">
        <v>387</v>
      </c>
      <c r="U2350" t="s">
        <v>3029</v>
      </c>
      <c r="V2350" t="s">
        <v>398</v>
      </c>
      <c r="W2350" s="393">
        <v>17000</v>
      </c>
      <c r="X2350" s="393">
        <v>4.28</v>
      </c>
      <c r="Y2350" s="393">
        <v>37.64</v>
      </c>
      <c r="Z2350" s="393">
        <v>17000</v>
      </c>
      <c r="AA2350">
        <v>0</v>
      </c>
      <c r="AB2350" s="400">
        <v>44594.703215972222</v>
      </c>
      <c r="AC2350" t="str">
        <f>+VLOOKUP(R2350,DRAFT!A:Q,17,0)</f>
        <v>MAE</v>
      </c>
    </row>
    <row r="2351" spans="1:29">
      <c r="A2351" t="s">
        <v>382</v>
      </c>
      <c r="B2351" t="s">
        <v>1214</v>
      </c>
      <c r="C2351" t="s">
        <v>1362</v>
      </c>
      <c r="D2351" t="s">
        <v>1421</v>
      </c>
      <c r="E2351" t="s">
        <v>2565</v>
      </c>
      <c r="F2351" t="s">
        <v>2566</v>
      </c>
      <c r="G2351">
        <v>22200007</v>
      </c>
      <c r="H2351">
        <v>202201</v>
      </c>
      <c r="I2351" s="400">
        <v>44580</v>
      </c>
      <c r="J2351" t="s">
        <v>2567</v>
      </c>
      <c r="K2351" t="s">
        <v>386</v>
      </c>
      <c r="L2351" t="s">
        <v>2420</v>
      </c>
      <c r="M2351" t="s">
        <v>2421</v>
      </c>
      <c r="O2351" t="s">
        <v>3030</v>
      </c>
      <c r="P2351" t="s">
        <v>3031</v>
      </c>
      <c r="Q2351" t="s">
        <v>396</v>
      </c>
      <c r="R2351" s="458">
        <v>2265775</v>
      </c>
      <c r="S2351" t="s">
        <v>387</v>
      </c>
      <c r="U2351" t="s">
        <v>3032</v>
      </c>
      <c r="V2351" t="s">
        <v>398</v>
      </c>
      <c r="W2351" s="393">
        <v>37000</v>
      </c>
      <c r="X2351" s="393">
        <v>9.32</v>
      </c>
      <c r="Y2351" s="393">
        <v>81.93</v>
      </c>
      <c r="Z2351" s="393">
        <v>37000</v>
      </c>
      <c r="AA2351">
        <v>0</v>
      </c>
      <c r="AB2351" s="400">
        <v>44594.703215972222</v>
      </c>
      <c r="AC2351" t="str">
        <f>+VLOOKUP(R2351,DRAFT!A:Q,17,0)</f>
        <v>MAE</v>
      </c>
    </row>
    <row r="2352" spans="1:29">
      <c r="A2352" t="s">
        <v>382</v>
      </c>
      <c r="B2352" t="s">
        <v>1214</v>
      </c>
      <c r="C2352" t="s">
        <v>1362</v>
      </c>
      <c r="D2352" t="s">
        <v>1421</v>
      </c>
      <c r="E2352" t="s">
        <v>2565</v>
      </c>
      <c r="F2352" t="s">
        <v>2566</v>
      </c>
      <c r="G2352">
        <v>22200007</v>
      </c>
      <c r="H2352">
        <v>202201</v>
      </c>
      <c r="I2352" s="400">
        <v>44580</v>
      </c>
      <c r="J2352" t="s">
        <v>2567</v>
      </c>
      <c r="K2352" t="s">
        <v>386</v>
      </c>
      <c r="L2352" t="s">
        <v>2420</v>
      </c>
      <c r="M2352" t="s">
        <v>2421</v>
      </c>
      <c r="O2352" t="s">
        <v>3033</v>
      </c>
      <c r="P2352" t="s">
        <v>3034</v>
      </c>
      <c r="Q2352" t="s">
        <v>396</v>
      </c>
      <c r="R2352" s="458">
        <v>2265775</v>
      </c>
      <c r="S2352" t="s">
        <v>387</v>
      </c>
      <c r="U2352" t="s">
        <v>3035</v>
      </c>
      <c r="V2352" t="s">
        <v>398</v>
      </c>
      <c r="W2352" s="393">
        <v>108000</v>
      </c>
      <c r="X2352" s="393">
        <v>27.2</v>
      </c>
      <c r="Y2352" s="393">
        <v>239.14</v>
      </c>
      <c r="Z2352" s="393">
        <v>108000</v>
      </c>
      <c r="AA2352">
        <v>0</v>
      </c>
      <c r="AB2352" s="400">
        <v>44594.703215972222</v>
      </c>
      <c r="AC2352" t="str">
        <f>+VLOOKUP(R2352,DRAFT!A:Q,17,0)</f>
        <v>MAE</v>
      </c>
    </row>
    <row r="2353" spans="1:29">
      <c r="A2353" t="s">
        <v>382</v>
      </c>
      <c r="B2353" t="s">
        <v>1214</v>
      </c>
      <c r="C2353" t="s">
        <v>1362</v>
      </c>
      <c r="D2353" t="s">
        <v>1421</v>
      </c>
      <c r="E2353" t="s">
        <v>2565</v>
      </c>
      <c r="F2353" t="s">
        <v>2566</v>
      </c>
      <c r="G2353">
        <v>22200007</v>
      </c>
      <c r="H2353">
        <v>202201</v>
      </c>
      <c r="I2353" s="400">
        <v>44580</v>
      </c>
      <c r="J2353" t="s">
        <v>2567</v>
      </c>
      <c r="K2353" t="s">
        <v>386</v>
      </c>
      <c r="L2353" t="s">
        <v>2420</v>
      </c>
      <c r="M2353" t="s">
        <v>2421</v>
      </c>
      <c r="O2353" t="s">
        <v>794</v>
      </c>
      <c r="P2353" t="s">
        <v>795</v>
      </c>
      <c r="Q2353" t="s">
        <v>396</v>
      </c>
      <c r="R2353" s="458">
        <v>2265775</v>
      </c>
      <c r="S2353" t="s">
        <v>387</v>
      </c>
      <c r="U2353" t="s">
        <v>3036</v>
      </c>
      <c r="V2353" t="s">
        <v>398</v>
      </c>
      <c r="W2353" s="393">
        <v>24000</v>
      </c>
      <c r="X2353" s="393">
        <v>6.05</v>
      </c>
      <c r="Y2353" s="393">
        <v>53.14</v>
      </c>
      <c r="Z2353" s="393">
        <v>24000</v>
      </c>
      <c r="AA2353">
        <v>0</v>
      </c>
      <c r="AB2353" s="400">
        <v>44594.703216122682</v>
      </c>
      <c r="AC2353" t="str">
        <f>+VLOOKUP(R2353,DRAFT!A:Q,17,0)</f>
        <v>MAE</v>
      </c>
    </row>
    <row r="2354" spans="1:29">
      <c r="A2354" t="s">
        <v>382</v>
      </c>
      <c r="B2354" t="s">
        <v>1214</v>
      </c>
      <c r="C2354" t="s">
        <v>1362</v>
      </c>
      <c r="D2354" t="s">
        <v>1421</v>
      </c>
      <c r="E2354" t="s">
        <v>2565</v>
      </c>
      <c r="F2354" t="s">
        <v>2566</v>
      </c>
      <c r="G2354">
        <v>22200007</v>
      </c>
      <c r="H2354">
        <v>202201</v>
      </c>
      <c r="I2354" s="400">
        <v>44580</v>
      </c>
      <c r="J2354" t="s">
        <v>2567</v>
      </c>
      <c r="K2354" t="s">
        <v>386</v>
      </c>
      <c r="L2354" t="s">
        <v>2420</v>
      </c>
      <c r="M2354" t="s">
        <v>2421</v>
      </c>
      <c r="O2354" t="s">
        <v>642</v>
      </c>
      <c r="P2354" t="s">
        <v>643</v>
      </c>
      <c r="Q2354" t="s">
        <v>396</v>
      </c>
      <c r="R2354" s="458">
        <v>2265775</v>
      </c>
      <c r="S2354" t="s">
        <v>387</v>
      </c>
      <c r="U2354" t="s">
        <v>2976</v>
      </c>
      <c r="V2354" t="s">
        <v>398</v>
      </c>
      <c r="W2354" s="393">
        <v>28704</v>
      </c>
      <c r="X2354" s="393">
        <v>7.23</v>
      </c>
      <c r="Y2354" s="393">
        <v>63.56</v>
      </c>
      <c r="Z2354" s="393">
        <v>28704</v>
      </c>
      <c r="AA2354">
        <v>212</v>
      </c>
      <c r="AB2354" s="400">
        <v>44594.703216319445</v>
      </c>
      <c r="AC2354" t="str">
        <f>+VLOOKUP(R2354,DRAFT!A:Q,17,0)</f>
        <v>MAE</v>
      </c>
    </row>
    <row r="2355" spans="1:29">
      <c r="A2355" t="s">
        <v>382</v>
      </c>
      <c r="B2355" t="s">
        <v>1214</v>
      </c>
      <c r="C2355" t="s">
        <v>1362</v>
      </c>
      <c r="D2355" t="s">
        <v>1421</v>
      </c>
      <c r="E2355" t="s">
        <v>2565</v>
      </c>
      <c r="F2355" t="s">
        <v>2566</v>
      </c>
      <c r="G2355">
        <v>22200007</v>
      </c>
      <c r="H2355">
        <v>202201</v>
      </c>
      <c r="I2355" s="400">
        <v>44580</v>
      </c>
      <c r="J2355" t="s">
        <v>2567</v>
      </c>
      <c r="K2355" t="s">
        <v>386</v>
      </c>
      <c r="L2355" t="s">
        <v>2420</v>
      </c>
      <c r="M2355" t="s">
        <v>2421</v>
      </c>
      <c r="O2355" t="s">
        <v>2945</v>
      </c>
      <c r="P2355" t="s">
        <v>2946</v>
      </c>
      <c r="Q2355" t="s">
        <v>396</v>
      </c>
      <c r="R2355" s="458">
        <v>2265775</v>
      </c>
      <c r="S2355" t="s">
        <v>387</v>
      </c>
      <c r="U2355" t="s">
        <v>2953</v>
      </c>
      <c r="V2355" t="s">
        <v>398</v>
      </c>
      <c r="W2355" s="393">
        <v>9748</v>
      </c>
      <c r="X2355" s="393">
        <v>2.46</v>
      </c>
      <c r="Y2355" s="393">
        <v>21.58</v>
      </c>
      <c r="Z2355" s="393">
        <v>9748</v>
      </c>
      <c r="AA2355">
        <v>147</v>
      </c>
      <c r="AB2355" s="400">
        <v>44594.703216319445</v>
      </c>
      <c r="AC2355" t="str">
        <f>+VLOOKUP(R2355,DRAFT!A:Q,17,0)</f>
        <v>MAE</v>
      </c>
    </row>
    <row r="2356" spans="1:29">
      <c r="A2356" t="s">
        <v>382</v>
      </c>
      <c r="B2356" t="s">
        <v>1214</v>
      </c>
      <c r="C2356" t="s">
        <v>1362</v>
      </c>
      <c r="D2356" t="s">
        <v>1421</v>
      </c>
      <c r="E2356" t="s">
        <v>2565</v>
      </c>
      <c r="F2356" t="s">
        <v>2566</v>
      </c>
      <c r="G2356">
        <v>22200007</v>
      </c>
      <c r="H2356">
        <v>202201</v>
      </c>
      <c r="I2356" s="400">
        <v>44580</v>
      </c>
      <c r="J2356" t="s">
        <v>2567</v>
      </c>
      <c r="K2356" t="s">
        <v>386</v>
      </c>
      <c r="L2356" t="s">
        <v>2420</v>
      </c>
      <c r="M2356" t="s">
        <v>2421</v>
      </c>
      <c r="O2356" t="s">
        <v>2971</v>
      </c>
      <c r="P2356" t="s">
        <v>2972</v>
      </c>
      <c r="Q2356" t="s">
        <v>396</v>
      </c>
      <c r="R2356" s="458">
        <v>2265775</v>
      </c>
      <c r="S2356" t="s">
        <v>387</v>
      </c>
      <c r="U2356" t="s">
        <v>2980</v>
      </c>
      <c r="V2356" t="s">
        <v>398</v>
      </c>
      <c r="W2356" s="393">
        <v>7963</v>
      </c>
      <c r="X2356" s="393">
        <v>2.0099999999999998</v>
      </c>
      <c r="Y2356" s="393">
        <v>17.63</v>
      </c>
      <c r="Z2356" s="393">
        <v>7963</v>
      </c>
      <c r="AA2356">
        <v>212</v>
      </c>
      <c r="AB2356" s="400">
        <v>44594.703216319445</v>
      </c>
      <c r="AC2356" t="str">
        <f>+VLOOKUP(R2356,DRAFT!A:Q,17,0)</f>
        <v>MAE</v>
      </c>
    </row>
    <row r="2357" spans="1:29">
      <c r="A2357" t="s">
        <v>382</v>
      </c>
      <c r="B2357" t="s">
        <v>1214</v>
      </c>
      <c r="C2357" t="s">
        <v>1362</v>
      </c>
      <c r="D2357" t="s">
        <v>1421</v>
      </c>
      <c r="E2357" t="s">
        <v>2565</v>
      </c>
      <c r="F2357" t="s">
        <v>2566</v>
      </c>
      <c r="G2357">
        <v>22200004</v>
      </c>
      <c r="H2357">
        <v>202201</v>
      </c>
      <c r="I2357" s="400">
        <v>44580</v>
      </c>
      <c r="J2357" t="s">
        <v>2567</v>
      </c>
      <c r="K2357" t="s">
        <v>386</v>
      </c>
      <c r="L2357" t="s">
        <v>1215</v>
      </c>
      <c r="M2357" t="s">
        <v>1216</v>
      </c>
      <c r="O2357" t="s">
        <v>1104</v>
      </c>
      <c r="P2357" t="s">
        <v>1105</v>
      </c>
      <c r="Q2357" t="s">
        <v>450</v>
      </c>
      <c r="R2357" s="458">
        <v>2069083</v>
      </c>
      <c r="S2357" t="s">
        <v>387</v>
      </c>
      <c r="U2357" t="s">
        <v>2981</v>
      </c>
      <c r="V2357" t="s">
        <v>398</v>
      </c>
      <c r="W2357" s="393">
        <v>98611</v>
      </c>
      <c r="X2357" s="393">
        <v>24.84</v>
      </c>
      <c r="Y2357" s="393">
        <v>218.35</v>
      </c>
      <c r="Z2357" s="393">
        <v>98611</v>
      </c>
      <c r="AA2357">
        <v>212</v>
      </c>
      <c r="AB2357" s="400">
        <v>44592.671723530089</v>
      </c>
      <c r="AC2357" t="str">
        <f>+VLOOKUP(R2357,DRAFT!A:Q,17,0)</f>
        <v>SUPPORT</v>
      </c>
    </row>
    <row r="2358" spans="1:29">
      <c r="A2358" t="s">
        <v>382</v>
      </c>
      <c r="B2358" t="s">
        <v>440</v>
      </c>
      <c r="C2358" t="s">
        <v>1362</v>
      </c>
      <c r="D2358" t="s">
        <v>1421</v>
      </c>
      <c r="E2358" t="s">
        <v>390</v>
      </c>
      <c r="F2358" t="s">
        <v>391</v>
      </c>
      <c r="G2358">
        <v>6200332</v>
      </c>
      <c r="H2358">
        <v>202202</v>
      </c>
      <c r="I2358" s="400">
        <v>44620</v>
      </c>
      <c r="J2358" t="s">
        <v>452</v>
      </c>
      <c r="K2358" t="s">
        <v>386</v>
      </c>
      <c r="L2358">
        <v>119010</v>
      </c>
      <c r="M2358" t="s">
        <v>1158</v>
      </c>
      <c r="O2358" t="s">
        <v>3041</v>
      </c>
      <c r="P2358" t="s">
        <v>3042</v>
      </c>
      <c r="Q2358" t="s">
        <v>450</v>
      </c>
      <c r="R2358" s="458">
        <v>2069083</v>
      </c>
      <c r="S2358" t="s">
        <v>387</v>
      </c>
      <c r="U2358" t="s">
        <v>3043</v>
      </c>
      <c r="V2358" t="s">
        <v>398</v>
      </c>
      <c r="W2358" s="393">
        <v>52500</v>
      </c>
      <c r="X2358" s="393">
        <v>13.41</v>
      </c>
      <c r="Y2358" s="393">
        <v>119.85</v>
      </c>
      <c r="Z2358" s="393">
        <v>52500</v>
      </c>
      <c r="AA2358">
        <v>0</v>
      </c>
      <c r="AB2358" s="400">
        <v>44624.646162881945</v>
      </c>
      <c r="AC2358" t="str">
        <f>+VLOOKUP(R2358,DRAFT!A:Q,17,0)</f>
        <v>SUPPORT</v>
      </c>
    </row>
    <row r="2359" spans="1:29">
      <c r="A2359" t="s">
        <v>382</v>
      </c>
      <c r="B2359" t="s">
        <v>440</v>
      </c>
      <c r="C2359" t="s">
        <v>1362</v>
      </c>
      <c r="D2359" t="s">
        <v>1421</v>
      </c>
      <c r="E2359" t="s">
        <v>390</v>
      </c>
      <c r="F2359" t="s">
        <v>391</v>
      </c>
      <c r="G2359">
        <v>6200332</v>
      </c>
      <c r="H2359">
        <v>202202</v>
      </c>
      <c r="I2359" s="400">
        <v>44620</v>
      </c>
      <c r="J2359" t="s">
        <v>452</v>
      </c>
      <c r="K2359" t="s">
        <v>386</v>
      </c>
      <c r="L2359">
        <v>119010</v>
      </c>
      <c r="M2359" t="s">
        <v>1158</v>
      </c>
      <c r="O2359" t="s">
        <v>2453</v>
      </c>
      <c r="P2359" t="s">
        <v>2454</v>
      </c>
      <c r="Q2359" t="s">
        <v>450</v>
      </c>
      <c r="R2359" s="458">
        <v>2069083</v>
      </c>
      <c r="S2359" t="s">
        <v>387</v>
      </c>
      <c r="U2359" t="s">
        <v>3044</v>
      </c>
      <c r="V2359" t="s">
        <v>398</v>
      </c>
      <c r="W2359" s="393">
        <v>36000</v>
      </c>
      <c r="X2359" s="393">
        <v>9.1999999999999993</v>
      </c>
      <c r="Y2359" s="393">
        <v>82.18</v>
      </c>
      <c r="Z2359" s="393">
        <v>36000</v>
      </c>
      <c r="AA2359">
        <v>0</v>
      </c>
      <c r="AB2359" s="400">
        <v>44624.646162881945</v>
      </c>
      <c r="AC2359" t="str">
        <f>+VLOOKUP(R2359,DRAFT!A:Q,17,0)</f>
        <v>SUPPORT</v>
      </c>
    </row>
    <row r="2360" spans="1:29">
      <c r="A2360" t="s">
        <v>382</v>
      </c>
      <c r="B2360" t="s">
        <v>440</v>
      </c>
      <c r="C2360" t="s">
        <v>1362</v>
      </c>
      <c r="D2360" t="s">
        <v>1421</v>
      </c>
      <c r="E2360" t="s">
        <v>390</v>
      </c>
      <c r="F2360" t="s">
        <v>391</v>
      </c>
      <c r="G2360">
        <v>6200332</v>
      </c>
      <c r="H2360">
        <v>202202</v>
      </c>
      <c r="I2360" s="400">
        <v>44620</v>
      </c>
      <c r="J2360" t="s">
        <v>452</v>
      </c>
      <c r="K2360" t="s">
        <v>386</v>
      </c>
      <c r="L2360">
        <v>119010</v>
      </c>
      <c r="M2360" t="s">
        <v>1158</v>
      </c>
      <c r="O2360" t="s">
        <v>843</v>
      </c>
      <c r="P2360" t="s">
        <v>844</v>
      </c>
      <c r="Q2360" t="s">
        <v>450</v>
      </c>
      <c r="R2360" s="458">
        <v>2069083</v>
      </c>
      <c r="S2360" t="s">
        <v>387</v>
      </c>
      <c r="U2360" t="s">
        <v>3045</v>
      </c>
      <c r="V2360" t="s">
        <v>398</v>
      </c>
      <c r="W2360" s="393">
        <v>36000</v>
      </c>
      <c r="X2360" s="393">
        <v>9.1999999999999993</v>
      </c>
      <c r="Y2360" s="393">
        <v>82.18</v>
      </c>
      <c r="Z2360" s="393">
        <v>36000</v>
      </c>
      <c r="AA2360">
        <v>0</v>
      </c>
      <c r="AB2360" s="400">
        <v>44624.646162881945</v>
      </c>
      <c r="AC2360" t="str">
        <f>+VLOOKUP(R2360,DRAFT!A:Q,17,0)</f>
        <v>SUPPORT</v>
      </c>
    </row>
    <row r="2361" spans="1:29">
      <c r="A2361" t="s">
        <v>382</v>
      </c>
      <c r="B2361" t="s">
        <v>440</v>
      </c>
      <c r="C2361" t="s">
        <v>1362</v>
      </c>
      <c r="D2361" t="s">
        <v>1421</v>
      </c>
      <c r="E2361" t="s">
        <v>390</v>
      </c>
      <c r="F2361" t="s">
        <v>391</v>
      </c>
      <c r="G2361">
        <v>6200332</v>
      </c>
      <c r="H2361">
        <v>202202</v>
      </c>
      <c r="I2361" s="400">
        <v>44620</v>
      </c>
      <c r="J2361" t="s">
        <v>452</v>
      </c>
      <c r="K2361" t="s">
        <v>386</v>
      </c>
      <c r="L2361">
        <v>119010</v>
      </c>
      <c r="M2361" t="s">
        <v>1158</v>
      </c>
      <c r="O2361" t="s">
        <v>3041</v>
      </c>
      <c r="P2361" t="s">
        <v>3042</v>
      </c>
      <c r="Q2361" t="s">
        <v>450</v>
      </c>
      <c r="R2361" s="458">
        <v>2069083</v>
      </c>
      <c r="S2361" t="s">
        <v>387</v>
      </c>
      <c r="U2361" t="s">
        <v>3046</v>
      </c>
      <c r="V2361" t="s">
        <v>398</v>
      </c>
      <c r="W2361" s="393">
        <v>64800</v>
      </c>
      <c r="X2361" s="393">
        <v>16.559999999999999</v>
      </c>
      <c r="Y2361" s="393">
        <v>147.93</v>
      </c>
      <c r="Z2361" s="393">
        <v>64800</v>
      </c>
      <c r="AA2361">
        <v>0</v>
      </c>
      <c r="AB2361" s="400">
        <v>44624.646163078702</v>
      </c>
      <c r="AC2361" t="str">
        <f>+VLOOKUP(R2361,DRAFT!A:Q,17,0)</f>
        <v>SUPPORT</v>
      </c>
    </row>
    <row r="2362" spans="1:29">
      <c r="A2362" t="s">
        <v>382</v>
      </c>
      <c r="B2362" t="s">
        <v>440</v>
      </c>
      <c r="C2362" t="s">
        <v>1362</v>
      </c>
      <c r="D2362" t="s">
        <v>1421</v>
      </c>
      <c r="E2362" t="s">
        <v>390</v>
      </c>
      <c r="F2362" t="s">
        <v>391</v>
      </c>
      <c r="G2362">
        <v>6200332</v>
      </c>
      <c r="H2362">
        <v>202202</v>
      </c>
      <c r="I2362" s="400">
        <v>44620</v>
      </c>
      <c r="J2362" t="s">
        <v>452</v>
      </c>
      <c r="K2362" t="s">
        <v>386</v>
      </c>
      <c r="L2362">
        <v>119010</v>
      </c>
      <c r="M2362" t="s">
        <v>1158</v>
      </c>
      <c r="O2362" t="s">
        <v>1561</v>
      </c>
      <c r="P2362" t="s">
        <v>1562</v>
      </c>
      <c r="Q2362" t="s">
        <v>450</v>
      </c>
      <c r="R2362" s="458">
        <v>2069083</v>
      </c>
      <c r="S2362" t="s">
        <v>387</v>
      </c>
      <c r="U2362" t="s">
        <v>3047</v>
      </c>
      <c r="V2362" t="s">
        <v>398</v>
      </c>
      <c r="W2362" s="393">
        <v>36000</v>
      </c>
      <c r="X2362" s="393">
        <v>9.1999999999999993</v>
      </c>
      <c r="Y2362" s="393">
        <v>82.18</v>
      </c>
      <c r="Z2362" s="393">
        <v>36000</v>
      </c>
      <c r="AA2362">
        <v>0</v>
      </c>
      <c r="AB2362" s="400">
        <v>44624.646163078702</v>
      </c>
      <c r="AC2362" t="str">
        <f>+VLOOKUP(R2362,DRAFT!A:Q,17,0)</f>
        <v>SUPPORT</v>
      </c>
    </row>
    <row r="2363" spans="1:29">
      <c r="A2363" t="s">
        <v>382</v>
      </c>
      <c r="B2363" t="s">
        <v>440</v>
      </c>
      <c r="C2363" t="s">
        <v>1362</v>
      </c>
      <c r="D2363" t="s">
        <v>1421</v>
      </c>
      <c r="E2363" t="s">
        <v>390</v>
      </c>
      <c r="F2363" t="s">
        <v>391</v>
      </c>
      <c r="G2363">
        <v>6200332</v>
      </c>
      <c r="H2363">
        <v>202202</v>
      </c>
      <c r="I2363" s="400">
        <v>44620</v>
      </c>
      <c r="J2363" t="s">
        <v>452</v>
      </c>
      <c r="K2363" t="s">
        <v>386</v>
      </c>
      <c r="L2363">
        <v>119010</v>
      </c>
      <c r="M2363" t="s">
        <v>1158</v>
      </c>
      <c r="O2363" t="s">
        <v>794</v>
      </c>
      <c r="P2363" t="s">
        <v>795</v>
      </c>
      <c r="Q2363" t="s">
        <v>450</v>
      </c>
      <c r="R2363" s="458">
        <v>2069083</v>
      </c>
      <c r="S2363" t="s">
        <v>387</v>
      </c>
      <c r="U2363" t="s">
        <v>3048</v>
      </c>
      <c r="V2363" t="s">
        <v>398</v>
      </c>
      <c r="W2363" s="393">
        <v>13500</v>
      </c>
      <c r="X2363" s="393">
        <v>3.45</v>
      </c>
      <c r="Y2363" s="393">
        <v>30.82</v>
      </c>
      <c r="Z2363" s="393">
        <v>13500</v>
      </c>
      <c r="AA2363">
        <v>0</v>
      </c>
      <c r="AB2363" s="400">
        <v>44624.646163078702</v>
      </c>
      <c r="AC2363" t="str">
        <f>+VLOOKUP(R2363,DRAFT!A:Q,17,0)</f>
        <v>SUPPORT</v>
      </c>
    </row>
    <row r="2364" spans="1:29">
      <c r="A2364" t="s">
        <v>382</v>
      </c>
      <c r="B2364" t="s">
        <v>440</v>
      </c>
      <c r="C2364" t="s">
        <v>1362</v>
      </c>
      <c r="D2364" t="s">
        <v>1421</v>
      </c>
      <c r="E2364" t="s">
        <v>390</v>
      </c>
      <c r="F2364" t="s">
        <v>391</v>
      </c>
      <c r="G2364">
        <v>6200332</v>
      </c>
      <c r="H2364">
        <v>202202</v>
      </c>
      <c r="I2364" s="400">
        <v>44620</v>
      </c>
      <c r="J2364" t="s">
        <v>452</v>
      </c>
      <c r="K2364" t="s">
        <v>386</v>
      </c>
      <c r="L2364">
        <v>119010</v>
      </c>
      <c r="M2364" t="s">
        <v>1158</v>
      </c>
      <c r="O2364" t="s">
        <v>1567</v>
      </c>
      <c r="P2364" t="s">
        <v>1568</v>
      </c>
      <c r="Q2364" t="s">
        <v>450</v>
      </c>
      <c r="R2364" s="458">
        <v>2069083</v>
      </c>
      <c r="S2364" t="s">
        <v>387</v>
      </c>
      <c r="U2364" t="s">
        <v>3049</v>
      </c>
      <c r="V2364" t="s">
        <v>398</v>
      </c>
      <c r="W2364" s="393">
        <v>43200</v>
      </c>
      <c r="X2364" s="393">
        <v>11.04</v>
      </c>
      <c r="Y2364" s="393">
        <v>98.62</v>
      </c>
      <c r="Z2364" s="393">
        <v>43200</v>
      </c>
      <c r="AA2364">
        <v>0</v>
      </c>
      <c r="AB2364" s="400">
        <v>44624.646163078702</v>
      </c>
      <c r="AC2364" t="str">
        <f>+VLOOKUP(R2364,DRAFT!A:Q,17,0)</f>
        <v>SUPPORT</v>
      </c>
    </row>
    <row r="2365" spans="1:29">
      <c r="A2365" t="s">
        <v>382</v>
      </c>
      <c r="B2365" t="s">
        <v>440</v>
      </c>
      <c r="C2365" t="s">
        <v>1362</v>
      </c>
      <c r="D2365" t="s">
        <v>1421</v>
      </c>
      <c r="E2365" t="s">
        <v>390</v>
      </c>
      <c r="F2365" t="s">
        <v>391</v>
      </c>
      <c r="G2365">
        <v>6200332</v>
      </c>
      <c r="H2365">
        <v>202202</v>
      </c>
      <c r="I2365" s="400">
        <v>44620</v>
      </c>
      <c r="J2365" t="s">
        <v>452</v>
      </c>
      <c r="K2365" t="s">
        <v>386</v>
      </c>
      <c r="L2365">
        <v>119010</v>
      </c>
      <c r="M2365" t="s">
        <v>1158</v>
      </c>
      <c r="O2365" t="s">
        <v>1473</v>
      </c>
      <c r="P2365" t="s">
        <v>1474</v>
      </c>
      <c r="Q2365" t="s">
        <v>450</v>
      </c>
      <c r="R2365" s="458">
        <v>2069083</v>
      </c>
      <c r="S2365" t="s">
        <v>387</v>
      </c>
      <c r="U2365" t="s">
        <v>3050</v>
      </c>
      <c r="V2365" t="s">
        <v>398</v>
      </c>
      <c r="W2365" s="393">
        <v>19000</v>
      </c>
      <c r="X2365" s="393">
        <v>4.8499999999999996</v>
      </c>
      <c r="Y2365" s="393">
        <v>43.37</v>
      </c>
      <c r="Z2365" s="393">
        <v>19000</v>
      </c>
      <c r="AA2365">
        <v>0</v>
      </c>
      <c r="AB2365" s="400">
        <v>44624.646163229168</v>
      </c>
      <c r="AC2365" t="str">
        <f>+VLOOKUP(R2365,DRAFT!A:Q,17,0)</f>
        <v>SUPPORT</v>
      </c>
    </row>
    <row r="2366" spans="1:29">
      <c r="A2366" t="s">
        <v>382</v>
      </c>
      <c r="B2366" t="s">
        <v>440</v>
      </c>
      <c r="C2366" t="s">
        <v>1362</v>
      </c>
      <c r="D2366" t="s">
        <v>1421</v>
      </c>
      <c r="E2366" t="s">
        <v>390</v>
      </c>
      <c r="F2366" t="s">
        <v>391</v>
      </c>
      <c r="G2366">
        <v>6200332</v>
      </c>
      <c r="H2366">
        <v>202202</v>
      </c>
      <c r="I2366" s="400">
        <v>44620</v>
      </c>
      <c r="J2366" t="s">
        <v>452</v>
      </c>
      <c r="K2366" t="s">
        <v>386</v>
      </c>
      <c r="L2366">
        <v>119010</v>
      </c>
      <c r="M2366" t="s">
        <v>1158</v>
      </c>
      <c r="O2366" t="s">
        <v>725</v>
      </c>
      <c r="P2366" t="s">
        <v>726</v>
      </c>
      <c r="Q2366" t="s">
        <v>450</v>
      </c>
      <c r="R2366" s="458">
        <v>2069083</v>
      </c>
      <c r="S2366" t="s">
        <v>387</v>
      </c>
      <c r="U2366" t="s">
        <v>3051</v>
      </c>
      <c r="V2366" t="s">
        <v>398</v>
      </c>
      <c r="W2366" s="393">
        <v>5000</v>
      </c>
      <c r="X2366" s="393">
        <v>1.28</v>
      </c>
      <c r="Y2366" s="393">
        <v>11.41</v>
      </c>
      <c r="Z2366" s="393">
        <v>5000</v>
      </c>
      <c r="AA2366">
        <v>0</v>
      </c>
      <c r="AB2366" s="400">
        <v>44624.646163229168</v>
      </c>
      <c r="AC2366" t="str">
        <f>+VLOOKUP(R2366,DRAFT!A:Q,17,0)</f>
        <v>SUPPORT</v>
      </c>
    </row>
    <row r="2367" spans="1:29">
      <c r="A2367" t="s">
        <v>382</v>
      </c>
      <c r="B2367" t="s">
        <v>440</v>
      </c>
      <c r="C2367" t="s">
        <v>1362</v>
      </c>
      <c r="D2367" t="s">
        <v>1421</v>
      </c>
      <c r="E2367" t="s">
        <v>390</v>
      </c>
      <c r="F2367" t="s">
        <v>391</v>
      </c>
      <c r="G2367">
        <v>6200332</v>
      </c>
      <c r="H2367">
        <v>202202</v>
      </c>
      <c r="I2367" s="400">
        <v>44620</v>
      </c>
      <c r="J2367" t="s">
        <v>452</v>
      </c>
      <c r="K2367" t="s">
        <v>386</v>
      </c>
      <c r="L2367">
        <v>119010</v>
      </c>
      <c r="M2367" t="s">
        <v>1158</v>
      </c>
      <c r="O2367" t="s">
        <v>794</v>
      </c>
      <c r="P2367" t="s">
        <v>795</v>
      </c>
      <c r="Q2367" t="s">
        <v>450</v>
      </c>
      <c r="R2367" s="458">
        <v>2069083</v>
      </c>
      <c r="S2367" t="s">
        <v>387</v>
      </c>
      <c r="U2367" t="s">
        <v>3052</v>
      </c>
      <c r="V2367" t="s">
        <v>398</v>
      </c>
      <c r="W2367" s="393">
        <v>9500</v>
      </c>
      <c r="X2367" s="393">
        <v>2.4300000000000002</v>
      </c>
      <c r="Y2367" s="393">
        <v>21.69</v>
      </c>
      <c r="Z2367" s="393">
        <v>9500</v>
      </c>
      <c r="AA2367">
        <v>0</v>
      </c>
      <c r="AB2367" s="400">
        <v>44624.646163229168</v>
      </c>
      <c r="AC2367" t="str">
        <f>+VLOOKUP(R2367,DRAFT!A:Q,17,0)</f>
        <v>SUPPORT</v>
      </c>
    </row>
    <row r="2368" spans="1:29">
      <c r="A2368" t="s">
        <v>382</v>
      </c>
      <c r="B2368" t="s">
        <v>440</v>
      </c>
      <c r="C2368" t="s">
        <v>1362</v>
      </c>
      <c r="D2368" t="s">
        <v>1421</v>
      </c>
      <c r="E2368" t="s">
        <v>390</v>
      </c>
      <c r="F2368" t="s">
        <v>391</v>
      </c>
      <c r="G2368">
        <v>6200332</v>
      </c>
      <c r="H2368">
        <v>202202</v>
      </c>
      <c r="I2368" s="400">
        <v>44620</v>
      </c>
      <c r="J2368" t="s">
        <v>452</v>
      </c>
      <c r="K2368" t="s">
        <v>386</v>
      </c>
      <c r="L2368">
        <v>119010</v>
      </c>
      <c r="M2368" t="s">
        <v>1158</v>
      </c>
      <c r="O2368" t="s">
        <v>3053</v>
      </c>
      <c r="P2368" t="s">
        <v>3054</v>
      </c>
      <c r="Q2368" t="s">
        <v>450</v>
      </c>
      <c r="R2368" s="458">
        <v>2069083</v>
      </c>
      <c r="S2368" t="s">
        <v>387</v>
      </c>
      <c r="U2368" t="s">
        <v>3055</v>
      </c>
      <c r="V2368" t="s">
        <v>398</v>
      </c>
      <c r="W2368" s="393">
        <v>35100</v>
      </c>
      <c r="X2368" s="393">
        <v>8.9700000000000006</v>
      </c>
      <c r="Y2368" s="393">
        <v>80.13</v>
      </c>
      <c r="Z2368" s="393">
        <v>35100</v>
      </c>
      <c r="AA2368">
        <v>0</v>
      </c>
      <c r="AB2368" s="400">
        <v>44624.646163229168</v>
      </c>
      <c r="AC2368" t="str">
        <f>+VLOOKUP(R2368,DRAFT!A:Q,17,0)</f>
        <v>SUPPORT</v>
      </c>
    </row>
    <row r="2369" spans="1:29">
      <c r="A2369" t="s">
        <v>382</v>
      </c>
      <c r="B2369" t="s">
        <v>440</v>
      </c>
      <c r="C2369" t="s">
        <v>1362</v>
      </c>
      <c r="D2369" t="s">
        <v>1421</v>
      </c>
      <c r="E2369" t="s">
        <v>390</v>
      </c>
      <c r="F2369" t="s">
        <v>391</v>
      </c>
      <c r="G2369">
        <v>6200297</v>
      </c>
      <c r="H2369">
        <v>202202</v>
      </c>
      <c r="I2369" s="400">
        <v>44620</v>
      </c>
      <c r="J2369" t="s">
        <v>452</v>
      </c>
      <c r="K2369" t="s">
        <v>386</v>
      </c>
      <c r="L2369">
        <v>125684</v>
      </c>
      <c r="M2369" t="s">
        <v>2869</v>
      </c>
      <c r="O2369" t="s">
        <v>794</v>
      </c>
      <c r="P2369" t="s">
        <v>795</v>
      </c>
      <c r="Q2369" t="s">
        <v>396</v>
      </c>
      <c r="R2369" s="458">
        <v>2265775</v>
      </c>
      <c r="S2369" t="s">
        <v>387</v>
      </c>
      <c r="U2369" t="s">
        <v>3056</v>
      </c>
      <c r="V2369" t="s">
        <v>398</v>
      </c>
      <c r="W2369" s="393">
        <v>7500</v>
      </c>
      <c r="X2369" s="393">
        <v>1.92</v>
      </c>
      <c r="Y2369" s="393">
        <v>17.12</v>
      </c>
      <c r="Z2369" s="393">
        <v>7500</v>
      </c>
      <c r="AA2369">
        <v>0</v>
      </c>
      <c r="AB2369" s="400">
        <v>44623.830043553244</v>
      </c>
      <c r="AC2369" t="str">
        <f>+VLOOKUP(R2369,DRAFT!A:Q,17,0)</f>
        <v>MAE</v>
      </c>
    </row>
    <row r="2370" spans="1:29">
      <c r="A2370" t="s">
        <v>382</v>
      </c>
      <c r="B2370" t="s">
        <v>440</v>
      </c>
      <c r="C2370" t="s">
        <v>1362</v>
      </c>
      <c r="D2370" t="s">
        <v>1421</v>
      </c>
      <c r="E2370" t="s">
        <v>390</v>
      </c>
      <c r="F2370" t="s">
        <v>391</v>
      </c>
      <c r="G2370">
        <v>6200297</v>
      </c>
      <c r="H2370">
        <v>202202</v>
      </c>
      <c r="I2370" s="400">
        <v>44620</v>
      </c>
      <c r="J2370" t="s">
        <v>452</v>
      </c>
      <c r="K2370" t="s">
        <v>386</v>
      </c>
      <c r="L2370">
        <v>125684</v>
      </c>
      <c r="M2370" t="s">
        <v>2869</v>
      </c>
      <c r="O2370" t="s">
        <v>2076</v>
      </c>
      <c r="P2370" t="s">
        <v>2077</v>
      </c>
      <c r="Q2370" t="s">
        <v>396</v>
      </c>
      <c r="R2370" s="458">
        <v>2265775</v>
      </c>
      <c r="S2370" t="s">
        <v>387</v>
      </c>
      <c r="U2370" t="s">
        <v>2982</v>
      </c>
      <c r="V2370" t="s">
        <v>398</v>
      </c>
      <c r="W2370" s="393">
        <v>28704</v>
      </c>
      <c r="X2370" s="393">
        <v>7.33</v>
      </c>
      <c r="Y2370" s="393">
        <v>65.53</v>
      </c>
      <c r="Z2370" s="393">
        <v>28704</v>
      </c>
      <c r="AA2370">
        <v>212</v>
      </c>
      <c r="AB2370" s="400">
        <v>44623.830043553244</v>
      </c>
      <c r="AC2370" t="str">
        <f>+VLOOKUP(R2370,DRAFT!A:Q,17,0)</f>
        <v>MAE</v>
      </c>
    </row>
    <row r="2371" spans="1:29">
      <c r="A2371" t="s">
        <v>382</v>
      </c>
      <c r="B2371" t="s">
        <v>440</v>
      </c>
      <c r="C2371" t="s">
        <v>1362</v>
      </c>
      <c r="D2371" t="s">
        <v>1421</v>
      </c>
      <c r="E2371" t="s">
        <v>390</v>
      </c>
      <c r="F2371" t="s">
        <v>391</v>
      </c>
      <c r="G2371">
        <v>6200297</v>
      </c>
      <c r="H2371">
        <v>202202</v>
      </c>
      <c r="I2371" s="400">
        <v>44620</v>
      </c>
      <c r="J2371" t="s">
        <v>452</v>
      </c>
      <c r="K2371" t="s">
        <v>386</v>
      </c>
      <c r="L2371">
        <v>125684</v>
      </c>
      <c r="M2371" t="s">
        <v>2869</v>
      </c>
      <c r="O2371" t="s">
        <v>2067</v>
      </c>
      <c r="P2371" t="s">
        <v>2068</v>
      </c>
      <c r="Q2371" t="s">
        <v>396</v>
      </c>
      <c r="R2371" s="458">
        <v>2265775</v>
      </c>
      <c r="S2371" t="s">
        <v>387</v>
      </c>
      <c r="U2371" t="s">
        <v>3057</v>
      </c>
      <c r="V2371" t="s">
        <v>398</v>
      </c>
      <c r="W2371" s="393">
        <v>11500</v>
      </c>
      <c r="X2371" s="393">
        <v>2.94</v>
      </c>
      <c r="Y2371" s="393">
        <v>26.25</v>
      </c>
      <c r="Z2371" s="393">
        <v>11500</v>
      </c>
      <c r="AA2371">
        <v>0</v>
      </c>
      <c r="AB2371" s="400">
        <v>44623.830043553244</v>
      </c>
      <c r="AC2371" t="str">
        <f>+VLOOKUP(R2371,DRAFT!A:Q,17,0)</f>
        <v>MAE</v>
      </c>
    </row>
    <row r="2372" spans="1:29">
      <c r="A2372" t="s">
        <v>382</v>
      </c>
      <c r="B2372" t="s">
        <v>440</v>
      </c>
      <c r="C2372" t="s">
        <v>1362</v>
      </c>
      <c r="D2372" t="s">
        <v>1421</v>
      </c>
      <c r="E2372" t="s">
        <v>390</v>
      </c>
      <c r="F2372" t="s">
        <v>391</v>
      </c>
      <c r="G2372">
        <v>6200297</v>
      </c>
      <c r="H2372">
        <v>202202</v>
      </c>
      <c r="I2372" s="400">
        <v>44620</v>
      </c>
      <c r="J2372" t="s">
        <v>452</v>
      </c>
      <c r="K2372" t="s">
        <v>386</v>
      </c>
      <c r="L2372">
        <v>125684</v>
      </c>
      <c r="M2372" t="s">
        <v>2869</v>
      </c>
      <c r="O2372" t="s">
        <v>2067</v>
      </c>
      <c r="P2372" t="s">
        <v>2068</v>
      </c>
      <c r="Q2372" t="s">
        <v>396</v>
      </c>
      <c r="R2372" s="458">
        <v>2265775</v>
      </c>
      <c r="S2372" t="s">
        <v>387</v>
      </c>
      <c r="U2372" t="s">
        <v>3058</v>
      </c>
      <c r="V2372" t="s">
        <v>398</v>
      </c>
      <c r="W2372" s="393">
        <v>13500</v>
      </c>
      <c r="X2372" s="393">
        <v>3.45</v>
      </c>
      <c r="Y2372" s="393">
        <v>30.82</v>
      </c>
      <c r="Z2372" s="393">
        <v>13500</v>
      </c>
      <c r="AA2372">
        <v>0</v>
      </c>
      <c r="AB2372" s="400">
        <v>44623.830043553244</v>
      </c>
      <c r="AC2372" t="str">
        <f>+VLOOKUP(R2372,DRAFT!A:Q,17,0)</f>
        <v>MAE</v>
      </c>
    </row>
    <row r="2373" spans="1:29">
      <c r="A2373" t="s">
        <v>382</v>
      </c>
      <c r="B2373" t="s">
        <v>440</v>
      </c>
      <c r="C2373" t="s">
        <v>1362</v>
      </c>
      <c r="D2373" t="s">
        <v>1421</v>
      </c>
      <c r="E2373" t="s">
        <v>390</v>
      </c>
      <c r="F2373" t="s">
        <v>391</v>
      </c>
      <c r="G2373">
        <v>6200297</v>
      </c>
      <c r="H2373">
        <v>202202</v>
      </c>
      <c r="I2373" s="400">
        <v>44620</v>
      </c>
      <c r="J2373" t="s">
        <v>452</v>
      </c>
      <c r="K2373" t="s">
        <v>386</v>
      </c>
      <c r="L2373">
        <v>125684</v>
      </c>
      <c r="M2373" t="s">
        <v>2869</v>
      </c>
      <c r="O2373" t="s">
        <v>906</v>
      </c>
      <c r="P2373" t="s">
        <v>907</v>
      </c>
      <c r="Q2373" t="s">
        <v>396</v>
      </c>
      <c r="R2373" s="458">
        <v>2265775</v>
      </c>
      <c r="S2373" t="s">
        <v>387</v>
      </c>
      <c r="U2373" t="s">
        <v>2983</v>
      </c>
      <c r="V2373" t="s">
        <v>398</v>
      </c>
      <c r="W2373" s="393">
        <v>13889</v>
      </c>
      <c r="X2373" s="393">
        <v>3.55</v>
      </c>
      <c r="Y2373" s="393">
        <v>31.71</v>
      </c>
      <c r="Z2373" s="393">
        <v>13889</v>
      </c>
      <c r="AA2373">
        <v>212</v>
      </c>
      <c r="AB2373" s="400">
        <v>44623.830043553244</v>
      </c>
      <c r="AC2373" t="str">
        <f>+VLOOKUP(R2373,DRAFT!A:Q,17,0)</f>
        <v>MAE</v>
      </c>
    </row>
    <row r="2374" spans="1:29">
      <c r="A2374" t="s">
        <v>382</v>
      </c>
      <c r="B2374" t="s">
        <v>440</v>
      </c>
      <c r="C2374" t="s">
        <v>1362</v>
      </c>
      <c r="D2374" t="s">
        <v>1421</v>
      </c>
      <c r="E2374" t="s">
        <v>390</v>
      </c>
      <c r="F2374" t="s">
        <v>391</v>
      </c>
      <c r="G2374">
        <v>6200297</v>
      </c>
      <c r="H2374">
        <v>202202</v>
      </c>
      <c r="I2374" s="400">
        <v>44620</v>
      </c>
      <c r="J2374" t="s">
        <v>452</v>
      </c>
      <c r="K2374" t="s">
        <v>386</v>
      </c>
      <c r="L2374">
        <v>125684</v>
      </c>
      <c r="M2374" t="s">
        <v>2869</v>
      </c>
      <c r="O2374" t="s">
        <v>794</v>
      </c>
      <c r="P2374" t="s">
        <v>795</v>
      </c>
      <c r="Q2374" t="s">
        <v>396</v>
      </c>
      <c r="R2374" s="458">
        <v>2265775</v>
      </c>
      <c r="S2374" t="s">
        <v>387</v>
      </c>
      <c r="U2374" t="s">
        <v>3059</v>
      </c>
      <c r="V2374" t="s">
        <v>398</v>
      </c>
      <c r="W2374" s="393">
        <v>9500</v>
      </c>
      <c r="X2374" s="393">
        <v>2.4300000000000002</v>
      </c>
      <c r="Y2374" s="393">
        <v>21.69</v>
      </c>
      <c r="Z2374" s="393">
        <v>9500</v>
      </c>
      <c r="AA2374">
        <v>0</v>
      </c>
      <c r="AB2374" s="400">
        <v>44623.830043553244</v>
      </c>
      <c r="AC2374" t="str">
        <f>+VLOOKUP(R2374,DRAFT!A:Q,17,0)</f>
        <v>MAE</v>
      </c>
    </row>
    <row r="2375" spans="1:29">
      <c r="A2375" t="s">
        <v>382</v>
      </c>
      <c r="B2375" t="s">
        <v>440</v>
      </c>
      <c r="C2375" t="s">
        <v>1362</v>
      </c>
      <c r="D2375" t="s">
        <v>1421</v>
      </c>
      <c r="E2375" t="s">
        <v>390</v>
      </c>
      <c r="F2375" t="s">
        <v>391</v>
      </c>
      <c r="G2375">
        <v>6200267</v>
      </c>
      <c r="H2375">
        <v>202202</v>
      </c>
      <c r="I2375" s="400">
        <v>44610</v>
      </c>
      <c r="J2375" t="s">
        <v>452</v>
      </c>
      <c r="K2375" t="s">
        <v>386</v>
      </c>
      <c r="L2375" t="s">
        <v>2941</v>
      </c>
      <c r="M2375" t="s">
        <v>2942</v>
      </c>
      <c r="O2375" t="s">
        <v>3060</v>
      </c>
      <c r="P2375" t="s">
        <v>3061</v>
      </c>
      <c r="Q2375" t="s">
        <v>450</v>
      </c>
      <c r="R2375" s="458">
        <v>2069083</v>
      </c>
      <c r="S2375" t="s">
        <v>387</v>
      </c>
      <c r="U2375" t="s">
        <v>3062</v>
      </c>
      <c r="V2375" t="s">
        <v>398</v>
      </c>
      <c r="W2375" s="393">
        <v>12000</v>
      </c>
      <c r="X2375" s="393">
        <v>3.03</v>
      </c>
      <c r="Y2375" s="393">
        <v>27</v>
      </c>
      <c r="Z2375" s="393">
        <v>12000</v>
      </c>
      <c r="AA2375">
        <v>0</v>
      </c>
      <c r="AB2375" s="400">
        <v>44622.872219791665</v>
      </c>
      <c r="AC2375" t="str">
        <f>+VLOOKUP(R2375,DRAFT!A:Q,17,0)</f>
        <v>SUPPORT</v>
      </c>
    </row>
    <row r="2376" spans="1:29">
      <c r="A2376" t="s">
        <v>382</v>
      </c>
      <c r="B2376" t="s">
        <v>440</v>
      </c>
      <c r="C2376" t="s">
        <v>1362</v>
      </c>
      <c r="D2376" t="s">
        <v>1421</v>
      </c>
      <c r="E2376" t="s">
        <v>390</v>
      </c>
      <c r="F2376" t="s">
        <v>391</v>
      </c>
      <c r="G2376">
        <v>6200267</v>
      </c>
      <c r="H2376">
        <v>202202</v>
      </c>
      <c r="I2376" s="400">
        <v>44610</v>
      </c>
      <c r="J2376" t="s">
        <v>452</v>
      </c>
      <c r="K2376" t="s">
        <v>386</v>
      </c>
      <c r="L2376" t="s">
        <v>2941</v>
      </c>
      <c r="M2376" t="s">
        <v>2942</v>
      </c>
      <c r="O2376" t="s">
        <v>1108</v>
      </c>
      <c r="P2376" t="s">
        <v>1109</v>
      </c>
      <c r="Q2376" t="s">
        <v>450</v>
      </c>
      <c r="R2376" s="458">
        <v>2069083</v>
      </c>
      <c r="S2376" t="s">
        <v>387</v>
      </c>
      <c r="U2376" t="s">
        <v>3063</v>
      </c>
      <c r="V2376" t="s">
        <v>398</v>
      </c>
      <c r="W2376" s="393">
        <v>30000</v>
      </c>
      <c r="X2376" s="393">
        <v>7.57</v>
      </c>
      <c r="Y2376" s="393">
        <v>67.5</v>
      </c>
      <c r="Z2376" s="393">
        <v>30000</v>
      </c>
      <c r="AA2376">
        <v>0</v>
      </c>
      <c r="AB2376" s="400">
        <v>44622.872219791665</v>
      </c>
      <c r="AC2376" t="str">
        <f>+VLOOKUP(R2376,DRAFT!A:Q,17,0)</f>
        <v>SUPPORT</v>
      </c>
    </row>
    <row r="2377" spans="1:29">
      <c r="A2377" t="s">
        <v>382</v>
      </c>
      <c r="B2377" t="s">
        <v>440</v>
      </c>
      <c r="C2377" t="s">
        <v>1362</v>
      </c>
      <c r="D2377" t="s">
        <v>1421</v>
      </c>
      <c r="E2377" t="s">
        <v>390</v>
      </c>
      <c r="F2377" t="s">
        <v>391</v>
      </c>
      <c r="G2377">
        <v>6200267</v>
      </c>
      <c r="H2377">
        <v>202202</v>
      </c>
      <c r="I2377" s="400">
        <v>44610</v>
      </c>
      <c r="J2377" t="s">
        <v>452</v>
      </c>
      <c r="K2377" t="s">
        <v>386</v>
      </c>
      <c r="L2377" t="s">
        <v>2941</v>
      </c>
      <c r="M2377" t="s">
        <v>2942</v>
      </c>
      <c r="O2377" t="s">
        <v>1108</v>
      </c>
      <c r="P2377" t="s">
        <v>1109</v>
      </c>
      <c r="Q2377" t="s">
        <v>450</v>
      </c>
      <c r="R2377" s="458">
        <v>2069083</v>
      </c>
      <c r="S2377" t="s">
        <v>387</v>
      </c>
      <c r="U2377" t="s">
        <v>3064</v>
      </c>
      <c r="V2377" t="s">
        <v>398</v>
      </c>
      <c r="W2377" s="393">
        <v>30000</v>
      </c>
      <c r="X2377" s="393">
        <v>7.57</v>
      </c>
      <c r="Y2377" s="393">
        <v>67.5</v>
      </c>
      <c r="Z2377" s="393">
        <v>30000</v>
      </c>
      <c r="AA2377">
        <v>0</v>
      </c>
      <c r="AB2377" s="400">
        <v>44622.872219791665</v>
      </c>
      <c r="AC2377" t="str">
        <f>+VLOOKUP(R2377,DRAFT!A:Q,17,0)</f>
        <v>SUPPORT</v>
      </c>
    </row>
    <row r="2378" spans="1:29">
      <c r="A2378" t="s">
        <v>382</v>
      </c>
      <c r="B2378" t="s">
        <v>440</v>
      </c>
      <c r="C2378" t="s">
        <v>1362</v>
      </c>
      <c r="D2378" t="s">
        <v>1421</v>
      </c>
      <c r="E2378" t="s">
        <v>390</v>
      </c>
      <c r="F2378" t="s">
        <v>391</v>
      </c>
      <c r="G2378">
        <v>6200267</v>
      </c>
      <c r="H2378">
        <v>202202</v>
      </c>
      <c r="I2378" s="400">
        <v>44610</v>
      </c>
      <c r="J2378" t="s">
        <v>452</v>
      </c>
      <c r="K2378" t="s">
        <v>386</v>
      </c>
      <c r="L2378" t="s">
        <v>2941</v>
      </c>
      <c r="M2378" t="s">
        <v>2942</v>
      </c>
      <c r="O2378" t="s">
        <v>628</v>
      </c>
      <c r="P2378" t="s">
        <v>629</v>
      </c>
      <c r="Q2378" t="s">
        <v>450</v>
      </c>
      <c r="R2378" s="458">
        <v>2069083</v>
      </c>
      <c r="S2378" t="s">
        <v>387</v>
      </c>
      <c r="U2378" t="s">
        <v>3065</v>
      </c>
      <c r="V2378" t="s">
        <v>398</v>
      </c>
      <c r="W2378" s="393">
        <v>22900</v>
      </c>
      <c r="X2378" s="393">
        <v>5.78</v>
      </c>
      <c r="Y2378" s="393">
        <v>51.52</v>
      </c>
      <c r="Z2378" s="393">
        <v>22900</v>
      </c>
      <c r="AA2378">
        <v>0</v>
      </c>
      <c r="AB2378" s="400">
        <v>44622.872219791665</v>
      </c>
      <c r="AC2378" t="str">
        <f>+VLOOKUP(R2378,DRAFT!A:Q,17,0)</f>
        <v>SUPPORT</v>
      </c>
    </row>
    <row r="2379" spans="1:29">
      <c r="A2379" t="s">
        <v>382</v>
      </c>
      <c r="B2379" t="s">
        <v>440</v>
      </c>
      <c r="C2379" t="s">
        <v>1362</v>
      </c>
      <c r="D2379" t="s">
        <v>1421</v>
      </c>
      <c r="E2379" t="s">
        <v>390</v>
      </c>
      <c r="F2379" t="s">
        <v>391</v>
      </c>
      <c r="G2379">
        <v>6200267</v>
      </c>
      <c r="H2379">
        <v>202202</v>
      </c>
      <c r="I2379" s="400">
        <v>44610</v>
      </c>
      <c r="J2379" t="s">
        <v>452</v>
      </c>
      <c r="K2379" t="s">
        <v>386</v>
      </c>
      <c r="L2379" t="s">
        <v>2941</v>
      </c>
      <c r="M2379" t="s">
        <v>2942</v>
      </c>
      <c r="O2379" t="s">
        <v>1108</v>
      </c>
      <c r="P2379" t="s">
        <v>1109</v>
      </c>
      <c r="Q2379" t="s">
        <v>450</v>
      </c>
      <c r="R2379" s="458">
        <v>2069083</v>
      </c>
      <c r="S2379" t="s">
        <v>387</v>
      </c>
      <c r="U2379" t="s">
        <v>3066</v>
      </c>
      <c r="V2379" t="s">
        <v>398</v>
      </c>
      <c r="W2379" s="393">
        <v>30000</v>
      </c>
      <c r="X2379" s="393">
        <v>7.57</v>
      </c>
      <c r="Y2379" s="393">
        <v>67.5</v>
      </c>
      <c r="Z2379" s="393">
        <v>30000</v>
      </c>
      <c r="AA2379">
        <v>0</v>
      </c>
      <c r="AB2379" s="400">
        <v>44622.872219791665</v>
      </c>
      <c r="AC2379" t="str">
        <f>+VLOOKUP(R2379,DRAFT!A:Q,17,0)</f>
        <v>SUPPORT</v>
      </c>
    </row>
    <row r="2380" spans="1:29">
      <c r="A2380" t="s">
        <v>382</v>
      </c>
      <c r="B2380" t="s">
        <v>440</v>
      </c>
      <c r="C2380" t="s">
        <v>1362</v>
      </c>
      <c r="D2380" t="s">
        <v>1421</v>
      </c>
      <c r="E2380" t="s">
        <v>390</v>
      </c>
      <c r="F2380" t="s">
        <v>391</v>
      </c>
      <c r="G2380">
        <v>6200267</v>
      </c>
      <c r="H2380">
        <v>202202</v>
      </c>
      <c r="I2380" s="400">
        <v>44610</v>
      </c>
      <c r="J2380" t="s">
        <v>452</v>
      </c>
      <c r="K2380" t="s">
        <v>386</v>
      </c>
      <c r="L2380" t="s">
        <v>2941</v>
      </c>
      <c r="M2380" t="s">
        <v>2942</v>
      </c>
      <c r="O2380" t="s">
        <v>1108</v>
      </c>
      <c r="P2380" t="s">
        <v>1109</v>
      </c>
      <c r="Q2380" t="s">
        <v>450</v>
      </c>
      <c r="R2380" s="458">
        <v>2069083</v>
      </c>
      <c r="S2380" t="s">
        <v>387</v>
      </c>
      <c r="U2380" t="s">
        <v>3067</v>
      </c>
      <c r="V2380" t="s">
        <v>398</v>
      </c>
      <c r="W2380" s="393">
        <v>30000</v>
      </c>
      <c r="X2380" s="393">
        <v>7.57</v>
      </c>
      <c r="Y2380" s="393">
        <v>67.5</v>
      </c>
      <c r="Z2380" s="393">
        <v>30000</v>
      </c>
      <c r="AA2380">
        <v>0</v>
      </c>
      <c r="AB2380" s="400">
        <v>44622.872219791665</v>
      </c>
      <c r="AC2380" t="str">
        <f>+VLOOKUP(R2380,DRAFT!A:Q,17,0)</f>
        <v>SUPPORT</v>
      </c>
    </row>
    <row r="2381" spans="1:29">
      <c r="A2381" t="s">
        <v>382</v>
      </c>
      <c r="B2381" t="s">
        <v>440</v>
      </c>
      <c r="C2381" t="s">
        <v>1362</v>
      </c>
      <c r="D2381" t="s">
        <v>1421</v>
      </c>
      <c r="E2381" t="s">
        <v>390</v>
      </c>
      <c r="F2381" t="s">
        <v>391</v>
      </c>
      <c r="G2381">
        <v>6200267</v>
      </c>
      <c r="H2381">
        <v>202202</v>
      </c>
      <c r="I2381" s="400">
        <v>44610</v>
      </c>
      <c r="J2381" t="s">
        <v>452</v>
      </c>
      <c r="K2381" t="s">
        <v>386</v>
      </c>
      <c r="L2381" t="s">
        <v>2941</v>
      </c>
      <c r="M2381" t="s">
        <v>2942</v>
      </c>
      <c r="O2381" t="s">
        <v>3068</v>
      </c>
      <c r="P2381" t="s">
        <v>3069</v>
      </c>
      <c r="Q2381" t="s">
        <v>450</v>
      </c>
      <c r="R2381" s="458">
        <v>2069083</v>
      </c>
      <c r="S2381" t="s">
        <v>387</v>
      </c>
      <c r="U2381" t="s">
        <v>3070</v>
      </c>
      <c r="V2381" t="s">
        <v>398</v>
      </c>
      <c r="W2381" s="393">
        <v>30000</v>
      </c>
      <c r="X2381" s="393">
        <v>7.57</v>
      </c>
      <c r="Y2381" s="393">
        <v>67.5</v>
      </c>
      <c r="Z2381" s="393">
        <v>30000</v>
      </c>
      <c r="AA2381">
        <v>0</v>
      </c>
      <c r="AB2381" s="400">
        <v>44622.872219791665</v>
      </c>
      <c r="AC2381" t="str">
        <f>+VLOOKUP(R2381,DRAFT!A:Q,17,0)</f>
        <v>SUPPORT</v>
      </c>
    </row>
    <row r="2382" spans="1:29">
      <c r="A2382" t="s">
        <v>382</v>
      </c>
      <c r="B2382" t="s">
        <v>440</v>
      </c>
      <c r="C2382" t="s">
        <v>1362</v>
      </c>
      <c r="D2382" t="s">
        <v>1421</v>
      </c>
      <c r="E2382" t="s">
        <v>390</v>
      </c>
      <c r="F2382" t="s">
        <v>391</v>
      </c>
      <c r="G2382">
        <v>6200267</v>
      </c>
      <c r="H2382">
        <v>202202</v>
      </c>
      <c r="I2382" s="400">
        <v>44610</v>
      </c>
      <c r="J2382" t="s">
        <v>452</v>
      </c>
      <c r="K2382" t="s">
        <v>386</v>
      </c>
      <c r="L2382" t="s">
        <v>2941</v>
      </c>
      <c r="M2382" t="s">
        <v>2942</v>
      </c>
      <c r="O2382" t="s">
        <v>3071</v>
      </c>
      <c r="P2382" t="s">
        <v>3072</v>
      </c>
      <c r="Q2382" t="s">
        <v>450</v>
      </c>
      <c r="R2382" s="458">
        <v>2069083</v>
      </c>
      <c r="S2382" t="s">
        <v>387</v>
      </c>
      <c r="U2382" t="s">
        <v>3073</v>
      </c>
      <c r="V2382" t="s">
        <v>398</v>
      </c>
      <c r="W2382" s="393">
        <v>25000</v>
      </c>
      <c r="X2382" s="393">
        <v>6.31</v>
      </c>
      <c r="Y2382" s="393">
        <v>56.25</v>
      </c>
      <c r="Z2382" s="393">
        <v>25000</v>
      </c>
      <c r="AA2382">
        <v>0</v>
      </c>
      <c r="AB2382" s="400">
        <v>44622.872219791665</v>
      </c>
      <c r="AC2382" t="str">
        <f>+VLOOKUP(R2382,DRAFT!A:Q,17,0)</f>
        <v>SUPPORT</v>
      </c>
    </row>
    <row r="2383" spans="1:29">
      <c r="A2383" t="s">
        <v>382</v>
      </c>
      <c r="B2383" t="s">
        <v>440</v>
      </c>
      <c r="C2383" t="s">
        <v>1362</v>
      </c>
      <c r="D2383" t="s">
        <v>1421</v>
      </c>
      <c r="E2383" t="s">
        <v>390</v>
      </c>
      <c r="F2383" t="s">
        <v>391</v>
      </c>
      <c r="G2383">
        <v>6200267</v>
      </c>
      <c r="H2383">
        <v>202202</v>
      </c>
      <c r="I2383" s="400">
        <v>44610</v>
      </c>
      <c r="J2383" t="s">
        <v>452</v>
      </c>
      <c r="K2383" t="s">
        <v>386</v>
      </c>
      <c r="L2383" t="s">
        <v>2941</v>
      </c>
      <c r="M2383" t="s">
        <v>2942</v>
      </c>
      <c r="O2383" t="s">
        <v>3074</v>
      </c>
      <c r="P2383" t="s">
        <v>3075</v>
      </c>
      <c r="Q2383" t="s">
        <v>450</v>
      </c>
      <c r="R2383" s="458">
        <v>2069083</v>
      </c>
      <c r="S2383" t="s">
        <v>387</v>
      </c>
      <c r="U2383" t="s">
        <v>3076</v>
      </c>
      <c r="V2383" t="s">
        <v>398</v>
      </c>
      <c r="W2383" s="393">
        <v>30000</v>
      </c>
      <c r="X2383" s="393">
        <v>7.57</v>
      </c>
      <c r="Y2383" s="393">
        <v>67.5</v>
      </c>
      <c r="Z2383" s="393">
        <v>30000</v>
      </c>
      <c r="AA2383">
        <v>0</v>
      </c>
      <c r="AB2383" s="400">
        <v>44622.872219791665</v>
      </c>
      <c r="AC2383" t="str">
        <f>+VLOOKUP(R2383,DRAFT!A:Q,17,0)</f>
        <v>SUPPORT</v>
      </c>
    </row>
    <row r="2384" spans="1:29">
      <c r="A2384" t="s">
        <v>382</v>
      </c>
      <c r="B2384" t="s">
        <v>440</v>
      </c>
      <c r="C2384" t="s">
        <v>1362</v>
      </c>
      <c r="D2384" t="s">
        <v>1421</v>
      </c>
      <c r="E2384" t="s">
        <v>390</v>
      </c>
      <c r="F2384" t="s">
        <v>391</v>
      </c>
      <c r="G2384">
        <v>6200267</v>
      </c>
      <c r="H2384">
        <v>202202</v>
      </c>
      <c r="I2384" s="400">
        <v>44610</v>
      </c>
      <c r="J2384" t="s">
        <v>452</v>
      </c>
      <c r="K2384" t="s">
        <v>386</v>
      </c>
      <c r="L2384" t="s">
        <v>2941</v>
      </c>
      <c r="M2384" t="s">
        <v>2942</v>
      </c>
      <c r="O2384" t="s">
        <v>3077</v>
      </c>
      <c r="P2384" t="s">
        <v>3078</v>
      </c>
      <c r="Q2384" t="s">
        <v>450</v>
      </c>
      <c r="R2384" s="458">
        <v>2069083</v>
      </c>
      <c r="S2384" t="s">
        <v>387</v>
      </c>
      <c r="U2384" t="s">
        <v>3079</v>
      </c>
      <c r="V2384" t="s">
        <v>398</v>
      </c>
      <c r="W2384" s="393">
        <v>30000</v>
      </c>
      <c r="X2384" s="393">
        <v>7.57</v>
      </c>
      <c r="Y2384" s="393">
        <v>67.5</v>
      </c>
      <c r="Z2384" s="393">
        <v>30000</v>
      </c>
      <c r="AA2384">
        <v>0</v>
      </c>
      <c r="AB2384" s="400">
        <v>44622.872219791665</v>
      </c>
      <c r="AC2384" t="str">
        <f>+VLOOKUP(R2384,DRAFT!A:Q,17,0)</f>
        <v>SUPPORT</v>
      </c>
    </row>
    <row r="2385" spans="1:29">
      <c r="A2385" t="s">
        <v>382</v>
      </c>
      <c r="B2385" t="s">
        <v>440</v>
      </c>
      <c r="C2385" t="s">
        <v>1362</v>
      </c>
      <c r="D2385" t="s">
        <v>1421</v>
      </c>
      <c r="E2385" t="s">
        <v>390</v>
      </c>
      <c r="F2385" t="s">
        <v>391</v>
      </c>
      <c r="G2385">
        <v>6200267</v>
      </c>
      <c r="H2385">
        <v>202202</v>
      </c>
      <c r="I2385" s="400">
        <v>44610</v>
      </c>
      <c r="J2385" t="s">
        <v>452</v>
      </c>
      <c r="K2385" t="s">
        <v>386</v>
      </c>
      <c r="L2385" t="s">
        <v>2941</v>
      </c>
      <c r="M2385" t="s">
        <v>2942</v>
      </c>
      <c r="O2385" t="s">
        <v>843</v>
      </c>
      <c r="P2385" t="s">
        <v>844</v>
      </c>
      <c r="Q2385" t="s">
        <v>450</v>
      </c>
      <c r="R2385" s="458">
        <v>2069083</v>
      </c>
      <c r="S2385" t="s">
        <v>387</v>
      </c>
      <c r="U2385" t="s">
        <v>3080</v>
      </c>
      <c r="V2385" t="s">
        <v>398</v>
      </c>
      <c r="W2385" s="393">
        <v>30000</v>
      </c>
      <c r="X2385" s="393">
        <v>7.57</v>
      </c>
      <c r="Y2385" s="393">
        <v>67.5</v>
      </c>
      <c r="Z2385" s="393">
        <v>30000</v>
      </c>
      <c r="AA2385">
        <v>0</v>
      </c>
      <c r="AB2385" s="400">
        <v>44622.872219791665</v>
      </c>
      <c r="AC2385" t="str">
        <f>+VLOOKUP(R2385,DRAFT!A:Q,17,0)</f>
        <v>SUPPORT</v>
      </c>
    </row>
    <row r="2386" spans="1:29">
      <c r="A2386" t="s">
        <v>382</v>
      </c>
      <c r="B2386" t="s">
        <v>440</v>
      </c>
      <c r="C2386" t="s">
        <v>1362</v>
      </c>
      <c r="D2386" t="s">
        <v>1421</v>
      </c>
      <c r="E2386" t="s">
        <v>390</v>
      </c>
      <c r="F2386" t="s">
        <v>391</v>
      </c>
      <c r="G2386">
        <v>6200267</v>
      </c>
      <c r="H2386">
        <v>202202</v>
      </c>
      <c r="I2386" s="400">
        <v>44610</v>
      </c>
      <c r="J2386" t="s">
        <v>452</v>
      </c>
      <c r="K2386" t="s">
        <v>386</v>
      </c>
      <c r="L2386" t="s">
        <v>2941</v>
      </c>
      <c r="M2386" t="s">
        <v>2942</v>
      </c>
      <c r="O2386" t="s">
        <v>3081</v>
      </c>
      <c r="P2386" t="s">
        <v>3082</v>
      </c>
      <c r="Q2386" t="s">
        <v>450</v>
      </c>
      <c r="R2386" s="458">
        <v>2069083</v>
      </c>
      <c r="S2386" t="s">
        <v>387</v>
      </c>
      <c r="U2386" t="s">
        <v>3083</v>
      </c>
      <c r="V2386" t="s">
        <v>398</v>
      </c>
      <c r="W2386" s="393">
        <v>29100</v>
      </c>
      <c r="X2386" s="393">
        <v>7.34</v>
      </c>
      <c r="Y2386" s="393">
        <v>65.47</v>
      </c>
      <c r="Z2386" s="393">
        <v>29100</v>
      </c>
      <c r="AA2386">
        <v>0</v>
      </c>
      <c r="AB2386" s="400">
        <v>44622.872219791665</v>
      </c>
      <c r="AC2386" t="str">
        <f>+VLOOKUP(R2386,DRAFT!A:Q,17,0)</f>
        <v>SUPPORT</v>
      </c>
    </row>
    <row r="2387" spans="1:29">
      <c r="A2387" t="s">
        <v>382</v>
      </c>
      <c r="B2387" t="s">
        <v>440</v>
      </c>
      <c r="C2387" t="s">
        <v>1362</v>
      </c>
      <c r="D2387" t="s">
        <v>1421</v>
      </c>
      <c r="E2387" t="s">
        <v>390</v>
      </c>
      <c r="F2387" t="s">
        <v>391</v>
      </c>
      <c r="G2387">
        <v>6200267</v>
      </c>
      <c r="H2387">
        <v>202202</v>
      </c>
      <c r="I2387" s="400">
        <v>44610</v>
      </c>
      <c r="J2387" t="s">
        <v>452</v>
      </c>
      <c r="K2387" t="s">
        <v>386</v>
      </c>
      <c r="L2387" t="s">
        <v>2941</v>
      </c>
      <c r="M2387" t="s">
        <v>2942</v>
      </c>
      <c r="O2387" t="s">
        <v>843</v>
      </c>
      <c r="P2387" t="s">
        <v>844</v>
      </c>
      <c r="Q2387" t="s">
        <v>450</v>
      </c>
      <c r="R2387" s="458">
        <v>2069083</v>
      </c>
      <c r="S2387" t="s">
        <v>387</v>
      </c>
      <c r="U2387" t="s">
        <v>3084</v>
      </c>
      <c r="V2387" t="s">
        <v>398</v>
      </c>
      <c r="W2387" s="393">
        <v>30000</v>
      </c>
      <c r="X2387" s="393">
        <v>7.57</v>
      </c>
      <c r="Y2387" s="393">
        <v>67.5</v>
      </c>
      <c r="Z2387" s="393">
        <v>30000</v>
      </c>
      <c r="AA2387">
        <v>0</v>
      </c>
      <c r="AB2387" s="400">
        <v>44622.872219791665</v>
      </c>
      <c r="AC2387" t="str">
        <f>+VLOOKUP(R2387,DRAFT!A:Q,17,0)</f>
        <v>SUPPORT</v>
      </c>
    </row>
    <row r="2388" spans="1:29">
      <c r="A2388" t="s">
        <v>382</v>
      </c>
      <c r="B2388" t="s">
        <v>440</v>
      </c>
      <c r="C2388" t="s">
        <v>1362</v>
      </c>
      <c r="D2388" t="s">
        <v>1421</v>
      </c>
      <c r="E2388" t="s">
        <v>390</v>
      </c>
      <c r="F2388" t="s">
        <v>391</v>
      </c>
      <c r="G2388">
        <v>6200267</v>
      </c>
      <c r="H2388">
        <v>202202</v>
      </c>
      <c r="I2388" s="400">
        <v>44610</v>
      </c>
      <c r="J2388" t="s">
        <v>452</v>
      </c>
      <c r="K2388" t="s">
        <v>386</v>
      </c>
      <c r="L2388" t="s">
        <v>2941</v>
      </c>
      <c r="M2388" t="s">
        <v>2942</v>
      </c>
      <c r="O2388" t="s">
        <v>3085</v>
      </c>
      <c r="P2388" t="s">
        <v>3086</v>
      </c>
      <c r="Q2388" t="s">
        <v>450</v>
      </c>
      <c r="R2388" s="458">
        <v>2069083</v>
      </c>
      <c r="S2388" t="s">
        <v>387</v>
      </c>
      <c r="U2388" t="s">
        <v>3087</v>
      </c>
      <c r="V2388" t="s">
        <v>398</v>
      </c>
      <c r="W2388" s="393">
        <v>30000</v>
      </c>
      <c r="X2388" s="393">
        <v>7.57</v>
      </c>
      <c r="Y2388" s="393">
        <v>67.5</v>
      </c>
      <c r="Z2388" s="393">
        <v>30000</v>
      </c>
      <c r="AA2388">
        <v>0</v>
      </c>
      <c r="AB2388" s="400">
        <v>44622.872219791665</v>
      </c>
      <c r="AC2388" t="str">
        <f>+VLOOKUP(R2388,DRAFT!A:Q,17,0)</f>
        <v>SUPPORT</v>
      </c>
    </row>
    <row r="2389" spans="1:29">
      <c r="A2389" t="s">
        <v>382</v>
      </c>
      <c r="B2389" t="s">
        <v>440</v>
      </c>
      <c r="C2389" t="s">
        <v>1362</v>
      </c>
      <c r="D2389" t="s">
        <v>1421</v>
      </c>
      <c r="E2389" t="s">
        <v>390</v>
      </c>
      <c r="F2389" t="s">
        <v>391</v>
      </c>
      <c r="G2389">
        <v>6200267</v>
      </c>
      <c r="H2389">
        <v>202202</v>
      </c>
      <c r="I2389" s="400">
        <v>44610</v>
      </c>
      <c r="J2389" t="s">
        <v>452</v>
      </c>
      <c r="K2389" t="s">
        <v>386</v>
      </c>
      <c r="L2389" t="s">
        <v>2941</v>
      </c>
      <c r="M2389" t="s">
        <v>2942</v>
      </c>
      <c r="O2389" t="s">
        <v>1104</v>
      </c>
      <c r="P2389" t="s">
        <v>1105</v>
      </c>
      <c r="Q2389" t="s">
        <v>450</v>
      </c>
      <c r="R2389" s="458">
        <v>2069083</v>
      </c>
      <c r="S2389" t="s">
        <v>387</v>
      </c>
      <c r="U2389" t="s">
        <v>3088</v>
      </c>
      <c r="V2389" t="s">
        <v>398</v>
      </c>
      <c r="W2389" s="393">
        <v>30000</v>
      </c>
      <c r="X2389" s="393">
        <v>7.57</v>
      </c>
      <c r="Y2389" s="393">
        <v>67.5</v>
      </c>
      <c r="Z2389" s="393">
        <v>30000</v>
      </c>
      <c r="AA2389">
        <v>0</v>
      </c>
      <c r="AB2389" s="400">
        <v>44622.872219988429</v>
      </c>
      <c r="AC2389" t="str">
        <f>+VLOOKUP(R2389,DRAFT!A:Q,17,0)</f>
        <v>SUPPORT</v>
      </c>
    </row>
    <row r="2390" spans="1:29">
      <c r="A2390" t="s">
        <v>382</v>
      </c>
      <c r="B2390" t="s">
        <v>440</v>
      </c>
      <c r="C2390" t="s">
        <v>1362</v>
      </c>
      <c r="D2390" t="s">
        <v>1421</v>
      </c>
      <c r="E2390" t="s">
        <v>390</v>
      </c>
      <c r="F2390" t="s">
        <v>391</v>
      </c>
      <c r="G2390">
        <v>6200267</v>
      </c>
      <c r="H2390">
        <v>202202</v>
      </c>
      <c r="I2390" s="400">
        <v>44610</v>
      </c>
      <c r="J2390" t="s">
        <v>452</v>
      </c>
      <c r="K2390" t="s">
        <v>386</v>
      </c>
      <c r="L2390" t="s">
        <v>2941</v>
      </c>
      <c r="M2390" t="s">
        <v>2942</v>
      </c>
      <c r="O2390" t="s">
        <v>642</v>
      </c>
      <c r="P2390" t="s">
        <v>643</v>
      </c>
      <c r="Q2390" t="s">
        <v>450</v>
      </c>
      <c r="R2390" s="458">
        <v>2069083</v>
      </c>
      <c r="S2390" t="s">
        <v>387</v>
      </c>
      <c r="U2390" t="s">
        <v>3089</v>
      </c>
      <c r="V2390" t="s">
        <v>398</v>
      </c>
      <c r="W2390" s="393">
        <v>150000</v>
      </c>
      <c r="X2390" s="393">
        <v>37.840000000000003</v>
      </c>
      <c r="Y2390" s="393">
        <v>337.49</v>
      </c>
      <c r="Z2390" s="393">
        <v>150000</v>
      </c>
      <c r="AA2390">
        <v>0</v>
      </c>
      <c r="AB2390" s="400">
        <v>44622.872219988429</v>
      </c>
      <c r="AC2390" t="str">
        <f>+VLOOKUP(R2390,DRAFT!A:Q,17,0)</f>
        <v>SUPPORT</v>
      </c>
    </row>
    <row r="2391" spans="1:29">
      <c r="A2391" t="s">
        <v>382</v>
      </c>
      <c r="B2391" t="s">
        <v>440</v>
      </c>
      <c r="C2391" t="s">
        <v>1362</v>
      </c>
      <c r="D2391" t="s">
        <v>1421</v>
      </c>
      <c r="E2391" t="s">
        <v>390</v>
      </c>
      <c r="F2391" t="s">
        <v>391</v>
      </c>
      <c r="G2391">
        <v>6200427</v>
      </c>
      <c r="H2391">
        <v>202202</v>
      </c>
      <c r="I2391" s="400">
        <v>44620</v>
      </c>
      <c r="J2391" t="s">
        <v>452</v>
      </c>
      <c r="K2391" t="s">
        <v>386</v>
      </c>
      <c r="L2391" t="s">
        <v>1392</v>
      </c>
      <c r="M2391" t="s">
        <v>1393</v>
      </c>
      <c r="O2391" t="s">
        <v>2067</v>
      </c>
      <c r="P2391" t="s">
        <v>2068</v>
      </c>
      <c r="Q2391" t="s">
        <v>450</v>
      </c>
      <c r="R2391" s="458">
        <v>2069083</v>
      </c>
      <c r="S2391" t="s">
        <v>3090</v>
      </c>
      <c r="T2391" t="s">
        <v>3090</v>
      </c>
      <c r="U2391" t="s">
        <v>3091</v>
      </c>
      <c r="V2391" t="s">
        <v>398</v>
      </c>
      <c r="W2391" s="393">
        <v>12000</v>
      </c>
      <c r="X2391" s="393">
        <v>3.07</v>
      </c>
      <c r="Y2391" s="393">
        <v>27.39</v>
      </c>
      <c r="Z2391" s="393">
        <v>12000</v>
      </c>
      <c r="AA2391">
        <v>0</v>
      </c>
      <c r="AB2391" s="400">
        <v>44627.628553437498</v>
      </c>
      <c r="AC2391" t="str">
        <f>+VLOOKUP(R2391,DRAFT!A:Q,17,0)</f>
        <v>SUPPORT</v>
      </c>
    </row>
    <row r="2392" spans="1:29">
      <c r="A2392" t="s">
        <v>382</v>
      </c>
      <c r="B2392" t="s">
        <v>440</v>
      </c>
      <c r="C2392" t="s">
        <v>1362</v>
      </c>
      <c r="D2392" t="s">
        <v>1421</v>
      </c>
      <c r="E2392" t="s">
        <v>390</v>
      </c>
      <c r="F2392" t="s">
        <v>391</v>
      </c>
      <c r="G2392">
        <v>6200427</v>
      </c>
      <c r="H2392">
        <v>202202</v>
      </c>
      <c r="I2392" s="400">
        <v>44620</v>
      </c>
      <c r="J2392" t="s">
        <v>452</v>
      </c>
      <c r="K2392" t="s">
        <v>386</v>
      </c>
      <c r="L2392" t="s">
        <v>1392</v>
      </c>
      <c r="M2392" t="s">
        <v>1393</v>
      </c>
      <c r="O2392" t="s">
        <v>906</v>
      </c>
      <c r="P2392" t="s">
        <v>907</v>
      </c>
      <c r="Q2392" t="s">
        <v>450</v>
      </c>
      <c r="R2392" s="458">
        <v>2069083</v>
      </c>
      <c r="S2392" t="s">
        <v>3092</v>
      </c>
      <c r="T2392" t="s">
        <v>3092</v>
      </c>
      <c r="U2392" t="s">
        <v>3093</v>
      </c>
      <c r="V2392" t="s">
        <v>398</v>
      </c>
      <c r="W2392" s="393">
        <v>13889</v>
      </c>
      <c r="X2392" s="393">
        <v>3.55</v>
      </c>
      <c r="Y2392" s="393">
        <v>31.71</v>
      </c>
      <c r="Z2392" s="393">
        <v>13889</v>
      </c>
      <c r="AA2392">
        <v>0</v>
      </c>
      <c r="AB2392" s="400">
        <v>44627.628553437498</v>
      </c>
      <c r="AC2392" t="str">
        <f>+VLOOKUP(R2392,DRAFT!A:Q,17,0)</f>
        <v>SUPPORT</v>
      </c>
    </row>
    <row r="2393" spans="1:29">
      <c r="A2393" t="s">
        <v>382</v>
      </c>
      <c r="B2393" t="s">
        <v>440</v>
      </c>
      <c r="C2393" t="s">
        <v>1362</v>
      </c>
      <c r="D2393" t="s">
        <v>1421</v>
      </c>
      <c r="E2393" t="s">
        <v>390</v>
      </c>
      <c r="F2393" t="s">
        <v>391</v>
      </c>
      <c r="G2393">
        <v>6200272</v>
      </c>
      <c r="H2393">
        <v>202202</v>
      </c>
      <c r="I2393" s="400">
        <v>44610</v>
      </c>
      <c r="J2393" t="s">
        <v>452</v>
      </c>
      <c r="K2393" t="s">
        <v>386</v>
      </c>
      <c r="L2393" t="s">
        <v>1191</v>
      </c>
      <c r="M2393" t="s">
        <v>1192</v>
      </c>
      <c r="O2393" t="s">
        <v>906</v>
      </c>
      <c r="P2393" t="s">
        <v>907</v>
      </c>
      <c r="Q2393" t="s">
        <v>450</v>
      </c>
      <c r="R2393" s="458">
        <v>2069083</v>
      </c>
      <c r="S2393" t="s">
        <v>387</v>
      </c>
      <c r="U2393" t="s">
        <v>2984</v>
      </c>
      <c r="V2393" t="s">
        <v>398</v>
      </c>
      <c r="W2393" s="393">
        <v>28704</v>
      </c>
      <c r="X2393" s="393">
        <v>7.24</v>
      </c>
      <c r="Y2393" s="393">
        <v>64.58</v>
      </c>
      <c r="Z2393" s="393">
        <v>28704</v>
      </c>
      <c r="AA2393">
        <v>212</v>
      </c>
      <c r="AB2393" s="400">
        <v>44622.95213769676</v>
      </c>
      <c r="AC2393" t="str">
        <f>+VLOOKUP(R2393,DRAFT!A:Q,17,0)</f>
        <v>SUPPORT</v>
      </c>
    </row>
    <row r="2394" spans="1:29">
      <c r="A2394" t="s">
        <v>382</v>
      </c>
      <c r="B2394" t="s">
        <v>440</v>
      </c>
      <c r="C2394" t="s">
        <v>1362</v>
      </c>
      <c r="D2394" t="s">
        <v>1421</v>
      </c>
      <c r="E2394" t="s">
        <v>390</v>
      </c>
      <c r="F2394" t="s">
        <v>391</v>
      </c>
      <c r="G2394">
        <v>6200272</v>
      </c>
      <c r="H2394">
        <v>202202</v>
      </c>
      <c r="I2394" s="400">
        <v>44610</v>
      </c>
      <c r="J2394" t="s">
        <v>452</v>
      </c>
      <c r="K2394" t="s">
        <v>386</v>
      </c>
      <c r="L2394" t="s">
        <v>1191</v>
      </c>
      <c r="M2394" t="s">
        <v>1192</v>
      </c>
      <c r="O2394" t="s">
        <v>3094</v>
      </c>
      <c r="P2394" t="s">
        <v>3095</v>
      </c>
      <c r="Q2394" t="s">
        <v>450</v>
      </c>
      <c r="R2394" s="458">
        <v>2069083</v>
      </c>
      <c r="S2394" t="s">
        <v>387</v>
      </c>
      <c r="U2394" t="s">
        <v>3096</v>
      </c>
      <c r="V2394" t="s">
        <v>398</v>
      </c>
      <c r="W2394" s="393">
        <v>36000</v>
      </c>
      <c r="X2394" s="393">
        <v>9.08</v>
      </c>
      <c r="Y2394" s="393">
        <v>81</v>
      </c>
      <c r="Z2394" s="393">
        <v>36000</v>
      </c>
      <c r="AA2394">
        <v>0</v>
      </c>
      <c r="AB2394" s="400">
        <v>44622.95213769676</v>
      </c>
      <c r="AC2394" t="str">
        <f>+VLOOKUP(R2394,DRAFT!A:Q,17,0)</f>
        <v>SUPPORT</v>
      </c>
    </row>
    <row r="2395" spans="1:29">
      <c r="A2395" t="s">
        <v>382</v>
      </c>
      <c r="B2395" t="s">
        <v>440</v>
      </c>
      <c r="C2395" t="s">
        <v>1362</v>
      </c>
      <c r="D2395" t="s">
        <v>1421</v>
      </c>
      <c r="E2395" t="s">
        <v>390</v>
      </c>
      <c r="F2395" t="s">
        <v>391</v>
      </c>
      <c r="G2395">
        <v>6200615</v>
      </c>
      <c r="H2395">
        <v>202203</v>
      </c>
      <c r="I2395" s="400">
        <v>44634</v>
      </c>
      <c r="J2395" t="s">
        <v>452</v>
      </c>
      <c r="K2395" t="s">
        <v>386</v>
      </c>
      <c r="L2395">
        <v>122377</v>
      </c>
      <c r="M2395" t="s">
        <v>1228</v>
      </c>
      <c r="O2395" t="s">
        <v>794</v>
      </c>
      <c r="P2395" t="s">
        <v>795</v>
      </c>
      <c r="Q2395" t="s">
        <v>450</v>
      </c>
      <c r="R2395" s="458">
        <v>2069083</v>
      </c>
      <c r="S2395" t="s">
        <v>387</v>
      </c>
      <c r="U2395" t="s">
        <v>3097</v>
      </c>
      <c r="V2395" t="s">
        <v>398</v>
      </c>
      <c r="W2395" s="393">
        <v>17200</v>
      </c>
      <c r="X2395" s="393">
        <v>4.16</v>
      </c>
      <c r="Y2395" s="393">
        <v>40.94</v>
      </c>
      <c r="Z2395" s="393">
        <v>17200</v>
      </c>
      <c r="AA2395">
        <v>0</v>
      </c>
      <c r="AB2395" s="400">
        <v>44642.740014386574</v>
      </c>
      <c r="AC2395" t="str">
        <f>+VLOOKUP(R2395,DRAFT!A:Q,17,0)</f>
        <v>SUPPORT</v>
      </c>
    </row>
    <row r="2396" spans="1:29">
      <c r="A2396" t="s">
        <v>382</v>
      </c>
      <c r="B2396" t="s">
        <v>440</v>
      </c>
      <c r="C2396" t="s">
        <v>1362</v>
      </c>
      <c r="D2396" t="s">
        <v>1421</v>
      </c>
      <c r="E2396" t="s">
        <v>390</v>
      </c>
      <c r="F2396" t="s">
        <v>391</v>
      </c>
      <c r="G2396">
        <v>6200615</v>
      </c>
      <c r="H2396">
        <v>202203</v>
      </c>
      <c r="I2396" s="400">
        <v>44634</v>
      </c>
      <c r="J2396" t="s">
        <v>452</v>
      </c>
      <c r="K2396" t="s">
        <v>386</v>
      </c>
      <c r="L2396">
        <v>122377</v>
      </c>
      <c r="M2396" t="s">
        <v>1228</v>
      </c>
      <c r="O2396" t="s">
        <v>749</v>
      </c>
      <c r="P2396" t="s">
        <v>750</v>
      </c>
      <c r="Q2396" t="s">
        <v>450</v>
      </c>
      <c r="R2396" s="458">
        <v>2069083</v>
      </c>
      <c r="S2396" t="s">
        <v>387</v>
      </c>
      <c r="U2396" t="s">
        <v>2985</v>
      </c>
      <c r="V2396" t="s">
        <v>398</v>
      </c>
      <c r="W2396" s="393">
        <v>51852</v>
      </c>
      <c r="X2396" s="393">
        <v>12.54</v>
      </c>
      <c r="Y2396" s="393">
        <v>123.43</v>
      </c>
      <c r="Z2396" s="393">
        <v>51852</v>
      </c>
      <c r="AA2396">
        <v>212</v>
      </c>
      <c r="AB2396" s="400">
        <v>44642.740014583331</v>
      </c>
      <c r="AC2396" t="str">
        <f>+VLOOKUP(R2396,DRAFT!A:Q,17,0)</f>
        <v>SUPPORT</v>
      </c>
    </row>
    <row r="2397" spans="1:29">
      <c r="A2397" t="s">
        <v>382</v>
      </c>
      <c r="B2397" t="s">
        <v>440</v>
      </c>
      <c r="C2397" t="s">
        <v>1362</v>
      </c>
      <c r="D2397" t="s">
        <v>1421</v>
      </c>
      <c r="E2397" t="s">
        <v>390</v>
      </c>
      <c r="F2397" t="s">
        <v>391</v>
      </c>
      <c r="G2397">
        <v>6200615</v>
      </c>
      <c r="H2397">
        <v>202203</v>
      </c>
      <c r="I2397" s="400">
        <v>44634</v>
      </c>
      <c r="J2397" t="s">
        <v>452</v>
      </c>
      <c r="K2397" t="s">
        <v>386</v>
      </c>
      <c r="L2397">
        <v>122377</v>
      </c>
      <c r="M2397" t="s">
        <v>1228</v>
      </c>
      <c r="O2397" t="s">
        <v>794</v>
      </c>
      <c r="P2397" t="s">
        <v>795</v>
      </c>
      <c r="Q2397" t="s">
        <v>450</v>
      </c>
      <c r="R2397" s="458">
        <v>2069083</v>
      </c>
      <c r="S2397" t="s">
        <v>387</v>
      </c>
      <c r="U2397" t="s">
        <v>3098</v>
      </c>
      <c r="V2397" t="s">
        <v>398</v>
      </c>
      <c r="W2397" s="393">
        <v>11000</v>
      </c>
      <c r="X2397" s="393">
        <v>2.66</v>
      </c>
      <c r="Y2397" s="393">
        <v>26.18</v>
      </c>
      <c r="Z2397" s="393">
        <v>11000</v>
      </c>
      <c r="AA2397">
        <v>0</v>
      </c>
      <c r="AB2397" s="400">
        <v>44642.740014583331</v>
      </c>
      <c r="AC2397" t="str">
        <f>+VLOOKUP(R2397,DRAFT!A:Q,17,0)</f>
        <v>SUPPORT</v>
      </c>
    </row>
    <row r="2398" spans="1:29">
      <c r="A2398" t="s">
        <v>382</v>
      </c>
      <c r="B2398" t="s">
        <v>440</v>
      </c>
      <c r="C2398" t="s">
        <v>1362</v>
      </c>
      <c r="D2398" t="s">
        <v>1421</v>
      </c>
      <c r="E2398" t="s">
        <v>390</v>
      </c>
      <c r="F2398" t="s">
        <v>391</v>
      </c>
      <c r="G2398">
        <v>6200615</v>
      </c>
      <c r="H2398">
        <v>202203</v>
      </c>
      <c r="I2398" s="400">
        <v>44634</v>
      </c>
      <c r="J2398" t="s">
        <v>452</v>
      </c>
      <c r="K2398" t="s">
        <v>386</v>
      </c>
      <c r="L2398">
        <v>122377</v>
      </c>
      <c r="M2398" t="s">
        <v>1228</v>
      </c>
      <c r="O2398" t="s">
        <v>906</v>
      </c>
      <c r="P2398" t="s">
        <v>907</v>
      </c>
      <c r="Q2398" t="s">
        <v>450</v>
      </c>
      <c r="R2398" s="458">
        <v>2069083</v>
      </c>
      <c r="S2398" t="s">
        <v>387</v>
      </c>
      <c r="U2398" t="s">
        <v>2986</v>
      </c>
      <c r="V2398" t="s">
        <v>398</v>
      </c>
      <c r="W2398" s="393">
        <v>58333</v>
      </c>
      <c r="X2398" s="393">
        <v>14.11</v>
      </c>
      <c r="Y2398" s="393">
        <v>138.86000000000001</v>
      </c>
      <c r="Z2398" s="393">
        <v>58333</v>
      </c>
      <c r="AA2398">
        <v>212</v>
      </c>
      <c r="AB2398" s="400">
        <v>44642.740014583331</v>
      </c>
      <c r="AC2398" t="str">
        <f>+VLOOKUP(R2398,DRAFT!A:Q,17,0)</f>
        <v>SUPPORT</v>
      </c>
    </row>
    <row r="2399" spans="1:29">
      <c r="A2399" t="s">
        <v>382</v>
      </c>
      <c r="B2399" t="s">
        <v>440</v>
      </c>
      <c r="C2399" t="s">
        <v>1362</v>
      </c>
      <c r="D2399" t="s">
        <v>1421</v>
      </c>
      <c r="E2399" t="s">
        <v>390</v>
      </c>
      <c r="F2399" t="s">
        <v>391</v>
      </c>
      <c r="G2399">
        <v>6200615</v>
      </c>
      <c r="H2399">
        <v>202203</v>
      </c>
      <c r="I2399" s="400">
        <v>44634</v>
      </c>
      <c r="J2399" t="s">
        <v>452</v>
      </c>
      <c r="K2399" t="s">
        <v>386</v>
      </c>
      <c r="L2399">
        <v>122377</v>
      </c>
      <c r="M2399" t="s">
        <v>1228</v>
      </c>
      <c r="O2399" t="s">
        <v>2067</v>
      </c>
      <c r="P2399" t="s">
        <v>2068</v>
      </c>
      <c r="Q2399" t="s">
        <v>450</v>
      </c>
      <c r="R2399" s="458">
        <v>2069083</v>
      </c>
      <c r="S2399" t="s">
        <v>387</v>
      </c>
      <c r="U2399" t="s">
        <v>3099</v>
      </c>
      <c r="V2399" t="s">
        <v>398</v>
      </c>
      <c r="W2399" s="393">
        <v>24000</v>
      </c>
      <c r="X2399" s="393">
        <v>5.8</v>
      </c>
      <c r="Y2399" s="393">
        <v>57.13</v>
      </c>
      <c r="Z2399" s="393">
        <v>24000</v>
      </c>
      <c r="AA2399">
        <v>0</v>
      </c>
      <c r="AB2399" s="400">
        <v>44642.740014583331</v>
      </c>
      <c r="AC2399" t="str">
        <f>+VLOOKUP(R2399,DRAFT!A:Q,17,0)</f>
        <v>SUPPORT</v>
      </c>
    </row>
    <row r="2400" spans="1:29">
      <c r="A2400" t="s">
        <v>382</v>
      </c>
      <c r="B2400" t="s">
        <v>440</v>
      </c>
      <c r="C2400" t="s">
        <v>1362</v>
      </c>
      <c r="D2400" t="s">
        <v>1421</v>
      </c>
      <c r="E2400" t="s">
        <v>390</v>
      </c>
      <c r="F2400" t="s">
        <v>391</v>
      </c>
      <c r="G2400">
        <v>6200615</v>
      </c>
      <c r="H2400">
        <v>202203</v>
      </c>
      <c r="I2400" s="400">
        <v>44634</v>
      </c>
      <c r="J2400" t="s">
        <v>452</v>
      </c>
      <c r="K2400" t="s">
        <v>386</v>
      </c>
      <c r="L2400">
        <v>122377</v>
      </c>
      <c r="M2400" t="s">
        <v>1228</v>
      </c>
      <c r="O2400" t="s">
        <v>906</v>
      </c>
      <c r="P2400" t="s">
        <v>907</v>
      </c>
      <c r="Q2400" t="s">
        <v>450</v>
      </c>
      <c r="R2400" s="458">
        <v>2069083</v>
      </c>
      <c r="S2400" t="s">
        <v>387</v>
      </c>
      <c r="U2400" t="s">
        <v>2987</v>
      </c>
      <c r="V2400" t="s">
        <v>398</v>
      </c>
      <c r="W2400" s="393">
        <v>69444</v>
      </c>
      <c r="X2400" s="393">
        <v>16.8</v>
      </c>
      <c r="Y2400" s="393">
        <v>165.31</v>
      </c>
      <c r="Z2400" s="393">
        <v>69444</v>
      </c>
      <c r="AA2400">
        <v>212</v>
      </c>
      <c r="AB2400" s="400">
        <v>44642.740014733798</v>
      </c>
      <c r="AC2400" t="str">
        <f>+VLOOKUP(R2400,DRAFT!A:Q,17,0)</f>
        <v>SUPPORT</v>
      </c>
    </row>
    <row r="2401" spans="1:29">
      <c r="A2401" t="s">
        <v>382</v>
      </c>
      <c r="B2401" t="s">
        <v>440</v>
      </c>
      <c r="C2401" t="s">
        <v>1362</v>
      </c>
      <c r="D2401" t="s">
        <v>1421</v>
      </c>
      <c r="E2401" t="s">
        <v>390</v>
      </c>
      <c r="F2401" t="s">
        <v>391</v>
      </c>
      <c r="G2401">
        <v>6200595</v>
      </c>
      <c r="H2401">
        <v>202203</v>
      </c>
      <c r="I2401" s="400">
        <v>44634</v>
      </c>
      <c r="J2401" t="s">
        <v>452</v>
      </c>
      <c r="K2401" t="s">
        <v>386</v>
      </c>
      <c r="L2401" t="s">
        <v>1175</v>
      </c>
      <c r="M2401" t="s">
        <v>1176</v>
      </c>
      <c r="O2401" t="s">
        <v>3100</v>
      </c>
      <c r="P2401" t="s">
        <v>3101</v>
      </c>
      <c r="Q2401" t="s">
        <v>450</v>
      </c>
      <c r="R2401" s="458">
        <v>2069083</v>
      </c>
      <c r="S2401" t="s">
        <v>387</v>
      </c>
      <c r="U2401" t="s">
        <v>3102</v>
      </c>
      <c r="V2401" t="s">
        <v>398</v>
      </c>
      <c r="W2401" s="393">
        <v>7500</v>
      </c>
      <c r="X2401" s="393">
        <v>1.92</v>
      </c>
      <c r="Y2401" s="393">
        <v>17.12</v>
      </c>
      <c r="Z2401" s="393">
        <v>7500</v>
      </c>
      <c r="AA2401">
        <v>0</v>
      </c>
      <c r="AB2401" s="400">
        <v>44638.677760729166</v>
      </c>
      <c r="AC2401" t="str">
        <f>+VLOOKUP(R2401,DRAFT!A:Q,17,0)</f>
        <v>SUPPORT</v>
      </c>
    </row>
    <row r="2402" spans="1:29">
      <c r="A2402" t="s">
        <v>382</v>
      </c>
      <c r="B2402" t="s">
        <v>440</v>
      </c>
      <c r="C2402" t="s">
        <v>1362</v>
      </c>
      <c r="D2402" t="s">
        <v>1421</v>
      </c>
      <c r="E2402" t="s">
        <v>390</v>
      </c>
      <c r="F2402" t="s">
        <v>391</v>
      </c>
      <c r="G2402">
        <v>6200595</v>
      </c>
      <c r="H2402">
        <v>202203</v>
      </c>
      <c r="I2402" s="400">
        <v>44634</v>
      </c>
      <c r="J2402" t="s">
        <v>452</v>
      </c>
      <c r="K2402" t="s">
        <v>386</v>
      </c>
      <c r="L2402" t="s">
        <v>1175</v>
      </c>
      <c r="M2402" t="s">
        <v>1176</v>
      </c>
      <c r="O2402" t="s">
        <v>3103</v>
      </c>
      <c r="P2402" t="s">
        <v>3104</v>
      </c>
      <c r="Q2402" t="s">
        <v>450</v>
      </c>
      <c r="R2402" s="458">
        <v>2069083</v>
      </c>
      <c r="S2402" t="s">
        <v>387</v>
      </c>
      <c r="U2402" t="s">
        <v>3105</v>
      </c>
      <c r="V2402" t="s">
        <v>398</v>
      </c>
      <c r="W2402" s="393">
        <v>25700</v>
      </c>
      <c r="X2402" s="393">
        <v>6.57</v>
      </c>
      <c r="Y2402" s="393">
        <v>58.67</v>
      </c>
      <c r="Z2402" s="393">
        <v>25700</v>
      </c>
      <c r="AA2402">
        <v>0</v>
      </c>
      <c r="AB2402" s="400">
        <v>44638.67776056713</v>
      </c>
      <c r="AC2402" t="str">
        <f>+VLOOKUP(R2402,DRAFT!A:Q,17,0)</f>
        <v>SUPPORT</v>
      </c>
    </row>
    <row r="2403" spans="1:29">
      <c r="A2403" t="s">
        <v>382</v>
      </c>
      <c r="B2403" t="s">
        <v>1214</v>
      </c>
      <c r="C2403" t="s">
        <v>1362</v>
      </c>
      <c r="D2403" t="s">
        <v>1421</v>
      </c>
      <c r="E2403" t="s">
        <v>2565</v>
      </c>
      <c r="F2403" t="s">
        <v>2566</v>
      </c>
      <c r="G2403">
        <v>22200101</v>
      </c>
      <c r="H2403">
        <v>202203</v>
      </c>
      <c r="I2403" s="400">
        <v>44643</v>
      </c>
      <c r="J2403" t="s">
        <v>2567</v>
      </c>
      <c r="K2403" t="s">
        <v>386</v>
      </c>
      <c r="L2403" t="s">
        <v>2420</v>
      </c>
      <c r="M2403" t="s">
        <v>2421</v>
      </c>
      <c r="O2403" t="s">
        <v>3024</v>
      </c>
      <c r="P2403" t="s">
        <v>3025</v>
      </c>
      <c r="Q2403" t="s">
        <v>396</v>
      </c>
      <c r="R2403" s="458">
        <v>2265775</v>
      </c>
      <c r="S2403" t="s">
        <v>387</v>
      </c>
      <c r="U2403" t="s">
        <v>3126</v>
      </c>
      <c r="V2403" t="s">
        <v>398</v>
      </c>
      <c r="W2403" s="393">
        <v>14000</v>
      </c>
      <c r="X2403" s="393">
        <v>3.66</v>
      </c>
      <c r="Y2403" s="393">
        <v>32.56</v>
      </c>
      <c r="Z2403" s="393">
        <v>14000</v>
      </c>
      <c r="AA2403">
        <v>0</v>
      </c>
      <c r="AB2403" s="400">
        <v>44651.794561111114</v>
      </c>
      <c r="AC2403" t="str">
        <f>+VLOOKUP(R2403,DRAFT!A:Q,17,0)</f>
        <v>MAE</v>
      </c>
    </row>
    <row r="2404" spans="1:29">
      <c r="A2404" t="s">
        <v>382</v>
      </c>
      <c r="B2404" t="s">
        <v>1214</v>
      </c>
      <c r="C2404" t="s">
        <v>1362</v>
      </c>
      <c r="D2404" t="s">
        <v>1421</v>
      </c>
      <c r="E2404" t="s">
        <v>2565</v>
      </c>
      <c r="F2404" t="s">
        <v>2566</v>
      </c>
      <c r="G2404">
        <v>22200101</v>
      </c>
      <c r="H2404">
        <v>202203</v>
      </c>
      <c r="I2404" s="400">
        <v>44643</v>
      </c>
      <c r="J2404" t="s">
        <v>2567</v>
      </c>
      <c r="K2404" t="s">
        <v>386</v>
      </c>
      <c r="L2404" t="s">
        <v>2420</v>
      </c>
      <c r="M2404" t="s">
        <v>2421</v>
      </c>
      <c r="O2404" t="s">
        <v>642</v>
      </c>
      <c r="P2404" t="s">
        <v>643</v>
      </c>
      <c r="Q2404" t="s">
        <v>396</v>
      </c>
      <c r="R2404" s="458">
        <v>2265775</v>
      </c>
      <c r="S2404" t="s">
        <v>387</v>
      </c>
      <c r="U2404" t="s">
        <v>3117</v>
      </c>
      <c r="V2404" t="s">
        <v>398</v>
      </c>
      <c r="W2404" s="393">
        <v>62000</v>
      </c>
      <c r="X2404" s="393">
        <v>16.2</v>
      </c>
      <c r="Y2404" s="393">
        <v>144.21</v>
      </c>
      <c r="Z2404" s="393">
        <v>62000</v>
      </c>
      <c r="AA2404">
        <v>0</v>
      </c>
      <c r="AB2404" s="400">
        <v>44651.794561111114</v>
      </c>
      <c r="AC2404" t="str">
        <f>+VLOOKUP(R2404,DRAFT!A:Q,17,0)</f>
        <v>MAE</v>
      </c>
    </row>
    <row r="2405" spans="1:29">
      <c r="A2405" t="s">
        <v>382</v>
      </c>
      <c r="B2405" t="s">
        <v>1214</v>
      </c>
      <c r="C2405" t="s">
        <v>1362</v>
      </c>
      <c r="D2405" t="s">
        <v>1421</v>
      </c>
      <c r="E2405" t="s">
        <v>2565</v>
      </c>
      <c r="F2405" t="s">
        <v>2566</v>
      </c>
      <c r="G2405">
        <v>22200101</v>
      </c>
      <c r="H2405">
        <v>202203</v>
      </c>
      <c r="I2405" s="400">
        <v>44643</v>
      </c>
      <c r="J2405" t="s">
        <v>2567</v>
      </c>
      <c r="K2405" t="s">
        <v>386</v>
      </c>
      <c r="L2405" t="s">
        <v>2420</v>
      </c>
      <c r="M2405" t="s">
        <v>2421</v>
      </c>
      <c r="O2405" t="s">
        <v>3106</v>
      </c>
      <c r="P2405" t="s">
        <v>3107</v>
      </c>
      <c r="Q2405" t="s">
        <v>396</v>
      </c>
      <c r="R2405" s="458">
        <v>2265775</v>
      </c>
      <c r="S2405" t="s">
        <v>387</v>
      </c>
      <c r="U2405" t="s">
        <v>3108</v>
      </c>
      <c r="V2405" t="s">
        <v>398</v>
      </c>
      <c r="W2405" s="393">
        <v>12800</v>
      </c>
      <c r="X2405" s="393">
        <v>3.34</v>
      </c>
      <c r="Y2405" s="393">
        <v>29.77</v>
      </c>
      <c r="Z2405" s="393">
        <v>12800</v>
      </c>
      <c r="AA2405">
        <v>0</v>
      </c>
      <c r="AB2405" s="400">
        <v>44651.79456076389</v>
      </c>
      <c r="AC2405" t="str">
        <f>+VLOOKUP(R2405,DRAFT!A:Q,17,0)</f>
        <v>MAE</v>
      </c>
    </row>
    <row r="2406" spans="1:29">
      <c r="A2406" t="s">
        <v>382</v>
      </c>
      <c r="B2406" t="s">
        <v>1214</v>
      </c>
      <c r="C2406" t="s">
        <v>1362</v>
      </c>
      <c r="D2406" t="s">
        <v>1421</v>
      </c>
      <c r="E2406" t="s">
        <v>2565</v>
      </c>
      <c r="F2406" t="s">
        <v>2566</v>
      </c>
      <c r="G2406">
        <v>22200101</v>
      </c>
      <c r="H2406">
        <v>202203</v>
      </c>
      <c r="I2406" s="400">
        <v>44643</v>
      </c>
      <c r="J2406" t="s">
        <v>2567</v>
      </c>
      <c r="K2406" t="s">
        <v>386</v>
      </c>
      <c r="L2406" t="s">
        <v>2420</v>
      </c>
      <c r="M2406" t="s">
        <v>2421</v>
      </c>
      <c r="O2406" t="s">
        <v>3109</v>
      </c>
      <c r="P2406" t="s">
        <v>3110</v>
      </c>
      <c r="Q2406" t="s">
        <v>396</v>
      </c>
      <c r="R2406" s="458">
        <v>2265775</v>
      </c>
      <c r="S2406" t="s">
        <v>387</v>
      </c>
      <c r="U2406" t="s">
        <v>3111</v>
      </c>
      <c r="V2406" t="s">
        <v>398</v>
      </c>
      <c r="W2406" s="393">
        <v>34000</v>
      </c>
      <c r="X2406" s="393">
        <v>8.8800000000000008</v>
      </c>
      <c r="Y2406" s="393">
        <v>79.08</v>
      </c>
      <c r="Z2406" s="393">
        <v>34000</v>
      </c>
      <c r="AA2406">
        <v>0</v>
      </c>
      <c r="AB2406" s="400">
        <v>44651.79456076389</v>
      </c>
      <c r="AC2406" t="str">
        <f>+VLOOKUP(R2406,DRAFT!A:Q,17,0)</f>
        <v>MAE</v>
      </c>
    </row>
    <row r="2407" spans="1:29">
      <c r="A2407" t="s">
        <v>382</v>
      </c>
      <c r="B2407" t="s">
        <v>1214</v>
      </c>
      <c r="C2407" t="s">
        <v>1362</v>
      </c>
      <c r="D2407" t="s">
        <v>1421</v>
      </c>
      <c r="E2407" t="s">
        <v>2565</v>
      </c>
      <c r="F2407" t="s">
        <v>2566</v>
      </c>
      <c r="G2407">
        <v>22200101</v>
      </c>
      <c r="H2407">
        <v>202203</v>
      </c>
      <c r="I2407" s="400">
        <v>44643</v>
      </c>
      <c r="J2407" t="s">
        <v>2567</v>
      </c>
      <c r="K2407" t="s">
        <v>386</v>
      </c>
      <c r="L2407" t="s">
        <v>2420</v>
      </c>
      <c r="M2407" t="s">
        <v>2421</v>
      </c>
      <c r="O2407" t="s">
        <v>2945</v>
      </c>
      <c r="P2407" t="s">
        <v>2946</v>
      </c>
      <c r="Q2407" t="s">
        <v>396</v>
      </c>
      <c r="R2407" s="458">
        <v>2265775</v>
      </c>
      <c r="S2407" t="s">
        <v>387</v>
      </c>
      <c r="U2407" t="s">
        <v>3112</v>
      </c>
      <c r="V2407" t="s">
        <v>398</v>
      </c>
      <c r="W2407" s="393">
        <v>13800</v>
      </c>
      <c r="X2407" s="393">
        <v>3.61</v>
      </c>
      <c r="Y2407" s="393">
        <v>32.1</v>
      </c>
      <c r="Z2407" s="393">
        <v>13800</v>
      </c>
      <c r="AA2407">
        <v>0</v>
      </c>
      <c r="AB2407" s="400">
        <v>44651.79456091435</v>
      </c>
      <c r="AC2407" t="str">
        <f>+VLOOKUP(R2407,DRAFT!A:Q,17,0)</f>
        <v>MAE</v>
      </c>
    </row>
    <row r="2408" spans="1:29">
      <c r="A2408" t="s">
        <v>382</v>
      </c>
      <c r="B2408" t="s">
        <v>1214</v>
      </c>
      <c r="C2408" t="s">
        <v>1362</v>
      </c>
      <c r="D2408" t="s">
        <v>1421</v>
      </c>
      <c r="E2408" t="s">
        <v>2565</v>
      </c>
      <c r="F2408" t="s">
        <v>2566</v>
      </c>
      <c r="G2408">
        <v>22200101</v>
      </c>
      <c r="H2408">
        <v>202203</v>
      </c>
      <c r="I2408" s="400">
        <v>44643</v>
      </c>
      <c r="J2408" t="s">
        <v>2567</v>
      </c>
      <c r="K2408" t="s">
        <v>386</v>
      </c>
      <c r="L2408" t="s">
        <v>2420</v>
      </c>
      <c r="M2408" t="s">
        <v>2421</v>
      </c>
      <c r="O2408" t="s">
        <v>3113</v>
      </c>
      <c r="P2408" t="s">
        <v>3114</v>
      </c>
      <c r="Q2408" t="s">
        <v>396</v>
      </c>
      <c r="R2408" s="458">
        <v>2265775</v>
      </c>
      <c r="S2408" t="s">
        <v>387</v>
      </c>
      <c r="U2408" t="s">
        <v>3115</v>
      </c>
      <c r="V2408" t="s">
        <v>398</v>
      </c>
      <c r="W2408" s="393">
        <v>30000</v>
      </c>
      <c r="X2408" s="393">
        <v>7.84</v>
      </c>
      <c r="Y2408" s="393">
        <v>69.78</v>
      </c>
      <c r="Z2408" s="393">
        <v>30000</v>
      </c>
      <c r="AA2408">
        <v>0</v>
      </c>
      <c r="AB2408" s="400">
        <v>44651.79456091435</v>
      </c>
      <c r="AC2408" t="str">
        <f>+VLOOKUP(R2408,DRAFT!A:Q,17,0)</f>
        <v>MAE</v>
      </c>
    </row>
    <row r="2409" spans="1:29">
      <c r="A2409" t="s">
        <v>382</v>
      </c>
      <c r="B2409" t="s">
        <v>1214</v>
      </c>
      <c r="C2409" t="s">
        <v>1362</v>
      </c>
      <c r="D2409" t="s">
        <v>1421</v>
      </c>
      <c r="E2409" t="s">
        <v>2565</v>
      </c>
      <c r="F2409" t="s">
        <v>2566</v>
      </c>
      <c r="G2409">
        <v>22200101</v>
      </c>
      <c r="H2409">
        <v>202203</v>
      </c>
      <c r="I2409" s="400">
        <v>44643</v>
      </c>
      <c r="J2409" t="s">
        <v>2567</v>
      </c>
      <c r="K2409" t="s">
        <v>386</v>
      </c>
      <c r="L2409" t="s">
        <v>2420</v>
      </c>
      <c r="M2409" t="s">
        <v>2421</v>
      </c>
      <c r="O2409" t="s">
        <v>1112</v>
      </c>
      <c r="P2409" t="s">
        <v>1113</v>
      </c>
      <c r="Q2409" t="s">
        <v>396</v>
      </c>
      <c r="R2409" s="458">
        <v>2265775</v>
      </c>
      <c r="S2409" t="s">
        <v>387</v>
      </c>
      <c r="U2409" t="s">
        <v>3116</v>
      </c>
      <c r="V2409" t="s">
        <v>398</v>
      </c>
      <c r="W2409" s="393">
        <v>34000</v>
      </c>
      <c r="X2409" s="393">
        <v>8.8800000000000008</v>
      </c>
      <c r="Y2409" s="393">
        <v>79.08</v>
      </c>
      <c r="Z2409" s="393">
        <v>34000</v>
      </c>
      <c r="AA2409">
        <v>0</v>
      </c>
      <c r="AB2409" s="400">
        <v>44651.79456091435</v>
      </c>
      <c r="AC2409" t="str">
        <f>+VLOOKUP(R2409,DRAFT!A:Q,17,0)</f>
        <v>MAE</v>
      </c>
    </row>
    <row r="2410" spans="1:29">
      <c r="A2410" t="s">
        <v>382</v>
      </c>
      <c r="B2410" t="s">
        <v>1214</v>
      </c>
      <c r="C2410" t="s">
        <v>1362</v>
      </c>
      <c r="D2410" t="s">
        <v>1421</v>
      </c>
      <c r="E2410" t="s">
        <v>2565</v>
      </c>
      <c r="F2410" t="s">
        <v>2566</v>
      </c>
      <c r="G2410">
        <v>22200101</v>
      </c>
      <c r="H2410">
        <v>202203</v>
      </c>
      <c r="I2410" s="400">
        <v>44643</v>
      </c>
      <c r="J2410" t="s">
        <v>2567</v>
      </c>
      <c r="K2410" t="s">
        <v>386</v>
      </c>
      <c r="L2410" t="s">
        <v>2420</v>
      </c>
      <c r="M2410" t="s">
        <v>2421</v>
      </c>
      <c r="O2410" t="s">
        <v>642</v>
      </c>
      <c r="P2410" t="s">
        <v>643</v>
      </c>
      <c r="Q2410" t="s">
        <v>396</v>
      </c>
      <c r="R2410" s="458">
        <v>2265775</v>
      </c>
      <c r="S2410" t="s">
        <v>387</v>
      </c>
      <c r="U2410" t="s">
        <v>3117</v>
      </c>
      <c r="V2410" t="s">
        <v>398</v>
      </c>
      <c r="W2410" s="393">
        <v>41000</v>
      </c>
      <c r="X2410" s="393">
        <v>10.71</v>
      </c>
      <c r="Y2410" s="393">
        <v>95.37</v>
      </c>
      <c r="Z2410" s="393">
        <v>41000</v>
      </c>
      <c r="AA2410">
        <v>0</v>
      </c>
      <c r="AB2410" s="400">
        <v>44651.79456091435</v>
      </c>
      <c r="AC2410" t="str">
        <f>+VLOOKUP(R2410,DRAFT!A:Q,17,0)</f>
        <v>MAE</v>
      </c>
    </row>
    <row r="2411" spans="1:29">
      <c r="A2411" t="s">
        <v>382</v>
      </c>
      <c r="B2411" t="s">
        <v>1214</v>
      </c>
      <c r="C2411" t="s">
        <v>1362</v>
      </c>
      <c r="D2411" t="s">
        <v>1421</v>
      </c>
      <c r="E2411" t="s">
        <v>2565</v>
      </c>
      <c r="F2411" t="s">
        <v>2566</v>
      </c>
      <c r="G2411">
        <v>22200101</v>
      </c>
      <c r="H2411">
        <v>202203</v>
      </c>
      <c r="I2411" s="400">
        <v>44643</v>
      </c>
      <c r="J2411" t="s">
        <v>2567</v>
      </c>
      <c r="K2411" t="s">
        <v>386</v>
      </c>
      <c r="L2411" t="s">
        <v>2420</v>
      </c>
      <c r="M2411" t="s">
        <v>2421</v>
      </c>
      <c r="O2411" t="s">
        <v>3122</v>
      </c>
      <c r="P2411" t="s">
        <v>3123</v>
      </c>
      <c r="Q2411" t="s">
        <v>396</v>
      </c>
      <c r="R2411" s="458">
        <v>2265775</v>
      </c>
      <c r="S2411" t="s">
        <v>387</v>
      </c>
      <c r="U2411" t="s">
        <v>3124</v>
      </c>
      <c r="V2411" t="s">
        <v>398</v>
      </c>
      <c r="W2411" s="393">
        <v>26000</v>
      </c>
      <c r="X2411" s="393">
        <v>6.79</v>
      </c>
      <c r="Y2411" s="393">
        <v>60.48</v>
      </c>
      <c r="Z2411" s="393">
        <v>26000</v>
      </c>
      <c r="AA2411">
        <v>0</v>
      </c>
      <c r="AB2411" s="400">
        <v>44651.79456091435</v>
      </c>
      <c r="AC2411" t="str">
        <f>+VLOOKUP(R2411,DRAFT!A:Q,17,0)</f>
        <v>MAE</v>
      </c>
    </row>
    <row r="2412" spans="1:29">
      <c r="A2412" t="s">
        <v>382</v>
      </c>
      <c r="B2412" t="s">
        <v>1214</v>
      </c>
      <c r="C2412" t="s">
        <v>1362</v>
      </c>
      <c r="D2412" t="s">
        <v>1421</v>
      </c>
      <c r="E2412" t="s">
        <v>2565</v>
      </c>
      <c r="F2412" t="s">
        <v>2566</v>
      </c>
      <c r="G2412">
        <v>22200101</v>
      </c>
      <c r="H2412">
        <v>202203</v>
      </c>
      <c r="I2412" s="400">
        <v>44643</v>
      </c>
      <c r="J2412" t="s">
        <v>2567</v>
      </c>
      <c r="K2412" t="s">
        <v>386</v>
      </c>
      <c r="L2412" t="s">
        <v>2420</v>
      </c>
      <c r="M2412" t="s">
        <v>2421</v>
      </c>
      <c r="O2412" t="s">
        <v>2945</v>
      </c>
      <c r="P2412" t="s">
        <v>2946</v>
      </c>
      <c r="Q2412" t="s">
        <v>396</v>
      </c>
      <c r="R2412" s="458">
        <v>2265775</v>
      </c>
      <c r="S2412" t="s">
        <v>387</v>
      </c>
      <c r="U2412" t="s">
        <v>3125</v>
      </c>
      <c r="V2412" t="s">
        <v>398</v>
      </c>
      <c r="W2412" s="393">
        <v>7478</v>
      </c>
      <c r="X2412" s="393">
        <v>1.95</v>
      </c>
      <c r="Y2412" s="393">
        <v>17.39</v>
      </c>
      <c r="Z2412" s="393">
        <v>7478</v>
      </c>
      <c r="AA2412">
        <v>0</v>
      </c>
      <c r="AB2412" s="400">
        <v>44651.794561111114</v>
      </c>
      <c r="AC2412" t="str">
        <f>+VLOOKUP(R2412,DRAFT!A:Q,17,0)</f>
        <v>MAE</v>
      </c>
    </row>
    <row r="2413" spans="1:29">
      <c r="A2413" t="s">
        <v>382</v>
      </c>
      <c r="B2413" t="s">
        <v>1214</v>
      </c>
      <c r="C2413" t="s">
        <v>1362</v>
      </c>
      <c r="D2413" t="s">
        <v>1421</v>
      </c>
      <c r="E2413" t="s">
        <v>2565</v>
      </c>
      <c r="F2413" t="s">
        <v>2566</v>
      </c>
      <c r="G2413">
        <v>22200101</v>
      </c>
      <c r="H2413">
        <v>202203</v>
      </c>
      <c r="I2413" s="400">
        <v>44643</v>
      </c>
      <c r="J2413" t="s">
        <v>2567</v>
      </c>
      <c r="K2413" t="s">
        <v>386</v>
      </c>
      <c r="L2413" t="s">
        <v>2420</v>
      </c>
      <c r="M2413" t="s">
        <v>2421</v>
      </c>
      <c r="O2413" t="s">
        <v>587</v>
      </c>
      <c r="P2413" t="s">
        <v>588</v>
      </c>
      <c r="Q2413" t="s">
        <v>396</v>
      </c>
      <c r="R2413" s="458">
        <v>2265775</v>
      </c>
      <c r="S2413" t="s">
        <v>387</v>
      </c>
      <c r="U2413" t="s">
        <v>3118</v>
      </c>
      <c r="V2413" t="s">
        <v>398</v>
      </c>
      <c r="W2413" s="393">
        <v>102000</v>
      </c>
      <c r="X2413" s="393">
        <v>26.65</v>
      </c>
      <c r="Y2413" s="393">
        <v>237.25</v>
      </c>
      <c r="Z2413" s="393">
        <v>102000</v>
      </c>
      <c r="AA2413">
        <v>0</v>
      </c>
      <c r="AB2413" s="400">
        <v>44651.794560567127</v>
      </c>
      <c r="AC2413" t="str">
        <f>+VLOOKUP(R2413,DRAFT!A:Q,17,0)</f>
        <v>MAE</v>
      </c>
    </row>
    <row r="2414" spans="1:29">
      <c r="A2414" t="s">
        <v>382</v>
      </c>
      <c r="B2414" t="s">
        <v>1214</v>
      </c>
      <c r="C2414" t="s">
        <v>1362</v>
      </c>
      <c r="D2414" t="s">
        <v>1421</v>
      </c>
      <c r="E2414" t="s">
        <v>2565</v>
      </c>
      <c r="F2414" t="s">
        <v>2566</v>
      </c>
      <c r="G2414">
        <v>22200101</v>
      </c>
      <c r="H2414">
        <v>202203</v>
      </c>
      <c r="I2414" s="400">
        <v>44643</v>
      </c>
      <c r="J2414" t="s">
        <v>2567</v>
      </c>
      <c r="K2414" t="s">
        <v>386</v>
      </c>
      <c r="L2414" t="s">
        <v>2420</v>
      </c>
      <c r="M2414" t="s">
        <v>2421</v>
      </c>
      <c r="O2414" t="s">
        <v>3024</v>
      </c>
      <c r="P2414" t="s">
        <v>3025</v>
      </c>
      <c r="Q2414" t="s">
        <v>396</v>
      </c>
      <c r="R2414" s="458">
        <v>2265775</v>
      </c>
      <c r="S2414" t="s">
        <v>387</v>
      </c>
      <c r="U2414" t="s">
        <v>3119</v>
      </c>
      <c r="V2414" t="s">
        <v>398</v>
      </c>
      <c r="W2414" s="393">
        <v>36000</v>
      </c>
      <c r="X2414" s="393">
        <v>9.41</v>
      </c>
      <c r="Y2414" s="393">
        <v>83.74</v>
      </c>
      <c r="Z2414" s="393">
        <v>36000</v>
      </c>
      <c r="AA2414">
        <v>0</v>
      </c>
      <c r="AB2414" s="400">
        <v>44651.79456076389</v>
      </c>
      <c r="AC2414" t="str">
        <f>+VLOOKUP(R2414,DRAFT!A:Q,17,0)</f>
        <v>MAE</v>
      </c>
    </row>
    <row r="2415" spans="1:29">
      <c r="A2415" t="s">
        <v>382</v>
      </c>
      <c r="B2415" t="s">
        <v>1214</v>
      </c>
      <c r="C2415" t="s">
        <v>1362</v>
      </c>
      <c r="D2415" t="s">
        <v>1421</v>
      </c>
      <c r="E2415" t="s">
        <v>2565</v>
      </c>
      <c r="F2415" t="s">
        <v>2566</v>
      </c>
      <c r="G2415">
        <v>22200101</v>
      </c>
      <c r="H2415">
        <v>202203</v>
      </c>
      <c r="I2415" s="400">
        <v>44643</v>
      </c>
      <c r="J2415" t="s">
        <v>2567</v>
      </c>
      <c r="K2415" t="s">
        <v>386</v>
      </c>
      <c r="L2415" t="s">
        <v>2420</v>
      </c>
      <c r="M2415" t="s">
        <v>2421</v>
      </c>
      <c r="O2415" t="s">
        <v>1409</v>
      </c>
      <c r="P2415" t="s">
        <v>1410</v>
      </c>
      <c r="Q2415" t="s">
        <v>396</v>
      </c>
      <c r="R2415" s="458">
        <v>2265775</v>
      </c>
      <c r="S2415" t="s">
        <v>387</v>
      </c>
      <c r="U2415" t="s">
        <v>3120</v>
      </c>
      <c r="V2415" t="s">
        <v>398</v>
      </c>
      <c r="W2415" s="393">
        <v>36000</v>
      </c>
      <c r="X2415" s="393">
        <v>9.41</v>
      </c>
      <c r="Y2415" s="393">
        <v>83.74</v>
      </c>
      <c r="Z2415" s="393">
        <v>36000</v>
      </c>
      <c r="AA2415">
        <v>0</v>
      </c>
      <c r="AB2415" s="400">
        <v>44651.79456076389</v>
      </c>
      <c r="AC2415" t="str">
        <f>+VLOOKUP(R2415,DRAFT!A:Q,17,0)</f>
        <v>MAE</v>
      </c>
    </row>
    <row r="2416" spans="1:29">
      <c r="A2416" t="s">
        <v>382</v>
      </c>
      <c r="B2416" t="s">
        <v>1214</v>
      </c>
      <c r="C2416" t="s">
        <v>1362</v>
      </c>
      <c r="D2416" t="s">
        <v>1421</v>
      </c>
      <c r="E2416" t="s">
        <v>2565</v>
      </c>
      <c r="F2416" t="s">
        <v>2566</v>
      </c>
      <c r="G2416">
        <v>22200101</v>
      </c>
      <c r="H2416">
        <v>202203</v>
      </c>
      <c r="I2416" s="400">
        <v>44643</v>
      </c>
      <c r="J2416" t="s">
        <v>2567</v>
      </c>
      <c r="K2416" t="s">
        <v>386</v>
      </c>
      <c r="L2416" t="s">
        <v>2420</v>
      </c>
      <c r="M2416" t="s">
        <v>2421</v>
      </c>
      <c r="O2416" t="s">
        <v>642</v>
      </c>
      <c r="P2416" t="s">
        <v>643</v>
      </c>
      <c r="Q2416" t="s">
        <v>396</v>
      </c>
      <c r="R2416" s="458">
        <v>2265775</v>
      </c>
      <c r="S2416" t="s">
        <v>387</v>
      </c>
      <c r="U2416" t="s">
        <v>3121</v>
      </c>
      <c r="V2416" t="s">
        <v>398</v>
      </c>
      <c r="W2416" s="393">
        <v>64000</v>
      </c>
      <c r="X2416" s="393">
        <v>16.72</v>
      </c>
      <c r="Y2416" s="393">
        <v>148.87</v>
      </c>
      <c r="Z2416" s="393">
        <v>64000</v>
      </c>
      <c r="AA2416">
        <v>0</v>
      </c>
      <c r="AB2416" s="400">
        <v>44651.79456076389</v>
      </c>
      <c r="AC2416" t="str">
        <f>+VLOOKUP(R2416,DRAFT!A:Q,17,0)</f>
        <v>MAE</v>
      </c>
    </row>
    <row r="2417" spans="1:29">
      <c r="A2417" t="s">
        <v>382</v>
      </c>
      <c r="B2417" t="s">
        <v>440</v>
      </c>
      <c r="C2417" t="s">
        <v>1362</v>
      </c>
      <c r="D2417" t="s">
        <v>1587</v>
      </c>
      <c r="E2417" t="s">
        <v>390</v>
      </c>
      <c r="F2417" t="s">
        <v>391</v>
      </c>
      <c r="G2417">
        <v>6200152</v>
      </c>
      <c r="H2417">
        <v>202201</v>
      </c>
      <c r="I2417" s="400">
        <v>44582</v>
      </c>
      <c r="J2417">
        <v>127949</v>
      </c>
      <c r="K2417" t="s">
        <v>386</v>
      </c>
      <c r="L2417">
        <v>122745</v>
      </c>
      <c r="M2417" t="s">
        <v>2939</v>
      </c>
      <c r="O2417" t="s">
        <v>512</v>
      </c>
      <c r="P2417" t="s">
        <v>513</v>
      </c>
      <c r="Q2417" t="s">
        <v>396</v>
      </c>
      <c r="R2417" s="458">
        <v>2265775</v>
      </c>
      <c r="S2417" t="s">
        <v>387</v>
      </c>
      <c r="U2417" t="s">
        <v>2940</v>
      </c>
      <c r="V2417" t="s">
        <v>398</v>
      </c>
      <c r="W2417" s="393">
        <v>23985</v>
      </c>
      <c r="X2417" s="393">
        <v>5.99</v>
      </c>
      <c r="Y2417" s="393">
        <v>52.72</v>
      </c>
      <c r="Z2417" s="393">
        <v>23985</v>
      </c>
      <c r="AA2417">
        <v>222</v>
      </c>
      <c r="AB2417" s="400">
        <v>44602.812309606481</v>
      </c>
      <c r="AC2417" t="str">
        <f>+VLOOKUP(R2417,DRAFT!A:Q,17,0)</f>
        <v>MAE</v>
      </c>
    </row>
    <row r="2418" spans="1:29">
      <c r="A2418" t="s">
        <v>382</v>
      </c>
      <c r="B2418" t="s">
        <v>440</v>
      </c>
      <c r="C2418" t="s">
        <v>1362</v>
      </c>
      <c r="D2418" t="s">
        <v>1587</v>
      </c>
      <c r="E2418" t="s">
        <v>390</v>
      </c>
      <c r="F2418" t="s">
        <v>391</v>
      </c>
      <c r="G2418">
        <v>6200152</v>
      </c>
      <c r="H2418">
        <v>202201</v>
      </c>
      <c r="I2418" s="400">
        <v>44582</v>
      </c>
      <c r="J2418">
        <v>127949</v>
      </c>
      <c r="K2418" t="s">
        <v>386</v>
      </c>
      <c r="L2418">
        <v>122745</v>
      </c>
      <c r="M2418" t="s">
        <v>2939</v>
      </c>
      <c r="O2418" t="s">
        <v>1367</v>
      </c>
      <c r="P2418" t="s">
        <v>1368</v>
      </c>
      <c r="Q2418" t="s">
        <v>396</v>
      </c>
      <c r="R2418" s="458">
        <v>2265775</v>
      </c>
      <c r="S2418" t="s">
        <v>387</v>
      </c>
      <c r="U2418" t="s">
        <v>2940</v>
      </c>
      <c r="V2418" t="s">
        <v>398</v>
      </c>
      <c r="W2418" s="393">
        <v>51490</v>
      </c>
      <c r="X2418" s="393">
        <v>12.86</v>
      </c>
      <c r="Y2418" s="393">
        <v>113.18</v>
      </c>
      <c r="Z2418" s="393">
        <v>51490</v>
      </c>
      <c r="AA2418">
        <v>0</v>
      </c>
      <c r="AB2418" s="400">
        <v>44602.812309606481</v>
      </c>
      <c r="AC2418" t="str">
        <f>+VLOOKUP(R2418,DRAFT!A:Q,17,0)</f>
        <v>MAE</v>
      </c>
    </row>
    <row r="2419" spans="1:29">
      <c r="A2419" t="s">
        <v>382</v>
      </c>
      <c r="B2419" t="s">
        <v>440</v>
      </c>
      <c r="C2419" t="s">
        <v>1362</v>
      </c>
      <c r="D2419" t="s">
        <v>1587</v>
      </c>
      <c r="E2419" t="s">
        <v>390</v>
      </c>
      <c r="F2419" t="s">
        <v>391</v>
      </c>
      <c r="G2419">
        <v>6200178</v>
      </c>
      <c r="H2419">
        <v>202201</v>
      </c>
      <c r="I2419" s="400">
        <v>44575</v>
      </c>
      <c r="J2419">
        <v>127949</v>
      </c>
      <c r="K2419" t="s">
        <v>386</v>
      </c>
      <c r="L2419" t="s">
        <v>2941</v>
      </c>
      <c r="M2419" t="s">
        <v>2942</v>
      </c>
      <c r="O2419" t="s">
        <v>509</v>
      </c>
      <c r="P2419" t="s">
        <v>510</v>
      </c>
      <c r="Q2419" t="s">
        <v>450</v>
      </c>
      <c r="R2419" s="458">
        <v>2069083</v>
      </c>
      <c r="S2419" t="s">
        <v>387</v>
      </c>
      <c r="U2419" t="s">
        <v>2943</v>
      </c>
      <c r="V2419" t="s">
        <v>398</v>
      </c>
      <c r="W2419" s="393">
        <v>380700</v>
      </c>
      <c r="X2419" s="393">
        <v>95.89</v>
      </c>
      <c r="Y2419" s="393">
        <v>842.98</v>
      </c>
      <c r="Z2419" s="393">
        <v>380700</v>
      </c>
      <c r="AA2419">
        <v>222</v>
      </c>
      <c r="AB2419" s="400">
        <v>44603.558198576386</v>
      </c>
      <c r="AC2419" t="str">
        <f>+VLOOKUP(R2419,DRAFT!A:Q,17,0)</f>
        <v>SUPPORT</v>
      </c>
    </row>
    <row r="2420" spans="1:29">
      <c r="A2420" t="s">
        <v>382</v>
      </c>
      <c r="B2420" t="s">
        <v>440</v>
      </c>
      <c r="C2420" t="s">
        <v>1362</v>
      </c>
      <c r="D2420" t="s">
        <v>1587</v>
      </c>
      <c r="E2420" t="s">
        <v>390</v>
      </c>
      <c r="F2420" t="s">
        <v>391</v>
      </c>
      <c r="G2420">
        <v>6200178</v>
      </c>
      <c r="H2420">
        <v>202201</v>
      </c>
      <c r="I2420" s="400">
        <v>44575</v>
      </c>
      <c r="J2420">
        <v>127949</v>
      </c>
      <c r="K2420" t="s">
        <v>386</v>
      </c>
      <c r="L2420" t="s">
        <v>2941</v>
      </c>
      <c r="M2420" t="s">
        <v>2942</v>
      </c>
      <c r="O2420" t="s">
        <v>509</v>
      </c>
      <c r="P2420" t="s">
        <v>510</v>
      </c>
      <c r="Q2420" t="s">
        <v>450</v>
      </c>
      <c r="R2420" s="458">
        <v>2069083</v>
      </c>
      <c r="S2420" t="s">
        <v>387</v>
      </c>
      <c r="U2420" t="s">
        <v>2943</v>
      </c>
      <c r="V2420" t="s">
        <v>398</v>
      </c>
      <c r="W2420" s="393">
        <v>34300</v>
      </c>
      <c r="X2420" s="393">
        <v>8.64</v>
      </c>
      <c r="Y2420" s="393">
        <v>75.95</v>
      </c>
      <c r="Z2420" s="393">
        <v>34300</v>
      </c>
      <c r="AA2420">
        <v>0</v>
      </c>
      <c r="AB2420" s="400">
        <v>44603.558198726852</v>
      </c>
      <c r="AC2420" t="str">
        <f>+VLOOKUP(R2420,DRAFT!A:Q,17,0)</f>
        <v>SUPPORT</v>
      </c>
    </row>
    <row r="2421" spans="1:29">
      <c r="A2421" t="s">
        <v>382</v>
      </c>
      <c r="B2421" t="s">
        <v>440</v>
      </c>
      <c r="C2421" t="s">
        <v>1362</v>
      </c>
      <c r="D2421" t="s">
        <v>1587</v>
      </c>
      <c r="E2421" t="s">
        <v>390</v>
      </c>
      <c r="F2421" t="s">
        <v>391</v>
      </c>
      <c r="G2421">
        <v>6200178</v>
      </c>
      <c r="H2421">
        <v>202201</v>
      </c>
      <c r="I2421" s="400">
        <v>44575</v>
      </c>
      <c r="J2421">
        <v>127949</v>
      </c>
      <c r="K2421" t="s">
        <v>386</v>
      </c>
      <c r="L2421" t="s">
        <v>2941</v>
      </c>
      <c r="M2421" t="s">
        <v>2942</v>
      </c>
      <c r="O2421" t="s">
        <v>512</v>
      </c>
      <c r="P2421" t="s">
        <v>513</v>
      </c>
      <c r="Q2421" t="s">
        <v>450</v>
      </c>
      <c r="R2421" s="458">
        <v>2069083</v>
      </c>
      <c r="S2421" t="s">
        <v>2944</v>
      </c>
      <c r="U2421" t="s">
        <v>2943</v>
      </c>
      <c r="V2421" t="s">
        <v>398</v>
      </c>
      <c r="W2421" s="393">
        <v>39242</v>
      </c>
      <c r="X2421" s="393">
        <v>9.8800000000000008</v>
      </c>
      <c r="Y2421" s="393">
        <v>86.89</v>
      </c>
      <c r="Z2421" s="393">
        <v>39242</v>
      </c>
      <c r="AA2421">
        <v>222</v>
      </c>
      <c r="AB2421" s="400">
        <v>44603.558198726852</v>
      </c>
      <c r="AC2421" t="str">
        <f>+VLOOKUP(R2421,DRAFT!A:Q,17,0)</f>
        <v>SUPPORT</v>
      </c>
    </row>
    <row r="2422" spans="1:29">
      <c r="A2422" t="s">
        <v>382</v>
      </c>
      <c r="B2422" t="s">
        <v>440</v>
      </c>
      <c r="C2422" t="s">
        <v>1362</v>
      </c>
      <c r="D2422" t="s">
        <v>1587</v>
      </c>
      <c r="E2422" t="s">
        <v>390</v>
      </c>
      <c r="F2422" t="s">
        <v>391</v>
      </c>
      <c r="G2422">
        <v>6200129</v>
      </c>
      <c r="H2422">
        <v>202201</v>
      </c>
      <c r="I2422" s="400">
        <v>44579</v>
      </c>
      <c r="J2422">
        <v>127949</v>
      </c>
      <c r="K2422" t="s">
        <v>386</v>
      </c>
      <c r="L2422" t="s">
        <v>2420</v>
      </c>
      <c r="M2422" t="s">
        <v>2421</v>
      </c>
      <c r="O2422" t="s">
        <v>1367</v>
      </c>
      <c r="P2422" t="s">
        <v>1368</v>
      </c>
      <c r="Q2422" t="s">
        <v>396</v>
      </c>
      <c r="R2422" s="458">
        <v>2265776</v>
      </c>
      <c r="S2422" t="s">
        <v>387</v>
      </c>
      <c r="U2422" t="s">
        <v>2951</v>
      </c>
      <c r="V2422" t="s">
        <v>398</v>
      </c>
      <c r="W2422" s="393">
        <v>520000</v>
      </c>
      <c r="X2422" s="393">
        <v>130.97999999999999</v>
      </c>
      <c r="Y2422" s="393">
        <v>1151.44</v>
      </c>
      <c r="Z2422" s="393">
        <v>520000</v>
      </c>
      <c r="AA2422">
        <v>222</v>
      </c>
      <c r="AB2422" s="400">
        <v>44602.256734224538</v>
      </c>
      <c r="AC2422" t="str">
        <f>+VLOOKUP(R2422,DRAFT!A:Q,17,0)</f>
        <v>MAE</v>
      </c>
    </row>
    <row r="2423" spans="1:29">
      <c r="A2423" t="s">
        <v>382</v>
      </c>
      <c r="B2423" t="s">
        <v>440</v>
      </c>
      <c r="C2423" t="s">
        <v>1362</v>
      </c>
      <c r="D2423" t="s">
        <v>1587</v>
      </c>
      <c r="E2423" t="s">
        <v>390</v>
      </c>
      <c r="F2423" t="s">
        <v>391</v>
      </c>
      <c r="G2423">
        <v>6200129</v>
      </c>
      <c r="H2423">
        <v>202201</v>
      </c>
      <c r="I2423" s="400">
        <v>44579</v>
      </c>
      <c r="J2423">
        <v>127949</v>
      </c>
      <c r="K2423" t="s">
        <v>386</v>
      </c>
      <c r="L2423" t="s">
        <v>2420</v>
      </c>
      <c r="M2423" t="s">
        <v>2421</v>
      </c>
      <c r="O2423" t="s">
        <v>1367</v>
      </c>
      <c r="P2423" t="s">
        <v>1368</v>
      </c>
      <c r="Q2423" t="s">
        <v>396</v>
      </c>
      <c r="R2423" s="458">
        <v>2265776</v>
      </c>
      <c r="S2423" t="s">
        <v>387</v>
      </c>
      <c r="U2423" t="s">
        <v>2951</v>
      </c>
      <c r="V2423" t="s">
        <v>398</v>
      </c>
      <c r="W2423" s="393">
        <v>34900</v>
      </c>
      <c r="X2423" s="393">
        <v>8.7899999999999991</v>
      </c>
      <c r="Y2423" s="393">
        <v>77.28</v>
      </c>
      <c r="Z2423" s="393">
        <v>34900</v>
      </c>
      <c r="AA2423">
        <v>0</v>
      </c>
      <c r="AB2423" s="400">
        <v>44602.256734374998</v>
      </c>
      <c r="AC2423" t="str">
        <f>+VLOOKUP(R2423,DRAFT!A:Q,17,0)</f>
        <v>MAE</v>
      </c>
    </row>
    <row r="2424" spans="1:29">
      <c r="A2424" t="s">
        <v>382</v>
      </c>
      <c r="B2424" t="s">
        <v>440</v>
      </c>
      <c r="C2424" t="s">
        <v>1362</v>
      </c>
      <c r="D2424" t="s">
        <v>1587</v>
      </c>
      <c r="E2424" t="s">
        <v>390</v>
      </c>
      <c r="F2424" t="s">
        <v>391</v>
      </c>
      <c r="G2424">
        <v>6200129</v>
      </c>
      <c r="H2424">
        <v>202201</v>
      </c>
      <c r="I2424" s="400">
        <v>44579</v>
      </c>
      <c r="J2424">
        <v>127949</v>
      </c>
      <c r="K2424" t="s">
        <v>386</v>
      </c>
      <c r="L2424" t="s">
        <v>2420</v>
      </c>
      <c r="M2424" t="s">
        <v>2421</v>
      </c>
      <c r="O2424" t="s">
        <v>512</v>
      </c>
      <c r="P2424" t="s">
        <v>513</v>
      </c>
      <c r="Q2424" t="s">
        <v>396</v>
      </c>
      <c r="R2424" s="458">
        <v>2265776</v>
      </c>
      <c r="S2424" t="s">
        <v>387</v>
      </c>
      <c r="U2424" t="s">
        <v>2951</v>
      </c>
      <c r="V2424" t="s">
        <v>398</v>
      </c>
      <c r="W2424" s="393">
        <v>60732</v>
      </c>
      <c r="X2424" s="393">
        <v>15.3</v>
      </c>
      <c r="Y2424" s="393">
        <v>134.47999999999999</v>
      </c>
      <c r="Z2424" s="393">
        <v>60732</v>
      </c>
      <c r="AA2424">
        <v>222</v>
      </c>
      <c r="AB2424" s="400">
        <v>44602.256734571762</v>
      </c>
      <c r="AC2424" t="str">
        <f>+VLOOKUP(R2424,DRAFT!A:Q,17,0)</f>
        <v>MAE</v>
      </c>
    </row>
    <row r="2425" spans="1:29">
      <c r="A2425" t="s">
        <v>382</v>
      </c>
      <c r="B2425" t="s">
        <v>440</v>
      </c>
      <c r="C2425" t="s">
        <v>1362</v>
      </c>
      <c r="D2425" t="s">
        <v>1587</v>
      </c>
      <c r="E2425" t="s">
        <v>390</v>
      </c>
      <c r="F2425" t="s">
        <v>391</v>
      </c>
      <c r="G2425">
        <v>6200286</v>
      </c>
      <c r="H2425">
        <v>202202</v>
      </c>
      <c r="I2425" s="400">
        <v>44593</v>
      </c>
      <c r="J2425">
        <v>127949</v>
      </c>
      <c r="K2425" t="s">
        <v>386</v>
      </c>
      <c r="L2425">
        <v>119010</v>
      </c>
      <c r="M2425" t="s">
        <v>1158</v>
      </c>
      <c r="O2425" t="s">
        <v>509</v>
      </c>
      <c r="P2425" t="s">
        <v>510</v>
      </c>
      <c r="Q2425" t="s">
        <v>450</v>
      </c>
      <c r="R2425" s="458">
        <v>2069083</v>
      </c>
      <c r="S2425" t="s">
        <v>387</v>
      </c>
      <c r="U2425" t="s">
        <v>2954</v>
      </c>
      <c r="V2425" t="s">
        <v>398</v>
      </c>
      <c r="W2425" s="393">
        <v>330300</v>
      </c>
      <c r="X2425" s="393">
        <v>82.49</v>
      </c>
      <c r="Y2425" s="393">
        <v>734.69</v>
      </c>
      <c r="Z2425" s="393">
        <v>330300</v>
      </c>
      <c r="AA2425">
        <v>222</v>
      </c>
      <c r="AB2425" s="400">
        <v>44623.766391550926</v>
      </c>
      <c r="AC2425" t="str">
        <f>+VLOOKUP(R2425,DRAFT!A:Q,17,0)</f>
        <v>SUPPORT</v>
      </c>
    </row>
    <row r="2426" spans="1:29">
      <c r="A2426" t="s">
        <v>382</v>
      </c>
      <c r="B2426" t="s">
        <v>440</v>
      </c>
      <c r="C2426" t="s">
        <v>1362</v>
      </c>
      <c r="D2426" t="s">
        <v>1587</v>
      </c>
      <c r="E2426" t="s">
        <v>390</v>
      </c>
      <c r="F2426" t="s">
        <v>391</v>
      </c>
      <c r="G2426">
        <v>6200286</v>
      </c>
      <c r="H2426">
        <v>202202</v>
      </c>
      <c r="I2426" s="400">
        <v>44593</v>
      </c>
      <c r="J2426">
        <v>127949</v>
      </c>
      <c r="K2426" t="s">
        <v>386</v>
      </c>
      <c r="L2426">
        <v>119010</v>
      </c>
      <c r="M2426" t="s">
        <v>1158</v>
      </c>
      <c r="O2426" t="s">
        <v>509</v>
      </c>
      <c r="P2426" t="s">
        <v>510</v>
      </c>
      <c r="Q2426" t="s">
        <v>450</v>
      </c>
      <c r="R2426" s="458">
        <v>2069083</v>
      </c>
      <c r="S2426" t="s">
        <v>387</v>
      </c>
      <c r="U2426" t="s">
        <v>2954</v>
      </c>
      <c r="V2426" t="s">
        <v>398</v>
      </c>
      <c r="W2426" s="393">
        <v>35200</v>
      </c>
      <c r="X2426" s="393">
        <v>8.7899999999999991</v>
      </c>
      <c r="Y2426" s="393">
        <v>78.3</v>
      </c>
      <c r="Z2426" s="393">
        <v>35200</v>
      </c>
      <c r="AA2426">
        <v>0</v>
      </c>
      <c r="AB2426" s="400">
        <v>44623.766391747682</v>
      </c>
      <c r="AC2426" t="str">
        <f>+VLOOKUP(R2426,DRAFT!A:Q,17,0)</f>
        <v>SUPPORT</v>
      </c>
    </row>
    <row r="2427" spans="1:29">
      <c r="A2427" t="s">
        <v>382</v>
      </c>
      <c r="B2427" t="s">
        <v>440</v>
      </c>
      <c r="C2427" t="s">
        <v>1362</v>
      </c>
      <c r="D2427" t="s">
        <v>1587</v>
      </c>
      <c r="E2427" t="s">
        <v>390</v>
      </c>
      <c r="F2427" t="s">
        <v>391</v>
      </c>
      <c r="G2427">
        <v>6200286</v>
      </c>
      <c r="H2427">
        <v>202202</v>
      </c>
      <c r="I2427" s="400">
        <v>44593</v>
      </c>
      <c r="J2427">
        <v>127949</v>
      </c>
      <c r="K2427" t="s">
        <v>386</v>
      </c>
      <c r="L2427">
        <v>119010</v>
      </c>
      <c r="M2427" t="s">
        <v>1158</v>
      </c>
      <c r="O2427" t="s">
        <v>512</v>
      </c>
      <c r="P2427" t="s">
        <v>513</v>
      </c>
      <c r="Q2427" t="s">
        <v>450</v>
      </c>
      <c r="R2427" s="458">
        <v>2069083</v>
      </c>
      <c r="S2427" t="s">
        <v>387</v>
      </c>
      <c r="U2427" t="s">
        <v>2954</v>
      </c>
      <c r="V2427" t="s">
        <v>398</v>
      </c>
      <c r="W2427" s="393">
        <v>39242</v>
      </c>
      <c r="X2427" s="393">
        <v>9.8000000000000007</v>
      </c>
      <c r="Y2427" s="393">
        <v>87.29</v>
      </c>
      <c r="Z2427" s="393">
        <v>39242</v>
      </c>
      <c r="AA2427">
        <v>222</v>
      </c>
      <c r="AB2427" s="400">
        <v>44623.766391747682</v>
      </c>
      <c r="AC2427" t="str">
        <f>+VLOOKUP(R2427,DRAFT!A:Q,17,0)</f>
        <v>SUPPORT</v>
      </c>
    </row>
    <row r="2428" spans="1:29">
      <c r="A2428" t="s">
        <v>382</v>
      </c>
      <c r="B2428" t="s">
        <v>440</v>
      </c>
      <c r="C2428" t="s">
        <v>1362</v>
      </c>
      <c r="D2428" t="s">
        <v>1587</v>
      </c>
      <c r="E2428" t="s">
        <v>390</v>
      </c>
      <c r="F2428" t="s">
        <v>391</v>
      </c>
      <c r="G2428">
        <v>6200293</v>
      </c>
      <c r="H2428">
        <v>202202</v>
      </c>
      <c r="I2428" s="400">
        <v>44594</v>
      </c>
      <c r="J2428">
        <v>127949</v>
      </c>
      <c r="K2428" t="s">
        <v>386</v>
      </c>
      <c r="L2428" t="s">
        <v>1175</v>
      </c>
      <c r="M2428" t="s">
        <v>1176</v>
      </c>
      <c r="O2428" t="s">
        <v>2915</v>
      </c>
      <c r="P2428" t="s">
        <v>2916</v>
      </c>
      <c r="Q2428" t="s">
        <v>450</v>
      </c>
      <c r="R2428" s="458">
        <v>2069083</v>
      </c>
      <c r="S2428" t="s">
        <v>387</v>
      </c>
      <c r="U2428" t="s">
        <v>2955</v>
      </c>
      <c r="V2428" t="s">
        <v>398</v>
      </c>
      <c r="W2428" s="393">
        <v>720000</v>
      </c>
      <c r="X2428" s="393">
        <v>179.82</v>
      </c>
      <c r="Y2428" s="393">
        <v>1601.51</v>
      </c>
      <c r="Z2428" s="393">
        <v>720000</v>
      </c>
      <c r="AA2428">
        <v>222</v>
      </c>
      <c r="AB2428" s="400">
        <v>44623.807527002318</v>
      </c>
      <c r="AC2428" t="str">
        <f>+VLOOKUP(R2428,DRAFT!A:Q,17,0)</f>
        <v>SUPPORT</v>
      </c>
    </row>
    <row r="2429" spans="1:29">
      <c r="A2429" t="s">
        <v>382</v>
      </c>
      <c r="B2429" t="s">
        <v>440</v>
      </c>
      <c r="C2429" t="s">
        <v>1362</v>
      </c>
      <c r="D2429" t="s">
        <v>1587</v>
      </c>
      <c r="E2429" t="s">
        <v>390</v>
      </c>
      <c r="F2429" t="s">
        <v>391</v>
      </c>
      <c r="G2429">
        <v>6200293</v>
      </c>
      <c r="H2429">
        <v>202202</v>
      </c>
      <c r="I2429" s="400">
        <v>44594</v>
      </c>
      <c r="J2429">
        <v>127949</v>
      </c>
      <c r="K2429" t="s">
        <v>386</v>
      </c>
      <c r="L2429" t="s">
        <v>1175</v>
      </c>
      <c r="M2429" t="s">
        <v>1176</v>
      </c>
      <c r="O2429" t="s">
        <v>2915</v>
      </c>
      <c r="P2429" t="s">
        <v>2916</v>
      </c>
      <c r="Q2429" t="s">
        <v>450</v>
      </c>
      <c r="R2429" s="458">
        <v>2069083</v>
      </c>
      <c r="S2429" t="s">
        <v>387</v>
      </c>
      <c r="U2429" t="s">
        <v>2955</v>
      </c>
      <c r="V2429" t="s">
        <v>398</v>
      </c>
      <c r="W2429" s="393">
        <v>34700</v>
      </c>
      <c r="X2429" s="393">
        <v>8.67</v>
      </c>
      <c r="Y2429" s="393">
        <v>77.180000000000007</v>
      </c>
      <c r="Z2429" s="393">
        <v>34700</v>
      </c>
      <c r="AA2429">
        <v>0</v>
      </c>
      <c r="AB2429" s="400">
        <v>44623.807527164354</v>
      </c>
      <c r="AC2429" t="str">
        <f>+VLOOKUP(R2429,DRAFT!A:Q,17,0)</f>
        <v>SUPPORT</v>
      </c>
    </row>
    <row r="2430" spans="1:29">
      <c r="A2430" t="s">
        <v>382</v>
      </c>
      <c r="B2430" t="s">
        <v>440</v>
      </c>
      <c r="C2430" t="s">
        <v>1362</v>
      </c>
      <c r="D2430" t="s">
        <v>1587</v>
      </c>
      <c r="E2430" t="s">
        <v>390</v>
      </c>
      <c r="F2430" t="s">
        <v>391</v>
      </c>
      <c r="G2430">
        <v>6200293</v>
      </c>
      <c r="H2430">
        <v>202202</v>
      </c>
      <c r="I2430" s="400">
        <v>44594</v>
      </c>
      <c r="J2430">
        <v>127949</v>
      </c>
      <c r="K2430" t="s">
        <v>386</v>
      </c>
      <c r="L2430" t="s">
        <v>1175</v>
      </c>
      <c r="M2430" t="s">
        <v>1176</v>
      </c>
      <c r="O2430" t="s">
        <v>512</v>
      </c>
      <c r="P2430" t="s">
        <v>513</v>
      </c>
      <c r="Q2430" t="s">
        <v>450</v>
      </c>
      <c r="R2430" s="458">
        <v>2069083</v>
      </c>
      <c r="S2430" t="s">
        <v>387</v>
      </c>
      <c r="U2430" t="s">
        <v>2955</v>
      </c>
      <c r="V2430" t="s">
        <v>398</v>
      </c>
      <c r="W2430" s="393">
        <v>60732</v>
      </c>
      <c r="X2430" s="393">
        <v>15.17</v>
      </c>
      <c r="Y2430" s="393">
        <v>135.09</v>
      </c>
      <c r="Z2430" s="393">
        <v>60732</v>
      </c>
      <c r="AA2430">
        <v>222</v>
      </c>
      <c r="AB2430" s="400">
        <v>44623.807527349534</v>
      </c>
      <c r="AC2430" t="str">
        <f>+VLOOKUP(R2430,DRAFT!A:Q,17,0)</f>
        <v>SUPPORT</v>
      </c>
    </row>
    <row r="2431" spans="1:29">
      <c r="A2431" t="s">
        <v>382</v>
      </c>
      <c r="B2431" t="s">
        <v>440</v>
      </c>
      <c r="C2431" t="s">
        <v>1362</v>
      </c>
      <c r="D2431" t="s">
        <v>1587</v>
      </c>
      <c r="E2431" t="s">
        <v>390</v>
      </c>
      <c r="F2431" t="s">
        <v>391</v>
      </c>
      <c r="G2431">
        <v>6200290</v>
      </c>
      <c r="H2431">
        <v>202202</v>
      </c>
      <c r="I2431" s="400">
        <v>44594</v>
      </c>
      <c r="J2431">
        <v>127949</v>
      </c>
      <c r="K2431" t="s">
        <v>386</v>
      </c>
      <c r="L2431" t="s">
        <v>2420</v>
      </c>
      <c r="M2431" t="s">
        <v>2421</v>
      </c>
      <c r="O2431" t="s">
        <v>509</v>
      </c>
      <c r="P2431" t="s">
        <v>510</v>
      </c>
      <c r="Q2431" t="s">
        <v>396</v>
      </c>
      <c r="R2431" s="458">
        <v>2265775</v>
      </c>
      <c r="S2431" t="s">
        <v>387</v>
      </c>
      <c r="U2431" t="s">
        <v>3127</v>
      </c>
      <c r="V2431" t="s">
        <v>398</v>
      </c>
      <c r="W2431" s="393">
        <v>141400</v>
      </c>
      <c r="X2431" s="393">
        <v>35.31</v>
      </c>
      <c r="Y2431" s="393">
        <v>314.52</v>
      </c>
      <c r="Z2431" s="393">
        <v>141400</v>
      </c>
      <c r="AA2431">
        <v>0</v>
      </c>
      <c r="AB2431" s="400">
        <v>44623.795875347219</v>
      </c>
      <c r="AC2431" t="str">
        <f>+VLOOKUP(R2431,DRAFT!A:Q,17,0)</f>
        <v>MAE</v>
      </c>
    </row>
    <row r="2432" spans="1:29">
      <c r="A2432" t="s">
        <v>382</v>
      </c>
      <c r="B2432" t="s">
        <v>440</v>
      </c>
      <c r="C2432" t="s">
        <v>1362</v>
      </c>
      <c r="D2432" t="s">
        <v>1587</v>
      </c>
      <c r="E2432" t="s">
        <v>390</v>
      </c>
      <c r="F2432" t="s">
        <v>391</v>
      </c>
      <c r="G2432">
        <v>6200290</v>
      </c>
      <c r="H2432">
        <v>202202</v>
      </c>
      <c r="I2432" s="400">
        <v>44594</v>
      </c>
      <c r="J2432">
        <v>127949</v>
      </c>
      <c r="K2432" t="s">
        <v>386</v>
      </c>
      <c r="L2432" t="s">
        <v>2420</v>
      </c>
      <c r="M2432" t="s">
        <v>2421</v>
      </c>
      <c r="O2432" t="s">
        <v>509</v>
      </c>
      <c r="P2432" t="s">
        <v>510</v>
      </c>
      <c r="Q2432" t="s">
        <v>396</v>
      </c>
      <c r="R2432" s="458">
        <v>2265775</v>
      </c>
      <c r="S2432" t="s">
        <v>387</v>
      </c>
      <c r="U2432" t="s">
        <v>3127</v>
      </c>
      <c r="V2432" t="s">
        <v>398</v>
      </c>
      <c r="W2432" s="393">
        <v>17600</v>
      </c>
      <c r="X2432" s="393">
        <v>4.4000000000000004</v>
      </c>
      <c r="Y2432" s="393">
        <v>39.15</v>
      </c>
      <c r="Z2432" s="393">
        <v>17600</v>
      </c>
      <c r="AA2432">
        <v>0</v>
      </c>
      <c r="AB2432" s="400">
        <v>44623.795875543983</v>
      </c>
      <c r="AC2432" t="str">
        <f>+VLOOKUP(R2432,DRAFT!A:Q,17,0)</f>
        <v>MAE</v>
      </c>
    </row>
    <row r="2433" spans="1:29">
      <c r="A2433" t="s">
        <v>382</v>
      </c>
      <c r="B2433" t="s">
        <v>440</v>
      </c>
      <c r="C2433" t="s">
        <v>1362</v>
      </c>
      <c r="D2433" t="s">
        <v>1587</v>
      </c>
      <c r="E2433" t="s">
        <v>390</v>
      </c>
      <c r="F2433" t="s">
        <v>391</v>
      </c>
      <c r="G2433">
        <v>6200290</v>
      </c>
      <c r="H2433">
        <v>202202</v>
      </c>
      <c r="I2433" s="400">
        <v>44594</v>
      </c>
      <c r="J2433">
        <v>127949</v>
      </c>
      <c r="K2433" t="s">
        <v>386</v>
      </c>
      <c r="L2433" t="s">
        <v>2420</v>
      </c>
      <c r="M2433" t="s">
        <v>2421</v>
      </c>
      <c r="O2433" t="s">
        <v>512</v>
      </c>
      <c r="P2433" t="s">
        <v>513</v>
      </c>
      <c r="Q2433" t="s">
        <v>396</v>
      </c>
      <c r="R2433" s="458">
        <v>2265775</v>
      </c>
      <c r="S2433" t="s">
        <v>387</v>
      </c>
      <c r="U2433" t="s">
        <v>3127</v>
      </c>
      <c r="V2433" t="s">
        <v>398</v>
      </c>
      <c r="W2433" s="393">
        <v>15895</v>
      </c>
      <c r="X2433" s="393">
        <v>3.97</v>
      </c>
      <c r="Y2433" s="393">
        <v>35.36</v>
      </c>
      <c r="Z2433" s="393">
        <v>15895</v>
      </c>
      <c r="AA2433">
        <v>0</v>
      </c>
      <c r="AB2433" s="400">
        <v>44623.795875543983</v>
      </c>
      <c r="AC2433" t="str">
        <f>+VLOOKUP(R2433,DRAFT!A:Q,17,0)</f>
        <v>MAE</v>
      </c>
    </row>
    <row r="2434" spans="1:29">
      <c r="A2434" t="s">
        <v>382</v>
      </c>
      <c r="B2434" t="s">
        <v>440</v>
      </c>
      <c r="C2434" t="s">
        <v>1362</v>
      </c>
      <c r="D2434" t="s">
        <v>1587</v>
      </c>
      <c r="E2434" t="s">
        <v>390</v>
      </c>
      <c r="F2434" t="s">
        <v>391</v>
      </c>
      <c r="G2434">
        <v>6200476</v>
      </c>
      <c r="H2434">
        <v>202202</v>
      </c>
      <c r="I2434" s="400">
        <v>44615</v>
      </c>
      <c r="J2434">
        <v>122536</v>
      </c>
      <c r="K2434" t="s">
        <v>386</v>
      </c>
      <c r="L2434" t="s">
        <v>2420</v>
      </c>
      <c r="M2434" t="s">
        <v>2421</v>
      </c>
      <c r="O2434" t="s">
        <v>1367</v>
      </c>
      <c r="P2434" t="s">
        <v>1368</v>
      </c>
      <c r="Q2434" t="s">
        <v>396</v>
      </c>
      <c r="R2434" s="458">
        <v>2265775</v>
      </c>
      <c r="S2434" t="s">
        <v>387</v>
      </c>
      <c r="U2434" t="s">
        <v>2958</v>
      </c>
      <c r="V2434" t="s">
        <v>398</v>
      </c>
      <c r="W2434" s="393">
        <v>951000</v>
      </c>
      <c r="X2434" s="393">
        <v>239.93</v>
      </c>
      <c r="Y2434" s="393">
        <v>2139.67</v>
      </c>
      <c r="Z2434" s="393">
        <v>951000</v>
      </c>
      <c r="AA2434">
        <v>222</v>
      </c>
      <c r="AB2434" s="400">
        <v>44628.616603784722</v>
      </c>
      <c r="AC2434" t="str">
        <f>+VLOOKUP(R2434,DRAFT!A:Q,17,0)</f>
        <v>MAE</v>
      </c>
    </row>
    <row r="2435" spans="1:29">
      <c r="A2435" t="s">
        <v>382</v>
      </c>
      <c r="B2435" t="s">
        <v>440</v>
      </c>
      <c r="C2435" t="s">
        <v>1362</v>
      </c>
      <c r="D2435" t="s">
        <v>1587</v>
      </c>
      <c r="E2435" t="s">
        <v>390</v>
      </c>
      <c r="F2435" t="s">
        <v>391</v>
      </c>
      <c r="G2435">
        <v>6200476</v>
      </c>
      <c r="H2435">
        <v>202202</v>
      </c>
      <c r="I2435" s="400">
        <v>44615</v>
      </c>
      <c r="J2435">
        <v>122536</v>
      </c>
      <c r="K2435" t="s">
        <v>386</v>
      </c>
      <c r="L2435" t="s">
        <v>2420</v>
      </c>
      <c r="M2435" t="s">
        <v>2421</v>
      </c>
      <c r="O2435" t="s">
        <v>1367</v>
      </c>
      <c r="P2435" t="s">
        <v>1368</v>
      </c>
      <c r="Q2435" t="s">
        <v>396</v>
      </c>
      <c r="R2435" s="458">
        <v>2265775</v>
      </c>
      <c r="S2435" t="s">
        <v>387</v>
      </c>
      <c r="U2435" t="s">
        <v>2958</v>
      </c>
      <c r="V2435" t="s">
        <v>398</v>
      </c>
      <c r="W2435" s="393">
        <v>34900</v>
      </c>
      <c r="X2435" s="393">
        <v>8.8000000000000007</v>
      </c>
      <c r="Y2435" s="393">
        <v>78.52</v>
      </c>
      <c r="Z2435" s="393">
        <v>34900</v>
      </c>
      <c r="AA2435">
        <v>0</v>
      </c>
      <c r="AB2435" s="400">
        <v>44628.616603935188</v>
      </c>
      <c r="AC2435" t="str">
        <f>+VLOOKUP(R2435,DRAFT!A:Q,17,0)</f>
        <v>MAE</v>
      </c>
    </row>
    <row r="2436" spans="1:29">
      <c r="A2436" t="s">
        <v>382</v>
      </c>
      <c r="B2436" t="s">
        <v>440</v>
      </c>
      <c r="C2436" t="s">
        <v>1362</v>
      </c>
      <c r="D2436" t="s">
        <v>1587</v>
      </c>
      <c r="E2436" t="s">
        <v>390</v>
      </c>
      <c r="F2436" t="s">
        <v>391</v>
      </c>
      <c r="G2436">
        <v>6200476</v>
      </c>
      <c r="H2436">
        <v>202202</v>
      </c>
      <c r="I2436" s="400">
        <v>44615</v>
      </c>
      <c r="J2436">
        <v>122536</v>
      </c>
      <c r="K2436" t="s">
        <v>386</v>
      </c>
      <c r="L2436" t="s">
        <v>2420</v>
      </c>
      <c r="M2436" t="s">
        <v>2421</v>
      </c>
      <c r="O2436" t="s">
        <v>512</v>
      </c>
      <c r="P2436" t="s">
        <v>513</v>
      </c>
      <c r="Q2436" t="s">
        <v>396</v>
      </c>
      <c r="R2436" s="458">
        <v>2265775</v>
      </c>
      <c r="S2436" t="s">
        <v>2959</v>
      </c>
      <c r="U2436" t="s">
        <v>2958</v>
      </c>
      <c r="V2436" t="s">
        <v>398</v>
      </c>
      <c r="W2436" s="393">
        <v>39242</v>
      </c>
      <c r="X2436" s="393">
        <v>9.9</v>
      </c>
      <c r="Y2436" s="393">
        <v>88.29</v>
      </c>
      <c r="Z2436" s="393">
        <v>39242</v>
      </c>
      <c r="AA2436">
        <v>222</v>
      </c>
      <c r="AB2436" s="400">
        <v>44628.616604131945</v>
      </c>
      <c r="AC2436" t="str">
        <f>+VLOOKUP(R2436,DRAFT!A:Q,17,0)</f>
        <v>MAE</v>
      </c>
    </row>
    <row r="2437" spans="1:29">
      <c r="A2437" t="s">
        <v>382</v>
      </c>
      <c r="B2437" t="s">
        <v>440</v>
      </c>
      <c r="C2437" t="s">
        <v>1362</v>
      </c>
      <c r="D2437" t="s">
        <v>1587</v>
      </c>
      <c r="E2437" t="s">
        <v>390</v>
      </c>
      <c r="F2437" t="s">
        <v>391</v>
      </c>
      <c r="G2437">
        <v>6200291</v>
      </c>
      <c r="H2437">
        <v>202202</v>
      </c>
      <c r="I2437" s="400">
        <v>44594</v>
      </c>
      <c r="J2437">
        <v>127949</v>
      </c>
      <c r="K2437" t="s">
        <v>386</v>
      </c>
      <c r="L2437" t="s">
        <v>2420</v>
      </c>
      <c r="M2437" t="s">
        <v>2421</v>
      </c>
      <c r="O2437" t="s">
        <v>1367</v>
      </c>
      <c r="P2437" t="s">
        <v>1368</v>
      </c>
      <c r="Q2437" t="s">
        <v>396</v>
      </c>
      <c r="R2437" s="458">
        <v>2265775</v>
      </c>
      <c r="S2437" t="s">
        <v>387</v>
      </c>
      <c r="U2437" t="s">
        <v>3128</v>
      </c>
      <c r="V2437" t="s">
        <v>398</v>
      </c>
      <c r="W2437" s="393">
        <v>189900</v>
      </c>
      <c r="X2437" s="393">
        <v>47.43</v>
      </c>
      <c r="Y2437" s="393">
        <v>422.4</v>
      </c>
      <c r="Z2437" s="393">
        <v>189900</v>
      </c>
      <c r="AA2437">
        <v>0</v>
      </c>
      <c r="AB2437" s="400">
        <v>44623.799579398146</v>
      </c>
      <c r="AC2437" t="str">
        <f>+VLOOKUP(R2437,DRAFT!A:Q,17,0)</f>
        <v>MAE</v>
      </c>
    </row>
    <row r="2438" spans="1:29">
      <c r="A2438" t="s">
        <v>382</v>
      </c>
      <c r="B2438" t="s">
        <v>440</v>
      </c>
      <c r="C2438" t="s">
        <v>1362</v>
      </c>
      <c r="D2438" t="s">
        <v>1587</v>
      </c>
      <c r="E2438" t="s">
        <v>390</v>
      </c>
      <c r="F2438" t="s">
        <v>391</v>
      </c>
      <c r="G2438">
        <v>6200291</v>
      </c>
      <c r="H2438">
        <v>202202</v>
      </c>
      <c r="I2438" s="400">
        <v>44594</v>
      </c>
      <c r="J2438">
        <v>127949</v>
      </c>
      <c r="K2438" t="s">
        <v>386</v>
      </c>
      <c r="L2438" t="s">
        <v>2420</v>
      </c>
      <c r="M2438" t="s">
        <v>2421</v>
      </c>
      <c r="O2438" t="s">
        <v>1367</v>
      </c>
      <c r="P2438" t="s">
        <v>1368</v>
      </c>
      <c r="Q2438" t="s">
        <v>396</v>
      </c>
      <c r="R2438" s="458">
        <v>2265775</v>
      </c>
      <c r="S2438" t="s">
        <v>387</v>
      </c>
      <c r="U2438" t="s">
        <v>3128</v>
      </c>
      <c r="V2438" t="s">
        <v>398</v>
      </c>
      <c r="W2438" s="393">
        <v>18200</v>
      </c>
      <c r="X2438" s="393">
        <v>4.55</v>
      </c>
      <c r="Y2438" s="393">
        <v>40.479999999999997</v>
      </c>
      <c r="Z2438" s="393">
        <v>18200</v>
      </c>
      <c r="AA2438">
        <v>0</v>
      </c>
      <c r="AB2438" s="400">
        <v>44623.799579398146</v>
      </c>
      <c r="AC2438" t="str">
        <f>+VLOOKUP(R2438,DRAFT!A:Q,17,0)</f>
        <v>MAE</v>
      </c>
    </row>
    <row r="2439" spans="1:29">
      <c r="A2439" t="s">
        <v>382</v>
      </c>
      <c r="B2439" t="s">
        <v>440</v>
      </c>
      <c r="C2439" t="s">
        <v>1362</v>
      </c>
      <c r="D2439" t="s">
        <v>1587</v>
      </c>
      <c r="E2439" t="s">
        <v>390</v>
      </c>
      <c r="F2439" t="s">
        <v>391</v>
      </c>
      <c r="G2439">
        <v>6200291</v>
      </c>
      <c r="H2439">
        <v>202202</v>
      </c>
      <c r="I2439" s="400">
        <v>44594</v>
      </c>
      <c r="J2439">
        <v>127949</v>
      </c>
      <c r="K2439" t="s">
        <v>386</v>
      </c>
      <c r="L2439" t="s">
        <v>2420</v>
      </c>
      <c r="M2439" t="s">
        <v>2421</v>
      </c>
      <c r="O2439" t="s">
        <v>512</v>
      </c>
      <c r="P2439" t="s">
        <v>513</v>
      </c>
      <c r="Q2439" t="s">
        <v>396</v>
      </c>
      <c r="R2439" s="458">
        <v>2265775</v>
      </c>
      <c r="S2439" t="s">
        <v>387</v>
      </c>
      <c r="U2439" t="s">
        <v>3128</v>
      </c>
      <c r="V2439" t="s">
        <v>398</v>
      </c>
      <c r="W2439" s="393">
        <v>23985</v>
      </c>
      <c r="X2439" s="393">
        <v>5.99</v>
      </c>
      <c r="Y2439" s="393">
        <v>53.35</v>
      </c>
      <c r="Z2439" s="393">
        <v>23985</v>
      </c>
      <c r="AA2439">
        <v>0</v>
      </c>
      <c r="AB2439" s="400">
        <v>44623.799579398146</v>
      </c>
      <c r="AC2439" t="str">
        <f>+VLOOKUP(R2439,DRAFT!A:Q,17,0)</f>
        <v>MAE</v>
      </c>
    </row>
    <row r="2440" spans="1:29">
      <c r="A2440" t="s">
        <v>382</v>
      </c>
      <c r="B2440" t="s">
        <v>440</v>
      </c>
      <c r="C2440" t="s">
        <v>1362</v>
      </c>
      <c r="D2440" t="s">
        <v>1587</v>
      </c>
      <c r="E2440" t="s">
        <v>390</v>
      </c>
      <c r="F2440" t="s">
        <v>391</v>
      </c>
      <c r="G2440">
        <v>6200372</v>
      </c>
      <c r="H2440">
        <v>202202</v>
      </c>
      <c r="I2440" s="400">
        <v>44600</v>
      </c>
      <c r="J2440">
        <v>127949</v>
      </c>
      <c r="K2440" t="s">
        <v>386</v>
      </c>
      <c r="L2440" t="s">
        <v>2420</v>
      </c>
      <c r="M2440" t="s">
        <v>2421</v>
      </c>
      <c r="O2440" t="s">
        <v>1367</v>
      </c>
      <c r="P2440" t="s">
        <v>1368</v>
      </c>
      <c r="Q2440" t="s">
        <v>396</v>
      </c>
      <c r="R2440" s="458">
        <v>2265775</v>
      </c>
      <c r="S2440" t="s">
        <v>2956</v>
      </c>
      <c r="U2440" t="s">
        <v>2957</v>
      </c>
      <c r="V2440" t="s">
        <v>398</v>
      </c>
      <c r="W2440" s="393">
        <v>1071000</v>
      </c>
      <c r="X2440" s="393">
        <v>272.66000000000003</v>
      </c>
      <c r="Y2440" s="393">
        <v>2411.2800000000002</v>
      </c>
      <c r="Z2440" s="393">
        <v>1071000</v>
      </c>
      <c r="AA2440">
        <v>222</v>
      </c>
      <c r="AB2440" s="400">
        <v>44626.916603472222</v>
      </c>
      <c r="AC2440" t="str">
        <f>+VLOOKUP(R2440,DRAFT!A:Q,17,0)</f>
        <v>MAE</v>
      </c>
    </row>
    <row r="2441" spans="1:29">
      <c r="A2441" t="s">
        <v>382</v>
      </c>
      <c r="B2441" t="s">
        <v>440</v>
      </c>
      <c r="C2441" t="s">
        <v>1362</v>
      </c>
      <c r="D2441" t="s">
        <v>1587</v>
      </c>
      <c r="E2441" t="s">
        <v>390</v>
      </c>
      <c r="F2441" t="s">
        <v>391</v>
      </c>
      <c r="G2441">
        <v>6200372</v>
      </c>
      <c r="H2441">
        <v>202202</v>
      </c>
      <c r="I2441" s="400">
        <v>44600</v>
      </c>
      <c r="J2441">
        <v>127949</v>
      </c>
      <c r="K2441" t="s">
        <v>386</v>
      </c>
      <c r="L2441" t="s">
        <v>2420</v>
      </c>
      <c r="M2441" t="s">
        <v>2421</v>
      </c>
      <c r="O2441" t="s">
        <v>1367</v>
      </c>
      <c r="P2441" t="s">
        <v>1368</v>
      </c>
      <c r="Q2441" t="s">
        <v>396</v>
      </c>
      <c r="R2441" s="458">
        <v>2265775</v>
      </c>
      <c r="S2441" t="s">
        <v>2956</v>
      </c>
      <c r="U2441" t="s">
        <v>2957</v>
      </c>
      <c r="V2441" t="s">
        <v>398</v>
      </c>
      <c r="W2441" s="393">
        <v>34900</v>
      </c>
      <c r="X2441" s="393">
        <v>8.8800000000000008</v>
      </c>
      <c r="Y2441" s="393">
        <v>78.569999999999993</v>
      </c>
      <c r="Z2441" s="393">
        <v>34900</v>
      </c>
      <c r="AA2441">
        <v>0</v>
      </c>
      <c r="AB2441" s="400">
        <v>44626.916603472222</v>
      </c>
      <c r="AC2441" t="str">
        <f>+VLOOKUP(R2441,DRAFT!A:Q,17,0)</f>
        <v>MAE</v>
      </c>
    </row>
    <row r="2442" spans="1:29">
      <c r="A2442" t="s">
        <v>382</v>
      </c>
      <c r="B2442" t="s">
        <v>440</v>
      </c>
      <c r="C2442" t="s">
        <v>1362</v>
      </c>
      <c r="D2442" t="s">
        <v>1587</v>
      </c>
      <c r="E2442" t="s">
        <v>390</v>
      </c>
      <c r="F2442" t="s">
        <v>391</v>
      </c>
      <c r="G2442">
        <v>6200372</v>
      </c>
      <c r="H2442">
        <v>202202</v>
      </c>
      <c r="I2442" s="400">
        <v>44600</v>
      </c>
      <c r="J2442">
        <v>127949</v>
      </c>
      <c r="K2442" t="s">
        <v>386</v>
      </c>
      <c r="L2442" t="s">
        <v>2420</v>
      </c>
      <c r="M2442" t="s">
        <v>2421</v>
      </c>
      <c r="O2442" t="s">
        <v>512</v>
      </c>
      <c r="P2442" t="s">
        <v>513</v>
      </c>
      <c r="Q2442" t="s">
        <v>396</v>
      </c>
      <c r="R2442" s="458">
        <v>2265775</v>
      </c>
      <c r="S2442" t="s">
        <v>2956</v>
      </c>
      <c r="U2442" t="s">
        <v>2957</v>
      </c>
      <c r="V2442" t="s">
        <v>398</v>
      </c>
      <c r="W2442" s="393">
        <v>39242</v>
      </c>
      <c r="X2442" s="393">
        <v>9.99</v>
      </c>
      <c r="Y2442" s="393">
        <v>88.35</v>
      </c>
      <c r="Z2442" s="393">
        <v>39242</v>
      </c>
      <c r="AA2442">
        <v>222</v>
      </c>
      <c r="AB2442" s="400">
        <v>44626.916603668978</v>
      </c>
      <c r="AC2442" t="str">
        <f>+VLOOKUP(R2442,DRAFT!A:Q,17,0)</f>
        <v>MAE</v>
      </c>
    </row>
    <row r="2443" spans="1:29">
      <c r="A2443" t="s">
        <v>382</v>
      </c>
      <c r="B2443" t="s">
        <v>440</v>
      </c>
      <c r="C2443" t="s">
        <v>1362</v>
      </c>
      <c r="D2443" t="s">
        <v>1587</v>
      </c>
      <c r="E2443" t="s">
        <v>390</v>
      </c>
      <c r="F2443" t="s">
        <v>391</v>
      </c>
      <c r="G2443">
        <v>6200292</v>
      </c>
      <c r="H2443">
        <v>202202</v>
      </c>
      <c r="I2443" s="400">
        <v>44594</v>
      </c>
      <c r="J2443">
        <v>127949</v>
      </c>
      <c r="K2443" t="s">
        <v>386</v>
      </c>
      <c r="L2443" t="s">
        <v>2420</v>
      </c>
      <c r="M2443" t="s">
        <v>2421</v>
      </c>
      <c r="O2443" t="s">
        <v>1367</v>
      </c>
      <c r="P2443" t="s">
        <v>1368</v>
      </c>
      <c r="Q2443" t="s">
        <v>396</v>
      </c>
      <c r="R2443" s="458">
        <v>2265775</v>
      </c>
      <c r="S2443" t="s">
        <v>387</v>
      </c>
      <c r="U2443" t="s">
        <v>3129</v>
      </c>
      <c r="V2443" t="s">
        <v>398</v>
      </c>
      <c r="W2443" s="393">
        <v>225000</v>
      </c>
      <c r="X2443" s="393">
        <v>56.19</v>
      </c>
      <c r="Y2443" s="393">
        <v>500.47</v>
      </c>
      <c r="Z2443" s="393">
        <v>225000</v>
      </c>
      <c r="AA2443">
        <v>0</v>
      </c>
      <c r="AB2443" s="400">
        <v>44623.803152928238</v>
      </c>
      <c r="AC2443" t="str">
        <f>+VLOOKUP(R2443,DRAFT!A:Q,17,0)</f>
        <v>MAE</v>
      </c>
    </row>
    <row r="2444" spans="1:29">
      <c r="A2444" t="s">
        <v>382</v>
      </c>
      <c r="B2444" t="s">
        <v>440</v>
      </c>
      <c r="C2444" t="s">
        <v>1362</v>
      </c>
      <c r="D2444" t="s">
        <v>1587</v>
      </c>
      <c r="E2444" t="s">
        <v>390</v>
      </c>
      <c r="F2444" t="s">
        <v>391</v>
      </c>
      <c r="G2444">
        <v>6200292</v>
      </c>
      <c r="H2444">
        <v>202202</v>
      </c>
      <c r="I2444" s="400">
        <v>44594</v>
      </c>
      <c r="J2444">
        <v>127949</v>
      </c>
      <c r="K2444" t="s">
        <v>386</v>
      </c>
      <c r="L2444" t="s">
        <v>2420</v>
      </c>
      <c r="M2444" t="s">
        <v>2421</v>
      </c>
      <c r="O2444" t="s">
        <v>1367</v>
      </c>
      <c r="P2444" t="s">
        <v>1368</v>
      </c>
      <c r="Q2444" t="s">
        <v>396</v>
      </c>
      <c r="R2444" s="458">
        <v>2265775</v>
      </c>
      <c r="S2444" t="s">
        <v>387</v>
      </c>
      <c r="U2444" t="s">
        <v>3129</v>
      </c>
      <c r="V2444" t="s">
        <v>398</v>
      </c>
      <c r="W2444" s="393">
        <v>16700</v>
      </c>
      <c r="X2444" s="393">
        <v>4.17</v>
      </c>
      <c r="Y2444" s="393">
        <v>37.15</v>
      </c>
      <c r="Z2444" s="393">
        <v>16700</v>
      </c>
      <c r="AA2444">
        <v>0</v>
      </c>
      <c r="AB2444" s="400">
        <v>44623.803152928238</v>
      </c>
      <c r="AC2444" t="str">
        <f>+VLOOKUP(R2444,DRAFT!A:Q,17,0)</f>
        <v>MAE</v>
      </c>
    </row>
    <row r="2445" spans="1:29">
      <c r="A2445" t="s">
        <v>382</v>
      </c>
      <c r="B2445" t="s">
        <v>440</v>
      </c>
      <c r="C2445" t="s">
        <v>1362</v>
      </c>
      <c r="D2445" t="s">
        <v>1587</v>
      </c>
      <c r="E2445" t="s">
        <v>390</v>
      </c>
      <c r="F2445" t="s">
        <v>391</v>
      </c>
      <c r="G2445">
        <v>6200292</v>
      </c>
      <c r="H2445">
        <v>202202</v>
      </c>
      <c r="I2445" s="400">
        <v>44594</v>
      </c>
      <c r="J2445">
        <v>127949</v>
      </c>
      <c r="K2445" t="s">
        <v>386</v>
      </c>
      <c r="L2445" t="s">
        <v>2420</v>
      </c>
      <c r="M2445" t="s">
        <v>2421</v>
      </c>
      <c r="O2445" t="s">
        <v>512</v>
      </c>
      <c r="P2445" t="s">
        <v>513</v>
      </c>
      <c r="Q2445" t="s">
        <v>396</v>
      </c>
      <c r="R2445" s="458">
        <v>2265775</v>
      </c>
      <c r="S2445" t="s">
        <v>387</v>
      </c>
      <c r="U2445" t="s">
        <v>3129</v>
      </c>
      <c r="V2445" t="s">
        <v>398</v>
      </c>
      <c r="W2445" s="393">
        <v>23985</v>
      </c>
      <c r="X2445" s="393">
        <v>5.99</v>
      </c>
      <c r="Y2445" s="393">
        <v>53.35</v>
      </c>
      <c r="Z2445" s="393">
        <v>23985</v>
      </c>
      <c r="AA2445">
        <v>0</v>
      </c>
      <c r="AB2445" s="400">
        <v>44623.803152928238</v>
      </c>
      <c r="AC2445" t="str">
        <f>+VLOOKUP(R2445,DRAFT!A:Q,17,0)</f>
        <v>MAE</v>
      </c>
    </row>
    <row r="2446" spans="1:29">
      <c r="A2446" t="s">
        <v>382</v>
      </c>
      <c r="B2446" t="s">
        <v>440</v>
      </c>
      <c r="C2446" t="s">
        <v>1362</v>
      </c>
      <c r="D2446" t="s">
        <v>1587</v>
      </c>
      <c r="E2446" t="s">
        <v>390</v>
      </c>
      <c r="F2446" t="s">
        <v>391</v>
      </c>
      <c r="G2446">
        <v>6200283</v>
      </c>
      <c r="H2446">
        <v>202202</v>
      </c>
      <c r="I2446" s="400">
        <v>44593</v>
      </c>
      <c r="J2446">
        <v>127949</v>
      </c>
      <c r="K2446" t="s">
        <v>386</v>
      </c>
      <c r="L2446" t="s">
        <v>1191</v>
      </c>
      <c r="M2446" t="s">
        <v>1192</v>
      </c>
      <c r="O2446" t="s">
        <v>509</v>
      </c>
      <c r="P2446" t="s">
        <v>510</v>
      </c>
      <c r="Q2446" t="s">
        <v>450</v>
      </c>
      <c r="R2446" s="458">
        <v>2069083</v>
      </c>
      <c r="S2446" t="s">
        <v>387</v>
      </c>
      <c r="U2446" t="s">
        <v>2960</v>
      </c>
      <c r="V2446" t="s">
        <v>398</v>
      </c>
      <c r="W2446" s="393">
        <v>130900</v>
      </c>
      <c r="X2446" s="393">
        <v>32.69</v>
      </c>
      <c r="Y2446" s="393">
        <v>291.16000000000003</v>
      </c>
      <c r="Z2446" s="393">
        <v>130900</v>
      </c>
      <c r="AA2446">
        <v>222</v>
      </c>
      <c r="AB2446" s="400">
        <v>44623.741473726855</v>
      </c>
      <c r="AC2446" t="str">
        <f>+VLOOKUP(R2446,DRAFT!A:Q,17,0)</f>
        <v>SUPPORT</v>
      </c>
    </row>
    <row r="2447" spans="1:29">
      <c r="A2447" t="s">
        <v>382</v>
      </c>
      <c r="B2447" t="s">
        <v>440</v>
      </c>
      <c r="C2447" t="s">
        <v>1362</v>
      </c>
      <c r="D2447" t="s">
        <v>1587</v>
      </c>
      <c r="E2447" t="s">
        <v>390</v>
      </c>
      <c r="F2447" t="s">
        <v>391</v>
      </c>
      <c r="G2447">
        <v>6200283</v>
      </c>
      <c r="H2447">
        <v>202202</v>
      </c>
      <c r="I2447" s="400">
        <v>44593</v>
      </c>
      <c r="J2447">
        <v>127949</v>
      </c>
      <c r="K2447" t="s">
        <v>386</v>
      </c>
      <c r="L2447" t="s">
        <v>1191</v>
      </c>
      <c r="M2447" t="s">
        <v>1192</v>
      </c>
      <c r="O2447" t="s">
        <v>509</v>
      </c>
      <c r="P2447" t="s">
        <v>510</v>
      </c>
      <c r="Q2447" t="s">
        <v>450</v>
      </c>
      <c r="R2447" s="458">
        <v>2069083</v>
      </c>
      <c r="S2447" t="s">
        <v>387</v>
      </c>
      <c r="U2447" t="s">
        <v>2960</v>
      </c>
      <c r="V2447" t="s">
        <v>398</v>
      </c>
      <c r="W2447" s="393">
        <v>17600</v>
      </c>
      <c r="X2447" s="393">
        <v>4.4000000000000004</v>
      </c>
      <c r="Y2447" s="393">
        <v>39.15</v>
      </c>
      <c r="Z2447" s="393">
        <v>17600</v>
      </c>
      <c r="AA2447">
        <v>0</v>
      </c>
      <c r="AB2447" s="400">
        <v>44623.741473877315</v>
      </c>
      <c r="AC2447" t="str">
        <f>+VLOOKUP(R2447,DRAFT!A:Q,17,0)</f>
        <v>SUPPORT</v>
      </c>
    </row>
    <row r="2448" spans="1:29">
      <c r="A2448" t="s">
        <v>382</v>
      </c>
      <c r="B2448" t="s">
        <v>440</v>
      </c>
      <c r="C2448" t="s">
        <v>1362</v>
      </c>
      <c r="D2448" t="s">
        <v>1587</v>
      </c>
      <c r="E2448" t="s">
        <v>390</v>
      </c>
      <c r="F2448" t="s">
        <v>391</v>
      </c>
      <c r="G2448">
        <v>6200283</v>
      </c>
      <c r="H2448">
        <v>202202</v>
      </c>
      <c r="I2448" s="400">
        <v>44593</v>
      </c>
      <c r="J2448">
        <v>127949</v>
      </c>
      <c r="K2448" t="s">
        <v>386</v>
      </c>
      <c r="L2448" t="s">
        <v>1191</v>
      </c>
      <c r="M2448" t="s">
        <v>1192</v>
      </c>
      <c r="O2448" t="s">
        <v>512</v>
      </c>
      <c r="P2448" t="s">
        <v>513</v>
      </c>
      <c r="Q2448" t="s">
        <v>450</v>
      </c>
      <c r="R2448" s="458">
        <v>2069083</v>
      </c>
      <c r="S2448" t="s">
        <v>387</v>
      </c>
      <c r="U2448" t="s">
        <v>2960</v>
      </c>
      <c r="V2448" t="s">
        <v>398</v>
      </c>
      <c r="W2448" s="393">
        <v>15895</v>
      </c>
      <c r="X2448" s="393">
        <v>3.97</v>
      </c>
      <c r="Y2448" s="393">
        <v>35.36</v>
      </c>
      <c r="Z2448" s="393">
        <v>15895</v>
      </c>
      <c r="AA2448">
        <v>222</v>
      </c>
      <c r="AB2448" s="400">
        <v>44623.741473877315</v>
      </c>
      <c r="AC2448" t="str">
        <f>+VLOOKUP(R2448,DRAFT!A:Q,17,0)</f>
        <v>SUPPORT</v>
      </c>
    </row>
    <row r="2449" spans="1:29">
      <c r="A2449" t="s">
        <v>382</v>
      </c>
      <c r="B2449" t="s">
        <v>440</v>
      </c>
      <c r="C2449" t="s">
        <v>1362</v>
      </c>
      <c r="D2449" t="s">
        <v>1587</v>
      </c>
      <c r="E2449" t="s">
        <v>390</v>
      </c>
      <c r="F2449" t="s">
        <v>391</v>
      </c>
      <c r="G2449">
        <v>6200314</v>
      </c>
      <c r="H2449">
        <v>202202</v>
      </c>
      <c r="I2449" s="400">
        <v>44594</v>
      </c>
      <c r="J2449">
        <v>127949</v>
      </c>
      <c r="K2449" t="s">
        <v>386</v>
      </c>
      <c r="L2449" t="s">
        <v>1191</v>
      </c>
      <c r="M2449" t="s">
        <v>1192</v>
      </c>
      <c r="O2449" t="s">
        <v>1367</v>
      </c>
      <c r="P2449" t="s">
        <v>1368</v>
      </c>
      <c r="Q2449" t="s">
        <v>450</v>
      </c>
      <c r="R2449" s="458">
        <v>2069083</v>
      </c>
      <c r="S2449" t="s">
        <v>387</v>
      </c>
      <c r="U2449" t="s">
        <v>2961</v>
      </c>
      <c r="V2449" t="s">
        <v>398</v>
      </c>
      <c r="W2449" s="393">
        <v>180000</v>
      </c>
      <c r="X2449" s="393">
        <v>44.96</v>
      </c>
      <c r="Y2449" s="393">
        <v>400.38</v>
      </c>
      <c r="Z2449" s="393">
        <v>180000</v>
      </c>
      <c r="AA2449">
        <v>222</v>
      </c>
      <c r="AB2449" s="400">
        <v>44624.112751504632</v>
      </c>
      <c r="AC2449" t="str">
        <f>+VLOOKUP(R2449,DRAFT!A:Q,17,0)</f>
        <v>SUPPORT</v>
      </c>
    </row>
    <row r="2450" spans="1:29">
      <c r="A2450" t="s">
        <v>382</v>
      </c>
      <c r="B2450" t="s">
        <v>440</v>
      </c>
      <c r="C2450" t="s">
        <v>1362</v>
      </c>
      <c r="D2450" t="s">
        <v>1587</v>
      </c>
      <c r="E2450" t="s">
        <v>390</v>
      </c>
      <c r="F2450" t="s">
        <v>391</v>
      </c>
      <c r="G2450">
        <v>6200314</v>
      </c>
      <c r="H2450">
        <v>202202</v>
      </c>
      <c r="I2450" s="400">
        <v>44594</v>
      </c>
      <c r="J2450">
        <v>127949</v>
      </c>
      <c r="K2450" t="s">
        <v>386</v>
      </c>
      <c r="L2450" t="s">
        <v>1191</v>
      </c>
      <c r="M2450" t="s">
        <v>1192</v>
      </c>
      <c r="O2450" t="s">
        <v>1367</v>
      </c>
      <c r="P2450" t="s">
        <v>1368</v>
      </c>
      <c r="Q2450" t="s">
        <v>450</v>
      </c>
      <c r="R2450" s="458">
        <v>2069083</v>
      </c>
      <c r="S2450" t="s">
        <v>387</v>
      </c>
      <c r="U2450" t="s">
        <v>2961</v>
      </c>
      <c r="V2450" t="s">
        <v>398</v>
      </c>
      <c r="W2450" s="393">
        <v>16700</v>
      </c>
      <c r="X2450" s="393">
        <v>4.17</v>
      </c>
      <c r="Y2450" s="393">
        <v>37.15</v>
      </c>
      <c r="Z2450" s="393">
        <v>16700</v>
      </c>
      <c r="AA2450">
        <v>0</v>
      </c>
      <c r="AB2450" s="400">
        <v>44624.112751504632</v>
      </c>
      <c r="AC2450" t="str">
        <f>+VLOOKUP(R2450,DRAFT!A:Q,17,0)</f>
        <v>SUPPORT</v>
      </c>
    </row>
    <row r="2451" spans="1:29">
      <c r="A2451" t="s">
        <v>382</v>
      </c>
      <c r="B2451" t="s">
        <v>440</v>
      </c>
      <c r="C2451" t="s">
        <v>1362</v>
      </c>
      <c r="D2451" t="s">
        <v>1587</v>
      </c>
      <c r="E2451" t="s">
        <v>390</v>
      </c>
      <c r="F2451" t="s">
        <v>391</v>
      </c>
      <c r="G2451">
        <v>6200314</v>
      </c>
      <c r="H2451">
        <v>202202</v>
      </c>
      <c r="I2451" s="400">
        <v>44594</v>
      </c>
      <c r="J2451">
        <v>127949</v>
      </c>
      <c r="K2451" t="s">
        <v>386</v>
      </c>
      <c r="L2451" t="s">
        <v>1191</v>
      </c>
      <c r="M2451" t="s">
        <v>1192</v>
      </c>
      <c r="O2451" t="s">
        <v>512</v>
      </c>
      <c r="P2451" t="s">
        <v>513</v>
      </c>
      <c r="Q2451" t="s">
        <v>450</v>
      </c>
      <c r="R2451" s="458">
        <v>2069083</v>
      </c>
      <c r="S2451" t="s">
        <v>387</v>
      </c>
      <c r="U2451" t="s">
        <v>2961</v>
      </c>
      <c r="V2451" t="s">
        <v>398</v>
      </c>
      <c r="W2451" s="393">
        <v>23985</v>
      </c>
      <c r="X2451" s="393">
        <v>5.99</v>
      </c>
      <c r="Y2451" s="393">
        <v>53.35</v>
      </c>
      <c r="Z2451" s="393">
        <v>23985</v>
      </c>
      <c r="AA2451">
        <v>222</v>
      </c>
      <c r="AB2451" s="400">
        <v>44624.112751504632</v>
      </c>
      <c r="AC2451" t="str">
        <f>+VLOOKUP(R2451,DRAFT!A:Q,17,0)</f>
        <v>SUPPORT</v>
      </c>
    </row>
    <row r="2452" spans="1:29">
      <c r="A2452" t="s">
        <v>382</v>
      </c>
      <c r="B2452" t="s">
        <v>440</v>
      </c>
      <c r="C2452" t="s">
        <v>1362</v>
      </c>
      <c r="D2452" t="s">
        <v>1587</v>
      </c>
      <c r="E2452" t="s">
        <v>390</v>
      </c>
      <c r="F2452" t="s">
        <v>391</v>
      </c>
      <c r="G2452">
        <v>6200987</v>
      </c>
      <c r="H2452">
        <v>202203</v>
      </c>
      <c r="I2452" s="400">
        <v>44651</v>
      </c>
      <c r="J2452">
        <v>127949</v>
      </c>
      <c r="K2452" t="s">
        <v>386</v>
      </c>
      <c r="L2452" t="s">
        <v>2420</v>
      </c>
      <c r="M2452" t="s">
        <v>2421</v>
      </c>
      <c r="O2452" t="s">
        <v>1367</v>
      </c>
      <c r="P2452" t="s">
        <v>1368</v>
      </c>
      <c r="Q2452" t="s">
        <v>396</v>
      </c>
      <c r="R2452" s="458">
        <v>2265775</v>
      </c>
      <c r="S2452" t="s">
        <v>2964</v>
      </c>
      <c r="U2452" t="s">
        <v>2965</v>
      </c>
      <c r="V2452" t="s">
        <v>398</v>
      </c>
      <c r="W2452" s="393">
        <v>520000</v>
      </c>
      <c r="X2452" s="393">
        <v>130.97999999999999</v>
      </c>
      <c r="Y2452" s="393">
        <v>1151.44</v>
      </c>
      <c r="Z2452" s="393">
        <v>520000</v>
      </c>
      <c r="AA2452">
        <v>0</v>
      </c>
      <c r="AB2452" s="400">
        <v>44658.700476238424</v>
      </c>
      <c r="AC2452" t="str">
        <f>+VLOOKUP(R2452,DRAFT!A:Q,17,0)</f>
        <v>MAE</v>
      </c>
    </row>
    <row r="2453" spans="1:29">
      <c r="A2453" t="s">
        <v>382</v>
      </c>
      <c r="B2453" t="s">
        <v>440</v>
      </c>
      <c r="C2453" t="s">
        <v>1362</v>
      </c>
      <c r="D2453" t="s">
        <v>1587</v>
      </c>
      <c r="E2453" t="s">
        <v>390</v>
      </c>
      <c r="F2453" t="s">
        <v>391</v>
      </c>
      <c r="G2453">
        <v>6200987</v>
      </c>
      <c r="H2453">
        <v>202203</v>
      </c>
      <c r="I2453" s="400">
        <v>44651</v>
      </c>
      <c r="J2453">
        <v>127949</v>
      </c>
      <c r="K2453" t="s">
        <v>386</v>
      </c>
      <c r="L2453" t="s">
        <v>2420</v>
      </c>
      <c r="M2453" t="s">
        <v>2421</v>
      </c>
      <c r="O2453" t="s">
        <v>1367</v>
      </c>
      <c r="P2453" t="s">
        <v>1368</v>
      </c>
      <c r="Q2453" t="s">
        <v>396</v>
      </c>
      <c r="R2453" s="458">
        <v>2265775</v>
      </c>
      <c r="S2453" t="s">
        <v>2964</v>
      </c>
      <c r="U2453" t="s">
        <v>2965</v>
      </c>
      <c r="V2453" t="s">
        <v>398</v>
      </c>
      <c r="W2453" s="393">
        <v>34900</v>
      </c>
      <c r="X2453" s="393">
        <v>8.7899999999999991</v>
      </c>
      <c r="Y2453" s="393">
        <v>77.28</v>
      </c>
      <c r="Z2453" s="393">
        <v>34900</v>
      </c>
      <c r="AA2453">
        <v>0</v>
      </c>
      <c r="AB2453" s="400">
        <v>44658.700476238424</v>
      </c>
      <c r="AC2453" t="str">
        <f>+VLOOKUP(R2453,DRAFT!A:Q,17,0)</f>
        <v>MAE</v>
      </c>
    </row>
    <row r="2454" spans="1:29">
      <c r="A2454" t="s">
        <v>382</v>
      </c>
      <c r="B2454" t="s">
        <v>440</v>
      </c>
      <c r="C2454" t="s">
        <v>1362</v>
      </c>
      <c r="D2454" t="s">
        <v>1587</v>
      </c>
      <c r="E2454" t="s">
        <v>390</v>
      </c>
      <c r="F2454" t="s">
        <v>391</v>
      </c>
      <c r="G2454">
        <v>6200987</v>
      </c>
      <c r="H2454">
        <v>202203</v>
      </c>
      <c r="I2454" s="400">
        <v>44651</v>
      </c>
      <c r="J2454">
        <v>127949</v>
      </c>
      <c r="K2454" t="s">
        <v>386</v>
      </c>
      <c r="L2454" t="s">
        <v>2420</v>
      </c>
      <c r="M2454" t="s">
        <v>2421</v>
      </c>
      <c r="O2454" t="s">
        <v>512</v>
      </c>
      <c r="P2454" t="s">
        <v>513</v>
      </c>
      <c r="Q2454" t="s">
        <v>396</v>
      </c>
      <c r="R2454" s="458">
        <v>2265775</v>
      </c>
      <c r="S2454" t="s">
        <v>2964</v>
      </c>
      <c r="U2454" t="s">
        <v>2965</v>
      </c>
      <c r="V2454" t="s">
        <v>398</v>
      </c>
      <c r="W2454" s="393">
        <v>60732</v>
      </c>
      <c r="X2454" s="393">
        <v>15.3</v>
      </c>
      <c r="Y2454" s="393">
        <v>134.47999999999999</v>
      </c>
      <c r="Z2454" s="393">
        <v>60732</v>
      </c>
      <c r="AA2454">
        <v>0</v>
      </c>
      <c r="AB2454" s="400">
        <v>44658.700476238424</v>
      </c>
      <c r="AC2454" t="str">
        <f>+VLOOKUP(R2454,DRAFT!A:Q,17,0)</f>
        <v>MAE</v>
      </c>
    </row>
    <row r="2455" spans="1:29">
      <c r="A2455" t="s">
        <v>382</v>
      </c>
      <c r="B2455" t="s">
        <v>440</v>
      </c>
      <c r="C2455" t="s">
        <v>1362</v>
      </c>
      <c r="D2455" t="s">
        <v>1587</v>
      </c>
      <c r="E2455" t="s">
        <v>390</v>
      </c>
      <c r="F2455" t="s">
        <v>391</v>
      </c>
      <c r="G2455">
        <v>6200744</v>
      </c>
      <c r="H2455">
        <v>202203</v>
      </c>
      <c r="I2455" s="400">
        <v>44629</v>
      </c>
      <c r="J2455">
        <v>122536</v>
      </c>
      <c r="K2455" t="s">
        <v>386</v>
      </c>
      <c r="L2455" t="s">
        <v>2420</v>
      </c>
      <c r="M2455" t="s">
        <v>2421</v>
      </c>
      <c r="O2455" t="s">
        <v>1367</v>
      </c>
      <c r="P2455" t="s">
        <v>1368</v>
      </c>
      <c r="Q2455" t="s">
        <v>396</v>
      </c>
      <c r="R2455" s="458">
        <v>2265775</v>
      </c>
      <c r="S2455" t="s">
        <v>387</v>
      </c>
      <c r="U2455" t="s">
        <v>2963</v>
      </c>
      <c r="V2455" t="s">
        <v>398</v>
      </c>
      <c r="W2455" s="393">
        <v>425000</v>
      </c>
      <c r="X2455" s="393">
        <v>110.02</v>
      </c>
      <c r="Y2455" s="393">
        <v>981.17</v>
      </c>
      <c r="Z2455" s="393">
        <v>425000</v>
      </c>
      <c r="AA2455">
        <v>222</v>
      </c>
      <c r="AB2455" s="400">
        <v>44651.750575081016</v>
      </c>
      <c r="AC2455" t="str">
        <f>+VLOOKUP(R2455,DRAFT!A:Q,17,0)</f>
        <v>MAE</v>
      </c>
    </row>
    <row r="2456" spans="1:29">
      <c r="A2456" t="s">
        <v>382</v>
      </c>
      <c r="B2456" t="s">
        <v>440</v>
      </c>
      <c r="C2456" t="s">
        <v>1362</v>
      </c>
      <c r="D2456" t="s">
        <v>1587</v>
      </c>
      <c r="E2456" t="s">
        <v>390</v>
      </c>
      <c r="F2456" t="s">
        <v>391</v>
      </c>
      <c r="G2456">
        <v>6200744</v>
      </c>
      <c r="H2456">
        <v>202203</v>
      </c>
      <c r="I2456" s="400">
        <v>44629</v>
      </c>
      <c r="J2456">
        <v>122536</v>
      </c>
      <c r="K2456" t="s">
        <v>386</v>
      </c>
      <c r="L2456" t="s">
        <v>2420</v>
      </c>
      <c r="M2456" t="s">
        <v>2421</v>
      </c>
      <c r="O2456" t="s">
        <v>1367</v>
      </c>
      <c r="P2456" t="s">
        <v>1368</v>
      </c>
      <c r="Q2456" t="s">
        <v>396</v>
      </c>
      <c r="R2456" s="458">
        <v>2265775</v>
      </c>
      <c r="S2456" t="s">
        <v>387</v>
      </c>
      <c r="U2456" t="s">
        <v>2963</v>
      </c>
      <c r="V2456" t="s">
        <v>398</v>
      </c>
      <c r="W2456" s="393">
        <v>34900</v>
      </c>
      <c r="X2456" s="393">
        <v>9.0299999999999994</v>
      </c>
      <c r="Y2456" s="393">
        <v>80.569999999999993</v>
      </c>
      <c r="Z2456" s="393">
        <v>34900</v>
      </c>
      <c r="AA2456">
        <v>0</v>
      </c>
      <c r="AB2456" s="400">
        <v>44651.750575081016</v>
      </c>
      <c r="AC2456" t="str">
        <f>+VLOOKUP(R2456,DRAFT!A:Q,17,0)</f>
        <v>MAE</v>
      </c>
    </row>
    <row r="2457" spans="1:29">
      <c r="A2457" t="s">
        <v>382</v>
      </c>
      <c r="B2457" t="s">
        <v>440</v>
      </c>
      <c r="C2457" t="s">
        <v>1362</v>
      </c>
      <c r="D2457" t="s">
        <v>1587</v>
      </c>
      <c r="E2457" t="s">
        <v>390</v>
      </c>
      <c r="F2457" t="s">
        <v>391</v>
      </c>
      <c r="G2457">
        <v>6200744</v>
      </c>
      <c r="H2457">
        <v>202203</v>
      </c>
      <c r="I2457" s="400">
        <v>44629</v>
      </c>
      <c r="J2457">
        <v>122536</v>
      </c>
      <c r="K2457" t="s">
        <v>386</v>
      </c>
      <c r="L2457" t="s">
        <v>2420</v>
      </c>
      <c r="M2457" t="s">
        <v>2421</v>
      </c>
      <c r="O2457" t="s">
        <v>512</v>
      </c>
      <c r="P2457" t="s">
        <v>513</v>
      </c>
      <c r="Q2457" t="s">
        <v>396</v>
      </c>
      <c r="R2457" s="458">
        <v>2265775</v>
      </c>
      <c r="S2457" t="s">
        <v>387</v>
      </c>
      <c r="U2457" t="s">
        <v>2963</v>
      </c>
      <c r="V2457" t="s">
        <v>398</v>
      </c>
      <c r="W2457" s="393">
        <v>39242</v>
      </c>
      <c r="X2457" s="393">
        <v>10.16</v>
      </c>
      <c r="Y2457" s="393">
        <v>90.6</v>
      </c>
      <c r="Z2457" s="393">
        <v>39242</v>
      </c>
      <c r="AA2457">
        <v>222</v>
      </c>
      <c r="AB2457" s="400">
        <v>44651.750575081016</v>
      </c>
      <c r="AC2457" t="str">
        <f>+VLOOKUP(R2457,DRAFT!A:Q,17,0)</f>
        <v>MAE</v>
      </c>
    </row>
    <row r="2458" spans="1:29">
      <c r="A2458" t="s">
        <v>382</v>
      </c>
      <c r="B2458" t="s">
        <v>440</v>
      </c>
      <c r="C2458" t="s">
        <v>1362</v>
      </c>
      <c r="D2458" t="s">
        <v>1587</v>
      </c>
      <c r="E2458" t="s">
        <v>390</v>
      </c>
      <c r="F2458" t="s">
        <v>391</v>
      </c>
      <c r="G2458">
        <v>6200987</v>
      </c>
      <c r="H2458">
        <v>202203</v>
      </c>
      <c r="I2458" s="400">
        <v>44651</v>
      </c>
      <c r="J2458">
        <v>127949</v>
      </c>
      <c r="K2458" t="s">
        <v>386</v>
      </c>
      <c r="L2458" t="s">
        <v>2420</v>
      </c>
      <c r="M2458" t="s">
        <v>2421</v>
      </c>
      <c r="O2458" t="s">
        <v>1367</v>
      </c>
      <c r="P2458" t="s">
        <v>1368</v>
      </c>
      <c r="Q2458" t="s">
        <v>396</v>
      </c>
      <c r="R2458" s="458">
        <v>2265776</v>
      </c>
      <c r="S2458" t="s">
        <v>2964</v>
      </c>
      <c r="U2458" t="s">
        <v>2965</v>
      </c>
      <c r="V2458" t="s">
        <v>398</v>
      </c>
      <c r="W2458" s="393">
        <v>-520000</v>
      </c>
      <c r="X2458" s="393">
        <v>-130.97999999999999</v>
      </c>
      <c r="Y2458" s="393">
        <v>-1151.44</v>
      </c>
      <c r="Z2458" s="393">
        <v>-520000</v>
      </c>
      <c r="AA2458">
        <v>0</v>
      </c>
      <c r="AB2458" s="400">
        <v>44658.700476238424</v>
      </c>
      <c r="AC2458" t="str">
        <f>+VLOOKUP(R2458,DRAFT!A:Q,17,0)</f>
        <v>MAE</v>
      </c>
    </row>
    <row r="2459" spans="1:29">
      <c r="A2459" t="s">
        <v>382</v>
      </c>
      <c r="B2459" t="s">
        <v>440</v>
      </c>
      <c r="C2459" t="s">
        <v>1362</v>
      </c>
      <c r="D2459" t="s">
        <v>1587</v>
      </c>
      <c r="E2459" t="s">
        <v>390</v>
      </c>
      <c r="F2459" t="s">
        <v>391</v>
      </c>
      <c r="G2459">
        <v>6200987</v>
      </c>
      <c r="H2459">
        <v>202203</v>
      </c>
      <c r="I2459" s="400">
        <v>44651</v>
      </c>
      <c r="J2459">
        <v>127949</v>
      </c>
      <c r="K2459" t="s">
        <v>386</v>
      </c>
      <c r="L2459" t="s">
        <v>2420</v>
      </c>
      <c r="M2459" t="s">
        <v>2421</v>
      </c>
      <c r="O2459" t="s">
        <v>1367</v>
      </c>
      <c r="P2459" t="s">
        <v>1368</v>
      </c>
      <c r="Q2459" t="s">
        <v>396</v>
      </c>
      <c r="R2459" s="458">
        <v>2265776</v>
      </c>
      <c r="S2459" t="s">
        <v>2964</v>
      </c>
      <c r="U2459" t="s">
        <v>2965</v>
      </c>
      <c r="V2459" t="s">
        <v>398</v>
      </c>
      <c r="W2459" s="393">
        <v>-34900</v>
      </c>
      <c r="X2459" s="393">
        <v>-8.7899999999999991</v>
      </c>
      <c r="Y2459" s="393">
        <v>-77.28</v>
      </c>
      <c r="Z2459" s="393">
        <v>-34900</v>
      </c>
      <c r="AA2459">
        <v>0</v>
      </c>
      <c r="AB2459" s="400">
        <v>44658.700476238424</v>
      </c>
      <c r="AC2459" t="str">
        <f>+VLOOKUP(R2459,DRAFT!A:Q,17,0)</f>
        <v>MAE</v>
      </c>
    </row>
    <row r="2460" spans="1:29">
      <c r="A2460" t="s">
        <v>382</v>
      </c>
      <c r="B2460" t="s">
        <v>440</v>
      </c>
      <c r="C2460" t="s">
        <v>1362</v>
      </c>
      <c r="D2460" t="s">
        <v>1587</v>
      </c>
      <c r="E2460" t="s">
        <v>390</v>
      </c>
      <c r="F2460" t="s">
        <v>391</v>
      </c>
      <c r="G2460">
        <v>6200987</v>
      </c>
      <c r="H2460">
        <v>202203</v>
      </c>
      <c r="I2460" s="400">
        <v>44651</v>
      </c>
      <c r="J2460">
        <v>127949</v>
      </c>
      <c r="K2460" t="s">
        <v>386</v>
      </c>
      <c r="L2460" t="s">
        <v>2420</v>
      </c>
      <c r="M2460" t="s">
        <v>2421</v>
      </c>
      <c r="O2460" t="s">
        <v>512</v>
      </c>
      <c r="P2460" t="s">
        <v>513</v>
      </c>
      <c r="Q2460" t="s">
        <v>396</v>
      </c>
      <c r="R2460" s="458">
        <v>2265776</v>
      </c>
      <c r="S2460" t="s">
        <v>2964</v>
      </c>
      <c r="U2460" t="s">
        <v>2965</v>
      </c>
      <c r="V2460" t="s">
        <v>398</v>
      </c>
      <c r="W2460" s="393">
        <v>-60732</v>
      </c>
      <c r="X2460" s="393">
        <v>-15.3</v>
      </c>
      <c r="Y2460" s="393">
        <v>-134.47999999999999</v>
      </c>
      <c r="Z2460" s="393">
        <v>-60732</v>
      </c>
      <c r="AA2460">
        <v>0</v>
      </c>
      <c r="AB2460" s="400">
        <v>44658.700476238424</v>
      </c>
      <c r="AC2460" t="str">
        <f>+VLOOKUP(R2460,DRAFT!A:Q,17,0)</f>
        <v>MAE</v>
      </c>
    </row>
    <row r="2461" spans="1:29">
      <c r="A2461" t="s">
        <v>382</v>
      </c>
      <c r="B2461" t="s">
        <v>1214</v>
      </c>
      <c r="C2461" t="s">
        <v>1362</v>
      </c>
      <c r="D2461" t="s">
        <v>1590</v>
      </c>
      <c r="E2461" t="s">
        <v>2565</v>
      </c>
      <c r="F2461" t="s">
        <v>2566</v>
      </c>
      <c r="G2461">
        <v>22200007</v>
      </c>
      <c r="H2461">
        <v>202201</v>
      </c>
      <c r="I2461" s="400">
        <v>44580</v>
      </c>
      <c r="J2461" t="s">
        <v>2567</v>
      </c>
      <c r="K2461" t="s">
        <v>386</v>
      </c>
      <c r="L2461" t="s">
        <v>2420</v>
      </c>
      <c r="M2461" t="s">
        <v>2421</v>
      </c>
      <c r="O2461" t="s">
        <v>2971</v>
      </c>
      <c r="P2461" t="s">
        <v>2972</v>
      </c>
      <c r="Q2461" t="s">
        <v>396</v>
      </c>
      <c r="R2461" s="458">
        <v>2265775</v>
      </c>
      <c r="S2461" t="s">
        <v>387</v>
      </c>
      <c r="U2461" t="s">
        <v>3131</v>
      </c>
      <c r="V2461" t="s">
        <v>398</v>
      </c>
      <c r="W2461" s="393">
        <v>188000</v>
      </c>
      <c r="X2461" s="393">
        <v>47.35</v>
      </c>
      <c r="Y2461" s="393">
        <v>416.29</v>
      </c>
      <c r="Z2461" s="393">
        <v>188000</v>
      </c>
      <c r="AA2461">
        <v>0</v>
      </c>
      <c r="AB2461" s="400">
        <v>44594.703216319445</v>
      </c>
      <c r="AC2461" t="str">
        <f>+VLOOKUP(R2461,DRAFT!A:Q,17,0)</f>
        <v>MAE</v>
      </c>
    </row>
    <row r="2462" spans="1:29">
      <c r="A2462" t="s">
        <v>382</v>
      </c>
      <c r="B2462" t="s">
        <v>1214</v>
      </c>
      <c r="C2462" t="s">
        <v>1362</v>
      </c>
      <c r="D2462" t="s">
        <v>1590</v>
      </c>
      <c r="E2462" t="s">
        <v>2565</v>
      </c>
      <c r="F2462" t="s">
        <v>2566</v>
      </c>
      <c r="G2462">
        <v>22200005</v>
      </c>
      <c r="H2462">
        <v>202201</v>
      </c>
      <c r="I2462" s="400">
        <v>44611</v>
      </c>
      <c r="J2462" t="s">
        <v>2567</v>
      </c>
      <c r="K2462" t="s">
        <v>386</v>
      </c>
      <c r="L2462" t="s">
        <v>2420</v>
      </c>
      <c r="M2462" t="s">
        <v>2421</v>
      </c>
      <c r="O2462" t="s">
        <v>587</v>
      </c>
      <c r="P2462" t="s">
        <v>588</v>
      </c>
      <c r="Q2462" t="s">
        <v>396</v>
      </c>
      <c r="R2462" s="458">
        <v>2265775</v>
      </c>
      <c r="S2462" t="s">
        <v>387</v>
      </c>
      <c r="U2462" t="s">
        <v>3131</v>
      </c>
      <c r="V2462" t="s">
        <v>398</v>
      </c>
      <c r="W2462" s="393">
        <v>188000</v>
      </c>
      <c r="X2462" s="393">
        <v>46.95</v>
      </c>
      <c r="Y2462" s="393">
        <v>418.17</v>
      </c>
      <c r="Z2462" s="393">
        <v>188000</v>
      </c>
      <c r="AA2462">
        <v>0</v>
      </c>
      <c r="AB2462" s="400">
        <v>44594.669841631941</v>
      </c>
      <c r="AC2462" t="str">
        <f>+VLOOKUP(R2462,DRAFT!A:Q,17,0)</f>
        <v>MAE</v>
      </c>
    </row>
    <row r="2463" spans="1:29">
      <c r="A2463" t="s">
        <v>382</v>
      </c>
      <c r="B2463" t="s">
        <v>440</v>
      </c>
      <c r="C2463" t="s">
        <v>1362</v>
      </c>
      <c r="D2463" t="s">
        <v>1590</v>
      </c>
      <c r="E2463" t="s">
        <v>390</v>
      </c>
      <c r="F2463" t="s">
        <v>391</v>
      </c>
      <c r="G2463">
        <v>6200026</v>
      </c>
      <c r="H2463">
        <v>202201</v>
      </c>
      <c r="I2463" s="400">
        <v>44575</v>
      </c>
      <c r="J2463">
        <v>124932</v>
      </c>
      <c r="K2463" t="s">
        <v>386</v>
      </c>
      <c r="L2463" t="s">
        <v>2420</v>
      </c>
      <c r="M2463" t="s">
        <v>2421</v>
      </c>
      <c r="O2463" t="s">
        <v>950</v>
      </c>
      <c r="P2463" t="s">
        <v>951</v>
      </c>
      <c r="Q2463" t="s">
        <v>396</v>
      </c>
      <c r="R2463" s="458">
        <v>2265775</v>
      </c>
      <c r="S2463" t="s">
        <v>387</v>
      </c>
      <c r="U2463" t="s">
        <v>3132</v>
      </c>
      <c r="V2463" t="s">
        <v>398</v>
      </c>
      <c r="W2463" s="393">
        <v>700000</v>
      </c>
      <c r="X2463" s="393">
        <v>176.32</v>
      </c>
      <c r="Y2463" s="393">
        <v>1550.01</v>
      </c>
      <c r="Z2463" s="393">
        <v>700000</v>
      </c>
      <c r="AA2463">
        <v>0</v>
      </c>
      <c r="AB2463" s="400">
        <v>44593.734059027774</v>
      </c>
      <c r="AC2463" t="str">
        <f>+VLOOKUP(R2463,DRAFT!A:Q,17,0)</f>
        <v>MAE</v>
      </c>
    </row>
    <row r="2464" spans="1:29">
      <c r="A2464" t="s">
        <v>382</v>
      </c>
      <c r="B2464" t="s">
        <v>1214</v>
      </c>
      <c r="C2464" t="s">
        <v>1362</v>
      </c>
      <c r="D2464" t="s">
        <v>1590</v>
      </c>
      <c r="E2464" t="s">
        <v>2565</v>
      </c>
      <c r="F2464" t="s">
        <v>2566</v>
      </c>
      <c r="G2464">
        <v>22200006</v>
      </c>
      <c r="H2464">
        <v>202201</v>
      </c>
      <c r="I2464" s="400">
        <v>44611</v>
      </c>
      <c r="J2464" t="s">
        <v>2567</v>
      </c>
      <c r="K2464" t="s">
        <v>386</v>
      </c>
      <c r="L2464" t="s">
        <v>2420</v>
      </c>
      <c r="M2464" t="s">
        <v>2421</v>
      </c>
      <c r="O2464" t="s">
        <v>587</v>
      </c>
      <c r="P2464" t="s">
        <v>588</v>
      </c>
      <c r="Q2464" t="s">
        <v>396</v>
      </c>
      <c r="R2464" s="458">
        <v>2265775</v>
      </c>
      <c r="S2464" t="s">
        <v>387</v>
      </c>
      <c r="U2464" t="s">
        <v>3130</v>
      </c>
      <c r="V2464" t="s">
        <v>398</v>
      </c>
      <c r="W2464" s="393">
        <v>-188000</v>
      </c>
      <c r="X2464" s="393">
        <v>-46.95</v>
      </c>
      <c r="Y2464" s="393">
        <v>-418.17</v>
      </c>
      <c r="Z2464" s="393">
        <v>-188000</v>
      </c>
      <c r="AA2464">
        <v>0</v>
      </c>
      <c r="AB2464" s="400">
        <v>44594.695711342596</v>
      </c>
      <c r="AC2464" t="str">
        <f>+VLOOKUP(R2464,DRAFT!A:Q,17,0)</f>
        <v>MAE</v>
      </c>
    </row>
    <row r="2465" spans="1:29">
      <c r="A2465" t="s">
        <v>382</v>
      </c>
      <c r="B2465" t="s">
        <v>1214</v>
      </c>
      <c r="C2465" t="s">
        <v>1362</v>
      </c>
      <c r="D2465" t="s">
        <v>1590</v>
      </c>
      <c r="E2465" t="s">
        <v>2565</v>
      </c>
      <c r="F2465" t="s">
        <v>2566</v>
      </c>
      <c r="G2465">
        <v>22200004</v>
      </c>
      <c r="H2465">
        <v>202201</v>
      </c>
      <c r="I2465" s="400">
        <v>44580</v>
      </c>
      <c r="J2465" t="s">
        <v>2567</v>
      </c>
      <c r="K2465" t="s">
        <v>386</v>
      </c>
      <c r="L2465" t="s">
        <v>1215</v>
      </c>
      <c r="M2465" t="s">
        <v>1216</v>
      </c>
      <c r="O2465" t="s">
        <v>587</v>
      </c>
      <c r="P2465" t="s">
        <v>588</v>
      </c>
      <c r="Q2465" t="s">
        <v>450</v>
      </c>
      <c r="R2465" s="458">
        <v>2069083</v>
      </c>
      <c r="S2465" t="s">
        <v>387</v>
      </c>
      <c r="U2465" t="s">
        <v>3133</v>
      </c>
      <c r="V2465" t="s">
        <v>398</v>
      </c>
      <c r="W2465" s="393">
        <v>161000</v>
      </c>
      <c r="X2465" s="393">
        <v>40.549999999999997</v>
      </c>
      <c r="Y2465" s="393">
        <v>356.5</v>
      </c>
      <c r="Z2465" s="393">
        <v>161000</v>
      </c>
      <c r="AA2465">
        <v>0</v>
      </c>
      <c r="AB2465" s="400">
        <v>44592.671723530089</v>
      </c>
      <c r="AC2465" t="str">
        <f>+VLOOKUP(R2465,DRAFT!A:Q,17,0)</f>
        <v>SUPPORT</v>
      </c>
    </row>
    <row r="2466" spans="1:29">
      <c r="A2466" t="s">
        <v>382</v>
      </c>
      <c r="B2466" t="s">
        <v>440</v>
      </c>
      <c r="C2466" t="s">
        <v>1362</v>
      </c>
      <c r="D2466" t="s">
        <v>1590</v>
      </c>
      <c r="E2466" t="s">
        <v>390</v>
      </c>
      <c r="F2466" t="s">
        <v>391</v>
      </c>
      <c r="G2466">
        <v>6200055</v>
      </c>
      <c r="H2466">
        <v>202201</v>
      </c>
      <c r="I2466" s="400">
        <v>44589</v>
      </c>
      <c r="J2466">
        <v>122536</v>
      </c>
      <c r="K2466" t="s">
        <v>386</v>
      </c>
      <c r="L2466" t="s">
        <v>3134</v>
      </c>
      <c r="M2466" t="s">
        <v>3135</v>
      </c>
      <c r="O2466" t="s">
        <v>950</v>
      </c>
      <c r="P2466" t="s">
        <v>951</v>
      </c>
      <c r="Q2466" t="s">
        <v>396</v>
      </c>
      <c r="R2466" s="458">
        <v>2265775</v>
      </c>
      <c r="S2466" t="s">
        <v>387</v>
      </c>
      <c r="U2466" t="s">
        <v>3136</v>
      </c>
      <c r="V2466" t="s">
        <v>398</v>
      </c>
      <c r="W2466" s="393">
        <v>350000</v>
      </c>
      <c r="X2466" s="393">
        <v>87.41</v>
      </c>
      <c r="Y2466" s="393">
        <v>778.51</v>
      </c>
      <c r="Z2466" s="393">
        <v>350000</v>
      </c>
      <c r="AA2466">
        <v>0</v>
      </c>
      <c r="AB2466" s="400">
        <v>44594.886710335646</v>
      </c>
      <c r="AC2466" t="str">
        <f>+VLOOKUP(R2466,DRAFT!A:Q,17,0)</f>
        <v>MAE</v>
      </c>
    </row>
    <row r="2467" spans="1:29">
      <c r="A2467" t="s">
        <v>382</v>
      </c>
      <c r="B2467" t="s">
        <v>440</v>
      </c>
      <c r="C2467" t="s">
        <v>1362</v>
      </c>
      <c r="D2467" t="s">
        <v>1590</v>
      </c>
      <c r="E2467" t="s">
        <v>390</v>
      </c>
      <c r="F2467" t="s">
        <v>391</v>
      </c>
      <c r="G2467">
        <v>6200332</v>
      </c>
      <c r="H2467">
        <v>202202</v>
      </c>
      <c r="I2467" s="400">
        <v>44620</v>
      </c>
      <c r="J2467" t="s">
        <v>452</v>
      </c>
      <c r="K2467" t="s">
        <v>386</v>
      </c>
      <c r="L2467">
        <v>119010</v>
      </c>
      <c r="M2467" t="s">
        <v>1158</v>
      </c>
      <c r="O2467" t="s">
        <v>587</v>
      </c>
      <c r="P2467" t="s">
        <v>588</v>
      </c>
      <c r="Q2467" t="s">
        <v>450</v>
      </c>
      <c r="R2467" s="458">
        <v>2069083</v>
      </c>
      <c r="S2467" t="s">
        <v>387</v>
      </c>
      <c r="U2467" t="s">
        <v>3138</v>
      </c>
      <c r="V2467" t="s">
        <v>398</v>
      </c>
      <c r="W2467" s="393">
        <v>303000</v>
      </c>
      <c r="X2467" s="393">
        <v>77.42</v>
      </c>
      <c r="Y2467" s="393">
        <v>691.7</v>
      </c>
      <c r="Z2467" s="393">
        <v>303000</v>
      </c>
      <c r="AA2467">
        <v>0</v>
      </c>
      <c r="AB2467" s="400">
        <v>44624.646163425925</v>
      </c>
      <c r="AC2467" t="str">
        <f>+VLOOKUP(R2467,DRAFT!A:Q,17,0)</f>
        <v>SUPPORT</v>
      </c>
    </row>
    <row r="2468" spans="1:29">
      <c r="A2468" t="s">
        <v>382</v>
      </c>
      <c r="B2468" t="s">
        <v>440</v>
      </c>
      <c r="C2468" t="s">
        <v>1362</v>
      </c>
      <c r="D2468" t="s">
        <v>1590</v>
      </c>
      <c r="E2468" t="s">
        <v>390</v>
      </c>
      <c r="F2468" t="s">
        <v>391</v>
      </c>
      <c r="G2468">
        <v>6200245</v>
      </c>
      <c r="H2468">
        <v>202202</v>
      </c>
      <c r="I2468" s="400">
        <v>44610</v>
      </c>
      <c r="J2468" t="s">
        <v>452</v>
      </c>
      <c r="K2468" t="s">
        <v>386</v>
      </c>
      <c r="L2468">
        <v>119010</v>
      </c>
      <c r="M2468" t="s">
        <v>1158</v>
      </c>
      <c r="O2468" t="s">
        <v>950</v>
      </c>
      <c r="P2468" t="s">
        <v>951</v>
      </c>
      <c r="Q2468" t="s">
        <v>450</v>
      </c>
      <c r="R2468" s="458">
        <v>2069083</v>
      </c>
      <c r="S2468" t="s">
        <v>387</v>
      </c>
      <c r="U2468" t="s">
        <v>3137</v>
      </c>
      <c r="V2468" t="s">
        <v>398</v>
      </c>
      <c r="W2468" s="393">
        <v>350000</v>
      </c>
      <c r="X2468" s="393">
        <v>88.3</v>
      </c>
      <c r="Y2468" s="393">
        <v>787.47</v>
      </c>
      <c r="Z2468" s="393">
        <v>350000</v>
      </c>
      <c r="AA2468">
        <v>0</v>
      </c>
      <c r="AB2468" s="400">
        <v>44621.990789930554</v>
      </c>
      <c r="AC2468" t="str">
        <f>+VLOOKUP(R2468,DRAFT!A:Q,17,0)</f>
        <v>SUPPORT</v>
      </c>
    </row>
    <row r="2469" spans="1:29">
      <c r="A2469" t="s">
        <v>382</v>
      </c>
      <c r="B2469" t="s">
        <v>440</v>
      </c>
      <c r="C2469" t="s">
        <v>1362</v>
      </c>
      <c r="D2469" t="s">
        <v>1590</v>
      </c>
      <c r="E2469" t="s">
        <v>390</v>
      </c>
      <c r="F2469" t="s">
        <v>391</v>
      </c>
      <c r="G2469">
        <v>6200235</v>
      </c>
      <c r="H2469">
        <v>202202</v>
      </c>
      <c r="I2469" s="400">
        <v>44610</v>
      </c>
      <c r="J2469">
        <v>122536</v>
      </c>
      <c r="K2469" t="s">
        <v>386</v>
      </c>
      <c r="L2469">
        <v>123780</v>
      </c>
      <c r="M2469" t="s">
        <v>1153</v>
      </c>
      <c r="O2469" t="s">
        <v>950</v>
      </c>
      <c r="P2469" t="s">
        <v>951</v>
      </c>
      <c r="Q2469" t="s">
        <v>396</v>
      </c>
      <c r="R2469" s="458">
        <v>2265775</v>
      </c>
      <c r="S2469" t="s">
        <v>387</v>
      </c>
      <c r="U2469" t="s">
        <v>3139</v>
      </c>
      <c r="V2469" t="s">
        <v>398</v>
      </c>
      <c r="W2469" s="393">
        <v>350000</v>
      </c>
      <c r="X2469" s="393">
        <v>88.3</v>
      </c>
      <c r="Y2469" s="393">
        <v>787.47</v>
      </c>
      <c r="Z2469" s="393">
        <v>350000</v>
      </c>
      <c r="AA2469">
        <v>0</v>
      </c>
      <c r="AB2469" s="400">
        <v>44620.79092835648</v>
      </c>
      <c r="AC2469" t="str">
        <f>+VLOOKUP(R2469,DRAFT!A:Q,17,0)</f>
        <v>MAE</v>
      </c>
    </row>
    <row r="2470" spans="1:29">
      <c r="A2470" t="s">
        <v>382</v>
      </c>
      <c r="B2470" t="s">
        <v>440</v>
      </c>
      <c r="C2470" t="s">
        <v>1362</v>
      </c>
      <c r="D2470" t="s">
        <v>1590</v>
      </c>
      <c r="E2470" t="s">
        <v>390</v>
      </c>
      <c r="F2470" t="s">
        <v>391</v>
      </c>
      <c r="G2470">
        <v>6200297</v>
      </c>
      <c r="H2470">
        <v>202202</v>
      </c>
      <c r="I2470" s="400">
        <v>44620</v>
      </c>
      <c r="J2470" t="s">
        <v>452</v>
      </c>
      <c r="K2470" t="s">
        <v>386</v>
      </c>
      <c r="L2470">
        <v>125684</v>
      </c>
      <c r="M2470" t="s">
        <v>2869</v>
      </c>
      <c r="O2470" t="s">
        <v>587</v>
      </c>
      <c r="P2470" t="s">
        <v>588</v>
      </c>
      <c r="Q2470" t="s">
        <v>396</v>
      </c>
      <c r="R2470" s="458">
        <v>2265775</v>
      </c>
      <c r="S2470" t="s">
        <v>387</v>
      </c>
      <c r="U2470" t="s">
        <v>3140</v>
      </c>
      <c r="V2470" t="s">
        <v>398</v>
      </c>
      <c r="W2470" s="393">
        <v>20000</v>
      </c>
      <c r="X2470" s="393">
        <v>5.1100000000000003</v>
      </c>
      <c r="Y2470" s="393">
        <v>45.66</v>
      </c>
      <c r="Z2470" s="393">
        <v>20000</v>
      </c>
      <c r="AA2470">
        <v>0</v>
      </c>
      <c r="AB2470" s="400">
        <v>44623.830043553244</v>
      </c>
      <c r="AC2470" t="str">
        <f>+VLOOKUP(R2470,DRAFT!A:Q,17,0)</f>
        <v>MAE</v>
      </c>
    </row>
    <row r="2471" spans="1:29">
      <c r="A2471" t="s">
        <v>382</v>
      </c>
      <c r="B2471" t="s">
        <v>440</v>
      </c>
      <c r="C2471" t="s">
        <v>1362</v>
      </c>
      <c r="D2471" t="s">
        <v>1590</v>
      </c>
      <c r="E2471" t="s">
        <v>390</v>
      </c>
      <c r="F2471" t="s">
        <v>391</v>
      </c>
      <c r="G2471">
        <v>6200267</v>
      </c>
      <c r="H2471">
        <v>202202</v>
      </c>
      <c r="I2471" s="400">
        <v>44610</v>
      </c>
      <c r="J2471" t="s">
        <v>452</v>
      </c>
      <c r="K2471" t="s">
        <v>386</v>
      </c>
      <c r="L2471" t="s">
        <v>2941</v>
      </c>
      <c r="M2471" t="s">
        <v>2942</v>
      </c>
      <c r="O2471" t="s">
        <v>587</v>
      </c>
      <c r="P2471" t="s">
        <v>588</v>
      </c>
      <c r="Q2471" t="s">
        <v>450</v>
      </c>
      <c r="R2471" s="458">
        <v>2069083</v>
      </c>
      <c r="S2471" t="s">
        <v>387</v>
      </c>
      <c r="U2471" t="s">
        <v>3141</v>
      </c>
      <c r="V2471" t="s">
        <v>398</v>
      </c>
      <c r="W2471" s="393">
        <v>126000</v>
      </c>
      <c r="X2471" s="393">
        <v>31.79</v>
      </c>
      <c r="Y2471" s="393">
        <v>283.49</v>
      </c>
      <c r="Z2471" s="393">
        <v>126000</v>
      </c>
      <c r="AA2471">
        <v>0</v>
      </c>
      <c r="AB2471" s="400">
        <v>44622.872219988429</v>
      </c>
      <c r="AC2471" t="str">
        <f>+VLOOKUP(R2471,DRAFT!A:Q,17,0)</f>
        <v>SUPPORT</v>
      </c>
    </row>
    <row r="2472" spans="1:29">
      <c r="A2472" t="s">
        <v>382</v>
      </c>
      <c r="B2472" t="s">
        <v>440</v>
      </c>
      <c r="C2472" t="s">
        <v>1362</v>
      </c>
      <c r="D2472" t="s">
        <v>1590</v>
      </c>
      <c r="E2472" t="s">
        <v>390</v>
      </c>
      <c r="F2472" t="s">
        <v>391</v>
      </c>
      <c r="G2472">
        <v>6200427</v>
      </c>
      <c r="H2472">
        <v>202202</v>
      </c>
      <c r="I2472" s="400">
        <v>44620</v>
      </c>
      <c r="J2472" t="s">
        <v>452</v>
      </c>
      <c r="K2472" t="s">
        <v>386</v>
      </c>
      <c r="L2472" t="s">
        <v>1392</v>
      </c>
      <c r="M2472" t="s">
        <v>1393</v>
      </c>
      <c r="O2472" t="s">
        <v>587</v>
      </c>
      <c r="P2472" t="s">
        <v>588</v>
      </c>
      <c r="Q2472" t="s">
        <v>450</v>
      </c>
      <c r="R2472" s="458">
        <v>2069083</v>
      </c>
      <c r="S2472" t="s">
        <v>626</v>
      </c>
      <c r="T2472" t="s">
        <v>626</v>
      </c>
      <c r="U2472" t="s">
        <v>3142</v>
      </c>
      <c r="V2472" t="s">
        <v>398</v>
      </c>
      <c r="W2472" s="393">
        <v>14000</v>
      </c>
      <c r="X2472" s="393">
        <v>3.58</v>
      </c>
      <c r="Y2472" s="393">
        <v>31.96</v>
      </c>
      <c r="Z2472" s="393">
        <v>14000</v>
      </c>
      <c r="AA2472">
        <v>0</v>
      </c>
      <c r="AB2472" s="400">
        <v>44627.628553437498</v>
      </c>
      <c r="AC2472" t="str">
        <f>+VLOOKUP(R2472,DRAFT!A:Q,17,0)</f>
        <v>SUPPORT</v>
      </c>
    </row>
    <row r="2473" spans="1:29">
      <c r="A2473" t="s">
        <v>382</v>
      </c>
      <c r="B2473" t="s">
        <v>440</v>
      </c>
      <c r="C2473" t="s">
        <v>1362</v>
      </c>
      <c r="D2473" t="s">
        <v>1590</v>
      </c>
      <c r="E2473" t="s">
        <v>390</v>
      </c>
      <c r="F2473" t="s">
        <v>391</v>
      </c>
      <c r="G2473">
        <v>6200272</v>
      </c>
      <c r="H2473">
        <v>202202</v>
      </c>
      <c r="I2473" s="400">
        <v>44610</v>
      </c>
      <c r="J2473" t="s">
        <v>452</v>
      </c>
      <c r="K2473" t="s">
        <v>386</v>
      </c>
      <c r="L2473" t="s">
        <v>1191</v>
      </c>
      <c r="M2473" t="s">
        <v>1192</v>
      </c>
      <c r="O2473" t="s">
        <v>587</v>
      </c>
      <c r="P2473" t="s">
        <v>588</v>
      </c>
      <c r="Q2473" t="s">
        <v>450</v>
      </c>
      <c r="R2473" s="458">
        <v>2069083</v>
      </c>
      <c r="S2473" t="s">
        <v>387</v>
      </c>
      <c r="U2473" t="s">
        <v>3143</v>
      </c>
      <c r="V2473" t="s">
        <v>398</v>
      </c>
      <c r="W2473" s="393">
        <v>91000</v>
      </c>
      <c r="X2473" s="393">
        <v>22.96</v>
      </c>
      <c r="Y2473" s="393">
        <v>204.74</v>
      </c>
      <c r="Z2473" s="393">
        <v>91000</v>
      </c>
      <c r="AA2473">
        <v>0</v>
      </c>
      <c r="AB2473" s="400">
        <v>44622.95213769676</v>
      </c>
      <c r="AC2473" t="str">
        <f>+VLOOKUP(R2473,DRAFT!A:Q,17,0)</f>
        <v>SUPPORT</v>
      </c>
    </row>
    <row r="2474" spans="1:29">
      <c r="A2474" t="s">
        <v>382</v>
      </c>
      <c r="B2474" t="s">
        <v>440</v>
      </c>
      <c r="C2474" t="s">
        <v>1362</v>
      </c>
      <c r="D2474" t="s">
        <v>1590</v>
      </c>
      <c r="E2474" t="s">
        <v>390</v>
      </c>
      <c r="F2474" t="s">
        <v>391</v>
      </c>
      <c r="G2474">
        <v>6200615</v>
      </c>
      <c r="H2474">
        <v>202203</v>
      </c>
      <c r="I2474" s="400">
        <v>44634</v>
      </c>
      <c r="J2474" t="s">
        <v>452</v>
      </c>
      <c r="K2474" t="s">
        <v>386</v>
      </c>
      <c r="L2474">
        <v>122377</v>
      </c>
      <c r="M2474" t="s">
        <v>1228</v>
      </c>
      <c r="O2474" t="s">
        <v>587</v>
      </c>
      <c r="P2474" t="s">
        <v>588</v>
      </c>
      <c r="Q2474" t="s">
        <v>450</v>
      </c>
      <c r="R2474" s="458">
        <v>2069083</v>
      </c>
      <c r="S2474" t="s">
        <v>387</v>
      </c>
      <c r="U2474" t="s">
        <v>3144</v>
      </c>
      <c r="V2474" t="s">
        <v>398</v>
      </c>
      <c r="W2474" s="393">
        <v>16000</v>
      </c>
      <c r="X2474" s="393">
        <v>3.87</v>
      </c>
      <c r="Y2474" s="393">
        <v>38.090000000000003</v>
      </c>
      <c r="Z2474" s="393">
        <v>16000</v>
      </c>
      <c r="AA2474">
        <v>0</v>
      </c>
      <c r="AB2474" s="400">
        <v>44642.740014733798</v>
      </c>
      <c r="AC2474" t="str">
        <f>+VLOOKUP(R2474,DRAFT!A:Q,17,0)</f>
        <v>SUPPORT</v>
      </c>
    </row>
    <row r="2475" spans="1:29">
      <c r="A2475" t="s">
        <v>382</v>
      </c>
      <c r="B2475" t="s">
        <v>440</v>
      </c>
      <c r="C2475" t="s">
        <v>1362</v>
      </c>
      <c r="D2475" t="s">
        <v>1590</v>
      </c>
      <c r="E2475" t="s">
        <v>390</v>
      </c>
      <c r="F2475" t="s">
        <v>391</v>
      </c>
      <c r="G2475">
        <v>6200595</v>
      </c>
      <c r="H2475">
        <v>202203</v>
      </c>
      <c r="I2475" s="400">
        <v>44634</v>
      </c>
      <c r="J2475" t="s">
        <v>452</v>
      </c>
      <c r="K2475" t="s">
        <v>386</v>
      </c>
      <c r="L2475" t="s">
        <v>1175</v>
      </c>
      <c r="M2475" t="s">
        <v>1176</v>
      </c>
      <c r="O2475" t="s">
        <v>587</v>
      </c>
      <c r="P2475" t="s">
        <v>588</v>
      </c>
      <c r="Q2475" t="s">
        <v>450</v>
      </c>
      <c r="R2475" s="458">
        <v>2069083</v>
      </c>
      <c r="S2475" t="s">
        <v>387</v>
      </c>
      <c r="U2475" t="s">
        <v>3145</v>
      </c>
      <c r="V2475" t="s">
        <v>398</v>
      </c>
      <c r="W2475" s="393">
        <v>161500</v>
      </c>
      <c r="X2475" s="393">
        <v>41.26</v>
      </c>
      <c r="Y2475" s="393">
        <v>368.68</v>
      </c>
      <c r="Z2475" s="393">
        <v>161500</v>
      </c>
      <c r="AA2475">
        <v>0</v>
      </c>
      <c r="AB2475" s="400">
        <v>44638.677760729166</v>
      </c>
      <c r="AC2475" t="str">
        <f>+VLOOKUP(R2475,DRAFT!A:Q,17,0)</f>
        <v>SUPPORT</v>
      </c>
    </row>
    <row r="2476" spans="1:29">
      <c r="A2476" t="s">
        <v>382</v>
      </c>
      <c r="B2476" t="s">
        <v>1214</v>
      </c>
      <c r="C2476" t="s">
        <v>1362</v>
      </c>
      <c r="D2476" t="s">
        <v>1590</v>
      </c>
      <c r="E2476" t="s">
        <v>2565</v>
      </c>
      <c r="F2476" t="s">
        <v>2566</v>
      </c>
      <c r="G2476">
        <v>22200101</v>
      </c>
      <c r="H2476">
        <v>202203</v>
      </c>
      <c r="I2476" s="400">
        <v>44643</v>
      </c>
      <c r="J2476" t="s">
        <v>2567</v>
      </c>
      <c r="K2476" t="s">
        <v>386</v>
      </c>
      <c r="L2476" t="s">
        <v>2420</v>
      </c>
      <c r="M2476" t="s">
        <v>2421</v>
      </c>
      <c r="O2476" t="s">
        <v>587</v>
      </c>
      <c r="P2476" t="s">
        <v>588</v>
      </c>
      <c r="Q2476" t="s">
        <v>396</v>
      </c>
      <c r="R2476" s="458">
        <v>2265775</v>
      </c>
      <c r="S2476" t="s">
        <v>387</v>
      </c>
      <c r="U2476" t="s">
        <v>3146</v>
      </c>
      <c r="V2476" t="s">
        <v>398</v>
      </c>
      <c r="W2476" s="393">
        <v>414000</v>
      </c>
      <c r="X2476" s="393">
        <v>108.18</v>
      </c>
      <c r="Y2476" s="393">
        <v>962.97</v>
      </c>
      <c r="Z2476" s="393">
        <v>414000</v>
      </c>
      <c r="AA2476">
        <v>0</v>
      </c>
      <c r="AB2476" s="400">
        <v>44651.79456091435</v>
      </c>
      <c r="AC2476" t="str">
        <f>+VLOOKUP(R2476,DRAFT!A:Q,17,0)</f>
        <v>MAE</v>
      </c>
    </row>
    <row r="2477" spans="1:29">
      <c r="A2477" t="s">
        <v>382</v>
      </c>
      <c r="B2477" t="s">
        <v>1214</v>
      </c>
      <c r="C2477" t="s">
        <v>1362</v>
      </c>
      <c r="D2477" t="s">
        <v>1590</v>
      </c>
      <c r="E2477" t="s">
        <v>2565</v>
      </c>
      <c r="F2477" t="s">
        <v>2566</v>
      </c>
      <c r="G2477">
        <v>22200100</v>
      </c>
      <c r="H2477">
        <v>202203</v>
      </c>
      <c r="I2477" s="400">
        <v>44643</v>
      </c>
      <c r="J2477" t="s">
        <v>2567</v>
      </c>
      <c r="K2477" t="s">
        <v>386</v>
      </c>
      <c r="L2477" t="s">
        <v>2420</v>
      </c>
      <c r="M2477" t="s">
        <v>2421</v>
      </c>
      <c r="O2477" t="s">
        <v>587</v>
      </c>
      <c r="P2477" t="s">
        <v>588</v>
      </c>
      <c r="Q2477" t="s">
        <v>396</v>
      </c>
      <c r="R2477" s="458">
        <v>2265775</v>
      </c>
      <c r="S2477" t="s">
        <v>387</v>
      </c>
      <c r="U2477" t="s">
        <v>3147</v>
      </c>
      <c r="V2477" t="s">
        <v>398</v>
      </c>
      <c r="W2477" s="393">
        <v>183000</v>
      </c>
      <c r="X2477" s="393">
        <v>47.82</v>
      </c>
      <c r="Y2477" s="393">
        <v>425.66</v>
      </c>
      <c r="Z2477" s="393">
        <v>183000</v>
      </c>
      <c r="AA2477">
        <v>0</v>
      </c>
      <c r="AB2477" s="400">
        <v>44651.774820451392</v>
      </c>
      <c r="AC2477" t="str">
        <f>+VLOOKUP(R2477,DRAFT!A:Q,17,0)</f>
        <v>MAE</v>
      </c>
    </row>
    <row r="2478" spans="1:29">
      <c r="A2478" t="s">
        <v>382</v>
      </c>
      <c r="B2478" t="s">
        <v>440</v>
      </c>
      <c r="C2478" t="s">
        <v>1362</v>
      </c>
      <c r="D2478" t="s">
        <v>1590</v>
      </c>
      <c r="E2478" t="s">
        <v>390</v>
      </c>
      <c r="F2478" t="s">
        <v>391</v>
      </c>
      <c r="G2478">
        <v>6200563</v>
      </c>
      <c r="H2478">
        <v>202203</v>
      </c>
      <c r="I2478" s="400">
        <v>44624</v>
      </c>
      <c r="J2478">
        <v>122536</v>
      </c>
      <c r="K2478" t="s">
        <v>386</v>
      </c>
      <c r="L2478" t="s">
        <v>1195</v>
      </c>
      <c r="M2478" t="s">
        <v>1196</v>
      </c>
      <c r="O2478" t="s">
        <v>950</v>
      </c>
      <c r="P2478" t="s">
        <v>951</v>
      </c>
      <c r="Q2478" t="s">
        <v>396</v>
      </c>
      <c r="R2478" s="458">
        <v>2265775</v>
      </c>
      <c r="S2478" t="s">
        <v>387</v>
      </c>
      <c r="U2478" t="s">
        <v>3148</v>
      </c>
      <c r="V2478" t="s">
        <v>398</v>
      </c>
      <c r="W2478" s="393">
        <v>350000</v>
      </c>
      <c r="X2478" s="393">
        <v>89.43</v>
      </c>
      <c r="Y2478" s="393">
        <v>798.99</v>
      </c>
      <c r="Z2478" s="393">
        <v>350000</v>
      </c>
      <c r="AA2478">
        <v>0</v>
      </c>
      <c r="AB2478" s="400">
        <v>44634.884900694444</v>
      </c>
      <c r="AC2478" t="str">
        <f>+VLOOKUP(R2478,DRAFT!A:Q,17,0)</f>
        <v>MAE</v>
      </c>
    </row>
    <row r="2479" spans="1:29">
      <c r="A2479" t="s">
        <v>382</v>
      </c>
      <c r="B2479" t="s">
        <v>440</v>
      </c>
      <c r="C2479" t="s">
        <v>1362</v>
      </c>
      <c r="D2479" t="s">
        <v>1590</v>
      </c>
      <c r="E2479" t="s">
        <v>390</v>
      </c>
      <c r="F2479" t="s">
        <v>391</v>
      </c>
      <c r="G2479">
        <v>6201102</v>
      </c>
      <c r="H2479">
        <v>202204</v>
      </c>
      <c r="I2479" s="400">
        <v>44659</v>
      </c>
      <c r="J2479">
        <v>122536</v>
      </c>
      <c r="K2479" t="s">
        <v>386</v>
      </c>
      <c r="L2479">
        <v>123780</v>
      </c>
      <c r="M2479" t="s">
        <v>1153</v>
      </c>
      <c r="O2479" t="s">
        <v>587</v>
      </c>
      <c r="P2479" t="s">
        <v>588</v>
      </c>
      <c r="Q2479" t="s">
        <v>396</v>
      </c>
      <c r="R2479" s="458">
        <v>2630507</v>
      </c>
      <c r="S2479" t="s">
        <v>387</v>
      </c>
      <c r="U2479" t="s">
        <v>4035</v>
      </c>
      <c r="V2479" t="s">
        <v>398</v>
      </c>
      <c r="W2479" s="393">
        <v>10000</v>
      </c>
      <c r="X2479" s="393">
        <v>2.67</v>
      </c>
      <c r="Y2479" s="393">
        <v>23.06</v>
      </c>
      <c r="Z2479" s="393">
        <v>10000</v>
      </c>
      <c r="AA2479">
        <v>0</v>
      </c>
      <c r="AB2479" s="400">
        <v>44671.942053043982</v>
      </c>
      <c r="AC2479" t="str">
        <f>+VLOOKUP(R2479,DRAFT!A:Q,17,0)</f>
        <v>1.3.2</v>
      </c>
    </row>
    <row r="2480" spans="1:29">
      <c r="A2480" t="s">
        <v>382</v>
      </c>
      <c r="B2480" t="s">
        <v>440</v>
      </c>
      <c r="C2480" t="s">
        <v>1362</v>
      </c>
      <c r="D2480" t="s">
        <v>1590</v>
      </c>
      <c r="E2480" t="s">
        <v>390</v>
      </c>
      <c r="F2480" t="s">
        <v>391</v>
      </c>
      <c r="G2480">
        <v>6201157</v>
      </c>
      <c r="H2480">
        <v>202204</v>
      </c>
      <c r="I2480" s="400">
        <v>44671</v>
      </c>
      <c r="J2480" t="s">
        <v>452</v>
      </c>
      <c r="K2480" t="s">
        <v>386</v>
      </c>
      <c r="L2480">
        <v>125684</v>
      </c>
      <c r="M2480" t="s">
        <v>2869</v>
      </c>
      <c r="O2480" t="s">
        <v>587</v>
      </c>
      <c r="P2480" t="s">
        <v>588</v>
      </c>
      <c r="Q2480" t="s">
        <v>396</v>
      </c>
      <c r="R2480" s="458">
        <v>2265775</v>
      </c>
      <c r="S2480" t="s">
        <v>387</v>
      </c>
      <c r="U2480" t="s">
        <v>4036</v>
      </c>
      <c r="V2480" t="s">
        <v>398</v>
      </c>
      <c r="W2480" s="393">
        <v>5000</v>
      </c>
      <c r="X2480" s="393">
        <v>1.33</v>
      </c>
      <c r="Y2480" s="393">
        <v>11.53</v>
      </c>
      <c r="Z2480" s="393">
        <v>5000</v>
      </c>
      <c r="AA2480">
        <v>0</v>
      </c>
      <c r="AB2480" s="400">
        <v>44673.073709062497</v>
      </c>
      <c r="AC2480" t="str">
        <f>+VLOOKUP(R2480,DRAFT!A:Q,17,0)</f>
        <v>MAE</v>
      </c>
    </row>
    <row r="2481" spans="1:29">
      <c r="A2481" t="s">
        <v>382</v>
      </c>
      <c r="B2481" t="s">
        <v>440</v>
      </c>
      <c r="C2481" t="s">
        <v>1362</v>
      </c>
      <c r="D2481" t="s">
        <v>1590</v>
      </c>
      <c r="E2481" t="s">
        <v>390</v>
      </c>
      <c r="F2481" t="s">
        <v>391</v>
      </c>
      <c r="G2481">
        <v>6201085</v>
      </c>
      <c r="H2481">
        <v>202204</v>
      </c>
      <c r="I2481" s="400">
        <v>44669</v>
      </c>
      <c r="J2481" t="s">
        <v>452</v>
      </c>
      <c r="K2481" t="s">
        <v>386</v>
      </c>
      <c r="L2481">
        <v>125684</v>
      </c>
      <c r="M2481" t="s">
        <v>2869</v>
      </c>
      <c r="O2481" t="s">
        <v>587</v>
      </c>
      <c r="P2481" t="s">
        <v>588</v>
      </c>
      <c r="Q2481" t="s">
        <v>396</v>
      </c>
      <c r="R2481" s="458">
        <v>2265775</v>
      </c>
      <c r="S2481" t="s">
        <v>387</v>
      </c>
      <c r="U2481" t="s">
        <v>4037</v>
      </c>
      <c r="V2481" t="s">
        <v>398</v>
      </c>
      <c r="W2481" s="393">
        <v>18000</v>
      </c>
      <c r="X2481" s="393">
        <v>4.8</v>
      </c>
      <c r="Y2481" s="393">
        <v>41.5</v>
      </c>
      <c r="Z2481" s="393">
        <v>18000</v>
      </c>
      <c r="AA2481">
        <v>0</v>
      </c>
      <c r="AB2481" s="400">
        <v>44671.754449965279</v>
      </c>
      <c r="AC2481" t="str">
        <f>+VLOOKUP(R2481,DRAFT!A:Q,17,0)</f>
        <v>MAE</v>
      </c>
    </row>
    <row r="2482" spans="1:29">
      <c r="A2482" t="s">
        <v>382</v>
      </c>
      <c r="B2482" t="s">
        <v>1214</v>
      </c>
      <c r="C2482" t="s">
        <v>1362</v>
      </c>
      <c r="D2482" t="s">
        <v>1590</v>
      </c>
      <c r="E2482" t="s">
        <v>2565</v>
      </c>
      <c r="F2482" t="s">
        <v>2566</v>
      </c>
      <c r="G2482">
        <v>22200144</v>
      </c>
      <c r="H2482">
        <v>202204</v>
      </c>
      <c r="I2482" s="400">
        <v>44673</v>
      </c>
      <c r="J2482" t="s">
        <v>2567</v>
      </c>
      <c r="K2482" t="s">
        <v>386</v>
      </c>
      <c r="L2482" t="s">
        <v>2420</v>
      </c>
      <c r="M2482" t="s">
        <v>2421</v>
      </c>
      <c r="O2482" t="s">
        <v>587</v>
      </c>
      <c r="P2482" t="s">
        <v>588</v>
      </c>
      <c r="Q2482" t="s">
        <v>396</v>
      </c>
      <c r="R2482" s="458">
        <v>2265775</v>
      </c>
      <c r="S2482" t="s">
        <v>387</v>
      </c>
      <c r="U2482" t="s">
        <v>4038</v>
      </c>
      <c r="V2482" t="s">
        <v>398</v>
      </c>
      <c r="W2482" s="393">
        <v>129000</v>
      </c>
      <c r="X2482" s="393">
        <v>34.42</v>
      </c>
      <c r="Y2482" s="393">
        <v>297.41000000000003</v>
      </c>
      <c r="Z2482" s="393">
        <v>129000</v>
      </c>
      <c r="AA2482">
        <v>0</v>
      </c>
      <c r="AB2482" s="400">
        <v>44674.714862766203</v>
      </c>
      <c r="AC2482" t="str">
        <f>+VLOOKUP(R2482,DRAFT!A:Q,17,0)</f>
        <v>MAE</v>
      </c>
    </row>
    <row r="2483" spans="1:29">
      <c r="A2483" t="s">
        <v>382</v>
      </c>
      <c r="B2483" t="s">
        <v>1214</v>
      </c>
      <c r="C2483" t="s">
        <v>1362</v>
      </c>
      <c r="D2483" t="s">
        <v>1590</v>
      </c>
      <c r="E2483" t="s">
        <v>2565</v>
      </c>
      <c r="F2483" t="s">
        <v>2566</v>
      </c>
      <c r="G2483">
        <v>22200145</v>
      </c>
      <c r="H2483">
        <v>202204</v>
      </c>
      <c r="I2483" s="400">
        <v>44673</v>
      </c>
      <c r="J2483" t="s">
        <v>2567</v>
      </c>
      <c r="K2483" t="s">
        <v>386</v>
      </c>
      <c r="L2483" t="s">
        <v>2420</v>
      </c>
      <c r="M2483" t="s">
        <v>2421</v>
      </c>
      <c r="O2483" t="s">
        <v>587</v>
      </c>
      <c r="P2483" t="s">
        <v>588</v>
      </c>
      <c r="Q2483" t="s">
        <v>396</v>
      </c>
      <c r="R2483" s="458">
        <v>2265775</v>
      </c>
      <c r="S2483" t="s">
        <v>387</v>
      </c>
      <c r="U2483" t="s">
        <v>4038</v>
      </c>
      <c r="V2483" t="s">
        <v>398</v>
      </c>
      <c r="W2483" s="393">
        <v>318000</v>
      </c>
      <c r="X2483" s="393">
        <v>84.84</v>
      </c>
      <c r="Y2483" s="393">
        <v>733.15</v>
      </c>
      <c r="Z2483" s="393">
        <v>318000</v>
      </c>
      <c r="AA2483">
        <v>0</v>
      </c>
      <c r="AB2483" s="400">
        <v>44674.716667627312</v>
      </c>
      <c r="AC2483" t="str">
        <f>+VLOOKUP(R2483,DRAFT!A:Q,17,0)</f>
        <v>MAE</v>
      </c>
    </row>
    <row r="2484" spans="1:29">
      <c r="A2484" t="s">
        <v>382</v>
      </c>
      <c r="B2484" t="s">
        <v>440</v>
      </c>
      <c r="C2484" t="s">
        <v>1362</v>
      </c>
      <c r="D2484" t="s">
        <v>1590</v>
      </c>
      <c r="E2484" t="s">
        <v>390</v>
      </c>
      <c r="F2484" t="s">
        <v>391</v>
      </c>
      <c r="G2484">
        <v>6201092</v>
      </c>
      <c r="H2484">
        <v>202204</v>
      </c>
      <c r="I2484" s="400">
        <v>44669</v>
      </c>
      <c r="J2484" t="s">
        <v>452</v>
      </c>
      <c r="K2484" t="s">
        <v>386</v>
      </c>
      <c r="L2484" t="s">
        <v>1195</v>
      </c>
      <c r="M2484" t="s">
        <v>1196</v>
      </c>
      <c r="O2484" t="s">
        <v>587</v>
      </c>
      <c r="P2484" t="s">
        <v>588</v>
      </c>
      <c r="Q2484" t="s">
        <v>396</v>
      </c>
      <c r="R2484" s="458">
        <v>2265775</v>
      </c>
      <c r="S2484" t="s">
        <v>4040</v>
      </c>
      <c r="U2484" t="s">
        <v>4041</v>
      </c>
      <c r="V2484" t="s">
        <v>398</v>
      </c>
      <c r="W2484" s="393">
        <v>15000</v>
      </c>
      <c r="X2484" s="393">
        <v>4</v>
      </c>
      <c r="Y2484" s="393">
        <v>34.58</v>
      </c>
      <c r="Z2484" s="393">
        <v>15000</v>
      </c>
      <c r="AA2484">
        <v>0</v>
      </c>
      <c r="AB2484" s="400">
        <v>44671.917729780092</v>
      </c>
      <c r="AC2484" t="str">
        <f>+VLOOKUP(R2484,DRAFT!A:Q,17,0)</f>
        <v>MAE</v>
      </c>
    </row>
    <row r="2485" spans="1:29">
      <c r="A2485" t="s">
        <v>382</v>
      </c>
      <c r="B2485" t="s">
        <v>440</v>
      </c>
      <c r="C2485" t="s">
        <v>1362</v>
      </c>
      <c r="D2485" t="s">
        <v>1590</v>
      </c>
      <c r="E2485" t="s">
        <v>390</v>
      </c>
      <c r="F2485" t="s">
        <v>391</v>
      </c>
      <c r="G2485">
        <v>6201249</v>
      </c>
      <c r="H2485">
        <v>202204</v>
      </c>
      <c r="I2485" s="400">
        <v>44679</v>
      </c>
      <c r="J2485" t="s">
        <v>452</v>
      </c>
      <c r="K2485" t="s">
        <v>386</v>
      </c>
      <c r="L2485" t="s">
        <v>1195</v>
      </c>
      <c r="M2485" t="s">
        <v>1196</v>
      </c>
      <c r="O2485" t="s">
        <v>587</v>
      </c>
      <c r="P2485" t="s">
        <v>588</v>
      </c>
      <c r="Q2485" t="s">
        <v>396</v>
      </c>
      <c r="R2485" s="458">
        <v>2265775</v>
      </c>
      <c r="S2485" t="s">
        <v>387</v>
      </c>
      <c r="U2485" t="s">
        <v>4039</v>
      </c>
      <c r="V2485" t="s">
        <v>398</v>
      </c>
      <c r="W2485" s="393">
        <v>271000</v>
      </c>
      <c r="X2485" s="393">
        <v>72.099999999999994</v>
      </c>
      <c r="Y2485" s="393">
        <v>618.23</v>
      </c>
      <c r="Z2485" s="393">
        <v>271000</v>
      </c>
      <c r="AA2485">
        <v>0</v>
      </c>
      <c r="AB2485" s="400">
        <v>44684.087428738429</v>
      </c>
      <c r="AC2485" t="str">
        <f>+VLOOKUP(R2485,DRAFT!A:Q,17,0)</f>
        <v>MAE</v>
      </c>
    </row>
    <row r="2486" spans="1:29">
      <c r="A2486" t="s">
        <v>382</v>
      </c>
      <c r="B2486" t="s">
        <v>440</v>
      </c>
      <c r="C2486" t="s">
        <v>1362</v>
      </c>
      <c r="D2486" t="s">
        <v>2544</v>
      </c>
      <c r="E2486" t="s">
        <v>390</v>
      </c>
      <c r="F2486" t="s">
        <v>391</v>
      </c>
      <c r="G2486">
        <v>6200277</v>
      </c>
      <c r="H2486">
        <v>202202</v>
      </c>
      <c r="I2486" s="400">
        <v>44617</v>
      </c>
      <c r="J2486">
        <v>127949</v>
      </c>
      <c r="K2486" t="s">
        <v>386</v>
      </c>
      <c r="L2486" t="s">
        <v>2420</v>
      </c>
      <c r="M2486" t="s">
        <v>2421</v>
      </c>
      <c r="O2486" t="s">
        <v>950</v>
      </c>
      <c r="P2486" t="s">
        <v>951</v>
      </c>
      <c r="Q2486" t="s">
        <v>396</v>
      </c>
      <c r="R2486" s="458">
        <v>2265775</v>
      </c>
      <c r="S2486" t="s">
        <v>387</v>
      </c>
      <c r="U2486" t="s">
        <v>3149</v>
      </c>
      <c r="V2486" t="s">
        <v>398</v>
      </c>
      <c r="W2486" s="393">
        <v>450000</v>
      </c>
      <c r="X2486" s="393">
        <v>114.98</v>
      </c>
      <c r="Y2486" s="393">
        <v>1027.27</v>
      </c>
      <c r="Z2486" s="393">
        <v>450000</v>
      </c>
      <c r="AA2486">
        <v>0</v>
      </c>
      <c r="AB2486" s="400">
        <v>44623.064187233795</v>
      </c>
      <c r="AC2486" t="str">
        <f>+VLOOKUP(R2486,DRAFT!A:Q,17,0)</f>
        <v>MAE</v>
      </c>
    </row>
    <row r="2487" spans="1:29">
      <c r="A2487" t="s">
        <v>382</v>
      </c>
      <c r="B2487" t="s">
        <v>440</v>
      </c>
      <c r="C2487" t="s">
        <v>1362</v>
      </c>
      <c r="D2487" t="s">
        <v>2544</v>
      </c>
      <c r="E2487" t="s">
        <v>390</v>
      </c>
      <c r="F2487" t="s">
        <v>391</v>
      </c>
      <c r="G2487">
        <v>6201274</v>
      </c>
      <c r="H2487">
        <v>202204</v>
      </c>
      <c r="I2487" s="400">
        <v>44679</v>
      </c>
      <c r="J2487" t="s">
        <v>452</v>
      </c>
      <c r="K2487" t="s">
        <v>386</v>
      </c>
      <c r="L2487">
        <v>125684</v>
      </c>
      <c r="M2487" t="s">
        <v>2869</v>
      </c>
      <c r="O2487" t="s">
        <v>950</v>
      </c>
      <c r="P2487" t="s">
        <v>951</v>
      </c>
      <c r="Q2487" t="s">
        <v>396</v>
      </c>
      <c r="R2487" s="458">
        <v>2265775</v>
      </c>
      <c r="S2487" t="s">
        <v>387</v>
      </c>
      <c r="U2487" t="s">
        <v>4042</v>
      </c>
      <c r="V2487" t="s">
        <v>398</v>
      </c>
      <c r="W2487" s="393">
        <v>350000</v>
      </c>
      <c r="X2487" s="393">
        <v>93.12</v>
      </c>
      <c r="Y2487" s="393">
        <v>798.46</v>
      </c>
      <c r="Z2487" s="393">
        <v>350000</v>
      </c>
      <c r="AA2487">
        <v>0</v>
      </c>
      <c r="AB2487" s="400">
        <v>44685.015685451392</v>
      </c>
      <c r="AC2487" t="str">
        <f>+VLOOKUP(R2487,DRAFT!A:Q,17,0)</f>
        <v>MAE</v>
      </c>
    </row>
    <row r="2488" spans="1:29">
      <c r="A2488" t="s">
        <v>382</v>
      </c>
      <c r="B2488" t="s">
        <v>440</v>
      </c>
      <c r="C2488" t="s">
        <v>1362</v>
      </c>
      <c r="D2488" t="s">
        <v>1607</v>
      </c>
      <c r="E2488" t="s">
        <v>390</v>
      </c>
      <c r="F2488" t="s">
        <v>391</v>
      </c>
      <c r="G2488">
        <v>6200528</v>
      </c>
      <c r="H2488">
        <v>202202</v>
      </c>
      <c r="I2488" s="400">
        <v>44620</v>
      </c>
      <c r="J2488" t="s">
        <v>452</v>
      </c>
      <c r="K2488" t="s">
        <v>386</v>
      </c>
      <c r="L2488" t="s">
        <v>1175</v>
      </c>
      <c r="M2488" t="s">
        <v>1176</v>
      </c>
      <c r="O2488" t="s">
        <v>1409</v>
      </c>
      <c r="P2488" t="s">
        <v>1410</v>
      </c>
      <c r="Q2488" t="s">
        <v>450</v>
      </c>
      <c r="R2488" s="458">
        <v>2069083</v>
      </c>
      <c r="S2488" t="s">
        <v>3150</v>
      </c>
      <c r="U2488" t="s">
        <v>3151</v>
      </c>
      <c r="V2488" t="s">
        <v>398</v>
      </c>
      <c r="W2488" s="393">
        <v>300000</v>
      </c>
      <c r="X2488" s="393">
        <v>76.650000000000006</v>
      </c>
      <c r="Y2488" s="393">
        <v>684.85</v>
      </c>
      <c r="Z2488" s="393">
        <v>300000</v>
      </c>
      <c r="AA2488">
        <v>318</v>
      </c>
      <c r="AB2488" s="400">
        <v>44629.810295138886</v>
      </c>
      <c r="AC2488" t="str">
        <f>+VLOOKUP(R2488,DRAFT!A:Q,17,0)</f>
        <v>SUPPORT</v>
      </c>
    </row>
    <row r="2489" spans="1:29">
      <c r="A2489" t="s">
        <v>382</v>
      </c>
      <c r="B2489" t="s">
        <v>440</v>
      </c>
      <c r="C2489" t="s">
        <v>1362</v>
      </c>
      <c r="D2489" t="s">
        <v>1607</v>
      </c>
      <c r="E2489" t="s">
        <v>390</v>
      </c>
      <c r="F2489" t="s">
        <v>391</v>
      </c>
      <c r="G2489">
        <v>6200427</v>
      </c>
      <c r="H2489">
        <v>202202</v>
      </c>
      <c r="I2489" s="400">
        <v>44620</v>
      </c>
      <c r="J2489" t="s">
        <v>452</v>
      </c>
      <c r="K2489" t="s">
        <v>386</v>
      </c>
      <c r="L2489" t="s">
        <v>1392</v>
      </c>
      <c r="M2489" t="s">
        <v>1393</v>
      </c>
      <c r="O2489" t="s">
        <v>619</v>
      </c>
      <c r="P2489" t="s">
        <v>620</v>
      </c>
      <c r="Q2489" t="s">
        <v>450</v>
      </c>
      <c r="R2489" s="458">
        <v>2069083</v>
      </c>
      <c r="S2489" t="s">
        <v>3152</v>
      </c>
      <c r="T2489" t="s">
        <v>3152</v>
      </c>
      <c r="U2489" t="s">
        <v>3153</v>
      </c>
      <c r="V2489" t="s">
        <v>398</v>
      </c>
      <c r="W2489" s="393">
        <v>3000</v>
      </c>
      <c r="X2489" s="393">
        <v>0.77</v>
      </c>
      <c r="Y2489" s="393">
        <v>6.85</v>
      </c>
      <c r="Z2489" s="393">
        <v>3000</v>
      </c>
      <c r="AA2489">
        <v>0</v>
      </c>
      <c r="AB2489" s="400">
        <v>44627.628553437498</v>
      </c>
      <c r="AC2489" t="str">
        <f>+VLOOKUP(R2489,DRAFT!A:Q,17,0)</f>
        <v>SUPPORT</v>
      </c>
    </row>
    <row r="2490" spans="1:29">
      <c r="A2490" t="s">
        <v>382</v>
      </c>
      <c r="B2490" t="s">
        <v>440</v>
      </c>
      <c r="C2490" t="s">
        <v>1362</v>
      </c>
      <c r="D2490" t="s">
        <v>1607</v>
      </c>
      <c r="E2490" t="s">
        <v>390</v>
      </c>
      <c r="F2490" t="s">
        <v>391</v>
      </c>
      <c r="G2490">
        <v>6200427</v>
      </c>
      <c r="H2490">
        <v>202202</v>
      </c>
      <c r="I2490" s="400">
        <v>44620</v>
      </c>
      <c r="J2490" t="s">
        <v>452</v>
      </c>
      <c r="K2490" t="s">
        <v>386</v>
      </c>
      <c r="L2490" t="s">
        <v>1392</v>
      </c>
      <c r="M2490" t="s">
        <v>1393</v>
      </c>
      <c r="O2490" t="s">
        <v>599</v>
      </c>
      <c r="P2490" t="s">
        <v>600</v>
      </c>
      <c r="Q2490" t="s">
        <v>450</v>
      </c>
      <c r="R2490" s="458">
        <v>2069083</v>
      </c>
      <c r="S2490" t="s">
        <v>3154</v>
      </c>
      <c r="T2490" t="s">
        <v>3154</v>
      </c>
      <c r="U2490" t="s">
        <v>3155</v>
      </c>
      <c r="V2490" t="s">
        <v>398</v>
      </c>
      <c r="W2490" s="393">
        <v>92000</v>
      </c>
      <c r="X2490" s="393">
        <v>23.51</v>
      </c>
      <c r="Y2490" s="393">
        <v>210.02</v>
      </c>
      <c r="Z2490" s="393">
        <v>92000</v>
      </c>
      <c r="AA2490">
        <v>0</v>
      </c>
      <c r="AB2490" s="400">
        <v>44627.628553437498</v>
      </c>
      <c r="AC2490" t="str">
        <f>+VLOOKUP(R2490,DRAFT!A:Q,17,0)</f>
        <v>SUPPORT</v>
      </c>
    </row>
    <row r="2491" spans="1:29">
      <c r="A2491" t="s">
        <v>382</v>
      </c>
      <c r="B2491" t="s">
        <v>440</v>
      </c>
      <c r="C2491" t="s">
        <v>1362</v>
      </c>
      <c r="D2491" t="s">
        <v>1607</v>
      </c>
      <c r="E2491" t="s">
        <v>390</v>
      </c>
      <c r="F2491" t="s">
        <v>391</v>
      </c>
      <c r="G2491">
        <v>6200528</v>
      </c>
      <c r="H2491">
        <v>202202</v>
      </c>
      <c r="I2491" s="400">
        <v>44620</v>
      </c>
      <c r="J2491" t="s">
        <v>452</v>
      </c>
      <c r="K2491" t="s">
        <v>386</v>
      </c>
      <c r="L2491" t="s">
        <v>2420</v>
      </c>
      <c r="M2491" t="s">
        <v>2421</v>
      </c>
      <c r="O2491" t="s">
        <v>1409</v>
      </c>
      <c r="P2491" t="s">
        <v>1410</v>
      </c>
      <c r="Q2491" t="s">
        <v>396</v>
      </c>
      <c r="R2491" s="458">
        <v>2265775</v>
      </c>
      <c r="S2491" t="s">
        <v>3156</v>
      </c>
      <c r="U2491" t="s">
        <v>3157</v>
      </c>
      <c r="V2491" t="s">
        <v>398</v>
      </c>
      <c r="W2491" s="393">
        <v>150000</v>
      </c>
      <c r="X2491" s="393">
        <v>38.33</v>
      </c>
      <c r="Y2491" s="393">
        <v>342.42</v>
      </c>
      <c r="Z2491" s="393">
        <v>150000</v>
      </c>
      <c r="AA2491">
        <v>0</v>
      </c>
      <c r="AB2491" s="400">
        <v>44629.810295138886</v>
      </c>
      <c r="AC2491" t="str">
        <f>+VLOOKUP(R2491,DRAFT!A:Q,17,0)</f>
        <v>MAE</v>
      </c>
    </row>
    <row r="2492" spans="1:29">
      <c r="A2492" t="s">
        <v>382</v>
      </c>
      <c r="B2492" t="s">
        <v>440</v>
      </c>
      <c r="C2492" t="s">
        <v>1362</v>
      </c>
      <c r="D2492" t="s">
        <v>1607</v>
      </c>
      <c r="E2492" t="s">
        <v>390</v>
      </c>
      <c r="F2492" t="s">
        <v>391</v>
      </c>
      <c r="G2492">
        <v>6200595</v>
      </c>
      <c r="H2492">
        <v>202203</v>
      </c>
      <c r="I2492" s="400">
        <v>44634</v>
      </c>
      <c r="J2492" t="s">
        <v>452</v>
      </c>
      <c r="K2492" t="s">
        <v>386</v>
      </c>
      <c r="L2492" t="s">
        <v>1175</v>
      </c>
      <c r="M2492" t="s">
        <v>1176</v>
      </c>
      <c r="O2492" t="s">
        <v>1555</v>
      </c>
      <c r="P2492" t="s">
        <v>1556</v>
      </c>
      <c r="Q2492" t="s">
        <v>450</v>
      </c>
      <c r="R2492" s="458">
        <v>2069083</v>
      </c>
      <c r="S2492" t="s">
        <v>387</v>
      </c>
      <c r="U2492" t="s">
        <v>2962</v>
      </c>
      <c r="V2492" t="s">
        <v>398</v>
      </c>
      <c r="W2492" s="393">
        <v>20924</v>
      </c>
      <c r="X2492" s="393">
        <v>5.35</v>
      </c>
      <c r="Y2492" s="393">
        <v>47.77</v>
      </c>
      <c r="Z2492" s="393">
        <v>20924</v>
      </c>
      <c r="AA2492">
        <v>147</v>
      </c>
      <c r="AB2492" s="400">
        <v>44638.677760729166</v>
      </c>
      <c r="AC2492" t="str">
        <f>+VLOOKUP(R2492,DRAFT!A:Q,17,0)</f>
        <v>SUPPORT</v>
      </c>
    </row>
    <row r="2493" spans="1:29">
      <c r="A2493" t="s">
        <v>382</v>
      </c>
      <c r="B2493" t="s">
        <v>440</v>
      </c>
      <c r="C2493" t="s">
        <v>1362</v>
      </c>
      <c r="D2493" t="s">
        <v>1607</v>
      </c>
      <c r="E2493" t="s">
        <v>390</v>
      </c>
      <c r="F2493" t="s">
        <v>391</v>
      </c>
      <c r="G2493">
        <v>6201157</v>
      </c>
      <c r="H2493">
        <v>202204</v>
      </c>
      <c r="I2493" s="400">
        <v>44671</v>
      </c>
      <c r="J2493" t="s">
        <v>452</v>
      </c>
      <c r="K2493" t="s">
        <v>386</v>
      </c>
      <c r="L2493">
        <v>125684</v>
      </c>
      <c r="M2493" t="s">
        <v>2869</v>
      </c>
      <c r="O2493" t="s">
        <v>4043</v>
      </c>
      <c r="P2493" t="s">
        <v>4044</v>
      </c>
      <c r="Q2493" t="s">
        <v>396</v>
      </c>
      <c r="R2493" s="458">
        <v>2265775</v>
      </c>
      <c r="S2493" t="s">
        <v>387</v>
      </c>
      <c r="U2493" t="s">
        <v>4045</v>
      </c>
      <c r="V2493" t="s">
        <v>398</v>
      </c>
      <c r="W2493" s="393">
        <v>15800</v>
      </c>
      <c r="X2493" s="393">
        <v>4.22</v>
      </c>
      <c r="Y2493" s="393">
        <v>36.43</v>
      </c>
      <c r="Z2493" s="393">
        <v>15800</v>
      </c>
      <c r="AA2493">
        <v>0</v>
      </c>
      <c r="AB2493" s="400">
        <v>44673.073709062497</v>
      </c>
      <c r="AC2493" t="str">
        <f>+VLOOKUP(R2493,DRAFT!A:Q,17,0)</f>
        <v>MAE</v>
      </c>
    </row>
    <row r="2494" spans="1:29">
      <c r="A2494" t="s">
        <v>382</v>
      </c>
      <c r="B2494" t="s">
        <v>440</v>
      </c>
      <c r="C2494" t="s">
        <v>1362</v>
      </c>
      <c r="D2494" t="s">
        <v>1607</v>
      </c>
      <c r="E2494" t="s">
        <v>390</v>
      </c>
      <c r="F2494" t="s">
        <v>391</v>
      </c>
      <c r="G2494">
        <v>6201157</v>
      </c>
      <c r="H2494">
        <v>202204</v>
      </c>
      <c r="I2494" s="400">
        <v>44671</v>
      </c>
      <c r="J2494" t="s">
        <v>452</v>
      </c>
      <c r="K2494" t="s">
        <v>386</v>
      </c>
      <c r="L2494">
        <v>125684</v>
      </c>
      <c r="M2494" t="s">
        <v>2869</v>
      </c>
      <c r="O2494" t="s">
        <v>531</v>
      </c>
      <c r="P2494" t="s">
        <v>532</v>
      </c>
      <c r="Q2494" t="s">
        <v>396</v>
      </c>
      <c r="R2494" s="458">
        <v>2265775</v>
      </c>
      <c r="S2494" t="s">
        <v>387</v>
      </c>
      <c r="U2494" t="s">
        <v>4027</v>
      </c>
      <c r="V2494" t="s">
        <v>398</v>
      </c>
      <c r="W2494" s="393">
        <v>8403</v>
      </c>
      <c r="X2494" s="393">
        <v>2.2400000000000002</v>
      </c>
      <c r="Y2494" s="393">
        <v>19.37</v>
      </c>
      <c r="Z2494" s="393">
        <v>8403</v>
      </c>
      <c r="AA2494">
        <v>147</v>
      </c>
      <c r="AB2494" s="400">
        <v>44673.073709062497</v>
      </c>
      <c r="AC2494" t="str">
        <f>+VLOOKUP(R2494,DRAFT!A:Q,17,0)</f>
        <v>MAE</v>
      </c>
    </row>
    <row r="2495" spans="1:29">
      <c r="A2495" t="s">
        <v>382</v>
      </c>
      <c r="B2495" t="s">
        <v>440</v>
      </c>
      <c r="C2495" t="s">
        <v>1637</v>
      </c>
      <c r="D2495" t="s">
        <v>1638</v>
      </c>
      <c r="E2495" t="s">
        <v>390</v>
      </c>
      <c r="F2495" t="s">
        <v>391</v>
      </c>
      <c r="G2495">
        <v>6200111</v>
      </c>
      <c r="H2495">
        <v>202201</v>
      </c>
      <c r="I2495" s="400">
        <v>44592</v>
      </c>
      <c r="J2495" t="s">
        <v>452</v>
      </c>
      <c r="K2495" t="s">
        <v>386</v>
      </c>
      <c r="M2495" t="s">
        <v>387</v>
      </c>
      <c r="O2495" t="s">
        <v>480</v>
      </c>
      <c r="P2495" t="s">
        <v>481</v>
      </c>
      <c r="Q2495" t="s">
        <v>450</v>
      </c>
      <c r="R2495" s="458">
        <v>2069079</v>
      </c>
      <c r="S2495" t="s">
        <v>387</v>
      </c>
      <c r="U2495" t="s">
        <v>3158</v>
      </c>
      <c r="V2495" t="s">
        <v>398</v>
      </c>
      <c r="W2495" s="393">
        <v>88378.5</v>
      </c>
      <c r="X2495" s="393">
        <v>22.07</v>
      </c>
      <c r="Y2495" s="393">
        <v>196.58</v>
      </c>
      <c r="Z2495" s="393">
        <v>88378.5</v>
      </c>
      <c r="AA2495">
        <v>0</v>
      </c>
      <c r="AB2495" s="400">
        <v>44600.108258136577</v>
      </c>
      <c r="AC2495" t="str">
        <f>+VLOOKUP(R2495,DRAFT!A:Q,17,0)</f>
        <v>SUPPORT</v>
      </c>
    </row>
    <row r="2496" spans="1:29">
      <c r="A2496" t="s">
        <v>382</v>
      </c>
      <c r="B2496" t="s">
        <v>440</v>
      </c>
      <c r="C2496" t="s">
        <v>1637</v>
      </c>
      <c r="D2496" t="s">
        <v>1638</v>
      </c>
      <c r="E2496" t="s">
        <v>390</v>
      </c>
      <c r="F2496" t="s">
        <v>391</v>
      </c>
      <c r="G2496">
        <v>6201399</v>
      </c>
      <c r="H2496">
        <v>202204</v>
      </c>
      <c r="I2496" s="400">
        <v>44681</v>
      </c>
      <c r="J2496" t="s">
        <v>452</v>
      </c>
      <c r="K2496" t="s">
        <v>386</v>
      </c>
      <c r="M2496" t="s">
        <v>387</v>
      </c>
      <c r="O2496" t="s">
        <v>480</v>
      </c>
      <c r="P2496" t="s">
        <v>481</v>
      </c>
      <c r="Q2496" t="s">
        <v>450</v>
      </c>
      <c r="R2496" s="458">
        <v>2069079</v>
      </c>
      <c r="S2496" t="s">
        <v>387</v>
      </c>
      <c r="U2496" t="s">
        <v>4048</v>
      </c>
      <c r="V2496" t="s">
        <v>398</v>
      </c>
      <c r="W2496" s="393">
        <v>348260.5</v>
      </c>
      <c r="X2496" s="393">
        <v>92.65</v>
      </c>
      <c r="Y2496" s="393">
        <v>796.69</v>
      </c>
      <c r="Z2496" s="393">
        <v>348260.5</v>
      </c>
      <c r="AA2496">
        <v>0</v>
      </c>
      <c r="AB2496" s="400">
        <v>44688.670995173612</v>
      </c>
      <c r="AC2496" t="str">
        <f>+VLOOKUP(R2496,DRAFT!A:Q,17,0)</f>
        <v>SUPPORT</v>
      </c>
    </row>
    <row r="2497" spans="1:29">
      <c r="A2497" t="s">
        <v>382</v>
      </c>
      <c r="B2497" t="s">
        <v>440</v>
      </c>
      <c r="C2497" t="s">
        <v>1637</v>
      </c>
      <c r="D2497" t="s">
        <v>1638</v>
      </c>
      <c r="E2497" t="s">
        <v>390</v>
      </c>
      <c r="F2497" t="s">
        <v>391</v>
      </c>
      <c r="G2497">
        <v>6201442</v>
      </c>
      <c r="H2497">
        <v>202204</v>
      </c>
      <c r="I2497" s="400">
        <v>44679</v>
      </c>
      <c r="J2497" t="s">
        <v>1016</v>
      </c>
      <c r="K2497" t="s">
        <v>386</v>
      </c>
      <c r="M2497" t="s">
        <v>387</v>
      </c>
      <c r="O2497" t="s">
        <v>480</v>
      </c>
      <c r="P2497" t="s">
        <v>481</v>
      </c>
      <c r="Q2497" t="s">
        <v>450</v>
      </c>
      <c r="R2497" s="458">
        <v>2069079</v>
      </c>
      <c r="S2497" t="s">
        <v>387</v>
      </c>
      <c r="U2497" t="s">
        <v>4047</v>
      </c>
      <c r="V2497" t="s">
        <v>398</v>
      </c>
      <c r="W2497" s="393">
        <v>4700</v>
      </c>
      <c r="X2497" s="393">
        <v>1.25</v>
      </c>
      <c r="Y2497" s="393">
        <v>10.75</v>
      </c>
      <c r="Z2497" s="393">
        <v>4700</v>
      </c>
      <c r="AA2497">
        <v>0</v>
      </c>
      <c r="AB2497" s="400">
        <v>44691.039159571759</v>
      </c>
      <c r="AC2497" t="str">
        <f>+VLOOKUP(R2497,DRAFT!A:Q,17,0)</f>
        <v>SUPPORT</v>
      </c>
    </row>
    <row r="2498" spans="1:29">
      <c r="A2498" t="s">
        <v>382</v>
      </c>
      <c r="B2498" t="s">
        <v>440</v>
      </c>
      <c r="C2498" t="s">
        <v>1637</v>
      </c>
      <c r="D2498" t="s">
        <v>1638</v>
      </c>
      <c r="E2498" t="s">
        <v>390</v>
      </c>
      <c r="F2498" t="s">
        <v>391</v>
      </c>
      <c r="G2498">
        <v>6201442</v>
      </c>
      <c r="H2498">
        <v>202204</v>
      </c>
      <c r="I2498" s="400">
        <v>44679</v>
      </c>
      <c r="J2498" t="s">
        <v>1016</v>
      </c>
      <c r="K2498" t="s">
        <v>386</v>
      </c>
      <c r="M2498" t="s">
        <v>387</v>
      </c>
      <c r="O2498" t="s">
        <v>480</v>
      </c>
      <c r="P2498" t="s">
        <v>481</v>
      </c>
      <c r="Q2498" t="s">
        <v>450</v>
      </c>
      <c r="R2498" s="458">
        <v>2069079</v>
      </c>
      <c r="S2498" t="s">
        <v>387</v>
      </c>
      <c r="U2498" t="s">
        <v>4046</v>
      </c>
      <c r="V2498" t="s">
        <v>398</v>
      </c>
      <c r="W2498" s="393">
        <v>1786</v>
      </c>
      <c r="X2498" s="393">
        <v>0.48</v>
      </c>
      <c r="Y2498" s="393">
        <v>4.09</v>
      </c>
      <c r="Z2498" s="393">
        <v>1786</v>
      </c>
      <c r="AA2498">
        <v>0</v>
      </c>
      <c r="AB2498" s="400">
        <v>44691.039159571759</v>
      </c>
      <c r="AC2498" t="str">
        <f>+VLOOKUP(R2498,DRAFT!A:Q,17,0)</f>
        <v>SUPPORT</v>
      </c>
    </row>
    <row r="2499" spans="1:29">
      <c r="A2499" t="s">
        <v>382</v>
      </c>
      <c r="B2499" t="s">
        <v>440</v>
      </c>
      <c r="C2499" t="s">
        <v>1637</v>
      </c>
      <c r="D2499" t="s">
        <v>1638</v>
      </c>
      <c r="E2499" t="s">
        <v>390</v>
      </c>
      <c r="F2499" t="s">
        <v>391</v>
      </c>
      <c r="G2499">
        <v>6201442</v>
      </c>
      <c r="H2499">
        <v>202204</v>
      </c>
      <c r="I2499" s="400">
        <v>44679</v>
      </c>
      <c r="J2499" t="s">
        <v>1016</v>
      </c>
      <c r="K2499" t="s">
        <v>386</v>
      </c>
      <c r="M2499" t="s">
        <v>387</v>
      </c>
      <c r="O2499" t="s">
        <v>480</v>
      </c>
      <c r="P2499" t="s">
        <v>481</v>
      </c>
      <c r="Q2499" t="s">
        <v>450</v>
      </c>
      <c r="R2499" s="458">
        <v>2069079</v>
      </c>
      <c r="S2499" t="s">
        <v>387</v>
      </c>
      <c r="U2499" t="s">
        <v>4046</v>
      </c>
      <c r="V2499" t="s">
        <v>398</v>
      </c>
      <c r="W2499" s="393">
        <v>893</v>
      </c>
      <c r="X2499" s="393">
        <v>0.24</v>
      </c>
      <c r="Y2499" s="393">
        <v>2.04</v>
      </c>
      <c r="Z2499" s="393">
        <v>893</v>
      </c>
      <c r="AA2499">
        <v>0</v>
      </c>
      <c r="AB2499" s="400">
        <v>44691.039159571759</v>
      </c>
      <c r="AC2499" t="str">
        <f>+VLOOKUP(R2499,DRAFT!A:Q,17,0)</f>
        <v>SUPPORT</v>
      </c>
    </row>
    <row r="2500" spans="1:29">
      <c r="A2500" t="s">
        <v>382</v>
      </c>
      <c r="B2500" t="s">
        <v>440</v>
      </c>
      <c r="C2500" t="s">
        <v>1637</v>
      </c>
      <c r="D2500" t="s">
        <v>1638</v>
      </c>
      <c r="E2500" t="s">
        <v>390</v>
      </c>
      <c r="F2500" t="s">
        <v>391</v>
      </c>
      <c r="G2500">
        <v>6201442</v>
      </c>
      <c r="H2500">
        <v>202204</v>
      </c>
      <c r="I2500" s="400">
        <v>44679</v>
      </c>
      <c r="J2500" t="s">
        <v>1016</v>
      </c>
      <c r="K2500" t="s">
        <v>386</v>
      </c>
      <c r="M2500" t="s">
        <v>387</v>
      </c>
      <c r="O2500" t="s">
        <v>480</v>
      </c>
      <c r="P2500" t="s">
        <v>481</v>
      </c>
      <c r="Q2500" t="s">
        <v>450</v>
      </c>
      <c r="R2500" s="458">
        <v>2069079</v>
      </c>
      <c r="S2500" t="s">
        <v>387</v>
      </c>
      <c r="U2500" t="s">
        <v>4046</v>
      </c>
      <c r="V2500" t="s">
        <v>398</v>
      </c>
      <c r="W2500" s="393">
        <v>893</v>
      </c>
      <c r="X2500" s="393">
        <v>0.24</v>
      </c>
      <c r="Y2500" s="393">
        <v>2.04</v>
      </c>
      <c r="Z2500" s="393">
        <v>893</v>
      </c>
      <c r="AA2500">
        <v>0</v>
      </c>
      <c r="AB2500" s="400">
        <v>44691.039159756947</v>
      </c>
      <c r="AC2500" t="str">
        <f>+VLOOKUP(R2500,DRAFT!A:Q,17,0)</f>
        <v>SUPPORT</v>
      </c>
    </row>
    <row r="2501" spans="1:29">
      <c r="A2501" t="s">
        <v>382</v>
      </c>
      <c r="B2501" t="s">
        <v>440</v>
      </c>
      <c r="C2501" t="s">
        <v>1637</v>
      </c>
      <c r="D2501" t="s">
        <v>1649</v>
      </c>
      <c r="E2501" t="s">
        <v>390</v>
      </c>
      <c r="F2501" t="s">
        <v>391</v>
      </c>
      <c r="G2501">
        <v>6200111</v>
      </c>
      <c r="H2501">
        <v>202201</v>
      </c>
      <c r="I2501" s="400">
        <v>44592</v>
      </c>
      <c r="J2501" t="s">
        <v>452</v>
      </c>
      <c r="K2501" t="s">
        <v>386</v>
      </c>
      <c r="M2501" t="s">
        <v>387</v>
      </c>
      <c r="O2501" t="s">
        <v>480</v>
      </c>
      <c r="P2501" t="s">
        <v>481</v>
      </c>
      <c r="Q2501" t="s">
        <v>450</v>
      </c>
      <c r="R2501" s="458">
        <v>2069079</v>
      </c>
      <c r="S2501" t="s">
        <v>387</v>
      </c>
      <c r="U2501" t="s">
        <v>3158</v>
      </c>
      <c r="V2501" t="s">
        <v>398</v>
      </c>
      <c r="W2501" s="393">
        <v>1860385.32</v>
      </c>
      <c r="X2501" s="393">
        <v>464.63</v>
      </c>
      <c r="Y2501" s="393">
        <v>4138.09</v>
      </c>
      <c r="Z2501" s="393">
        <v>1860385.32</v>
      </c>
      <c r="AA2501">
        <v>0</v>
      </c>
      <c r="AB2501" s="400">
        <v>44600.108258136577</v>
      </c>
      <c r="AC2501" t="str">
        <f>+VLOOKUP(R2501,DRAFT!A:Q,17,0)</f>
        <v>SUPPORT</v>
      </c>
    </row>
    <row r="2502" spans="1:29">
      <c r="A2502" t="s">
        <v>382</v>
      </c>
      <c r="B2502" t="s">
        <v>440</v>
      </c>
      <c r="C2502" t="s">
        <v>1637</v>
      </c>
      <c r="D2502" t="s">
        <v>1657</v>
      </c>
      <c r="E2502" t="s">
        <v>390</v>
      </c>
      <c r="F2502" t="s">
        <v>391</v>
      </c>
      <c r="G2502">
        <v>6200111</v>
      </c>
      <c r="H2502">
        <v>202201</v>
      </c>
      <c r="I2502" s="400">
        <v>44592</v>
      </c>
      <c r="J2502" t="s">
        <v>452</v>
      </c>
      <c r="K2502" t="s">
        <v>386</v>
      </c>
      <c r="M2502" t="s">
        <v>387</v>
      </c>
      <c r="O2502" t="s">
        <v>480</v>
      </c>
      <c r="P2502" t="s">
        <v>481</v>
      </c>
      <c r="Q2502" t="s">
        <v>450</v>
      </c>
      <c r="R2502" s="458">
        <v>2069079</v>
      </c>
      <c r="S2502" t="s">
        <v>387</v>
      </c>
      <c r="U2502" t="s">
        <v>3158</v>
      </c>
      <c r="V2502" t="s">
        <v>398</v>
      </c>
      <c r="W2502" s="393">
        <v>465150</v>
      </c>
      <c r="X2502" s="393">
        <v>116.17</v>
      </c>
      <c r="Y2502" s="393">
        <v>1034.6400000000001</v>
      </c>
      <c r="Z2502" s="393">
        <v>465150</v>
      </c>
      <c r="AA2502">
        <v>205</v>
      </c>
      <c r="AB2502" s="400">
        <v>44600.108258136577</v>
      </c>
      <c r="AC2502" t="str">
        <f>+VLOOKUP(R2502,DRAFT!A:Q,17,0)</f>
        <v>SUPPORT</v>
      </c>
    </row>
    <row r="2503" spans="1:29">
      <c r="A2503" t="s">
        <v>382</v>
      </c>
      <c r="B2503" t="s">
        <v>440</v>
      </c>
      <c r="C2503" t="s">
        <v>1637</v>
      </c>
      <c r="D2503" t="s">
        <v>1657</v>
      </c>
      <c r="E2503" t="s">
        <v>390</v>
      </c>
      <c r="F2503" t="s">
        <v>391</v>
      </c>
      <c r="G2503">
        <v>6200332</v>
      </c>
      <c r="H2503">
        <v>202202</v>
      </c>
      <c r="I2503" s="400">
        <v>44620</v>
      </c>
      <c r="J2503" t="s">
        <v>452</v>
      </c>
      <c r="K2503" t="s">
        <v>386</v>
      </c>
      <c r="M2503" t="s">
        <v>387</v>
      </c>
      <c r="O2503" t="s">
        <v>480</v>
      </c>
      <c r="P2503" t="s">
        <v>481</v>
      </c>
      <c r="Q2503" t="s">
        <v>450</v>
      </c>
      <c r="R2503" s="458">
        <v>2069079</v>
      </c>
      <c r="S2503" t="s">
        <v>387</v>
      </c>
      <c r="U2503" t="s">
        <v>3159</v>
      </c>
      <c r="V2503" t="s">
        <v>398</v>
      </c>
      <c r="W2503" s="393">
        <v>2640</v>
      </c>
      <c r="X2503" s="393">
        <v>0.67</v>
      </c>
      <c r="Y2503" s="393">
        <v>6.03</v>
      </c>
      <c r="Z2503" s="393">
        <v>2640</v>
      </c>
      <c r="AA2503">
        <v>0</v>
      </c>
      <c r="AB2503" s="400">
        <v>44624.646163425925</v>
      </c>
      <c r="AC2503" t="str">
        <f>+VLOOKUP(R2503,DRAFT!A:Q,17,0)</f>
        <v>SUPPORT</v>
      </c>
    </row>
    <row r="2504" spans="1:29">
      <c r="A2504" t="s">
        <v>382</v>
      </c>
      <c r="B2504" t="s">
        <v>440</v>
      </c>
      <c r="C2504" t="s">
        <v>1637</v>
      </c>
      <c r="D2504" t="s">
        <v>1657</v>
      </c>
      <c r="E2504" t="s">
        <v>390</v>
      </c>
      <c r="F2504" t="s">
        <v>391</v>
      </c>
      <c r="G2504">
        <v>6200332</v>
      </c>
      <c r="H2504">
        <v>202202</v>
      </c>
      <c r="I2504" s="400">
        <v>44620</v>
      </c>
      <c r="J2504" t="s">
        <v>452</v>
      </c>
      <c r="K2504" t="s">
        <v>386</v>
      </c>
      <c r="M2504" t="s">
        <v>387</v>
      </c>
      <c r="O2504" t="s">
        <v>480</v>
      </c>
      <c r="P2504" t="s">
        <v>481</v>
      </c>
      <c r="Q2504" t="s">
        <v>450</v>
      </c>
      <c r="R2504" s="458">
        <v>2069079</v>
      </c>
      <c r="S2504" t="s">
        <v>387</v>
      </c>
      <c r="U2504" t="s">
        <v>3160</v>
      </c>
      <c r="V2504" t="s">
        <v>398</v>
      </c>
      <c r="W2504" s="393">
        <v>234</v>
      </c>
      <c r="X2504" s="393">
        <v>0.06</v>
      </c>
      <c r="Y2504" s="393">
        <v>0.53</v>
      </c>
      <c r="Z2504" s="393">
        <v>234</v>
      </c>
      <c r="AA2504">
        <v>0</v>
      </c>
      <c r="AB2504" s="400">
        <v>44624.646163622689</v>
      </c>
      <c r="AC2504" t="str">
        <f>+VLOOKUP(R2504,DRAFT!A:Q,17,0)</f>
        <v>SUPPORT</v>
      </c>
    </row>
    <row r="2505" spans="1:29">
      <c r="A2505" t="s">
        <v>382</v>
      </c>
      <c r="B2505" t="s">
        <v>440</v>
      </c>
      <c r="C2505" t="s">
        <v>1637</v>
      </c>
      <c r="D2505" t="s">
        <v>1657</v>
      </c>
      <c r="E2505" t="s">
        <v>390</v>
      </c>
      <c r="F2505" t="s">
        <v>391</v>
      </c>
      <c r="G2505">
        <v>6200279</v>
      </c>
      <c r="H2505">
        <v>202202</v>
      </c>
      <c r="I2505" s="400">
        <v>44620</v>
      </c>
      <c r="J2505" t="s">
        <v>452</v>
      </c>
      <c r="K2505" t="s">
        <v>386</v>
      </c>
      <c r="M2505" t="s">
        <v>387</v>
      </c>
      <c r="O2505" t="s">
        <v>480</v>
      </c>
      <c r="P2505" t="s">
        <v>481</v>
      </c>
      <c r="Q2505" t="s">
        <v>450</v>
      </c>
      <c r="R2505" s="458">
        <v>2069079</v>
      </c>
      <c r="S2505" t="s">
        <v>387</v>
      </c>
      <c r="U2505" t="s">
        <v>3161</v>
      </c>
      <c r="V2505" t="s">
        <v>398</v>
      </c>
      <c r="W2505" s="393">
        <v>6708</v>
      </c>
      <c r="X2505" s="393">
        <v>1.71</v>
      </c>
      <c r="Y2505" s="393">
        <v>15.31</v>
      </c>
      <c r="Z2505" s="393">
        <v>6708</v>
      </c>
      <c r="AA2505">
        <v>0</v>
      </c>
      <c r="AB2505" s="400">
        <v>44623.692608796293</v>
      </c>
      <c r="AC2505" t="str">
        <f>+VLOOKUP(R2505,DRAFT!A:Q,17,0)</f>
        <v>SUPPORT</v>
      </c>
    </row>
    <row r="2506" spans="1:29">
      <c r="A2506" t="s">
        <v>382</v>
      </c>
      <c r="B2506" t="s">
        <v>440</v>
      </c>
      <c r="C2506" t="s">
        <v>1637</v>
      </c>
      <c r="D2506" t="s">
        <v>1657</v>
      </c>
      <c r="E2506" t="s">
        <v>390</v>
      </c>
      <c r="F2506" t="s">
        <v>391</v>
      </c>
      <c r="G2506">
        <v>6200279</v>
      </c>
      <c r="H2506">
        <v>202202</v>
      </c>
      <c r="I2506" s="400">
        <v>44620</v>
      </c>
      <c r="J2506" t="s">
        <v>452</v>
      </c>
      <c r="K2506" t="s">
        <v>386</v>
      </c>
      <c r="M2506" t="s">
        <v>387</v>
      </c>
      <c r="O2506" t="s">
        <v>480</v>
      </c>
      <c r="P2506" t="s">
        <v>481</v>
      </c>
      <c r="Q2506" t="s">
        <v>450</v>
      </c>
      <c r="R2506" s="458">
        <v>2069079</v>
      </c>
      <c r="S2506" t="s">
        <v>387</v>
      </c>
      <c r="U2506" t="s">
        <v>3162</v>
      </c>
      <c r="V2506" t="s">
        <v>398</v>
      </c>
      <c r="W2506" s="393">
        <v>8000</v>
      </c>
      <c r="X2506" s="393">
        <v>2.04</v>
      </c>
      <c r="Y2506" s="393">
        <v>18.260000000000002</v>
      </c>
      <c r="Z2506" s="393">
        <v>8000</v>
      </c>
      <c r="AA2506">
        <v>0</v>
      </c>
      <c r="AB2506" s="400">
        <v>44623.692608796293</v>
      </c>
      <c r="AC2506" t="str">
        <f>+VLOOKUP(R2506,DRAFT!A:Q,17,0)</f>
        <v>SUPPORT</v>
      </c>
    </row>
    <row r="2507" spans="1:29">
      <c r="A2507" t="s">
        <v>382</v>
      </c>
      <c r="B2507" t="s">
        <v>440</v>
      </c>
      <c r="C2507" t="s">
        <v>1637</v>
      </c>
      <c r="D2507" t="s">
        <v>1657</v>
      </c>
      <c r="E2507" t="s">
        <v>390</v>
      </c>
      <c r="F2507" t="s">
        <v>391</v>
      </c>
      <c r="G2507">
        <v>6201399</v>
      </c>
      <c r="H2507">
        <v>202204</v>
      </c>
      <c r="I2507" s="400">
        <v>44681</v>
      </c>
      <c r="J2507" t="s">
        <v>452</v>
      </c>
      <c r="K2507" t="s">
        <v>386</v>
      </c>
      <c r="M2507" t="s">
        <v>387</v>
      </c>
      <c r="O2507" t="s">
        <v>480</v>
      </c>
      <c r="P2507" t="s">
        <v>481</v>
      </c>
      <c r="Q2507" t="s">
        <v>450</v>
      </c>
      <c r="R2507" s="458">
        <v>2069079</v>
      </c>
      <c r="S2507" t="s">
        <v>387</v>
      </c>
      <c r="U2507" t="s">
        <v>4048</v>
      </c>
      <c r="V2507" t="s">
        <v>398</v>
      </c>
      <c r="W2507" s="393">
        <v>132000</v>
      </c>
      <c r="X2507" s="393">
        <v>35.119999999999997</v>
      </c>
      <c r="Y2507" s="393">
        <v>301.97000000000003</v>
      </c>
      <c r="Z2507" s="393">
        <v>132000</v>
      </c>
      <c r="AA2507">
        <v>205</v>
      </c>
      <c r="AB2507" s="400">
        <v>44688.670995023145</v>
      </c>
      <c r="AC2507" t="str">
        <f>+VLOOKUP(R2507,DRAFT!A:Q,17,0)</f>
        <v>SUPPORT</v>
      </c>
    </row>
    <row r="2508" spans="1:29">
      <c r="A2508" t="s">
        <v>382</v>
      </c>
      <c r="B2508" t="s">
        <v>440</v>
      </c>
      <c r="C2508" t="s">
        <v>1637</v>
      </c>
      <c r="D2508" t="s">
        <v>1657</v>
      </c>
      <c r="E2508" t="s">
        <v>390</v>
      </c>
      <c r="F2508" t="s">
        <v>391</v>
      </c>
      <c r="G2508">
        <v>6201442</v>
      </c>
      <c r="H2508">
        <v>202204</v>
      </c>
      <c r="I2508" s="400">
        <v>44679</v>
      </c>
      <c r="J2508" t="s">
        <v>1016</v>
      </c>
      <c r="K2508" t="s">
        <v>386</v>
      </c>
      <c r="M2508" t="s">
        <v>387</v>
      </c>
      <c r="O2508" t="s">
        <v>480</v>
      </c>
      <c r="P2508" t="s">
        <v>481</v>
      </c>
      <c r="Q2508" t="s">
        <v>450</v>
      </c>
      <c r="R2508" s="458">
        <v>2069079</v>
      </c>
      <c r="S2508" t="s">
        <v>387</v>
      </c>
      <c r="U2508" t="s">
        <v>4047</v>
      </c>
      <c r="V2508" t="s">
        <v>398</v>
      </c>
      <c r="W2508" s="393">
        <v>4700</v>
      </c>
      <c r="X2508" s="393">
        <v>1.25</v>
      </c>
      <c r="Y2508" s="393">
        <v>10.75</v>
      </c>
      <c r="Z2508" s="393">
        <v>4700</v>
      </c>
      <c r="AA2508">
        <v>0</v>
      </c>
      <c r="AB2508" s="400">
        <v>44691.039159571759</v>
      </c>
      <c r="AC2508" t="str">
        <f>+VLOOKUP(R2508,DRAFT!A:Q,17,0)</f>
        <v>SUPPORT</v>
      </c>
    </row>
    <row r="2509" spans="1:29">
      <c r="A2509" t="s">
        <v>382</v>
      </c>
      <c r="B2509" t="s">
        <v>440</v>
      </c>
      <c r="C2509" t="s">
        <v>1637</v>
      </c>
      <c r="D2509" t="s">
        <v>1668</v>
      </c>
      <c r="E2509" t="s">
        <v>390</v>
      </c>
      <c r="F2509" t="s">
        <v>391</v>
      </c>
      <c r="G2509">
        <v>6200108</v>
      </c>
      <c r="H2509">
        <v>202201</v>
      </c>
      <c r="I2509" s="400">
        <v>44592</v>
      </c>
      <c r="J2509" t="s">
        <v>452</v>
      </c>
      <c r="K2509" t="s">
        <v>386</v>
      </c>
      <c r="M2509" t="s">
        <v>387</v>
      </c>
      <c r="O2509" t="s">
        <v>512</v>
      </c>
      <c r="P2509" t="s">
        <v>513</v>
      </c>
      <c r="Q2509" t="s">
        <v>450</v>
      </c>
      <c r="R2509" s="458">
        <v>2069079</v>
      </c>
      <c r="S2509" t="s">
        <v>3163</v>
      </c>
      <c r="T2509">
        <v>31022022</v>
      </c>
      <c r="U2509" t="s">
        <v>3164</v>
      </c>
      <c r="V2509" t="s">
        <v>398</v>
      </c>
      <c r="W2509" s="393">
        <v>-318</v>
      </c>
      <c r="X2509" s="393">
        <v>-0.08</v>
      </c>
      <c r="Y2509" s="393">
        <v>-0.71</v>
      </c>
      <c r="Z2509" s="393">
        <v>-318</v>
      </c>
      <c r="AA2509">
        <v>0</v>
      </c>
      <c r="AB2509" s="400">
        <v>44599.964660381942</v>
      </c>
      <c r="AC2509" t="str">
        <f>+VLOOKUP(R2509,DRAFT!A:Q,17,0)</f>
        <v>SUPPORT</v>
      </c>
    </row>
    <row r="2510" spans="1:29">
      <c r="A2510" t="s">
        <v>382</v>
      </c>
      <c r="B2510" t="s">
        <v>440</v>
      </c>
      <c r="C2510" t="s">
        <v>486</v>
      </c>
      <c r="D2510" t="s">
        <v>487</v>
      </c>
      <c r="E2510" t="s">
        <v>390</v>
      </c>
      <c r="F2510" t="s">
        <v>391</v>
      </c>
      <c r="G2510">
        <v>6201702</v>
      </c>
      <c r="H2510">
        <v>202205</v>
      </c>
      <c r="I2510" s="400">
        <v>44712</v>
      </c>
      <c r="J2510" t="s">
        <v>452</v>
      </c>
      <c r="K2510" t="s">
        <v>386</v>
      </c>
      <c r="M2510" t="s">
        <v>387</v>
      </c>
      <c r="O2510" t="s">
        <v>3942</v>
      </c>
      <c r="P2510" t="s">
        <v>3943</v>
      </c>
      <c r="Q2510" t="s">
        <v>396</v>
      </c>
      <c r="R2510" s="458">
        <v>2069133</v>
      </c>
      <c r="S2510" t="s">
        <v>387</v>
      </c>
      <c r="U2510" t="s">
        <v>4100</v>
      </c>
      <c r="V2510" t="s">
        <v>398</v>
      </c>
      <c r="W2510" s="393">
        <v>2500000</v>
      </c>
      <c r="X2510" s="393">
        <v>631.48</v>
      </c>
      <c r="Y2510" s="393">
        <v>5915.28</v>
      </c>
      <c r="Z2510" s="393">
        <v>2500000</v>
      </c>
      <c r="AA2510">
        <v>0</v>
      </c>
      <c r="AB2510" s="400">
        <v>44713.903776041669</v>
      </c>
      <c r="AC2510" t="str">
        <f>+VLOOKUP(R2510,DRAFT!A:Q,17,0)</f>
        <v>1.3.2</v>
      </c>
    </row>
    <row r="2511" spans="1:29">
      <c r="A2511" t="s">
        <v>382</v>
      </c>
      <c r="B2511" t="s">
        <v>440</v>
      </c>
      <c r="C2511" t="s">
        <v>486</v>
      </c>
      <c r="D2511" t="s">
        <v>487</v>
      </c>
      <c r="E2511" t="s">
        <v>390</v>
      </c>
      <c r="F2511" t="s">
        <v>391</v>
      </c>
      <c r="G2511">
        <v>6201702</v>
      </c>
      <c r="H2511">
        <v>202205</v>
      </c>
      <c r="I2511" s="400">
        <v>44712</v>
      </c>
      <c r="J2511" t="s">
        <v>452</v>
      </c>
      <c r="K2511" t="s">
        <v>386</v>
      </c>
      <c r="M2511" t="s">
        <v>387</v>
      </c>
      <c r="O2511" t="s">
        <v>4101</v>
      </c>
      <c r="P2511" t="s">
        <v>4102</v>
      </c>
      <c r="Q2511" t="s">
        <v>396</v>
      </c>
      <c r="R2511" s="458">
        <v>2069133</v>
      </c>
      <c r="S2511" t="s">
        <v>387</v>
      </c>
      <c r="U2511" t="s">
        <v>4103</v>
      </c>
      <c r="V2511" t="s">
        <v>398</v>
      </c>
      <c r="W2511" s="393">
        <v>4022370</v>
      </c>
      <c r="X2511" s="393">
        <v>1016.01</v>
      </c>
      <c r="Y2511" s="393">
        <v>9517.3700000000008</v>
      </c>
      <c r="Z2511" s="393">
        <v>4022370</v>
      </c>
      <c r="AA2511">
        <v>0</v>
      </c>
      <c r="AB2511" s="400">
        <v>44713.903776238425</v>
      </c>
      <c r="AC2511" t="str">
        <f>+VLOOKUP(R2511,DRAFT!A:Q,17,0)</f>
        <v>1.3.2</v>
      </c>
    </row>
    <row r="2512" spans="1:29">
      <c r="A2512" t="s">
        <v>382</v>
      </c>
      <c r="B2512" t="s">
        <v>440</v>
      </c>
      <c r="C2512" t="s">
        <v>486</v>
      </c>
      <c r="D2512" t="s">
        <v>487</v>
      </c>
      <c r="E2512" t="s">
        <v>390</v>
      </c>
      <c r="F2512" t="s">
        <v>391</v>
      </c>
      <c r="G2512">
        <v>6201702</v>
      </c>
      <c r="H2512">
        <v>202205</v>
      </c>
      <c r="I2512" s="400">
        <v>44712</v>
      </c>
      <c r="J2512" t="s">
        <v>452</v>
      </c>
      <c r="K2512" t="s">
        <v>386</v>
      </c>
      <c r="M2512" t="s">
        <v>387</v>
      </c>
      <c r="O2512" t="s">
        <v>4104</v>
      </c>
      <c r="P2512" t="s">
        <v>4105</v>
      </c>
      <c r="Q2512" t="s">
        <v>396</v>
      </c>
      <c r="R2512" s="458">
        <v>2069133</v>
      </c>
      <c r="S2512" t="s">
        <v>387</v>
      </c>
      <c r="U2512" t="s">
        <v>4106</v>
      </c>
      <c r="V2512" t="s">
        <v>398</v>
      </c>
      <c r="W2512" s="393">
        <v>4022370</v>
      </c>
      <c r="X2512" s="393">
        <v>1016.01</v>
      </c>
      <c r="Y2512" s="393">
        <v>9517.3700000000008</v>
      </c>
      <c r="Z2512" s="393">
        <v>4022370</v>
      </c>
      <c r="AA2512">
        <v>0</v>
      </c>
      <c r="AB2512" s="400">
        <v>44713.903776238425</v>
      </c>
      <c r="AC2512" t="str">
        <f>+VLOOKUP(R2512,DRAFT!A:Q,17,0)</f>
        <v>1.3.2</v>
      </c>
    </row>
    <row r="2513" spans="1:29">
      <c r="A2513" t="s">
        <v>382</v>
      </c>
      <c r="B2513" t="s">
        <v>440</v>
      </c>
      <c r="C2513" t="s">
        <v>486</v>
      </c>
      <c r="D2513" t="s">
        <v>487</v>
      </c>
      <c r="E2513" t="s">
        <v>390</v>
      </c>
      <c r="F2513" t="s">
        <v>391</v>
      </c>
      <c r="G2513">
        <v>6201499</v>
      </c>
      <c r="H2513">
        <v>202205</v>
      </c>
      <c r="I2513" s="400">
        <v>44701</v>
      </c>
      <c r="J2513" t="s">
        <v>452</v>
      </c>
      <c r="K2513" t="s">
        <v>386</v>
      </c>
      <c r="M2513" t="s">
        <v>387</v>
      </c>
      <c r="O2513" t="s">
        <v>3925</v>
      </c>
      <c r="P2513" t="s">
        <v>3926</v>
      </c>
      <c r="Q2513" t="s">
        <v>396</v>
      </c>
      <c r="R2513" s="458">
        <v>2265782</v>
      </c>
      <c r="S2513" t="s">
        <v>3927</v>
      </c>
      <c r="U2513" t="s">
        <v>3928</v>
      </c>
      <c r="V2513" t="s">
        <v>398</v>
      </c>
      <c r="W2513" s="393">
        <v>2000000</v>
      </c>
      <c r="X2513" s="393">
        <v>490.16</v>
      </c>
      <c r="Y2513" s="393">
        <v>4460.84</v>
      </c>
      <c r="Z2513" s="393">
        <v>2000000</v>
      </c>
      <c r="AA2513">
        <v>0</v>
      </c>
      <c r="AB2513" s="400">
        <v>44703.747761574072</v>
      </c>
      <c r="AC2513" t="str">
        <f>+VLOOKUP(R2513,DRAFT!A:Q,17,0)</f>
        <v>MAE</v>
      </c>
    </row>
    <row r="2514" spans="1:29">
      <c r="A2514" t="s">
        <v>382</v>
      </c>
      <c r="B2514" t="s">
        <v>440</v>
      </c>
      <c r="C2514" t="s">
        <v>486</v>
      </c>
      <c r="D2514" t="s">
        <v>487</v>
      </c>
      <c r="E2514" t="s">
        <v>390</v>
      </c>
      <c r="F2514" t="s">
        <v>391</v>
      </c>
      <c r="G2514">
        <v>6201499</v>
      </c>
      <c r="H2514">
        <v>202205</v>
      </c>
      <c r="I2514" s="400">
        <v>44701</v>
      </c>
      <c r="J2514" t="s">
        <v>452</v>
      </c>
      <c r="K2514" t="s">
        <v>386</v>
      </c>
      <c r="M2514" t="s">
        <v>387</v>
      </c>
      <c r="O2514" t="s">
        <v>3929</v>
      </c>
      <c r="P2514" t="s">
        <v>3930</v>
      </c>
      <c r="Q2514" t="s">
        <v>396</v>
      </c>
      <c r="R2514" s="458">
        <v>2265782</v>
      </c>
      <c r="S2514" t="s">
        <v>3931</v>
      </c>
      <c r="U2514" t="s">
        <v>3932</v>
      </c>
      <c r="V2514" t="s">
        <v>398</v>
      </c>
      <c r="W2514" s="393">
        <v>2000000</v>
      </c>
      <c r="X2514" s="393">
        <v>490.16</v>
      </c>
      <c r="Y2514" s="393">
        <v>4460.84</v>
      </c>
      <c r="Z2514" s="393">
        <v>2000000</v>
      </c>
      <c r="AA2514">
        <v>0</v>
      </c>
      <c r="AB2514" s="400">
        <v>44703.747761574072</v>
      </c>
      <c r="AC2514" t="str">
        <f>+VLOOKUP(R2514,DRAFT!A:Q,17,0)</f>
        <v>MAE</v>
      </c>
    </row>
    <row r="2515" spans="1:29">
      <c r="A2515" t="s">
        <v>382</v>
      </c>
      <c r="B2515" t="s">
        <v>440</v>
      </c>
      <c r="C2515" t="s">
        <v>486</v>
      </c>
      <c r="D2515" t="s">
        <v>487</v>
      </c>
      <c r="E2515" t="s">
        <v>390</v>
      </c>
      <c r="F2515" t="s">
        <v>391</v>
      </c>
      <c r="G2515">
        <v>6201499</v>
      </c>
      <c r="H2515">
        <v>202205</v>
      </c>
      <c r="I2515" s="400">
        <v>44701</v>
      </c>
      <c r="J2515" t="s">
        <v>452</v>
      </c>
      <c r="K2515" t="s">
        <v>386</v>
      </c>
      <c r="M2515" t="s">
        <v>387</v>
      </c>
      <c r="O2515" t="s">
        <v>3933</v>
      </c>
      <c r="P2515" t="s">
        <v>3934</v>
      </c>
      <c r="Q2515" t="s">
        <v>396</v>
      </c>
      <c r="R2515" s="458">
        <v>2265782</v>
      </c>
      <c r="S2515" t="s">
        <v>3935</v>
      </c>
      <c r="U2515" t="s">
        <v>3936</v>
      </c>
      <c r="V2515" t="s">
        <v>398</v>
      </c>
      <c r="W2515" s="393">
        <v>2000000</v>
      </c>
      <c r="X2515" s="393">
        <v>490.16</v>
      </c>
      <c r="Y2515" s="393">
        <v>4460.84</v>
      </c>
      <c r="Z2515" s="393">
        <v>2000000</v>
      </c>
      <c r="AA2515">
        <v>0</v>
      </c>
      <c r="AB2515" s="400">
        <v>44703.747761574072</v>
      </c>
      <c r="AC2515" t="str">
        <f>+VLOOKUP(R2515,DRAFT!A:Q,17,0)</f>
        <v>MAE</v>
      </c>
    </row>
    <row r="2516" spans="1:29">
      <c r="A2516" t="s">
        <v>382</v>
      </c>
      <c r="B2516" t="s">
        <v>440</v>
      </c>
      <c r="C2516" t="s">
        <v>486</v>
      </c>
      <c r="D2516" t="s">
        <v>487</v>
      </c>
      <c r="E2516" t="s">
        <v>390</v>
      </c>
      <c r="F2516" t="s">
        <v>391</v>
      </c>
      <c r="G2516">
        <v>6201499</v>
      </c>
      <c r="H2516">
        <v>202205</v>
      </c>
      <c r="I2516" s="400">
        <v>44701</v>
      </c>
      <c r="J2516" t="s">
        <v>452</v>
      </c>
      <c r="K2516" t="s">
        <v>386</v>
      </c>
      <c r="M2516" t="s">
        <v>387</v>
      </c>
      <c r="O2516" t="s">
        <v>1959</v>
      </c>
      <c r="P2516" t="s">
        <v>1960</v>
      </c>
      <c r="Q2516" t="s">
        <v>396</v>
      </c>
      <c r="R2516" s="458">
        <v>2265782</v>
      </c>
      <c r="S2516" t="s">
        <v>3937</v>
      </c>
      <c r="U2516" t="s">
        <v>3938</v>
      </c>
      <c r="V2516" t="s">
        <v>398</v>
      </c>
      <c r="W2516" s="393">
        <v>2000000</v>
      </c>
      <c r="X2516" s="393">
        <v>490.16</v>
      </c>
      <c r="Y2516" s="393">
        <v>4460.84</v>
      </c>
      <c r="Z2516" s="393">
        <v>2000000</v>
      </c>
      <c r="AA2516">
        <v>0</v>
      </c>
      <c r="AB2516" s="400">
        <v>44703.747761574072</v>
      </c>
      <c r="AC2516" t="str">
        <f>+VLOOKUP(R2516,DRAFT!A:Q,17,0)</f>
        <v>MAE</v>
      </c>
    </row>
    <row r="2517" spans="1:29">
      <c r="A2517" t="s">
        <v>382</v>
      </c>
      <c r="B2517" t="s">
        <v>440</v>
      </c>
      <c r="C2517" t="s">
        <v>486</v>
      </c>
      <c r="D2517" t="s">
        <v>487</v>
      </c>
      <c r="E2517" t="s">
        <v>390</v>
      </c>
      <c r="F2517" t="s">
        <v>391</v>
      </c>
      <c r="G2517">
        <v>6201702</v>
      </c>
      <c r="H2517">
        <v>202205</v>
      </c>
      <c r="I2517" s="400">
        <v>44712</v>
      </c>
      <c r="J2517" t="s">
        <v>452</v>
      </c>
      <c r="K2517" t="s">
        <v>386</v>
      </c>
      <c r="M2517" t="s">
        <v>387</v>
      </c>
      <c r="O2517" t="s">
        <v>4107</v>
      </c>
      <c r="P2517" t="s">
        <v>4108</v>
      </c>
      <c r="Q2517" t="s">
        <v>396</v>
      </c>
      <c r="R2517" s="458">
        <v>2069133</v>
      </c>
      <c r="S2517" t="s">
        <v>387</v>
      </c>
      <c r="U2517" t="s">
        <v>4109</v>
      </c>
      <c r="V2517" t="s">
        <v>398</v>
      </c>
      <c r="W2517" s="393">
        <v>3943500</v>
      </c>
      <c r="X2517" s="393">
        <v>996.09</v>
      </c>
      <c r="Y2517" s="393">
        <v>9330.75</v>
      </c>
      <c r="Z2517" s="393">
        <v>3943500</v>
      </c>
      <c r="AA2517">
        <v>0</v>
      </c>
      <c r="AB2517" s="400">
        <v>44713.903776238425</v>
      </c>
      <c r="AC2517" t="str">
        <f>+VLOOKUP(R2517,DRAFT!A:Q,17,0)</f>
        <v>1.3.2</v>
      </c>
    </row>
    <row r="2518" spans="1:29">
      <c r="A2518" t="s">
        <v>382</v>
      </c>
      <c r="B2518" t="s">
        <v>440</v>
      </c>
      <c r="C2518" t="s">
        <v>486</v>
      </c>
      <c r="D2518" t="s">
        <v>487</v>
      </c>
      <c r="E2518" t="s">
        <v>390</v>
      </c>
      <c r="F2518" t="s">
        <v>391</v>
      </c>
      <c r="G2518">
        <v>6201702</v>
      </c>
      <c r="H2518">
        <v>202205</v>
      </c>
      <c r="I2518" s="400">
        <v>44712</v>
      </c>
      <c r="J2518" t="s">
        <v>452</v>
      </c>
      <c r="K2518" t="s">
        <v>386</v>
      </c>
      <c r="M2518" t="s">
        <v>387</v>
      </c>
      <c r="O2518" t="s">
        <v>4110</v>
      </c>
      <c r="P2518" t="s">
        <v>4111</v>
      </c>
      <c r="Q2518" t="s">
        <v>396</v>
      </c>
      <c r="R2518" s="458">
        <v>2069133</v>
      </c>
      <c r="S2518" t="s">
        <v>387</v>
      </c>
      <c r="U2518" t="s">
        <v>4112</v>
      </c>
      <c r="V2518" t="s">
        <v>398</v>
      </c>
      <c r="W2518" s="393">
        <v>3943500</v>
      </c>
      <c r="X2518" s="393">
        <v>996.09</v>
      </c>
      <c r="Y2518" s="393">
        <v>9330.75</v>
      </c>
      <c r="Z2518" s="393">
        <v>3943500</v>
      </c>
      <c r="AA2518">
        <v>0</v>
      </c>
      <c r="AB2518" s="400">
        <v>44713.903776423613</v>
      </c>
      <c r="AC2518" t="str">
        <f>+VLOOKUP(R2518,DRAFT!A:Q,17,0)</f>
        <v>1.3.2</v>
      </c>
    </row>
    <row r="2519" spans="1:29">
      <c r="A2519" t="s">
        <v>382</v>
      </c>
      <c r="B2519" t="s">
        <v>440</v>
      </c>
      <c r="C2519" t="s">
        <v>486</v>
      </c>
      <c r="D2519" t="s">
        <v>487</v>
      </c>
      <c r="E2519" t="s">
        <v>390</v>
      </c>
      <c r="F2519" t="s">
        <v>391</v>
      </c>
      <c r="G2519">
        <v>6201702</v>
      </c>
      <c r="H2519">
        <v>202205</v>
      </c>
      <c r="I2519" s="400">
        <v>44712</v>
      </c>
      <c r="J2519" t="s">
        <v>452</v>
      </c>
      <c r="K2519" t="s">
        <v>386</v>
      </c>
      <c r="M2519" t="s">
        <v>387</v>
      </c>
      <c r="O2519" t="s">
        <v>4113</v>
      </c>
      <c r="P2519" t="s">
        <v>4114</v>
      </c>
      <c r="Q2519" t="s">
        <v>396</v>
      </c>
      <c r="R2519" s="458">
        <v>2069133</v>
      </c>
      <c r="S2519" t="s">
        <v>387</v>
      </c>
      <c r="U2519" t="s">
        <v>4115</v>
      </c>
      <c r="V2519" t="s">
        <v>398</v>
      </c>
      <c r="W2519" s="393">
        <v>3864630</v>
      </c>
      <c r="X2519" s="393">
        <v>976.17</v>
      </c>
      <c r="Y2519" s="393">
        <v>9144.14</v>
      </c>
      <c r="Z2519" s="393">
        <v>3864630</v>
      </c>
      <c r="AA2519">
        <v>0</v>
      </c>
      <c r="AB2519" s="400">
        <v>44713.903776423613</v>
      </c>
      <c r="AC2519" t="str">
        <f>+VLOOKUP(R2519,DRAFT!A:Q,17,0)</f>
        <v>1.3.2</v>
      </c>
    </row>
    <row r="2520" spans="1:29">
      <c r="A2520" t="s">
        <v>382</v>
      </c>
      <c r="B2520" t="s">
        <v>440</v>
      </c>
      <c r="C2520" t="s">
        <v>486</v>
      </c>
      <c r="D2520" t="s">
        <v>487</v>
      </c>
      <c r="E2520" t="s">
        <v>390</v>
      </c>
      <c r="F2520" t="s">
        <v>391</v>
      </c>
      <c r="G2520">
        <v>6201498</v>
      </c>
      <c r="H2520">
        <v>202205</v>
      </c>
      <c r="I2520" s="400">
        <v>44701</v>
      </c>
      <c r="J2520" t="s">
        <v>452</v>
      </c>
      <c r="K2520" t="s">
        <v>386</v>
      </c>
      <c r="M2520" t="s">
        <v>387</v>
      </c>
      <c r="O2520" t="s">
        <v>2615</v>
      </c>
      <c r="P2520" t="s">
        <v>2616</v>
      </c>
      <c r="Q2520" t="s">
        <v>396</v>
      </c>
      <c r="R2520" s="458">
        <v>2265777</v>
      </c>
      <c r="S2520" t="s">
        <v>387</v>
      </c>
      <c r="U2520" t="s">
        <v>3939</v>
      </c>
      <c r="V2520" t="s">
        <v>398</v>
      </c>
      <c r="W2520" s="393">
        <v>12605042</v>
      </c>
      <c r="X2520" s="393">
        <v>3089.24</v>
      </c>
      <c r="Y2520" s="393">
        <v>28114.54</v>
      </c>
      <c r="Z2520" s="393">
        <v>12605042</v>
      </c>
      <c r="AA2520">
        <v>166</v>
      </c>
      <c r="AB2520" s="400">
        <v>44703.676521643516</v>
      </c>
      <c r="AC2520" t="str">
        <f>+VLOOKUP(R2520,DRAFT!A:Q,17,0)</f>
        <v>MAE</v>
      </c>
    </row>
    <row r="2521" spans="1:29">
      <c r="A2521" t="s">
        <v>382</v>
      </c>
      <c r="B2521" t="s">
        <v>440</v>
      </c>
      <c r="C2521" t="s">
        <v>486</v>
      </c>
      <c r="D2521" t="s">
        <v>487</v>
      </c>
      <c r="E2521" t="s">
        <v>390</v>
      </c>
      <c r="F2521" t="s">
        <v>391</v>
      </c>
      <c r="G2521">
        <v>6201498</v>
      </c>
      <c r="H2521">
        <v>202205</v>
      </c>
      <c r="I2521" s="400">
        <v>44701</v>
      </c>
      <c r="J2521" t="s">
        <v>452</v>
      </c>
      <c r="K2521" t="s">
        <v>386</v>
      </c>
      <c r="M2521" t="s">
        <v>387</v>
      </c>
      <c r="O2521" t="s">
        <v>3902</v>
      </c>
      <c r="P2521" t="s">
        <v>3903</v>
      </c>
      <c r="Q2521" t="s">
        <v>396</v>
      </c>
      <c r="R2521" s="458">
        <v>2069133</v>
      </c>
      <c r="S2521" t="s">
        <v>387</v>
      </c>
      <c r="U2521" t="s">
        <v>3940</v>
      </c>
      <c r="V2521" t="s">
        <v>398</v>
      </c>
      <c r="W2521" s="393">
        <v>2500000</v>
      </c>
      <c r="X2521" s="393">
        <v>612.70000000000005</v>
      </c>
      <c r="Y2521" s="393">
        <v>5576.05</v>
      </c>
      <c r="Z2521" s="393">
        <v>2500000</v>
      </c>
      <c r="AA2521">
        <v>0</v>
      </c>
      <c r="AB2521" s="400">
        <v>44703.676521643516</v>
      </c>
      <c r="AC2521" t="str">
        <f>+VLOOKUP(R2521,DRAFT!A:Q,17,0)</f>
        <v>1.3.2</v>
      </c>
    </row>
    <row r="2522" spans="1:29">
      <c r="A2522" t="s">
        <v>382</v>
      </c>
      <c r="B2522" t="s">
        <v>440</v>
      </c>
      <c r="C2522" t="s">
        <v>486</v>
      </c>
      <c r="D2522" t="s">
        <v>487</v>
      </c>
      <c r="E2522" t="s">
        <v>390</v>
      </c>
      <c r="F2522" t="s">
        <v>391</v>
      </c>
      <c r="G2522">
        <v>6201498</v>
      </c>
      <c r="H2522">
        <v>202205</v>
      </c>
      <c r="I2522" s="400">
        <v>44701</v>
      </c>
      <c r="J2522" t="s">
        <v>452</v>
      </c>
      <c r="K2522" t="s">
        <v>386</v>
      </c>
      <c r="M2522" t="s">
        <v>387</v>
      </c>
      <c r="O2522" t="s">
        <v>3908</v>
      </c>
      <c r="P2522" t="s">
        <v>3909</v>
      </c>
      <c r="Q2522" t="s">
        <v>396</v>
      </c>
      <c r="R2522" s="458">
        <v>2069133</v>
      </c>
      <c r="S2522" t="s">
        <v>387</v>
      </c>
      <c r="U2522" t="s">
        <v>3941</v>
      </c>
      <c r="V2522" t="s">
        <v>398</v>
      </c>
      <c r="W2522" s="393">
        <v>2500000</v>
      </c>
      <c r="X2522" s="393">
        <v>612.70000000000005</v>
      </c>
      <c r="Y2522" s="393">
        <v>5576.05</v>
      </c>
      <c r="Z2522" s="393">
        <v>2500000</v>
      </c>
      <c r="AA2522">
        <v>0</v>
      </c>
      <c r="AB2522" s="400">
        <v>44703.676521643516</v>
      </c>
      <c r="AC2522" t="str">
        <f>+VLOOKUP(R2522,DRAFT!A:Q,17,0)</f>
        <v>1.3.2</v>
      </c>
    </row>
    <row r="2523" spans="1:29">
      <c r="A2523" t="s">
        <v>382</v>
      </c>
      <c r="B2523" t="s">
        <v>440</v>
      </c>
      <c r="C2523" t="s">
        <v>486</v>
      </c>
      <c r="D2523" t="s">
        <v>487</v>
      </c>
      <c r="E2523" t="s">
        <v>390</v>
      </c>
      <c r="F2523" t="s">
        <v>391</v>
      </c>
      <c r="G2523">
        <v>6201498</v>
      </c>
      <c r="H2523">
        <v>202205</v>
      </c>
      <c r="I2523" s="400">
        <v>44701</v>
      </c>
      <c r="J2523" t="s">
        <v>452</v>
      </c>
      <c r="K2523" t="s">
        <v>386</v>
      </c>
      <c r="M2523" t="s">
        <v>387</v>
      </c>
      <c r="O2523" t="s">
        <v>3942</v>
      </c>
      <c r="P2523" t="s">
        <v>3943</v>
      </c>
      <c r="Q2523" t="s">
        <v>396</v>
      </c>
      <c r="R2523" s="458">
        <v>2069133</v>
      </c>
      <c r="S2523" t="s">
        <v>387</v>
      </c>
      <c r="U2523" t="s">
        <v>3944</v>
      </c>
      <c r="V2523" t="s">
        <v>398</v>
      </c>
      <c r="W2523" s="393">
        <v>2500000</v>
      </c>
      <c r="X2523" s="393">
        <v>612.70000000000005</v>
      </c>
      <c r="Y2523" s="393">
        <v>5576.05</v>
      </c>
      <c r="Z2523" s="393">
        <v>2500000</v>
      </c>
      <c r="AA2523">
        <v>0</v>
      </c>
      <c r="AB2523" s="400">
        <v>44703.67652202546</v>
      </c>
      <c r="AC2523" t="str">
        <f>+VLOOKUP(R2523,DRAFT!A:Q,17,0)</f>
        <v>1.3.2</v>
      </c>
    </row>
    <row r="2524" spans="1:29">
      <c r="A2524" t="s">
        <v>382</v>
      </c>
      <c r="B2524" t="s">
        <v>440</v>
      </c>
      <c r="C2524" t="s">
        <v>486</v>
      </c>
      <c r="D2524" t="s">
        <v>487</v>
      </c>
      <c r="E2524" t="s">
        <v>390</v>
      </c>
      <c r="F2524" t="s">
        <v>391</v>
      </c>
      <c r="G2524">
        <v>6201529</v>
      </c>
      <c r="H2524">
        <v>202205</v>
      </c>
      <c r="I2524" s="400">
        <v>44687</v>
      </c>
      <c r="J2524">
        <v>122536</v>
      </c>
      <c r="K2524" t="s">
        <v>386</v>
      </c>
      <c r="M2524" t="s">
        <v>387</v>
      </c>
      <c r="O2524" t="s">
        <v>1971</v>
      </c>
      <c r="P2524" t="s">
        <v>1972</v>
      </c>
      <c r="Q2524" t="s">
        <v>396</v>
      </c>
      <c r="R2524" s="458">
        <v>2540508</v>
      </c>
      <c r="S2524" t="s">
        <v>387</v>
      </c>
      <c r="U2524" t="s">
        <v>3916</v>
      </c>
      <c r="V2524" t="s">
        <v>398</v>
      </c>
      <c r="W2524" s="393">
        <v>2500000</v>
      </c>
      <c r="X2524" s="393">
        <v>616.29999999999995</v>
      </c>
      <c r="Y2524" s="393">
        <v>5525.93</v>
      </c>
      <c r="Z2524" s="393">
        <v>2500000</v>
      </c>
      <c r="AA2524">
        <v>301</v>
      </c>
      <c r="AB2524" s="400">
        <v>44705.804544560182</v>
      </c>
      <c r="AC2524" t="str">
        <f>+VLOOKUP(R2524,DRAFT!A:Q,17,0)</f>
        <v>1.2.2</v>
      </c>
    </row>
    <row r="2525" spans="1:29">
      <c r="A2525" t="s">
        <v>382</v>
      </c>
      <c r="B2525" t="s">
        <v>440</v>
      </c>
      <c r="C2525" t="s">
        <v>486</v>
      </c>
      <c r="D2525" t="s">
        <v>487</v>
      </c>
      <c r="E2525" t="s">
        <v>390</v>
      </c>
      <c r="F2525" t="s">
        <v>391</v>
      </c>
      <c r="G2525">
        <v>6201529</v>
      </c>
      <c r="H2525">
        <v>202205</v>
      </c>
      <c r="I2525" s="400">
        <v>44687</v>
      </c>
      <c r="J2525">
        <v>122536</v>
      </c>
      <c r="K2525" t="s">
        <v>386</v>
      </c>
      <c r="M2525" t="s">
        <v>387</v>
      </c>
      <c r="O2525" t="s">
        <v>1956</v>
      </c>
      <c r="P2525" t="s">
        <v>1957</v>
      </c>
      <c r="Q2525" t="s">
        <v>396</v>
      </c>
      <c r="R2525" s="458">
        <v>2069133</v>
      </c>
      <c r="S2525" t="s">
        <v>387</v>
      </c>
      <c r="U2525" t="s">
        <v>3915</v>
      </c>
      <c r="V2525" t="s">
        <v>398</v>
      </c>
      <c r="W2525" s="393">
        <v>2000000</v>
      </c>
      <c r="X2525" s="393">
        <v>493.04</v>
      </c>
      <c r="Y2525" s="393">
        <v>4420.74</v>
      </c>
      <c r="Z2525" s="393">
        <v>2000000</v>
      </c>
      <c r="AA2525">
        <v>301</v>
      </c>
      <c r="AB2525" s="400">
        <v>44705.804544560182</v>
      </c>
      <c r="AC2525" t="str">
        <f>+VLOOKUP(R2525,DRAFT!A:Q,17,0)</f>
        <v>1.3.2</v>
      </c>
    </row>
    <row r="2526" spans="1:29">
      <c r="A2526" t="s">
        <v>382</v>
      </c>
      <c r="B2526" t="s">
        <v>440</v>
      </c>
      <c r="C2526" t="s">
        <v>486</v>
      </c>
      <c r="D2526" t="s">
        <v>487</v>
      </c>
      <c r="E2526" t="s">
        <v>390</v>
      </c>
      <c r="F2526" t="s">
        <v>391</v>
      </c>
      <c r="G2526">
        <v>6201498</v>
      </c>
      <c r="H2526">
        <v>202205</v>
      </c>
      <c r="I2526" s="400">
        <v>44701</v>
      </c>
      <c r="J2526" t="s">
        <v>452</v>
      </c>
      <c r="K2526" t="s">
        <v>386</v>
      </c>
      <c r="M2526" t="s">
        <v>387</v>
      </c>
      <c r="O2526" t="s">
        <v>3889</v>
      </c>
      <c r="P2526" t="s">
        <v>3890</v>
      </c>
      <c r="Q2526" t="s">
        <v>396</v>
      </c>
      <c r="R2526" s="458">
        <v>2069133</v>
      </c>
      <c r="S2526" t="s">
        <v>387</v>
      </c>
      <c r="U2526" t="s">
        <v>3898</v>
      </c>
      <c r="V2526" t="s">
        <v>398</v>
      </c>
      <c r="W2526" s="393">
        <v>6000000</v>
      </c>
      <c r="X2526" s="393">
        <v>1470.48</v>
      </c>
      <c r="Y2526" s="393">
        <v>13382.52</v>
      </c>
      <c r="Z2526" s="393">
        <v>6000000</v>
      </c>
      <c r="AA2526">
        <v>303</v>
      </c>
      <c r="AB2526" s="400">
        <v>44703.676521099536</v>
      </c>
      <c r="AC2526" t="str">
        <f>+VLOOKUP(R2526,DRAFT!A:Q,17,0)</f>
        <v>1.3.2</v>
      </c>
    </row>
    <row r="2527" spans="1:29">
      <c r="A2527" t="s">
        <v>382</v>
      </c>
      <c r="B2527" t="s">
        <v>440</v>
      </c>
      <c r="C2527" t="s">
        <v>486</v>
      </c>
      <c r="D2527" t="s">
        <v>487</v>
      </c>
      <c r="E2527" t="s">
        <v>390</v>
      </c>
      <c r="F2527" t="s">
        <v>391</v>
      </c>
      <c r="G2527">
        <v>6201498</v>
      </c>
      <c r="H2527">
        <v>202205</v>
      </c>
      <c r="I2527" s="400">
        <v>44701</v>
      </c>
      <c r="J2527" t="s">
        <v>452</v>
      </c>
      <c r="K2527" t="s">
        <v>386</v>
      </c>
      <c r="M2527" t="s">
        <v>387</v>
      </c>
      <c r="O2527" t="s">
        <v>3889</v>
      </c>
      <c r="P2527" t="s">
        <v>3890</v>
      </c>
      <c r="Q2527" t="s">
        <v>396</v>
      </c>
      <c r="R2527" s="458">
        <v>2069133</v>
      </c>
      <c r="S2527" t="s">
        <v>387</v>
      </c>
      <c r="U2527" t="s">
        <v>3899</v>
      </c>
      <c r="V2527" t="s">
        <v>398</v>
      </c>
      <c r="W2527" s="393">
        <v>3000000</v>
      </c>
      <c r="X2527" s="393">
        <v>735.24</v>
      </c>
      <c r="Y2527" s="393">
        <v>6691.26</v>
      </c>
      <c r="Z2527" s="393">
        <v>3000000</v>
      </c>
      <c r="AA2527">
        <v>0</v>
      </c>
      <c r="AB2527" s="400">
        <v>44703.676521099536</v>
      </c>
      <c r="AC2527" t="str">
        <f>+VLOOKUP(R2527,DRAFT!A:Q,17,0)</f>
        <v>1.3.2</v>
      </c>
    </row>
    <row r="2528" spans="1:29">
      <c r="A2528" t="s">
        <v>382</v>
      </c>
      <c r="B2528" t="s">
        <v>440</v>
      </c>
      <c r="C2528" t="s">
        <v>486</v>
      </c>
      <c r="D2528" t="s">
        <v>487</v>
      </c>
      <c r="E2528" t="s">
        <v>390</v>
      </c>
      <c r="F2528" t="s">
        <v>391</v>
      </c>
      <c r="G2528">
        <v>6201498</v>
      </c>
      <c r="H2528">
        <v>202205</v>
      </c>
      <c r="I2528" s="400">
        <v>44701</v>
      </c>
      <c r="J2528" t="s">
        <v>452</v>
      </c>
      <c r="K2528" t="s">
        <v>386</v>
      </c>
      <c r="M2528" t="s">
        <v>387</v>
      </c>
      <c r="O2528" t="s">
        <v>3886</v>
      </c>
      <c r="P2528" t="s">
        <v>3887</v>
      </c>
      <c r="Q2528" t="s">
        <v>396</v>
      </c>
      <c r="R2528" s="458">
        <v>2069133</v>
      </c>
      <c r="S2528" t="s">
        <v>387</v>
      </c>
      <c r="U2528" t="s">
        <v>3900</v>
      </c>
      <c r="V2528" t="s">
        <v>398</v>
      </c>
      <c r="W2528" s="393">
        <v>6000000</v>
      </c>
      <c r="X2528" s="393">
        <v>1470.48</v>
      </c>
      <c r="Y2528" s="393">
        <v>13382.52</v>
      </c>
      <c r="Z2528" s="393">
        <v>6000000</v>
      </c>
      <c r="AA2528">
        <v>303</v>
      </c>
      <c r="AB2528" s="400">
        <v>44703.676521296293</v>
      </c>
      <c r="AC2528" t="str">
        <f>+VLOOKUP(R2528,DRAFT!A:Q,17,0)</f>
        <v>1.3.2</v>
      </c>
    </row>
    <row r="2529" spans="1:29">
      <c r="A2529" t="s">
        <v>382</v>
      </c>
      <c r="B2529" t="s">
        <v>440</v>
      </c>
      <c r="C2529" t="s">
        <v>486</v>
      </c>
      <c r="D2529" t="s">
        <v>487</v>
      </c>
      <c r="E2529" t="s">
        <v>390</v>
      </c>
      <c r="F2529" t="s">
        <v>391</v>
      </c>
      <c r="G2529">
        <v>6201498</v>
      </c>
      <c r="H2529">
        <v>202205</v>
      </c>
      <c r="I2529" s="400">
        <v>44701</v>
      </c>
      <c r="J2529" t="s">
        <v>452</v>
      </c>
      <c r="K2529" t="s">
        <v>386</v>
      </c>
      <c r="M2529" t="s">
        <v>387</v>
      </c>
      <c r="O2529" t="s">
        <v>3886</v>
      </c>
      <c r="P2529" t="s">
        <v>3887</v>
      </c>
      <c r="Q2529" t="s">
        <v>396</v>
      </c>
      <c r="R2529" s="458">
        <v>2069133</v>
      </c>
      <c r="S2529" t="s">
        <v>387</v>
      </c>
      <c r="U2529" t="s">
        <v>3901</v>
      </c>
      <c r="V2529" t="s">
        <v>398</v>
      </c>
      <c r="W2529" s="393">
        <v>3000000</v>
      </c>
      <c r="X2529" s="393">
        <v>735.24</v>
      </c>
      <c r="Y2529" s="393">
        <v>6691.26</v>
      </c>
      <c r="Z2529" s="393">
        <v>3000000</v>
      </c>
      <c r="AA2529">
        <v>0</v>
      </c>
      <c r="AB2529" s="400">
        <v>44703.676521296293</v>
      </c>
      <c r="AC2529" t="str">
        <f>+VLOOKUP(R2529,DRAFT!A:Q,17,0)</f>
        <v>1.3.2</v>
      </c>
    </row>
    <row r="2530" spans="1:29">
      <c r="A2530" t="s">
        <v>382</v>
      </c>
      <c r="B2530" t="s">
        <v>440</v>
      </c>
      <c r="C2530" t="s">
        <v>486</v>
      </c>
      <c r="D2530" t="s">
        <v>487</v>
      </c>
      <c r="E2530" t="s">
        <v>390</v>
      </c>
      <c r="F2530" t="s">
        <v>391</v>
      </c>
      <c r="G2530">
        <v>6201499</v>
      </c>
      <c r="H2530">
        <v>202205</v>
      </c>
      <c r="I2530" s="400">
        <v>44701</v>
      </c>
      <c r="J2530" t="s">
        <v>452</v>
      </c>
      <c r="K2530" t="s">
        <v>386</v>
      </c>
      <c r="M2530" t="s">
        <v>387</v>
      </c>
      <c r="O2530" t="s">
        <v>3917</v>
      </c>
      <c r="P2530" t="s">
        <v>3918</v>
      </c>
      <c r="Q2530" t="s">
        <v>396</v>
      </c>
      <c r="R2530" s="458">
        <v>2265782</v>
      </c>
      <c r="S2530" t="s">
        <v>3919</v>
      </c>
      <c r="U2530" t="s">
        <v>3920</v>
      </c>
      <c r="V2530" t="s">
        <v>398</v>
      </c>
      <c r="W2530" s="393">
        <v>2000000</v>
      </c>
      <c r="X2530" s="393">
        <v>490.16</v>
      </c>
      <c r="Y2530" s="393">
        <v>4460.84</v>
      </c>
      <c r="Z2530" s="393">
        <v>2000000</v>
      </c>
      <c r="AA2530">
        <v>0</v>
      </c>
      <c r="AB2530" s="400">
        <v>44703.747761377315</v>
      </c>
      <c r="AC2530" t="str">
        <f>+VLOOKUP(R2530,DRAFT!A:Q,17,0)</f>
        <v>MAE</v>
      </c>
    </row>
    <row r="2531" spans="1:29">
      <c r="A2531" t="s">
        <v>382</v>
      </c>
      <c r="B2531" t="s">
        <v>440</v>
      </c>
      <c r="C2531" t="s">
        <v>486</v>
      </c>
      <c r="D2531" t="s">
        <v>487</v>
      </c>
      <c r="E2531" t="s">
        <v>390</v>
      </c>
      <c r="F2531" t="s">
        <v>391</v>
      </c>
      <c r="G2531">
        <v>6201499</v>
      </c>
      <c r="H2531">
        <v>202205</v>
      </c>
      <c r="I2531" s="400">
        <v>44701</v>
      </c>
      <c r="J2531" t="s">
        <v>452</v>
      </c>
      <c r="K2531" t="s">
        <v>386</v>
      </c>
      <c r="M2531" t="s">
        <v>387</v>
      </c>
      <c r="O2531" t="s">
        <v>3921</v>
      </c>
      <c r="P2531" t="s">
        <v>3922</v>
      </c>
      <c r="Q2531" t="s">
        <v>396</v>
      </c>
      <c r="R2531" s="458">
        <v>2265782</v>
      </c>
      <c r="S2531" t="s">
        <v>3923</v>
      </c>
      <c r="U2531" t="s">
        <v>3924</v>
      </c>
      <c r="V2531" t="s">
        <v>398</v>
      </c>
      <c r="W2531" s="393">
        <v>2000000</v>
      </c>
      <c r="X2531" s="393">
        <v>490.16</v>
      </c>
      <c r="Y2531" s="393">
        <v>4460.84</v>
      </c>
      <c r="Z2531" s="393">
        <v>2000000</v>
      </c>
      <c r="AA2531">
        <v>0</v>
      </c>
      <c r="AB2531" s="400">
        <v>44703.747761377315</v>
      </c>
      <c r="AC2531" t="str">
        <f>+VLOOKUP(R2531,DRAFT!A:Q,17,0)</f>
        <v>MAE</v>
      </c>
    </row>
    <row r="2532" spans="1:29">
      <c r="A2532" t="s">
        <v>382</v>
      </c>
      <c r="B2532" t="s">
        <v>440</v>
      </c>
      <c r="C2532" t="s">
        <v>486</v>
      </c>
      <c r="D2532" t="s">
        <v>487</v>
      </c>
      <c r="E2532" t="s">
        <v>390</v>
      </c>
      <c r="F2532" t="s">
        <v>391</v>
      </c>
      <c r="G2532">
        <v>6201537</v>
      </c>
      <c r="H2532">
        <v>202205</v>
      </c>
      <c r="I2532" s="400">
        <v>44701</v>
      </c>
      <c r="J2532" t="s">
        <v>452</v>
      </c>
      <c r="K2532" t="s">
        <v>386</v>
      </c>
      <c r="M2532" t="s">
        <v>387</v>
      </c>
      <c r="O2532" t="s">
        <v>3902</v>
      </c>
      <c r="P2532" t="s">
        <v>3903</v>
      </c>
      <c r="Q2532" t="s">
        <v>396</v>
      </c>
      <c r="R2532" s="458">
        <v>2069133</v>
      </c>
      <c r="S2532" t="s">
        <v>387</v>
      </c>
      <c r="U2532" t="s">
        <v>3904</v>
      </c>
      <c r="V2532" t="s">
        <v>398</v>
      </c>
      <c r="W2532" s="393">
        <v>2500000</v>
      </c>
      <c r="X2532" s="393">
        <v>612.70000000000005</v>
      </c>
      <c r="Y2532" s="393">
        <v>5576.05</v>
      </c>
      <c r="Z2532" s="393">
        <v>2500000</v>
      </c>
      <c r="AA2532">
        <v>0</v>
      </c>
      <c r="AB2532" s="400">
        <v>44706.022596180555</v>
      </c>
      <c r="AC2532" t="str">
        <f>+VLOOKUP(R2532,DRAFT!A:Q,17,0)</f>
        <v>1.3.2</v>
      </c>
    </row>
    <row r="2533" spans="1:29">
      <c r="A2533" t="s">
        <v>382</v>
      </c>
      <c r="B2533" t="s">
        <v>440</v>
      </c>
      <c r="C2533" t="s">
        <v>486</v>
      </c>
      <c r="D2533" t="s">
        <v>487</v>
      </c>
      <c r="E2533" t="s">
        <v>390</v>
      </c>
      <c r="F2533" t="s">
        <v>391</v>
      </c>
      <c r="G2533">
        <v>6201537</v>
      </c>
      <c r="H2533">
        <v>202205</v>
      </c>
      <c r="I2533" s="400">
        <v>44701</v>
      </c>
      <c r="J2533" t="s">
        <v>452</v>
      </c>
      <c r="K2533" t="s">
        <v>386</v>
      </c>
      <c r="M2533" t="s">
        <v>387</v>
      </c>
      <c r="O2533" t="s">
        <v>3905</v>
      </c>
      <c r="P2533" t="s">
        <v>3906</v>
      </c>
      <c r="Q2533" t="s">
        <v>396</v>
      </c>
      <c r="R2533" s="458">
        <v>2069133</v>
      </c>
      <c r="S2533" t="s">
        <v>387</v>
      </c>
      <c r="U2533" t="s">
        <v>3907</v>
      </c>
      <c r="V2533" t="s">
        <v>398</v>
      </c>
      <c r="W2533" s="393">
        <v>2500000</v>
      </c>
      <c r="X2533" s="393">
        <v>612.70000000000005</v>
      </c>
      <c r="Y2533" s="393">
        <v>5576.05</v>
      </c>
      <c r="Z2533" s="393">
        <v>2500000</v>
      </c>
      <c r="AA2533">
        <v>0</v>
      </c>
      <c r="AB2533" s="400">
        <v>44706.022596180555</v>
      </c>
      <c r="AC2533" t="str">
        <f>+VLOOKUP(R2533,DRAFT!A:Q,17,0)</f>
        <v>1.3.2</v>
      </c>
    </row>
    <row r="2534" spans="1:29">
      <c r="A2534" t="s">
        <v>382</v>
      </c>
      <c r="B2534" t="s">
        <v>440</v>
      </c>
      <c r="C2534" t="s">
        <v>486</v>
      </c>
      <c r="D2534" t="s">
        <v>487</v>
      </c>
      <c r="E2534" t="s">
        <v>390</v>
      </c>
      <c r="F2534" t="s">
        <v>391</v>
      </c>
      <c r="G2534">
        <v>6201537</v>
      </c>
      <c r="H2534">
        <v>202205</v>
      </c>
      <c r="I2534" s="400">
        <v>44701</v>
      </c>
      <c r="J2534" t="s">
        <v>452</v>
      </c>
      <c r="K2534" t="s">
        <v>386</v>
      </c>
      <c r="M2534" t="s">
        <v>387</v>
      </c>
      <c r="O2534" t="s">
        <v>3908</v>
      </c>
      <c r="P2534" t="s">
        <v>3909</v>
      </c>
      <c r="Q2534" t="s">
        <v>396</v>
      </c>
      <c r="R2534" s="458">
        <v>2069133</v>
      </c>
      <c r="S2534" t="s">
        <v>387</v>
      </c>
      <c r="U2534" t="s">
        <v>3910</v>
      </c>
      <c r="V2534" t="s">
        <v>398</v>
      </c>
      <c r="W2534" s="393">
        <v>2500000</v>
      </c>
      <c r="X2534" s="393">
        <v>612.70000000000005</v>
      </c>
      <c r="Y2534" s="393">
        <v>5576.05</v>
      </c>
      <c r="Z2534" s="393">
        <v>2500000</v>
      </c>
      <c r="AA2534">
        <v>0</v>
      </c>
      <c r="AB2534" s="400">
        <v>44706.022596180555</v>
      </c>
      <c r="AC2534" t="str">
        <f>+VLOOKUP(R2534,DRAFT!A:Q,17,0)</f>
        <v>1.3.2</v>
      </c>
    </row>
    <row r="2535" spans="1:29">
      <c r="A2535" t="s">
        <v>382</v>
      </c>
      <c r="B2535" t="s">
        <v>440</v>
      </c>
      <c r="C2535" t="s">
        <v>486</v>
      </c>
      <c r="D2535" t="s">
        <v>487</v>
      </c>
      <c r="E2535" t="s">
        <v>390</v>
      </c>
      <c r="F2535" t="s">
        <v>391</v>
      </c>
      <c r="G2535">
        <v>6201537</v>
      </c>
      <c r="H2535">
        <v>202205</v>
      </c>
      <c r="I2535" s="400">
        <v>44701</v>
      </c>
      <c r="J2535" t="s">
        <v>452</v>
      </c>
      <c r="K2535" t="s">
        <v>386</v>
      </c>
      <c r="M2535" t="s">
        <v>387</v>
      </c>
      <c r="O2535" t="s">
        <v>3911</v>
      </c>
      <c r="P2535" t="s">
        <v>3912</v>
      </c>
      <c r="Q2535" t="s">
        <v>396</v>
      </c>
      <c r="R2535" s="458">
        <v>2069133</v>
      </c>
      <c r="S2535" t="s">
        <v>387</v>
      </c>
      <c r="U2535" t="s">
        <v>3913</v>
      </c>
      <c r="V2535" t="s">
        <v>398</v>
      </c>
      <c r="W2535" s="393">
        <v>2500000</v>
      </c>
      <c r="X2535" s="393">
        <v>612.70000000000005</v>
      </c>
      <c r="Y2535" s="393">
        <v>5576.05</v>
      </c>
      <c r="Z2535" s="393">
        <v>2500000</v>
      </c>
      <c r="AA2535">
        <v>0</v>
      </c>
      <c r="AB2535" s="400">
        <v>44706.022596377312</v>
      </c>
      <c r="AC2535" t="str">
        <f>+VLOOKUP(R2535,DRAFT!A:Q,17,0)</f>
        <v>1.3.2</v>
      </c>
    </row>
    <row r="2536" spans="1:29">
      <c r="A2536" t="s">
        <v>382</v>
      </c>
      <c r="B2536" t="s">
        <v>440</v>
      </c>
      <c r="C2536" t="s">
        <v>486</v>
      </c>
      <c r="D2536" t="s">
        <v>487</v>
      </c>
      <c r="E2536" t="s">
        <v>390</v>
      </c>
      <c r="F2536" t="s">
        <v>391</v>
      </c>
      <c r="G2536">
        <v>6201537</v>
      </c>
      <c r="H2536">
        <v>202205</v>
      </c>
      <c r="I2536" s="400">
        <v>44701</v>
      </c>
      <c r="J2536" t="s">
        <v>452</v>
      </c>
      <c r="K2536" t="s">
        <v>386</v>
      </c>
      <c r="M2536" t="s">
        <v>387</v>
      </c>
      <c r="O2536" t="s">
        <v>2615</v>
      </c>
      <c r="P2536" t="s">
        <v>2616</v>
      </c>
      <c r="Q2536" t="s">
        <v>396</v>
      </c>
      <c r="R2536" s="458">
        <v>2265777</v>
      </c>
      <c r="S2536" t="s">
        <v>387</v>
      </c>
      <c r="U2536" t="s">
        <v>3914</v>
      </c>
      <c r="V2536" t="s">
        <v>398</v>
      </c>
      <c r="W2536" s="393">
        <v>20000000</v>
      </c>
      <c r="X2536" s="393">
        <v>4901.6000000000004</v>
      </c>
      <c r="Y2536" s="393">
        <v>44608.4</v>
      </c>
      <c r="Z2536" s="393">
        <v>20000000</v>
      </c>
      <c r="AA2536">
        <v>0</v>
      </c>
      <c r="AB2536" s="400">
        <v>44706.022596909723</v>
      </c>
      <c r="AC2536" t="str">
        <f>+VLOOKUP(R2536,DRAFT!A:Q,17,0)</f>
        <v>MAE</v>
      </c>
    </row>
    <row r="2537" spans="1:29">
      <c r="A2537" t="s">
        <v>382</v>
      </c>
      <c r="B2537" t="s">
        <v>440</v>
      </c>
      <c r="C2537" t="s">
        <v>486</v>
      </c>
      <c r="D2537" t="s">
        <v>508</v>
      </c>
      <c r="E2537" t="s">
        <v>390</v>
      </c>
      <c r="F2537" t="s">
        <v>391</v>
      </c>
      <c r="G2537">
        <v>6201498</v>
      </c>
      <c r="H2537">
        <v>202205</v>
      </c>
      <c r="I2537" s="400">
        <v>44701</v>
      </c>
      <c r="J2537" t="s">
        <v>452</v>
      </c>
      <c r="K2537" t="s">
        <v>386</v>
      </c>
      <c r="M2537" t="s">
        <v>387</v>
      </c>
      <c r="O2537" t="s">
        <v>2615</v>
      </c>
      <c r="P2537" t="s">
        <v>2616</v>
      </c>
      <c r="Q2537" t="s">
        <v>396</v>
      </c>
      <c r="R2537" s="458">
        <v>2265777</v>
      </c>
      <c r="S2537" t="s">
        <v>387</v>
      </c>
      <c r="U2537" t="s">
        <v>3939</v>
      </c>
      <c r="V2537" t="s">
        <v>398</v>
      </c>
      <c r="W2537" s="393">
        <v>2394958</v>
      </c>
      <c r="X2537" s="393">
        <v>586.96</v>
      </c>
      <c r="Y2537" s="393">
        <v>5341.76</v>
      </c>
      <c r="Z2537" s="393">
        <v>2394958</v>
      </c>
      <c r="AA2537">
        <v>0</v>
      </c>
      <c r="AB2537" s="400">
        <v>44703.676522372683</v>
      </c>
      <c r="AC2537" t="str">
        <f>+VLOOKUP(R2537,DRAFT!A:Q,17,0)</f>
        <v>MAE</v>
      </c>
    </row>
    <row r="2538" spans="1:29">
      <c r="A2538" t="s">
        <v>382</v>
      </c>
      <c r="B2538" t="s">
        <v>440</v>
      </c>
      <c r="C2538" t="s">
        <v>486</v>
      </c>
      <c r="D2538" t="s">
        <v>547</v>
      </c>
      <c r="E2538" t="s">
        <v>390</v>
      </c>
      <c r="F2538" t="s">
        <v>391</v>
      </c>
      <c r="G2538">
        <v>6201530</v>
      </c>
      <c r="H2538">
        <v>202205</v>
      </c>
      <c r="I2538" s="400">
        <v>44701</v>
      </c>
      <c r="J2538">
        <v>122536</v>
      </c>
      <c r="K2538" t="s">
        <v>386</v>
      </c>
      <c r="M2538" t="s">
        <v>387</v>
      </c>
      <c r="O2538" t="s">
        <v>565</v>
      </c>
      <c r="P2538" t="s">
        <v>566</v>
      </c>
      <c r="Q2538" t="s">
        <v>396</v>
      </c>
      <c r="R2538" s="458">
        <v>2069133</v>
      </c>
      <c r="S2538" t="s">
        <v>387</v>
      </c>
      <c r="U2538" t="s">
        <v>3960</v>
      </c>
      <c r="V2538" t="s">
        <v>398</v>
      </c>
      <c r="W2538" s="393">
        <v>1200000</v>
      </c>
      <c r="X2538" s="393">
        <v>294.10000000000002</v>
      </c>
      <c r="Y2538" s="393">
        <v>2676.5</v>
      </c>
      <c r="Z2538" s="393">
        <v>1200000</v>
      </c>
      <c r="AA2538">
        <v>312</v>
      </c>
      <c r="AB2538" s="400">
        <v>44705.81381832176</v>
      </c>
      <c r="AC2538" t="str">
        <f>+VLOOKUP(R2538,DRAFT!A:Q,17,0)</f>
        <v>1.3.2</v>
      </c>
    </row>
    <row r="2539" spans="1:29">
      <c r="A2539" t="s">
        <v>382</v>
      </c>
      <c r="B2539" t="s">
        <v>440</v>
      </c>
      <c r="C2539" t="s">
        <v>486</v>
      </c>
      <c r="D2539" t="s">
        <v>547</v>
      </c>
      <c r="E2539" t="s">
        <v>390</v>
      </c>
      <c r="F2539" t="s">
        <v>391</v>
      </c>
      <c r="G2539">
        <v>6201679</v>
      </c>
      <c r="H2539">
        <v>202205</v>
      </c>
      <c r="I2539" s="400">
        <v>44707</v>
      </c>
      <c r="J2539">
        <v>122536</v>
      </c>
      <c r="K2539" t="s">
        <v>386</v>
      </c>
      <c r="M2539" t="s">
        <v>387</v>
      </c>
      <c r="O2539" t="s">
        <v>1997</v>
      </c>
      <c r="P2539" t="s">
        <v>1998</v>
      </c>
      <c r="Q2539" t="s">
        <v>396</v>
      </c>
      <c r="R2539" s="458">
        <v>2069133</v>
      </c>
      <c r="S2539" t="s">
        <v>387</v>
      </c>
      <c r="U2539" t="s">
        <v>4081</v>
      </c>
      <c r="V2539" t="s">
        <v>398</v>
      </c>
      <c r="W2539" s="393">
        <v>2100000</v>
      </c>
      <c r="X2539" s="393">
        <v>530.44000000000005</v>
      </c>
      <c r="Y2539" s="393">
        <v>4968.83</v>
      </c>
      <c r="Z2539" s="393">
        <v>2100000</v>
      </c>
      <c r="AA2539">
        <v>312</v>
      </c>
      <c r="AB2539" s="400">
        <v>44712.909965162034</v>
      </c>
      <c r="AC2539" t="str">
        <f>+VLOOKUP(R2539,DRAFT!A:Q,17,0)</f>
        <v>1.3.2</v>
      </c>
    </row>
    <row r="2540" spans="1:29">
      <c r="A2540" t="s">
        <v>382</v>
      </c>
      <c r="B2540" t="s">
        <v>440</v>
      </c>
      <c r="C2540" t="s">
        <v>486</v>
      </c>
      <c r="D2540" t="s">
        <v>547</v>
      </c>
      <c r="E2540" t="s">
        <v>390</v>
      </c>
      <c r="F2540" t="s">
        <v>391</v>
      </c>
      <c r="G2540">
        <v>6201679</v>
      </c>
      <c r="H2540">
        <v>202205</v>
      </c>
      <c r="I2540" s="400">
        <v>44707</v>
      </c>
      <c r="J2540">
        <v>122536</v>
      </c>
      <c r="K2540" t="s">
        <v>386</v>
      </c>
      <c r="M2540" t="s">
        <v>387</v>
      </c>
      <c r="O2540" t="s">
        <v>1997</v>
      </c>
      <c r="P2540" t="s">
        <v>1998</v>
      </c>
      <c r="Q2540" t="s">
        <v>396</v>
      </c>
      <c r="R2540" s="458">
        <v>2540511</v>
      </c>
      <c r="S2540" t="s">
        <v>387</v>
      </c>
      <c r="U2540" t="s">
        <v>4082</v>
      </c>
      <c r="V2540" t="s">
        <v>398</v>
      </c>
      <c r="W2540" s="393">
        <v>2300000</v>
      </c>
      <c r="X2540" s="393">
        <v>580.96</v>
      </c>
      <c r="Y2540" s="393">
        <v>5442.05</v>
      </c>
      <c r="Z2540" s="393">
        <v>2300000</v>
      </c>
      <c r="AA2540">
        <v>312</v>
      </c>
      <c r="AB2540" s="400">
        <v>44712.909965162034</v>
      </c>
      <c r="AC2540" t="str">
        <f>+VLOOKUP(R2540,DRAFT!A:Q,17,0)</f>
        <v>1.2.1</v>
      </c>
    </row>
    <row r="2541" spans="1:29">
      <c r="A2541" t="s">
        <v>382</v>
      </c>
      <c r="B2541" t="s">
        <v>440</v>
      </c>
      <c r="C2541" t="s">
        <v>486</v>
      </c>
      <c r="D2541" t="s">
        <v>571</v>
      </c>
      <c r="E2541" t="s">
        <v>390</v>
      </c>
      <c r="F2541" t="s">
        <v>391</v>
      </c>
      <c r="G2541">
        <v>6201671</v>
      </c>
      <c r="H2541">
        <v>202205</v>
      </c>
      <c r="I2541" s="400">
        <v>44712</v>
      </c>
      <c r="J2541" t="s">
        <v>452</v>
      </c>
      <c r="K2541" t="s">
        <v>386</v>
      </c>
      <c r="M2541" t="s">
        <v>387</v>
      </c>
      <c r="O2541" t="s">
        <v>1001</v>
      </c>
      <c r="P2541" t="s">
        <v>1002</v>
      </c>
      <c r="Q2541" t="s">
        <v>396</v>
      </c>
      <c r="R2541" s="458">
        <v>2069133</v>
      </c>
      <c r="S2541" t="s">
        <v>387</v>
      </c>
      <c r="U2541" t="s">
        <v>4083</v>
      </c>
      <c r="V2541" t="s">
        <v>398</v>
      </c>
      <c r="W2541" s="393">
        <v>9500</v>
      </c>
      <c r="X2541" s="393">
        <v>2.4</v>
      </c>
      <c r="Y2541" s="393">
        <v>22.48</v>
      </c>
      <c r="Z2541" s="393">
        <v>9500</v>
      </c>
      <c r="AA2541">
        <v>0</v>
      </c>
      <c r="AB2541" s="400">
        <v>44712.789359872688</v>
      </c>
      <c r="AC2541" t="str">
        <f>+VLOOKUP(R2541,DRAFT!A:Q,17,0)</f>
        <v>1.3.2</v>
      </c>
    </row>
    <row r="2542" spans="1:29">
      <c r="A2542" t="s">
        <v>382</v>
      </c>
      <c r="B2542" t="s">
        <v>440</v>
      </c>
      <c r="C2542" t="s">
        <v>486</v>
      </c>
      <c r="D2542" t="s">
        <v>571</v>
      </c>
      <c r="E2542" t="s">
        <v>390</v>
      </c>
      <c r="F2542" t="s">
        <v>391</v>
      </c>
      <c r="G2542">
        <v>6201671</v>
      </c>
      <c r="H2542">
        <v>202205</v>
      </c>
      <c r="I2542" s="400">
        <v>44712</v>
      </c>
      <c r="J2542" t="s">
        <v>452</v>
      </c>
      <c r="K2542" t="s">
        <v>386</v>
      </c>
      <c r="M2542" t="s">
        <v>387</v>
      </c>
      <c r="O2542" t="s">
        <v>1001</v>
      </c>
      <c r="P2542" t="s">
        <v>1002</v>
      </c>
      <c r="Q2542" t="s">
        <v>396</v>
      </c>
      <c r="R2542" s="458">
        <v>2069133</v>
      </c>
      <c r="S2542" t="s">
        <v>387</v>
      </c>
      <c r="U2542" t="s">
        <v>4084</v>
      </c>
      <c r="V2542" t="s">
        <v>398</v>
      </c>
      <c r="W2542" s="393">
        <v>9500</v>
      </c>
      <c r="X2542" s="393">
        <v>2.4</v>
      </c>
      <c r="Y2542" s="393">
        <v>22.48</v>
      </c>
      <c r="Z2542" s="393">
        <v>9500</v>
      </c>
      <c r="AA2542">
        <v>0</v>
      </c>
      <c r="AB2542" s="400">
        <v>44712.789359872688</v>
      </c>
      <c r="AC2542" t="str">
        <f>+VLOOKUP(R2542,DRAFT!A:Q,17,0)</f>
        <v>1.3.2</v>
      </c>
    </row>
    <row r="2543" spans="1:29">
      <c r="A2543" t="s">
        <v>382</v>
      </c>
      <c r="B2543" t="s">
        <v>440</v>
      </c>
      <c r="C2543" t="s">
        <v>486</v>
      </c>
      <c r="D2543" t="s">
        <v>571</v>
      </c>
      <c r="E2543" t="s">
        <v>390</v>
      </c>
      <c r="F2543" t="s">
        <v>391</v>
      </c>
      <c r="G2543">
        <v>6201509</v>
      </c>
      <c r="H2543">
        <v>202205</v>
      </c>
      <c r="I2543" s="400">
        <v>44701</v>
      </c>
      <c r="J2543" t="s">
        <v>452</v>
      </c>
      <c r="K2543" t="s">
        <v>386</v>
      </c>
      <c r="M2543" t="s">
        <v>387</v>
      </c>
      <c r="O2543" t="s">
        <v>587</v>
      </c>
      <c r="P2543" t="s">
        <v>588</v>
      </c>
      <c r="Q2543" t="s">
        <v>396</v>
      </c>
      <c r="R2543" s="458">
        <v>2069133</v>
      </c>
      <c r="S2543" t="s">
        <v>626</v>
      </c>
      <c r="T2543" t="s">
        <v>626</v>
      </c>
      <c r="U2543" t="s">
        <v>3970</v>
      </c>
      <c r="V2543" t="s">
        <v>398</v>
      </c>
      <c r="W2543" s="393">
        <v>14000</v>
      </c>
      <c r="X2543" s="393">
        <v>3.43</v>
      </c>
      <c r="Y2543" s="393">
        <v>31.23</v>
      </c>
      <c r="Z2543" s="393">
        <v>14000</v>
      </c>
      <c r="AA2543">
        <v>0</v>
      </c>
      <c r="AB2543" s="400">
        <v>44703.92656728009</v>
      </c>
      <c r="AC2543" t="str">
        <f>+VLOOKUP(R2543,DRAFT!A:Q,17,0)</f>
        <v>1.3.2</v>
      </c>
    </row>
    <row r="2544" spans="1:29">
      <c r="A2544" t="s">
        <v>382</v>
      </c>
      <c r="B2544" t="s">
        <v>440</v>
      </c>
      <c r="C2544" t="s">
        <v>486</v>
      </c>
      <c r="D2544" t="s">
        <v>571</v>
      </c>
      <c r="E2544" t="s">
        <v>390</v>
      </c>
      <c r="F2544" t="s">
        <v>391</v>
      </c>
      <c r="G2544">
        <v>6201671</v>
      </c>
      <c r="H2544">
        <v>202205</v>
      </c>
      <c r="I2544" s="400">
        <v>44712</v>
      </c>
      <c r="J2544" t="s">
        <v>452</v>
      </c>
      <c r="K2544" t="s">
        <v>386</v>
      </c>
      <c r="M2544" t="s">
        <v>387</v>
      </c>
      <c r="O2544" t="s">
        <v>587</v>
      </c>
      <c r="P2544" t="s">
        <v>588</v>
      </c>
      <c r="Q2544" t="s">
        <v>396</v>
      </c>
      <c r="R2544" s="458">
        <v>2069133</v>
      </c>
      <c r="S2544" t="s">
        <v>387</v>
      </c>
      <c r="U2544" t="s">
        <v>4085</v>
      </c>
      <c r="V2544" t="s">
        <v>398</v>
      </c>
      <c r="W2544" s="393">
        <v>14000</v>
      </c>
      <c r="X2544" s="393">
        <v>3.54</v>
      </c>
      <c r="Y2544" s="393">
        <v>33.130000000000003</v>
      </c>
      <c r="Z2544" s="393">
        <v>14000</v>
      </c>
      <c r="AA2544">
        <v>0</v>
      </c>
      <c r="AB2544" s="400">
        <v>44712.789359872688</v>
      </c>
      <c r="AC2544" t="str">
        <f>+VLOOKUP(R2544,DRAFT!A:Q,17,0)</f>
        <v>1.3.2</v>
      </c>
    </row>
    <row r="2545" spans="1:29">
      <c r="A2545" t="s">
        <v>382</v>
      </c>
      <c r="B2545" t="s">
        <v>440</v>
      </c>
      <c r="C2545" t="s">
        <v>486</v>
      </c>
      <c r="D2545" t="s">
        <v>571</v>
      </c>
      <c r="E2545" t="s">
        <v>390</v>
      </c>
      <c r="F2545" t="s">
        <v>391</v>
      </c>
      <c r="G2545">
        <v>6201671</v>
      </c>
      <c r="H2545">
        <v>202205</v>
      </c>
      <c r="I2545" s="400">
        <v>44712</v>
      </c>
      <c r="J2545" t="s">
        <v>452</v>
      </c>
      <c r="K2545" t="s">
        <v>386</v>
      </c>
      <c r="M2545" t="s">
        <v>387</v>
      </c>
      <c r="O2545" t="s">
        <v>4086</v>
      </c>
      <c r="P2545" t="s">
        <v>4087</v>
      </c>
      <c r="Q2545" t="s">
        <v>396</v>
      </c>
      <c r="R2545" s="458">
        <v>2069133</v>
      </c>
      <c r="S2545" t="s">
        <v>387</v>
      </c>
      <c r="U2545" t="s">
        <v>4088</v>
      </c>
      <c r="V2545" t="s">
        <v>398</v>
      </c>
      <c r="W2545" s="393">
        <v>40000</v>
      </c>
      <c r="X2545" s="393">
        <v>10.1</v>
      </c>
      <c r="Y2545" s="393">
        <v>94.64</v>
      </c>
      <c r="Z2545" s="393">
        <v>40000</v>
      </c>
      <c r="AA2545">
        <v>0</v>
      </c>
      <c r="AB2545" s="400">
        <v>44712.789359872688</v>
      </c>
      <c r="AC2545" t="str">
        <f>+VLOOKUP(R2545,DRAFT!A:Q,17,0)</f>
        <v>1.3.2</v>
      </c>
    </row>
    <row r="2546" spans="1:29">
      <c r="A2546" t="s">
        <v>382</v>
      </c>
      <c r="B2546" t="s">
        <v>440</v>
      </c>
      <c r="C2546" t="s">
        <v>486</v>
      </c>
      <c r="D2546" t="s">
        <v>571</v>
      </c>
      <c r="E2546" t="s">
        <v>390</v>
      </c>
      <c r="F2546" t="s">
        <v>391</v>
      </c>
      <c r="G2546">
        <v>6201509</v>
      </c>
      <c r="H2546">
        <v>202205</v>
      </c>
      <c r="I2546" s="400">
        <v>44701</v>
      </c>
      <c r="J2546" t="s">
        <v>452</v>
      </c>
      <c r="K2546" t="s">
        <v>386</v>
      </c>
      <c r="M2546" t="s">
        <v>387</v>
      </c>
      <c r="O2546" t="s">
        <v>590</v>
      </c>
      <c r="P2546" t="s">
        <v>591</v>
      </c>
      <c r="Q2546" t="s">
        <v>396</v>
      </c>
      <c r="R2546" s="458">
        <v>2069133</v>
      </c>
      <c r="S2546" t="s">
        <v>3972</v>
      </c>
      <c r="T2546" t="s">
        <v>3972</v>
      </c>
      <c r="U2546" t="s">
        <v>3973</v>
      </c>
      <c r="V2546" t="s">
        <v>398</v>
      </c>
      <c r="W2546" s="393">
        <v>69266</v>
      </c>
      <c r="X2546" s="393">
        <v>16.98</v>
      </c>
      <c r="Y2546" s="393">
        <v>154.49</v>
      </c>
      <c r="Z2546" s="393">
        <v>69266</v>
      </c>
      <c r="AA2546">
        <v>0</v>
      </c>
      <c r="AB2546" s="400">
        <v>44703.92656728009</v>
      </c>
      <c r="AC2546" t="str">
        <f>+VLOOKUP(R2546,DRAFT!A:Q,17,0)</f>
        <v>1.3.2</v>
      </c>
    </row>
    <row r="2547" spans="1:29">
      <c r="A2547" t="s">
        <v>382</v>
      </c>
      <c r="B2547" t="s">
        <v>440</v>
      </c>
      <c r="C2547" t="s">
        <v>486</v>
      </c>
      <c r="D2547" t="s">
        <v>571</v>
      </c>
      <c r="E2547" t="s">
        <v>390</v>
      </c>
      <c r="F2547" t="s">
        <v>391</v>
      </c>
      <c r="G2547">
        <v>6201509</v>
      </c>
      <c r="H2547">
        <v>202205</v>
      </c>
      <c r="I2547" s="400">
        <v>44701</v>
      </c>
      <c r="J2547" t="s">
        <v>452</v>
      </c>
      <c r="K2547" t="s">
        <v>386</v>
      </c>
      <c r="M2547" t="s">
        <v>387</v>
      </c>
      <c r="O2547" t="s">
        <v>1001</v>
      </c>
      <c r="P2547" t="s">
        <v>1002</v>
      </c>
      <c r="Q2547" t="s">
        <v>396</v>
      </c>
      <c r="R2547" s="458">
        <v>2265779</v>
      </c>
      <c r="S2547" t="s">
        <v>3974</v>
      </c>
      <c r="T2547" t="s">
        <v>3974</v>
      </c>
      <c r="U2547" t="s">
        <v>3975</v>
      </c>
      <c r="V2547" t="s">
        <v>398</v>
      </c>
      <c r="W2547" s="393">
        <v>9500</v>
      </c>
      <c r="X2547" s="393">
        <v>2.33</v>
      </c>
      <c r="Y2547" s="393">
        <v>21.19</v>
      </c>
      <c r="Z2547" s="393">
        <v>9500</v>
      </c>
      <c r="AA2547">
        <v>0</v>
      </c>
      <c r="AB2547" s="400">
        <v>44703.92656728009</v>
      </c>
      <c r="AC2547" t="str">
        <f>+VLOOKUP(R2547,DRAFT!A:Q,17,0)</f>
        <v>MAE</v>
      </c>
    </row>
    <row r="2548" spans="1:29">
      <c r="A2548" t="s">
        <v>382</v>
      </c>
      <c r="B2548" t="s">
        <v>440</v>
      </c>
      <c r="C2548" t="s">
        <v>486</v>
      </c>
      <c r="D2548" t="s">
        <v>571</v>
      </c>
      <c r="E2548" t="s">
        <v>390</v>
      </c>
      <c r="F2548" t="s">
        <v>391</v>
      </c>
      <c r="G2548">
        <v>6201509</v>
      </c>
      <c r="H2548">
        <v>202205</v>
      </c>
      <c r="I2548" s="400">
        <v>44701</v>
      </c>
      <c r="J2548" t="s">
        <v>452</v>
      </c>
      <c r="K2548" t="s">
        <v>386</v>
      </c>
      <c r="M2548" t="s">
        <v>387</v>
      </c>
      <c r="O2548" t="s">
        <v>1001</v>
      </c>
      <c r="P2548" t="s">
        <v>1002</v>
      </c>
      <c r="Q2548" t="s">
        <v>396</v>
      </c>
      <c r="R2548" s="458">
        <v>2265779</v>
      </c>
      <c r="S2548" t="s">
        <v>3976</v>
      </c>
      <c r="T2548" t="s">
        <v>3976</v>
      </c>
      <c r="U2548" t="s">
        <v>3977</v>
      </c>
      <c r="V2548" t="s">
        <v>398</v>
      </c>
      <c r="W2548" s="393">
        <v>9500</v>
      </c>
      <c r="X2548" s="393">
        <v>2.33</v>
      </c>
      <c r="Y2548" s="393">
        <v>21.19</v>
      </c>
      <c r="Z2548" s="393">
        <v>9500</v>
      </c>
      <c r="AA2548">
        <v>0</v>
      </c>
      <c r="AB2548" s="400">
        <v>44703.92656728009</v>
      </c>
      <c r="AC2548" t="str">
        <f>+VLOOKUP(R2548,DRAFT!A:Q,17,0)</f>
        <v>MAE</v>
      </c>
    </row>
    <row r="2549" spans="1:29">
      <c r="A2549" t="s">
        <v>382</v>
      </c>
      <c r="B2549" t="s">
        <v>440</v>
      </c>
      <c r="C2549" t="s">
        <v>486</v>
      </c>
      <c r="D2549" t="s">
        <v>571</v>
      </c>
      <c r="E2549" t="s">
        <v>390</v>
      </c>
      <c r="F2549" t="s">
        <v>391</v>
      </c>
      <c r="G2549">
        <v>6201509</v>
      </c>
      <c r="H2549">
        <v>202205</v>
      </c>
      <c r="I2549" s="400">
        <v>44701</v>
      </c>
      <c r="J2549" t="s">
        <v>452</v>
      </c>
      <c r="K2549" t="s">
        <v>386</v>
      </c>
      <c r="M2549" t="s">
        <v>387</v>
      </c>
      <c r="O2549" t="s">
        <v>2245</v>
      </c>
      <c r="P2549" t="s">
        <v>2246</v>
      </c>
      <c r="Q2549" t="s">
        <v>396</v>
      </c>
      <c r="R2549" s="458">
        <v>2069133</v>
      </c>
      <c r="S2549" t="s">
        <v>3968</v>
      </c>
      <c r="T2549" t="s">
        <v>3968</v>
      </c>
      <c r="U2549" t="s">
        <v>3969</v>
      </c>
      <c r="V2549" t="s">
        <v>398</v>
      </c>
      <c r="W2549" s="393">
        <v>9500</v>
      </c>
      <c r="X2549" s="393">
        <v>2.33</v>
      </c>
      <c r="Y2549" s="393">
        <v>21.19</v>
      </c>
      <c r="Z2549" s="393">
        <v>9500</v>
      </c>
      <c r="AA2549">
        <v>0</v>
      </c>
      <c r="AB2549" s="400">
        <v>44703.92656728009</v>
      </c>
      <c r="AC2549" t="str">
        <f>+VLOOKUP(R2549,DRAFT!A:Q,17,0)</f>
        <v>1.3.2</v>
      </c>
    </row>
    <row r="2550" spans="1:29">
      <c r="A2550" t="s">
        <v>382</v>
      </c>
      <c r="B2550" t="s">
        <v>440</v>
      </c>
      <c r="C2550" t="s">
        <v>486</v>
      </c>
      <c r="D2550" t="s">
        <v>571</v>
      </c>
      <c r="E2550" t="s">
        <v>390</v>
      </c>
      <c r="F2550" t="s">
        <v>391</v>
      </c>
      <c r="G2550">
        <v>6201509</v>
      </c>
      <c r="H2550">
        <v>202205</v>
      </c>
      <c r="I2550" s="400">
        <v>44701</v>
      </c>
      <c r="J2550" t="s">
        <v>452</v>
      </c>
      <c r="K2550" t="s">
        <v>386</v>
      </c>
      <c r="M2550" t="s">
        <v>387</v>
      </c>
      <c r="O2550" t="s">
        <v>587</v>
      </c>
      <c r="P2550" t="s">
        <v>588</v>
      </c>
      <c r="Q2550" t="s">
        <v>396</v>
      </c>
      <c r="R2550" s="458">
        <v>2069133</v>
      </c>
      <c r="S2550" t="s">
        <v>626</v>
      </c>
      <c r="T2550" t="s">
        <v>626</v>
      </c>
      <c r="U2550" t="s">
        <v>3970</v>
      </c>
      <c r="V2550" t="s">
        <v>398</v>
      </c>
      <c r="W2550" s="393">
        <v>14000</v>
      </c>
      <c r="X2550" s="393">
        <v>3.43</v>
      </c>
      <c r="Y2550" s="393">
        <v>31.23</v>
      </c>
      <c r="Z2550" s="393">
        <v>14000</v>
      </c>
      <c r="AA2550">
        <v>0</v>
      </c>
      <c r="AB2550" s="400">
        <v>44703.92656728009</v>
      </c>
      <c r="AC2550" t="str">
        <f>+VLOOKUP(R2550,DRAFT!A:Q,17,0)</f>
        <v>1.3.2</v>
      </c>
    </row>
    <row r="2551" spans="1:29">
      <c r="A2551" t="s">
        <v>382</v>
      </c>
      <c r="B2551" t="s">
        <v>440</v>
      </c>
      <c r="C2551" t="s">
        <v>486</v>
      </c>
      <c r="D2551" t="s">
        <v>571</v>
      </c>
      <c r="E2551" t="s">
        <v>390</v>
      </c>
      <c r="F2551" t="s">
        <v>391</v>
      </c>
      <c r="G2551">
        <v>6201509</v>
      </c>
      <c r="H2551">
        <v>202205</v>
      </c>
      <c r="I2551" s="400">
        <v>44701</v>
      </c>
      <c r="J2551" t="s">
        <v>452</v>
      </c>
      <c r="K2551" t="s">
        <v>386</v>
      </c>
      <c r="M2551" t="s">
        <v>387</v>
      </c>
      <c r="O2551" t="s">
        <v>587</v>
      </c>
      <c r="P2551" t="s">
        <v>588</v>
      </c>
      <c r="Q2551" t="s">
        <v>396</v>
      </c>
      <c r="R2551" s="458">
        <v>2265779</v>
      </c>
      <c r="S2551" t="s">
        <v>626</v>
      </c>
      <c r="T2551" t="s">
        <v>626</v>
      </c>
      <c r="U2551" t="s">
        <v>3971</v>
      </c>
      <c r="V2551" t="s">
        <v>398</v>
      </c>
      <c r="W2551" s="393">
        <v>7000</v>
      </c>
      <c r="X2551" s="393">
        <v>1.72</v>
      </c>
      <c r="Y2551" s="393">
        <v>15.61</v>
      </c>
      <c r="Z2551" s="393">
        <v>7000</v>
      </c>
      <c r="AA2551">
        <v>0</v>
      </c>
      <c r="AB2551" s="400">
        <v>44703.92656728009</v>
      </c>
      <c r="AC2551" t="str">
        <f>+VLOOKUP(R2551,DRAFT!A:Q,17,0)</f>
        <v>MAE</v>
      </c>
    </row>
    <row r="2552" spans="1:29">
      <c r="A2552" t="s">
        <v>382</v>
      </c>
      <c r="B2552" t="s">
        <v>440</v>
      </c>
      <c r="C2552" t="s">
        <v>486</v>
      </c>
      <c r="D2552" t="s">
        <v>571</v>
      </c>
      <c r="E2552" t="s">
        <v>390</v>
      </c>
      <c r="F2552" t="s">
        <v>391</v>
      </c>
      <c r="G2552">
        <v>6201509</v>
      </c>
      <c r="H2552">
        <v>202205</v>
      </c>
      <c r="I2552" s="400">
        <v>44701</v>
      </c>
      <c r="J2552" t="s">
        <v>452</v>
      </c>
      <c r="K2552" t="s">
        <v>386</v>
      </c>
      <c r="M2552" t="s">
        <v>387</v>
      </c>
      <c r="O2552" t="s">
        <v>2245</v>
      </c>
      <c r="P2552" t="s">
        <v>2246</v>
      </c>
      <c r="Q2552" t="s">
        <v>396</v>
      </c>
      <c r="R2552" s="458">
        <v>2069133</v>
      </c>
      <c r="S2552" t="s">
        <v>3978</v>
      </c>
      <c r="T2552" t="s">
        <v>3978</v>
      </c>
      <c r="U2552" t="s">
        <v>3979</v>
      </c>
      <c r="V2552" t="s">
        <v>398</v>
      </c>
      <c r="W2552" s="393">
        <v>9500</v>
      </c>
      <c r="X2552" s="393">
        <v>2.33</v>
      </c>
      <c r="Y2552" s="393">
        <v>21.19</v>
      </c>
      <c r="Z2552" s="393">
        <v>9500</v>
      </c>
      <c r="AA2552">
        <v>0</v>
      </c>
      <c r="AB2552" s="400">
        <v>44703.92656728009</v>
      </c>
      <c r="AC2552" t="str">
        <f>+VLOOKUP(R2552,DRAFT!A:Q,17,0)</f>
        <v>1.3.2</v>
      </c>
    </row>
    <row r="2553" spans="1:29">
      <c r="A2553" t="s">
        <v>382</v>
      </c>
      <c r="B2553" t="s">
        <v>440</v>
      </c>
      <c r="C2553" t="s">
        <v>486</v>
      </c>
      <c r="D2553" t="s">
        <v>1011</v>
      </c>
      <c r="E2553" t="s">
        <v>390</v>
      </c>
      <c r="F2553" t="s">
        <v>391</v>
      </c>
      <c r="G2553">
        <v>6201648</v>
      </c>
      <c r="H2553">
        <v>202205</v>
      </c>
      <c r="I2553" s="400">
        <v>44701</v>
      </c>
      <c r="J2553" t="s">
        <v>1016</v>
      </c>
      <c r="K2553" t="s">
        <v>386</v>
      </c>
      <c r="M2553" t="s">
        <v>387</v>
      </c>
      <c r="O2553" t="s">
        <v>1012</v>
      </c>
      <c r="P2553" t="s">
        <v>1013</v>
      </c>
      <c r="Q2553" t="s">
        <v>396</v>
      </c>
      <c r="R2553" s="458">
        <v>2265779</v>
      </c>
      <c r="S2553" t="s">
        <v>387</v>
      </c>
      <c r="U2553" t="s">
        <v>3985</v>
      </c>
      <c r="V2553" t="s">
        <v>398</v>
      </c>
      <c r="W2553" s="393">
        <v>-80000</v>
      </c>
      <c r="X2553" s="393">
        <v>-19.61</v>
      </c>
      <c r="Y2553" s="393">
        <v>-178.43</v>
      </c>
      <c r="Z2553" s="393">
        <v>-80000</v>
      </c>
      <c r="AA2553">
        <v>0</v>
      </c>
      <c r="AB2553" s="400">
        <v>44708.736970983795</v>
      </c>
      <c r="AC2553" t="str">
        <f>+VLOOKUP(R2553,DRAFT!A:Q,17,0)</f>
        <v>MAE</v>
      </c>
    </row>
    <row r="2554" spans="1:29">
      <c r="A2554" t="s">
        <v>382</v>
      </c>
      <c r="B2554" t="s">
        <v>440</v>
      </c>
      <c r="C2554" t="s">
        <v>486</v>
      </c>
      <c r="D2554" t="s">
        <v>1056</v>
      </c>
      <c r="E2554" t="s">
        <v>390</v>
      </c>
      <c r="F2554" t="s">
        <v>391</v>
      </c>
      <c r="G2554">
        <v>6201679</v>
      </c>
      <c r="H2554">
        <v>202205</v>
      </c>
      <c r="I2554" s="400">
        <v>44707</v>
      </c>
      <c r="J2554">
        <v>122536</v>
      </c>
      <c r="K2554" t="s">
        <v>386</v>
      </c>
      <c r="M2554" t="s">
        <v>387</v>
      </c>
      <c r="O2554" t="s">
        <v>1997</v>
      </c>
      <c r="P2554" t="s">
        <v>1998</v>
      </c>
      <c r="Q2554" t="s">
        <v>396</v>
      </c>
      <c r="R2554" s="458">
        <v>2540511</v>
      </c>
      <c r="S2554" t="s">
        <v>387</v>
      </c>
      <c r="U2554" t="s">
        <v>4090</v>
      </c>
      <c r="V2554" t="s">
        <v>398</v>
      </c>
      <c r="W2554" s="393">
        <v>4960000</v>
      </c>
      <c r="X2554" s="393">
        <v>1252.8499999999999</v>
      </c>
      <c r="Y2554" s="393">
        <v>11735.91</v>
      </c>
      <c r="Z2554" s="393">
        <v>4960000</v>
      </c>
      <c r="AA2554">
        <v>318</v>
      </c>
      <c r="AB2554" s="400">
        <v>44712.909965358798</v>
      </c>
      <c r="AC2554" t="str">
        <f>+VLOOKUP(R2554,DRAFT!A:Q,17,0)</f>
        <v>1.2.1</v>
      </c>
    </row>
    <row r="2555" spans="1:29">
      <c r="A2555" t="s">
        <v>382</v>
      </c>
      <c r="B2555" t="s">
        <v>440</v>
      </c>
      <c r="C2555" t="s">
        <v>486</v>
      </c>
      <c r="D2555" t="s">
        <v>1056</v>
      </c>
      <c r="E2555" t="s">
        <v>390</v>
      </c>
      <c r="F2555" t="s">
        <v>391</v>
      </c>
      <c r="G2555">
        <v>6201679</v>
      </c>
      <c r="H2555">
        <v>202205</v>
      </c>
      <c r="I2555" s="400">
        <v>44707</v>
      </c>
      <c r="J2555">
        <v>122536</v>
      </c>
      <c r="K2555" t="s">
        <v>386</v>
      </c>
      <c r="M2555" t="s">
        <v>387</v>
      </c>
      <c r="O2555" t="s">
        <v>1997</v>
      </c>
      <c r="P2555" t="s">
        <v>1998</v>
      </c>
      <c r="Q2555" t="s">
        <v>396</v>
      </c>
      <c r="R2555" s="458">
        <v>2069133</v>
      </c>
      <c r="S2555" t="s">
        <v>387</v>
      </c>
      <c r="U2555" t="s">
        <v>4089</v>
      </c>
      <c r="V2555" t="s">
        <v>398</v>
      </c>
      <c r="W2555" s="393">
        <v>1550000</v>
      </c>
      <c r="X2555" s="393">
        <v>391.51</v>
      </c>
      <c r="Y2555" s="393">
        <v>3667.47</v>
      </c>
      <c r="Z2555" s="393">
        <v>1550000</v>
      </c>
      <c r="AA2555">
        <v>318</v>
      </c>
      <c r="AB2555" s="400">
        <v>44712.909965162034</v>
      </c>
      <c r="AC2555" t="str">
        <f>+VLOOKUP(R2555,DRAFT!A:Q,17,0)</f>
        <v>1.3.2</v>
      </c>
    </row>
    <row r="2556" spans="1:29">
      <c r="A2556" t="s">
        <v>382</v>
      </c>
      <c r="B2556" t="s">
        <v>440</v>
      </c>
      <c r="C2556" t="s">
        <v>486</v>
      </c>
      <c r="D2556" t="s">
        <v>1056</v>
      </c>
      <c r="E2556" t="s">
        <v>390</v>
      </c>
      <c r="F2556" t="s">
        <v>391</v>
      </c>
      <c r="G2556">
        <v>6201530</v>
      </c>
      <c r="H2556">
        <v>202205</v>
      </c>
      <c r="I2556" s="400">
        <v>44701</v>
      </c>
      <c r="J2556">
        <v>122536</v>
      </c>
      <c r="K2556" t="s">
        <v>386</v>
      </c>
      <c r="M2556" t="s">
        <v>387</v>
      </c>
      <c r="O2556" t="s">
        <v>565</v>
      </c>
      <c r="P2556" t="s">
        <v>566</v>
      </c>
      <c r="Q2556" t="s">
        <v>396</v>
      </c>
      <c r="R2556" s="458">
        <v>2069133</v>
      </c>
      <c r="S2556" t="s">
        <v>387</v>
      </c>
      <c r="U2556" t="s">
        <v>3990</v>
      </c>
      <c r="V2556" t="s">
        <v>398</v>
      </c>
      <c r="W2556" s="393">
        <v>22100000</v>
      </c>
      <c r="X2556" s="393">
        <v>5416.27</v>
      </c>
      <c r="Y2556" s="393">
        <v>49292.28</v>
      </c>
      <c r="Z2556" s="393">
        <v>22100000</v>
      </c>
      <c r="AA2556">
        <v>318</v>
      </c>
      <c r="AB2556" s="400">
        <v>44705.81381832176</v>
      </c>
      <c r="AC2556" t="str">
        <f>+VLOOKUP(R2556,DRAFT!A:Q,17,0)</f>
        <v>1.3.2</v>
      </c>
    </row>
    <row r="2557" spans="1:29">
      <c r="A2557" t="s">
        <v>382</v>
      </c>
      <c r="B2557" t="s">
        <v>2910</v>
      </c>
      <c r="C2557" t="s">
        <v>1150</v>
      </c>
      <c r="D2557" t="s">
        <v>1151</v>
      </c>
      <c r="E2557" t="s">
        <v>4116</v>
      </c>
      <c r="F2557" t="s">
        <v>4117</v>
      </c>
      <c r="G2557">
        <v>2201113</v>
      </c>
      <c r="H2557">
        <v>202205</v>
      </c>
      <c r="I2557" s="400">
        <v>44704</v>
      </c>
      <c r="J2557" t="s">
        <v>4118</v>
      </c>
      <c r="K2557" t="s">
        <v>386</v>
      </c>
      <c r="L2557" t="s">
        <v>4071</v>
      </c>
      <c r="M2557" t="s">
        <v>4119</v>
      </c>
      <c r="O2557" t="s">
        <v>4120</v>
      </c>
      <c r="P2557" t="s">
        <v>4121</v>
      </c>
      <c r="Q2557" t="s">
        <v>3486</v>
      </c>
      <c r="R2557" s="458">
        <v>2719994</v>
      </c>
      <c r="S2557" t="s">
        <v>3996</v>
      </c>
      <c r="U2557" t="s">
        <v>4122</v>
      </c>
      <c r="V2557" t="s">
        <v>398</v>
      </c>
      <c r="W2557" s="393">
        <v>9104306.2699999996</v>
      </c>
      <c r="X2557" s="393">
        <v>2422.1999999999998</v>
      </c>
      <c r="Y2557" s="393">
        <v>20827.28</v>
      </c>
      <c r="Z2557" s="393">
        <v>9104306.2699999996</v>
      </c>
      <c r="AA2557">
        <v>0</v>
      </c>
      <c r="AB2557" s="400">
        <v>44716.091624224537</v>
      </c>
      <c r="AC2557" t="str">
        <f>+VLOOKUP(R2557,DRAFT!A:Q,17,0)</f>
        <v xml:space="preserve">SALARY SUPPORT </v>
      </c>
    </row>
    <row r="2558" spans="1:29">
      <c r="A2558" t="s">
        <v>382</v>
      </c>
      <c r="B2558" t="s">
        <v>440</v>
      </c>
      <c r="C2558" t="s">
        <v>1252</v>
      </c>
      <c r="D2558" t="s">
        <v>1253</v>
      </c>
      <c r="E2558" t="s">
        <v>390</v>
      </c>
      <c r="F2558" t="s">
        <v>391</v>
      </c>
      <c r="G2558">
        <v>6201682</v>
      </c>
      <c r="H2558">
        <v>202205</v>
      </c>
      <c r="I2558" s="400">
        <v>44708</v>
      </c>
      <c r="J2558">
        <v>122536</v>
      </c>
      <c r="K2558" t="s">
        <v>386</v>
      </c>
      <c r="M2558" t="s">
        <v>387</v>
      </c>
      <c r="O2558" t="s">
        <v>544</v>
      </c>
      <c r="P2558" t="s">
        <v>545</v>
      </c>
      <c r="Q2558" t="s">
        <v>450</v>
      </c>
      <c r="R2558" s="458">
        <v>2069108</v>
      </c>
      <c r="S2558" t="s">
        <v>387</v>
      </c>
      <c r="U2558" t="s">
        <v>4091</v>
      </c>
      <c r="V2558" t="s">
        <v>398</v>
      </c>
      <c r="W2558" s="393">
        <v>136040</v>
      </c>
      <c r="X2558" s="393">
        <v>34.36</v>
      </c>
      <c r="Y2558" s="393">
        <v>321.89</v>
      </c>
      <c r="Z2558" s="393">
        <v>136040</v>
      </c>
      <c r="AA2558">
        <v>0</v>
      </c>
      <c r="AB2558" s="400">
        <v>44712.960670219909</v>
      </c>
      <c r="AC2558" t="str">
        <f>+VLOOKUP(R2558,DRAFT!A:Q,17,0)</f>
        <v>SUPPORT</v>
      </c>
    </row>
    <row r="2559" spans="1:29">
      <c r="A2559" t="s">
        <v>382</v>
      </c>
      <c r="B2559" t="s">
        <v>440</v>
      </c>
      <c r="C2559" t="s">
        <v>1252</v>
      </c>
      <c r="D2559" t="s">
        <v>1271</v>
      </c>
      <c r="E2559" t="s">
        <v>390</v>
      </c>
      <c r="F2559" t="s">
        <v>391</v>
      </c>
      <c r="G2559">
        <v>6201682</v>
      </c>
      <c r="H2559">
        <v>202205</v>
      </c>
      <c r="I2559" s="400">
        <v>44708</v>
      </c>
      <c r="J2559">
        <v>122536</v>
      </c>
      <c r="K2559" t="s">
        <v>386</v>
      </c>
      <c r="M2559" t="s">
        <v>387</v>
      </c>
      <c r="O2559" t="s">
        <v>544</v>
      </c>
      <c r="P2559" t="s">
        <v>545</v>
      </c>
      <c r="Q2559" t="s">
        <v>450</v>
      </c>
      <c r="R2559" s="458">
        <v>2069108</v>
      </c>
      <c r="S2559" t="s">
        <v>387</v>
      </c>
      <c r="U2559" t="s">
        <v>4091</v>
      </c>
      <c r="V2559" t="s">
        <v>398</v>
      </c>
      <c r="W2559" s="393">
        <v>716000</v>
      </c>
      <c r="X2559" s="393">
        <v>180.85</v>
      </c>
      <c r="Y2559" s="393">
        <v>1694.13</v>
      </c>
      <c r="Z2559" s="393">
        <v>716000</v>
      </c>
      <c r="AA2559">
        <v>185</v>
      </c>
      <c r="AB2559" s="400">
        <v>44712.960669328706</v>
      </c>
      <c r="AC2559" t="str">
        <f>+VLOOKUP(R2559,DRAFT!A:Q,17,0)</f>
        <v>SUPPORT</v>
      </c>
    </row>
    <row r="2560" spans="1:29">
      <c r="A2560" t="s">
        <v>382</v>
      </c>
      <c r="B2560" t="s">
        <v>440</v>
      </c>
      <c r="C2560" t="s">
        <v>1362</v>
      </c>
      <c r="D2560" t="s">
        <v>2937</v>
      </c>
      <c r="E2560" t="s">
        <v>390</v>
      </c>
      <c r="F2560" t="s">
        <v>391</v>
      </c>
      <c r="G2560">
        <v>6201580</v>
      </c>
      <c r="H2560">
        <v>202205</v>
      </c>
      <c r="I2560" s="400">
        <v>44683</v>
      </c>
      <c r="J2560">
        <v>122536</v>
      </c>
      <c r="K2560" t="s">
        <v>386</v>
      </c>
      <c r="L2560">
        <v>123780</v>
      </c>
      <c r="M2560" t="s">
        <v>1153</v>
      </c>
      <c r="O2560" t="s">
        <v>1154</v>
      </c>
      <c r="P2560" t="s">
        <v>1155</v>
      </c>
      <c r="Q2560" t="s">
        <v>396</v>
      </c>
      <c r="R2560" s="458">
        <v>2630507</v>
      </c>
      <c r="S2560" t="s">
        <v>387</v>
      </c>
      <c r="U2560" t="s">
        <v>4020</v>
      </c>
      <c r="V2560" t="s">
        <v>398</v>
      </c>
      <c r="W2560" s="393">
        <v>114000</v>
      </c>
      <c r="X2560" s="393">
        <v>30.33</v>
      </c>
      <c r="Y2560" s="393">
        <v>260.79000000000002</v>
      </c>
      <c r="Z2560" s="393">
        <v>114000</v>
      </c>
      <c r="AA2560">
        <v>0</v>
      </c>
      <c r="AB2560" s="400">
        <v>44707.646393900461</v>
      </c>
      <c r="AC2560" t="str">
        <f>+VLOOKUP(R2560,DRAFT!A:Q,17,0)</f>
        <v>1.3.2</v>
      </c>
    </row>
    <row r="2561" spans="1:29">
      <c r="A2561" t="s">
        <v>382</v>
      </c>
      <c r="B2561" t="s">
        <v>440</v>
      </c>
      <c r="C2561" t="s">
        <v>1362</v>
      </c>
      <c r="D2561" t="s">
        <v>2937</v>
      </c>
      <c r="E2561" t="s">
        <v>390</v>
      </c>
      <c r="F2561" t="s">
        <v>391</v>
      </c>
      <c r="G2561">
        <v>6201645</v>
      </c>
      <c r="H2561">
        <v>202205</v>
      </c>
      <c r="I2561" s="400">
        <v>44701</v>
      </c>
      <c r="J2561" t="s">
        <v>452</v>
      </c>
      <c r="K2561" t="s">
        <v>386</v>
      </c>
      <c r="L2561">
        <v>125338</v>
      </c>
      <c r="M2561" t="s">
        <v>2444</v>
      </c>
      <c r="O2561" t="s">
        <v>2065</v>
      </c>
      <c r="P2561" t="s">
        <v>2066</v>
      </c>
      <c r="Q2561" t="s">
        <v>396</v>
      </c>
      <c r="R2561" s="458">
        <v>2265775</v>
      </c>
      <c r="S2561" t="s">
        <v>4021</v>
      </c>
      <c r="T2561" t="s">
        <v>4021</v>
      </c>
      <c r="U2561" t="s">
        <v>4022</v>
      </c>
      <c r="V2561" t="s">
        <v>398</v>
      </c>
      <c r="W2561" s="393">
        <v>12000</v>
      </c>
      <c r="X2561" s="393">
        <v>2.94</v>
      </c>
      <c r="Y2561" s="393">
        <v>26.77</v>
      </c>
      <c r="Z2561" s="393">
        <v>12000</v>
      </c>
      <c r="AA2561">
        <v>0</v>
      </c>
      <c r="AB2561" s="400">
        <v>44708.634921296296</v>
      </c>
      <c r="AC2561" t="str">
        <f>+VLOOKUP(R2561,DRAFT!A:Q,17,0)</f>
        <v>MAE</v>
      </c>
    </row>
    <row r="2562" spans="1:29">
      <c r="A2562" t="s">
        <v>382</v>
      </c>
      <c r="B2562" t="s">
        <v>440</v>
      </c>
      <c r="C2562" t="s">
        <v>1362</v>
      </c>
      <c r="D2562" t="s">
        <v>2937</v>
      </c>
      <c r="E2562" t="s">
        <v>390</v>
      </c>
      <c r="F2562" t="s">
        <v>391</v>
      </c>
      <c r="G2562">
        <v>6201512</v>
      </c>
      <c r="H2562">
        <v>202205</v>
      </c>
      <c r="I2562" s="400">
        <v>44703</v>
      </c>
      <c r="J2562" t="s">
        <v>452</v>
      </c>
      <c r="K2562" t="s">
        <v>386</v>
      </c>
      <c r="L2562">
        <v>125684</v>
      </c>
      <c r="M2562" t="s">
        <v>2869</v>
      </c>
      <c r="O2562" t="s">
        <v>2870</v>
      </c>
      <c r="P2562" t="s">
        <v>2871</v>
      </c>
      <c r="Q2562" t="s">
        <v>396</v>
      </c>
      <c r="R2562" s="458">
        <v>2265775</v>
      </c>
      <c r="S2562" t="s">
        <v>387</v>
      </c>
      <c r="U2562" t="s">
        <v>4023</v>
      </c>
      <c r="V2562" t="s">
        <v>398</v>
      </c>
      <c r="W2562" s="393">
        <v>42000</v>
      </c>
      <c r="X2562" s="393">
        <v>10.29</v>
      </c>
      <c r="Y2562" s="393">
        <v>93.68</v>
      </c>
      <c r="Z2562" s="393">
        <v>42000</v>
      </c>
      <c r="AA2562">
        <v>0</v>
      </c>
      <c r="AB2562" s="400">
        <v>44703.939736307868</v>
      </c>
      <c r="AC2562" t="str">
        <f>+VLOOKUP(R2562,DRAFT!A:Q,17,0)</f>
        <v>MAE</v>
      </c>
    </row>
    <row r="2563" spans="1:29">
      <c r="A2563" t="s">
        <v>382</v>
      </c>
      <c r="B2563" t="s">
        <v>440</v>
      </c>
      <c r="C2563" t="s">
        <v>1362</v>
      </c>
      <c r="D2563" t="s">
        <v>2937</v>
      </c>
      <c r="E2563" t="s">
        <v>390</v>
      </c>
      <c r="F2563" t="s">
        <v>391</v>
      </c>
      <c r="G2563">
        <v>6201705</v>
      </c>
      <c r="H2563">
        <v>202205</v>
      </c>
      <c r="I2563" s="400">
        <v>44708</v>
      </c>
      <c r="J2563">
        <v>122536</v>
      </c>
      <c r="K2563" t="s">
        <v>386</v>
      </c>
      <c r="L2563">
        <v>129170</v>
      </c>
      <c r="M2563" t="s">
        <v>4008</v>
      </c>
      <c r="O2563" t="s">
        <v>4009</v>
      </c>
      <c r="P2563" t="s">
        <v>4010</v>
      </c>
      <c r="Q2563" t="s">
        <v>396</v>
      </c>
      <c r="R2563" s="458">
        <v>2630507</v>
      </c>
      <c r="S2563" t="s">
        <v>387</v>
      </c>
      <c r="U2563" t="s">
        <v>4123</v>
      </c>
      <c r="V2563" t="s">
        <v>398</v>
      </c>
      <c r="W2563" s="393">
        <v>228000</v>
      </c>
      <c r="X2563" s="393">
        <v>57.59</v>
      </c>
      <c r="Y2563" s="393">
        <v>539.47</v>
      </c>
      <c r="Z2563" s="393">
        <v>228000</v>
      </c>
      <c r="AA2563">
        <v>0</v>
      </c>
      <c r="AB2563" s="400">
        <v>44713.984953738429</v>
      </c>
      <c r="AC2563" t="str">
        <f>+VLOOKUP(R2563,DRAFT!A:Q,17,0)</f>
        <v>1.3.2</v>
      </c>
    </row>
    <row r="2564" spans="1:29">
      <c r="A2564" t="s">
        <v>382</v>
      </c>
      <c r="B2564" t="s">
        <v>440</v>
      </c>
      <c r="C2564" t="s">
        <v>1362</v>
      </c>
      <c r="D2564" t="s">
        <v>2937</v>
      </c>
      <c r="E2564" t="s">
        <v>390</v>
      </c>
      <c r="F2564" t="s">
        <v>391</v>
      </c>
      <c r="G2564">
        <v>6201509</v>
      </c>
      <c r="H2564">
        <v>202205</v>
      </c>
      <c r="I2564" s="400">
        <v>44701</v>
      </c>
      <c r="J2564" t="s">
        <v>452</v>
      </c>
      <c r="K2564" t="s">
        <v>386</v>
      </c>
      <c r="L2564" t="s">
        <v>1392</v>
      </c>
      <c r="M2564" t="s">
        <v>1393</v>
      </c>
      <c r="O2564" t="s">
        <v>2245</v>
      </c>
      <c r="P2564" t="s">
        <v>2246</v>
      </c>
      <c r="Q2564" t="s">
        <v>396</v>
      </c>
      <c r="R2564" s="458">
        <v>2630507</v>
      </c>
      <c r="S2564" t="s">
        <v>4024</v>
      </c>
      <c r="T2564" t="s">
        <v>4024</v>
      </c>
      <c r="U2564" t="s">
        <v>4025</v>
      </c>
      <c r="V2564" t="s">
        <v>398</v>
      </c>
      <c r="W2564" s="393">
        <v>72000</v>
      </c>
      <c r="X2564" s="393">
        <v>17.649999999999999</v>
      </c>
      <c r="Y2564" s="393">
        <v>160.59</v>
      </c>
      <c r="Z2564" s="393">
        <v>72000</v>
      </c>
      <c r="AA2564">
        <v>0</v>
      </c>
      <c r="AB2564" s="400">
        <v>44703.92656728009</v>
      </c>
      <c r="AC2564" t="str">
        <f>+VLOOKUP(R2564,DRAFT!A:Q,17,0)</f>
        <v>1.3.2</v>
      </c>
    </row>
    <row r="2565" spans="1:29">
      <c r="A2565" t="s">
        <v>382</v>
      </c>
      <c r="B2565" t="s">
        <v>440</v>
      </c>
      <c r="C2565" t="s">
        <v>1362</v>
      </c>
      <c r="D2565" t="s">
        <v>2937</v>
      </c>
      <c r="E2565" t="s">
        <v>390</v>
      </c>
      <c r="F2565" t="s">
        <v>391</v>
      </c>
      <c r="G2565">
        <v>6201671</v>
      </c>
      <c r="H2565">
        <v>202205</v>
      </c>
      <c r="I2565" s="400">
        <v>44712</v>
      </c>
      <c r="J2565" t="s">
        <v>452</v>
      </c>
      <c r="K2565" t="s">
        <v>386</v>
      </c>
      <c r="L2565" t="s">
        <v>1392</v>
      </c>
      <c r="M2565" t="s">
        <v>1393</v>
      </c>
      <c r="O2565" t="s">
        <v>2245</v>
      </c>
      <c r="P2565" t="s">
        <v>2246</v>
      </c>
      <c r="Q2565" t="s">
        <v>396</v>
      </c>
      <c r="R2565" s="458">
        <v>2630507</v>
      </c>
      <c r="S2565" t="s">
        <v>387</v>
      </c>
      <c r="U2565" t="s">
        <v>4092</v>
      </c>
      <c r="V2565" t="s">
        <v>398</v>
      </c>
      <c r="W2565" s="393">
        <v>72000</v>
      </c>
      <c r="X2565" s="393">
        <v>18.190000000000001</v>
      </c>
      <c r="Y2565" s="393">
        <v>170.36</v>
      </c>
      <c r="Z2565" s="393">
        <v>72000</v>
      </c>
      <c r="AA2565">
        <v>0</v>
      </c>
      <c r="AB2565" s="400">
        <v>44712.789359872688</v>
      </c>
      <c r="AC2565" t="str">
        <f>+VLOOKUP(R2565,DRAFT!A:Q,17,0)</f>
        <v>1.3.2</v>
      </c>
    </row>
    <row r="2566" spans="1:29">
      <c r="A2566" t="s">
        <v>382</v>
      </c>
      <c r="B2566" t="s">
        <v>440</v>
      </c>
      <c r="C2566" t="s">
        <v>1362</v>
      </c>
      <c r="D2566" t="s">
        <v>2937</v>
      </c>
      <c r="E2566" t="s">
        <v>390</v>
      </c>
      <c r="F2566" t="s">
        <v>391</v>
      </c>
      <c r="G2566">
        <v>6201509</v>
      </c>
      <c r="H2566">
        <v>202205</v>
      </c>
      <c r="I2566" s="400">
        <v>44701</v>
      </c>
      <c r="J2566" t="s">
        <v>452</v>
      </c>
      <c r="K2566" t="s">
        <v>386</v>
      </c>
      <c r="L2566" t="s">
        <v>1392</v>
      </c>
      <c r="M2566" t="s">
        <v>1393</v>
      </c>
      <c r="O2566" t="s">
        <v>2245</v>
      </c>
      <c r="P2566" t="s">
        <v>2246</v>
      </c>
      <c r="Q2566" t="s">
        <v>396</v>
      </c>
      <c r="R2566" s="458">
        <v>2265775</v>
      </c>
      <c r="S2566" t="s">
        <v>4024</v>
      </c>
      <c r="T2566" t="s">
        <v>4024</v>
      </c>
      <c r="U2566" t="s">
        <v>4026</v>
      </c>
      <c r="V2566" t="s">
        <v>398</v>
      </c>
      <c r="W2566" s="393">
        <v>42000</v>
      </c>
      <c r="X2566" s="393">
        <v>10.29</v>
      </c>
      <c r="Y2566" s="393">
        <v>93.68</v>
      </c>
      <c r="Z2566" s="393">
        <v>42000</v>
      </c>
      <c r="AA2566">
        <v>0</v>
      </c>
      <c r="AB2566" s="400">
        <v>44703.92656728009</v>
      </c>
      <c r="AC2566" t="str">
        <f>+VLOOKUP(R2566,DRAFT!A:Q,17,0)</f>
        <v>MAE</v>
      </c>
    </row>
    <row r="2567" spans="1:29">
      <c r="A2567" t="s">
        <v>382</v>
      </c>
      <c r="B2567" t="s">
        <v>440</v>
      </c>
      <c r="C2567" t="s">
        <v>1362</v>
      </c>
      <c r="D2567" t="s">
        <v>2937</v>
      </c>
      <c r="E2567" t="s">
        <v>390</v>
      </c>
      <c r="F2567" t="s">
        <v>391</v>
      </c>
      <c r="G2567">
        <v>6201509</v>
      </c>
      <c r="H2567">
        <v>202205</v>
      </c>
      <c r="I2567" s="400">
        <v>44701</v>
      </c>
      <c r="J2567" t="s">
        <v>452</v>
      </c>
      <c r="K2567" t="s">
        <v>386</v>
      </c>
      <c r="L2567" t="s">
        <v>1392</v>
      </c>
      <c r="M2567" t="s">
        <v>1393</v>
      </c>
      <c r="O2567" t="s">
        <v>2245</v>
      </c>
      <c r="P2567" t="s">
        <v>2246</v>
      </c>
      <c r="Q2567" t="s">
        <v>396</v>
      </c>
      <c r="R2567" s="458">
        <v>2630507</v>
      </c>
      <c r="S2567" t="s">
        <v>4024</v>
      </c>
      <c r="T2567" t="s">
        <v>4024</v>
      </c>
      <c r="U2567" t="s">
        <v>4025</v>
      </c>
      <c r="V2567" t="s">
        <v>398</v>
      </c>
      <c r="W2567" s="393">
        <v>72000</v>
      </c>
      <c r="X2567" s="393">
        <v>17.649999999999999</v>
      </c>
      <c r="Y2567" s="393">
        <v>160.59</v>
      </c>
      <c r="Z2567" s="393">
        <v>72000</v>
      </c>
      <c r="AA2567">
        <v>0</v>
      </c>
      <c r="AB2567" s="400">
        <v>44703.92656728009</v>
      </c>
      <c r="AC2567" t="str">
        <f>+VLOOKUP(R2567,DRAFT!A:Q,17,0)</f>
        <v>1.3.2</v>
      </c>
    </row>
    <row r="2568" spans="1:29">
      <c r="A2568" t="s">
        <v>382</v>
      </c>
      <c r="B2568" t="s">
        <v>440</v>
      </c>
      <c r="C2568" t="s">
        <v>1362</v>
      </c>
      <c r="D2568" t="s">
        <v>1363</v>
      </c>
      <c r="E2568" t="s">
        <v>390</v>
      </c>
      <c r="F2568" t="s">
        <v>391</v>
      </c>
      <c r="G2568">
        <v>6201739</v>
      </c>
      <c r="H2568">
        <v>202205</v>
      </c>
      <c r="I2568" s="400">
        <v>44694</v>
      </c>
      <c r="J2568">
        <v>124932</v>
      </c>
      <c r="K2568" t="s">
        <v>386</v>
      </c>
      <c r="L2568">
        <v>129170</v>
      </c>
      <c r="M2568" t="s">
        <v>4008</v>
      </c>
      <c r="O2568" t="s">
        <v>1380</v>
      </c>
      <c r="P2568" t="s">
        <v>1381</v>
      </c>
      <c r="Q2568" t="s">
        <v>396</v>
      </c>
      <c r="R2568" s="458">
        <v>2630507</v>
      </c>
      <c r="S2568" t="s">
        <v>387</v>
      </c>
      <c r="U2568" t="s">
        <v>4124</v>
      </c>
      <c r="V2568" t="s">
        <v>398</v>
      </c>
      <c r="W2568" s="393">
        <v>9550</v>
      </c>
      <c r="X2568" s="393">
        <v>2.34</v>
      </c>
      <c r="Y2568" s="393">
        <v>21.3</v>
      </c>
      <c r="Z2568" s="393">
        <v>9550</v>
      </c>
      <c r="AA2568">
        <v>0</v>
      </c>
      <c r="AB2568" s="400">
        <v>44714.672261111111</v>
      </c>
      <c r="AC2568" t="str">
        <f>+VLOOKUP(R2568,DRAFT!A:Q,17,0)</f>
        <v>1.3.2</v>
      </c>
    </row>
    <row r="2569" spans="1:29">
      <c r="A2569" t="s">
        <v>382</v>
      </c>
      <c r="B2569" t="s">
        <v>440</v>
      </c>
      <c r="C2569" t="s">
        <v>1362</v>
      </c>
      <c r="D2569" t="s">
        <v>1363</v>
      </c>
      <c r="E2569" t="s">
        <v>390</v>
      </c>
      <c r="F2569" t="s">
        <v>391</v>
      </c>
      <c r="G2569">
        <v>6201739</v>
      </c>
      <c r="H2569">
        <v>202205</v>
      </c>
      <c r="I2569" s="400">
        <v>44694</v>
      </c>
      <c r="J2569">
        <v>124932</v>
      </c>
      <c r="K2569" t="s">
        <v>386</v>
      </c>
      <c r="L2569">
        <v>129170</v>
      </c>
      <c r="M2569" t="s">
        <v>4008</v>
      </c>
      <c r="O2569" t="s">
        <v>512</v>
      </c>
      <c r="P2569" t="s">
        <v>513</v>
      </c>
      <c r="Q2569" t="s">
        <v>396</v>
      </c>
      <c r="R2569" s="458">
        <v>2630507</v>
      </c>
      <c r="S2569" t="s">
        <v>387</v>
      </c>
      <c r="U2569" t="s">
        <v>4124</v>
      </c>
      <c r="V2569" t="s">
        <v>398</v>
      </c>
      <c r="W2569" s="393">
        <v>1962</v>
      </c>
      <c r="X2569" s="393">
        <v>0.48</v>
      </c>
      <c r="Y2569" s="393">
        <v>4.38</v>
      </c>
      <c r="Z2569" s="393">
        <v>1962</v>
      </c>
      <c r="AA2569">
        <v>0</v>
      </c>
      <c r="AB2569" s="400">
        <v>44714.672261111111</v>
      </c>
      <c r="AC2569" t="str">
        <f>+VLOOKUP(R2569,DRAFT!A:Q,17,0)</f>
        <v>1.3.2</v>
      </c>
    </row>
    <row r="2570" spans="1:29">
      <c r="A2570" t="s">
        <v>382</v>
      </c>
      <c r="B2570" t="s">
        <v>440</v>
      </c>
      <c r="C2570" t="s">
        <v>1362</v>
      </c>
      <c r="D2570" t="s">
        <v>1386</v>
      </c>
      <c r="E2570" t="s">
        <v>390</v>
      </c>
      <c r="F2570" t="s">
        <v>391</v>
      </c>
      <c r="G2570">
        <v>6201645</v>
      </c>
      <c r="H2570">
        <v>202205</v>
      </c>
      <c r="I2570" s="400">
        <v>44701</v>
      </c>
      <c r="J2570" t="s">
        <v>452</v>
      </c>
      <c r="K2570" t="s">
        <v>386</v>
      </c>
      <c r="L2570">
        <v>125338</v>
      </c>
      <c r="M2570" t="s">
        <v>2444</v>
      </c>
      <c r="O2570" t="s">
        <v>1001</v>
      </c>
      <c r="P2570" t="s">
        <v>1002</v>
      </c>
      <c r="Q2570" t="s">
        <v>396</v>
      </c>
      <c r="R2570" s="458">
        <v>2265775</v>
      </c>
      <c r="S2570" t="s">
        <v>4028</v>
      </c>
      <c r="T2570" t="s">
        <v>4028</v>
      </c>
      <c r="U2570" t="s">
        <v>4029</v>
      </c>
      <c r="V2570" t="s">
        <v>398</v>
      </c>
      <c r="W2570" s="393">
        <v>9500</v>
      </c>
      <c r="X2570" s="393">
        <v>2.33</v>
      </c>
      <c r="Y2570" s="393">
        <v>21.19</v>
      </c>
      <c r="Z2570" s="393">
        <v>9500</v>
      </c>
      <c r="AA2570">
        <v>0</v>
      </c>
      <c r="AB2570" s="400">
        <v>44708.634921296296</v>
      </c>
      <c r="AC2570" t="str">
        <f>+VLOOKUP(R2570,DRAFT!A:Q,17,0)</f>
        <v>MAE</v>
      </c>
    </row>
    <row r="2571" spans="1:29">
      <c r="A2571" t="s">
        <v>382</v>
      </c>
      <c r="B2571" t="s">
        <v>440</v>
      </c>
      <c r="C2571" t="s">
        <v>1362</v>
      </c>
      <c r="D2571" t="s">
        <v>1386</v>
      </c>
      <c r="E2571" t="s">
        <v>390</v>
      </c>
      <c r="F2571" t="s">
        <v>391</v>
      </c>
      <c r="G2571">
        <v>6201645</v>
      </c>
      <c r="H2571">
        <v>202205</v>
      </c>
      <c r="I2571" s="400">
        <v>44701</v>
      </c>
      <c r="J2571" t="s">
        <v>452</v>
      </c>
      <c r="K2571" t="s">
        <v>386</v>
      </c>
      <c r="L2571">
        <v>125338</v>
      </c>
      <c r="M2571" t="s">
        <v>2444</v>
      </c>
      <c r="O2571" t="s">
        <v>1001</v>
      </c>
      <c r="P2571" t="s">
        <v>1002</v>
      </c>
      <c r="Q2571" t="s">
        <v>396</v>
      </c>
      <c r="R2571" s="458">
        <v>2265775</v>
      </c>
      <c r="S2571" t="s">
        <v>4030</v>
      </c>
      <c r="T2571" t="s">
        <v>4030</v>
      </c>
      <c r="U2571" t="s">
        <v>4031</v>
      </c>
      <c r="V2571" t="s">
        <v>398</v>
      </c>
      <c r="W2571" s="393">
        <v>9500</v>
      </c>
      <c r="X2571" s="393">
        <v>2.33</v>
      </c>
      <c r="Y2571" s="393">
        <v>21.19</v>
      </c>
      <c r="Z2571" s="393">
        <v>9500</v>
      </c>
      <c r="AA2571">
        <v>0</v>
      </c>
      <c r="AB2571" s="400">
        <v>44708.634921296296</v>
      </c>
      <c r="AC2571" t="str">
        <f>+VLOOKUP(R2571,DRAFT!A:Q,17,0)</f>
        <v>MAE</v>
      </c>
    </row>
    <row r="2572" spans="1:29">
      <c r="A2572" t="s">
        <v>382</v>
      </c>
      <c r="B2572" t="s">
        <v>440</v>
      </c>
      <c r="C2572" t="s">
        <v>1362</v>
      </c>
      <c r="D2572" t="s">
        <v>1587</v>
      </c>
      <c r="E2572" t="s">
        <v>390</v>
      </c>
      <c r="F2572" t="s">
        <v>391</v>
      </c>
      <c r="G2572">
        <v>6201739</v>
      </c>
      <c r="H2572">
        <v>202205</v>
      </c>
      <c r="I2572" s="400">
        <v>44694</v>
      </c>
      <c r="J2572">
        <v>124932</v>
      </c>
      <c r="K2572" t="s">
        <v>386</v>
      </c>
      <c r="L2572">
        <v>129170</v>
      </c>
      <c r="M2572" t="s">
        <v>4008</v>
      </c>
      <c r="O2572" t="s">
        <v>1380</v>
      </c>
      <c r="P2572" t="s">
        <v>1381</v>
      </c>
      <c r="Q2572" t="s">
        <v>396</v>
      </c>
      <c r="R2572" s="458">
        <v>2630507</v>
      </c>
      <c r="S2572" t="s">
        <v>387</v>
      </c>
      <c r="U2572" t="s">
        <v>4124</v>
      </c>
      <c r="V2572" t="s">
        <v>398</v>
      </c>
      <c r="W2572" s="393">
        <v>190900</v>
      </c>
      <c r="X2572" s="393">
        <v>46.79</v>
      </c>
      <c r="Y2572" s="393">
        <v>425.79</v>
      </c>
      <c r="Z2572" s="393">
        <v>190900</v>
      </c>
      <c r="AA2572">
        <v>222</v>
      </c>
      <c r="AB2572" s="400">
        <v>44714.672260763888</v>
      </c>
      <c r="AC2572" t="str">
        <f>+VLOOKUP(R2572,DRAFT!A:Q,17,0)</f>
        <v>1.3.2</v>
      </c>
    </row>
    <row r="2573" spans="1:29">
      <c r="A2573" t="s">
        <v>382</v>
      </c>
      <c r="B2573" t="s">
        <v>440</v>
      </c>
      <c r="C2573" t="s">
        <v>1362</v>
      </c>
      <c r="D2573" t="s">
        <v>1587</v>
      </c>
      <c r="E2573" t="s">
        <v>390</v>
      </c>
      <c r="F2573" t="s">
        <v>391</v>
      </c>
      <c r="G2573">
        <v>6201739</v>
      </c>
      <c r="H2573">
        <v>202205</v>
      </c>
      <c r="I2573" s="400">
        <v>44694</v>
      </c>
      <c r="J2573">
        <v>124932</v>
      </c>
      <c r="K2573" t="s">
        <v>386</v>
      </c>
      <c r="L2573">
        <v>129170</v>
      </c>
      <c r="M2573" t="s">
        <v>4008</v>
      </c>
      <c r="O2573" t="s">
        <v>1380</v>
      </c>
      <c r="P2573" t="s">
        <v>1381</v>
      </c>
      <c r="Q2573" t="s">
        <v>396</v>
      </c>
      <c r="R2573" s="458">
        <v>2630507</v>
      </c>
      <c r="S2573" t="s">
        <v>387</v>
      </c>
      <c r="U2573" t="s">
        <v>4124</v>
      </c>
      <c r="V2573" t="s">
        <v>398</v>
      </c>
      <c r="W2573" s="393">
        <v>35200</v>
      </c>
      <c r="X2573" s="393">
        <v>8.6300000000000008</v>
      </c>
      <c r="Y2573" s="393">
        <v>78.510000000000005</v>
      </c>
      <c r="Z2573" s="393">
        <v>35200</v>
      </c>
      <c r="AA2573">
        <v>0</v>
      </c>
      <c r="AB2573" s="400">
        <v>44714.672260763888</v>
      </c>
      <c r="AC2573" t="str">
        <f>+VLOOKUP(R2573,DRAFT!A:Q,17,0)</f>
        <v>1.3.2</v>
      </c>
    </row>
    <row r="2574" spans="1:29">
      <c r="A2574" t="s">
        <v>382</v>
      </c>
      <c r="B2574" t="s">
        <v>440</v>
      </c>
      <c r="C2574" t="s">
        <v>1362</v>
      </c>
      <c r="D2574" t="s">
        <v>1587</v>
      </c>
      <c r="E2574" t="s">
        <v>390</v>
      </c>
      <c r="F2574" t="s">
        <v>391</v>
      </c>
      <c r="G2574">
        <v>6201739</v>
      </c>
      <c r="H2574">
        <v>202205</v>
      </c>
      <c r="I2574" s="400">
        <v>44694</v>
      </c>
      <c r="J2574">
        <v>124932</v>
      </c>
      <c r="K2574" t="s">
        <v>386</v>
      </c>
      <c r="L2574">
        <v>129170</v>
      </c>
      <c r="M2574" t="s">
        <v>4008</v>
      </c>
      <c r="O2574" t="s">
        <v>512</v>
      </c>
      <c r="P2574" t="s">
        <v>513</v>
      </c>
      <c r="Q2574" t="s">
        <v>396</v>
      </c>
      <c r="R2574" s="458">
        <v>2630507</v>
      </c>
      <c r="S2574" t="s">
        <v>387</v>
      </c>
      <c r="U2574" t="s">
        <v>4124</v>
      </c>
      <c r="V2574" t="s">
        <v>398</v>
      </c>
      <c r="W2574" s="393">
        <v>39242</v>
      </c>
      <c r="X2574" s="393">
        <v>9.6199999999999992</v>
      </c>
      <c r="Y2574" s="393">
        <v>87.53</v>
      </c>
      <c r="Z2574" s="393">
        <v>39242</v>
      </c>
      <c r="AA2574">
        <v>222</v>
      </c>
      <c r="AB2574" s="400">
        <v>44714.672260914354</v>
      </c>
      <c r="AC2574" t="str">
        <f>+VLOOKUP(R2574,DRAFT!A:Q,17,0)</f>
        <v>1.3.2</v>
      </c>
    </row>
    <row r="2575" spans="1:29">
      <c r="A2575" t="s">
        <v>382</v>
      </c>
      <c r="B2575" t="s">
        <v>440</v>
      </c>
      <c r="C2575" t="s">
        <v>1362</v>
      </c>
      <c r="D2575" t="s">
        <v>1590</v>
      </c>
      <c r="E2575" t="s">
        <v>390</v>
      </c>
      <c r="F2575" t="s">
        <v>391</v>
      </c>
      <c r="G2575">
        <v>6201705</v>
      </c>
      <c r="H2575">
        <v>202205</v>
      </c>
      <c r="I2575" s="400">
        <v>44708</v>
      </c>
      <c r="J2575">
        <v>122536</v>
      </c>
      <c r="K2575" t="s">
        <v>386</v>
      </c>
      <c r="L2575">
        <v>129170</v>
      </c>
      <c r="M2575" t="s">
        <v>4008</v>
      </c>
      <c r="O2575" t="s">
        <v>587</v>
      </c>
      <c r="P2575" t="s">
        <v>588</v>
      </c>
      <c r="Q2575" t="s">
        <v>396</v>
      </c>
      <c r="R2575" s="458">
        <v>2630507</v>
      </c>
      <c r="S2575" t="s">
        <v>387</v>
      </c>
      <c r="U2575" t="s">
        <v>4125</v>
      </c>
      <c r="V2575" t="s">
        <v>398</v>
      </c>
      <c r="W2575" s="393">
        <v>417000</v>
      </c>
      <c r="X2575" s="393">
        <v>105.33</v>
      </c>
      <c r="Y2575" s="393">
        <v>986.67</v>
      </c>
      <c r="Z2575" s="393">
        <v>417000</v>
      </c>
      <c r="AA2575">
        <v>0</v>
      </c>
      <c r="AB2575" s="400">
        <v>44713.984953738429</v>
      </c>
      <c r="AC2575" t="str">
        <f>+VLOOKUP(R2575,DRAFT!A:Q,17,0)</f>
        <v>1.3.2</v>
      </c>
    </row>
    <row r="2578" spans="24:24">
      <c r="X2578" s="393">
        <f>SUM(X2:X2577)</f>
        <v>811497.91000000038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159"/>
  <sheetViews>
    <sheetView topLeftCell="A103" zoomScale="60" zoomScaleNormal="60" workbookViewId="0">
      <selection activeCell="J135" sqref="J135"/>
    </sheetView>
  </sheetViews>
  <sheetFormatPr baseColWidth="10" defaultColWidth="11.42578125" defaultRowHeight="15"/>
  <cols>
    <col min="1" max="1" width="18.5703125" style="251" customWidth="1"/>
    <col min="2" max="2" width="27.140625" style="251" bestFit="1" customWidth="1"/>
    <col min="3" max="3" width="14.7109375" style="252" customWidth="1"/>
    <col min="4" max="4" width="9.85546875" style="253" customWidth="1"/>
    <col min="5" max="5" width="9.140625" style="253" customWidth="1"/>
    <col min="6" max="6" width="98.42578125" style="253" customWidth="1"/>
    <col min="7" max="7" width="20.7109375" style="253" customWidth="1"/>
    <col min="8" max="8" width="20" style="253" customWidth="1"/>
    <col min="9" max="9" width="19.140625" style="254" customWidth="1"/>
    <col min="10" max="10" width="18.85546875" style="253" customWidth="1"/>
    <col min="11" max="11" width="15.5703125" style="253" customWidth="1"/>
    <col min="12" max="12" width="21.28515625" style="253" customWidth="1"/>
    <col min="13" max="13" width="19.85546875" style="253" customWidth="1"/>
    <col min="14" max="14" width="13.7109375" style="253" customWidth="1"/>
    <col min="15" max="15" width="22" style="253" customWidth="1"/>
    <col min="16" max="16" width="12.85546875" style="253" customWidth="1"/>
    <col min="17" max="17" width="34.140625" style="253" customWidth="1"/>
    <col min="18" max="18" width="13.5703125" style="253" bestFit="1" customWidth="1"/>
    <col min="19" max="16384" width="11.42578125" style="253"/>
  </cols>
  <sheetData>
    <row r="1" spans="1:18" ht="63.6" customHeight="1" thickBot="1">
      <c r="C1" s="251"/>
      <c r="D1" s="251"/>
      <c r="G1" s="385" t="s">
        <v>3165</v>
      </c>
      <c r="H1" s="386" t="s">
        <v>3166</v>
      </c>
      <c r="I1" s="386" t="s">
        <v>3167</v>
      </c>
      <c r="J1" s="387" t="s">
        <v>3168</v>
      </c>
      <c r="K1" s="388"/>
      <c r="L1" s="386" t="s">
        <v>3169</v>
      </c>
      <c r="M1" s="387" t="s">
        <v>3170</v>
      </c>
      <c r="N1" s="388"/>
      <c r="O1" s="387" t="s">
        <v>3171</v>
      </c>
      <c r="P1" s="389"/>
    </row>
    <row r="2" spans="1:18" ht="30.75" thickBot="1">
      <c r="A2" s="256" t="s">
        <v>3172</v>
      </c>
      <c r="B2" s="257" t="s">
        <v>3173</v>
      </c>
      <c r="C2" s="258" t="s">
        <v>3174</v>
      </c>
      <c r="D2" s="259" t="s">
        <v>3175</v>
      </c>
      <c r="E2" s="259" t="s">
        <v>3176</v>
      </c>
      <c r="F2" s="260" t="s">
        <v>3177</v>
      </c>
      <c r="G2" s="261"/>
      <c r="H2" s="262"/>
      <c r="I2" s="263"/>
      <c r="J2" s="264" t="s">
        <v>3178</v>
      </c>
      <c r="K2" s="265" t="s">
        <v>3179</v>
      </c>
      <c r="L2" s="265"/>
      <c r="M2" s="264" t="s">
        <v>3178</v>
      </c>
      <c r="N2" s="265" t="s">
        <v>3179</v>
      </c>
      <c r="O2" s="264" t="s">
        <v>3178</v>
      </c>
      <c r="P2" s="266" t="s">
        <v>3179</v>
      </c>
      <c r="Q2" s="255" t="s">
        <v>3180</v>
      </c>
      <c r="R2" s="375">
        <v>3636.3636363636401</v>
      </c>
    </row>
    <row r="3" spans="1:18">
      <c r="A3" s="267"/>
      <c r="B3" s="268"/>
      <c r="C3" s="267"/>
      <c r="D3" s="269" t="s">
        <v>3181</v>
      </c>
      <c r="E3" s="269"/>
      <c r="F3" s="252" t="s">
        <v>3182</v>
      </c>
      <c r="G3" s="270"/>
      <c r="H3" s="271"/>
      <c r="I3" s="272"/>
      <c r="J3" s="273"/>
      <c r="K3" s="272"/>
      <c r="L3" s="274"/>
      <c r="M3" s="272"/>
      <c r="N3" s="272"/>
      <c r="O3" s="274"/>
      <c r="P3" s="275"/>
    </row>
    <row r="4" spans="1:18">
      <c r="A4" s="276"/>
      <c r="B4" s="277"/>
      <c r="C4" s="276"/>
      <c r="D4" s="278"/>
      <c r="E4" s="278"/>
      <c r="F4" s="253" t="s">
        <v>3183</v>
      </c>
      <c r="G4" s="279"/>
      <c r="H4" s="280"/>
      <c r="I4" s="272"/>
      <c r="J4" s="281">
        <f>+H4+I4</f>
        <v>0</v>
      </c>
      <c r="K4" s="282">
        <f>+IF(G4&lt;&gt;0,+J4/G4,0)</f>
        <v>0</v>
      </c>
      <c r="L4" s="281">
        <f t="shared" ref="L4:L12" si="0">+G4-J4</f>
        <v>0</v>
      </c>
      <c r="M4" s="283"/>
      <c r="N4" s="282">
        <f t="shared" ref="N4:N12" si="1">+IF(G4&lt;&gt;0,M4/G4,0)</f>
        <v>0</v>
      </c>
      <c r="O4" s="281">
        <f t="shared" ref="O4:O12" si="2">+G4-J4-M4</f>
        <v>0</v>
      </c>
      <c r="P4" s="284">
        <f t="shared" ref="P4:P13" si="3">+IF(+G4&lt;&gt;0,O4/G4,0)</f>
        <v>0</v>
      </c>
    </row>
    <row r="5" spans="1:18">
      <c r="A5" s="276"/>
      <c r="B5" s="277" t="s">
        <v>3184</v>
      </c>
      <c r="C5" s="276" t="s">
        <v>161</v>
      </c>
      <c r="D5" s="278"/>
      <c r="E5" s="278"/>
      <c r="F5" s="253" t="s">
        <v>3185</v>
      </c>
      <c r="G5" s="285">
        <v>5000000</v>
      </c>
      <c r="H5" s="286"/>
      <c r="I5" s="272"/>
      <c r="J5" s="281">
        <f t="shared" ref="J5:J12" si="4">+H5+I5</f>
        <v>0</v>
      </c>
      <c r="K5" s="282">
        <f t="shared" ref="K5:K12" si="5">+IF(G5&lt;&gt;0,+J5/G5,0)</f>
        <v>0</v>
      </c>
      <c r="L5" s="281">
        <f t="shared" si="0"/>
        <v>5000000</v>
      </c>
      <c r="M5" s="273">
        <f>G5</f>
        <v>5000000</v>
      </c>
      <c r="N5" s="282">
        <f>+IF(G5&lt;&gt;0,M5/G5,0)</f>
        <v>1</v>
      </c>
      <c r="O5" s="287">
        <f t="shared" si="2"/>
        <v>0</v>
      </c>
      <c r="P5" s="284">
        <f t="shared" si="3"/>
        <v>0</v>
      </c>
    </row>
    <row r="6" spans="1:18">
      <c r="A6" s="276"/>
      <c r="B6" s="277"/>
      <c r="C6" s="276" t="s">
        <v>161</v>
      </c>
      <c r="D6" s="278"/>
      <c r="E6" s="278"/>
      <c r="F6" s="253" t="s">
        <v>3186</v>
      </c>
      <c r="G6" s="285">
        <v>10500000</v>
      </c>
      <c r="H6" s="286"/>
      <c r="I6" s="272"/>
      <c r="J6" s="281">
        <f t="shared" si="4"/>
        <v>0</v>
      </c>
      <c r="K6" s="282">
        <f t="shared" si="5"/>
        <v>0</v>
      </c>
      <c r="L6" s="281">
        <f t="shared" si="0"/>
        <v>10500000</v>
      </c>
      <c r="M6" s="273">
        <f>G6</f>
        <v>10500000</v>
      </c>
      <c r="N6" s="282">
        <f t="shared" si="1"/>
        <v>1</v>
      </c>
      <c r="O6" s="287">
        <f t="shared" si="2"/>
        <v>0</v>
      </c>
      <c r="P6" s="284">
        <f t="shared" si="3"/>
        <v>0</v>
      </c>
    </row>
    <row r="7" spans="1:18">
      <c r="A7" s="276"/>
      <c r="B7" s="277"/>
      <c r="C7" s="276" t="s">
        <v>161</v>
      </c>
      <c r="D7" s="278"/>
      <c r="E7" s="278"/>
      <c r="F7" s="253" t="s">
        <v>3187</v>
      </c>
      <c r="G7" s="285">
        <v>16000000</v>
      </c>
      <c r="H7" s="286"/>
      <c r="I7" s="272"/>
      <c r="J7" s="281">
        <f t="shared" si="4"/>
        <v>0</v>
      </c>
      <c r="K7" s="282">
        <f t="shared" si="5"/>
        <v>0</v>
      </c>
      <c r="L7" s="281">
        <f t="shared" si="0"/>
        <v>16000000</v>
      </c>
      <c r="M7" s="273">
        <f>G7</f>
        <v>16000000</v>
      </c>
      <c r="N7" s="282">
        <f t="shared" si="1"/>
        <v>1</v>
      </c>
      <c r="O7" s="287">
        <f t="shared" si="2"/>
        <v>0</v>
      </c>
      <c r="P7" s="284">
        <f t="shared" si="3"/>
        <v>0</v>
      </c>
    </row>
    <row r="8" spans="1:18">
      <c r="A8" s="276"/>
      <c r="B8" s="277"/>
      <c r="C8" s="276" t="s">
        <v>161</v>
      </c>
      <c r="D8" s="278"/>
      <c r="E8" s="278"/>
      <c r="F8" s="253" t="s">
        <v>3188</v>
      </c>
      <c r="G8" s="285">
        <v>5000000</v>
      </c>
      <c r="H8" s="286"/>
      <c r="I8" s="272"/>
      <c r="J8" s="281">
        <f t="shared" si="4"/>
        <v>0</v>
      </c>
      <c r="K8" s="282">
        <f t="shared" si="5"/>
        <v>0</v>
      </c>
      <c r="L8" s="281">
        <f t="shared" si="0"/>
        <v>5000000</v>
      </c>
      <c r="M8" s="283"/>
      <c r="N8" s="282">
        <f t="shared" si="1"/>
        <v>0</v>
      </c>
      <c r="O8" s="287">
        <f t="shared" si="2"/>
        <v>5000000</v>
      </c>
      <c r="P8" s="284">
        <f t="shared" si="3"/>
        <v>1</v>
      </c>
    </row>
    <row r="9" spans="1:18">
      <c r="A9" s="276"/>
      <c r="B9" s="277"/>
      <c r="C9" s="276"/>
      <c r="D9" s="278"/>
      <c r="E9" s="278"/>
      <c r="F9" s="253" t="s">
        <v>3189</v>
      </c>
      <c r="G9" s="285"/>
      <c r="H9" s="286"/>
      <c r="I9" s="272"/>
      <c r="J9" s="281">
        <f t="shared" si="4"/>
        <v>0</v>
      </c>
      <c r="K9" s="282">
        <f t="shared" si="5"/>
        <v>0</v>
      </c>
      <c r="L9" s="281">
        <f t="shared" si="0"/>
        <v>0</v>
      </c>
      <c r="M9" s="283"/>
      <c r="N9" s="282">
        <f t="shared" si="1"/>
        <v>0</v>
      </c>
      <c r="O9" s="287">
        <f t="shared" si="2"/>
        <v>0</v>
      </c>
      <c r="P9" s="284">
        <f t="shared" si="3"/>
        <v>0</v>
      </c>
    </row>
    <row r="10" spans="1:18" ht="27.75" customHeight="1">
      <c r="A10" s="276"/>
      <c r="B10" s="277"/>
      <c r="C10" s="276"/>
      <c r="D10" s="278"/>
      <c r="E10" s="278"/>
      <c r="F10" s="288" t="s">
        <v>3190</v>
      </c>
      <c r="G10" s="285">
        <v>0</v>
      </c>
      <c r="H10" s="286"/>
      <c r="I10" s="272"/>
      <c r="J10" s="281">
        <f t="shared" si="4"/>
        <v>0</v>
      </c>
      <c r="K10" s="282">
        <f t="shared" si="5"/>
        <v>0</v>
      </c>
      <c r="L10" s="281">
        <f t="shared" si="0"/>
        <v>0</v>
      </c>
      <c r="M10" s="283"/>
      <c r="N10" s="282">
        <f t="shared" si="1"/>
        <v>0</v>
      </c>
      <c r="O10" s="287">
        <f t="shared" si="2"/>
        <v>0</v>
      </c>
      <c r="P10" s="284">
        <f t="shared" si="3"/>
        <v>0</v>
      </c>
    </row>
    <row r="11" spans="1:18">
      <c r="A11" s="276"/>
      <c r="B11" s="277"/>
      <c r="C11" s="276"/>
      <c r="D11" s="278"/>
      <c r="E11" s="278"/>
      <c r="G11" s="285"/>
      <c r="H11" s="286"/>
      <c r="I11" s="272"/>
      <c r="J11" s="281">
        <f t="shared" si="4"/>
        <v>0</v>
      </c>
      <c r="K11" s="282">
        <f t="shared" si="5"/>
        <v>0</v>
      </c>
      <c r="L11" s="281">
        <f t="shared" si="0"/>
        <v>0</v>
      </c>
      <c r="M11" s="283"/>
      <c r="N11" s="282">
        <f t="shared" si="1"/>
        <v>0</v>
      </c>
      <c r="O11" s="287">
        <f t="shared" si="2"/>
        <v>0</v>
      </c>
      <c r="P11" s="284">
        <f t="shared" si="3"/>
        <v>0</v>
      </c>
    </row>
    <row r="12" spans="1:18" ht="18" customHeight="1">
      <c r="A12" s="276"/>
      <c r="B12" s="277"/>
      <c r="C12" s="276"/>
      <c r="D12" s="278"/>
      <c r="E12" s="278"/>
      <c r="G12" s="285"/>
      <c r="H12" s="286"/>
      <c r="I12" s="272"/>
      <c r="J12" s="281">
        <f t="shared" si="4"/>
        <v>0</v>
      </c>
      <c r="K12" s="282">
        <f t="shared" si="5"/>
        <v>0</v>
      </c>
      <c r="L12" s="281">
        <f t="shared" si="0"/>
        <v>0</v>
      </c>
      <c r="M12" s="283"/>
      <c r="N12" s="282">
        <f t="shared" si="1"/>
        <v>0</v>
      </c>
      <c r="O12" s="287">
        <f t="shared" si="2"/>
        <v>0</v>
      </c>
      <c r="P12" s="284">
        <f t="shared" si="3"/>
        <v>0</v>
      </c>
    </row>
    <row r="13" spans="1:18" ht="15.75" thickBot="1">
      <c r="A13" s="289"/>
      <c r="B13" s="290"/>
      <c r="C13" s="291">
        <v>4041</v>
      </c>
      <c r="D13" s="292">
        <v>1</v>
      </c>
      <c r="E13" s="292"/>
      <c r="F13" s="293" t="s">
        <v>3191</v>
      </c>
      <c r="G13" s="294">
        <f t="shared" ref="G13:O13" si="6">SUM(G4:G12)</f>
        <v>36500000</v>
      </c>
      <c r="H13" s="295">
        <f t="shared" si="6"/>
        <v>0</v>
      </c>
      <c r="I13" s="296">
        <f t="shared" si="6"/>
        <v>0</v>
      </c>
      <c r="J13" s="296">
        <f t="shared" si="6"/>
        <v>0</v>
      </c>
      <c r="K13" s="297">
        <f t="shared" si="6"/>
        <v>0</v>
      </c>
      <c r="L13" s="296">
        <f t="shared" si="6"/>
        <v>36500000</v>
      </c>
      <c r="M13" s="296">
        <f t="shared" si="6"/>
        <v>31500000</v>
      </c>
      <c r="N13" s="297">
        <f>+AVERAGE(N5,N6,N7)</f>
        <v>1</v>
      </c>
      <c r="O13" s="296">
        <f t="shared" si="6"/>
        <v>5000000</v>
      </c>
      <c r="P13" s="298">
        <f t="shared" si="3"/>
        <v>0.13698630136986301</v>
      </c>
    </row>
    <row r="14" spans="1:18">
      <c r="A14" s="276"/>
      <c r="B14" s="277"/>
      <c r="C14" s="276"/>
      <c r="D14" s="278"/>
      <c r="E14" s="278"/>
      <c r="F14" s="299"/>
      <c r="G14" s="300"/>
      <c r="H14" s="271"/>
      <c r="I14" s="272"/>
      <c r="J14" s="273"/>
      <c r="K14" s="301"/>
      <c r="L14" s="272"/>
      <c r="M14" s="272"/>
      <c r="N14" s="301"/>
      <c r="O14" s="272"/>
      <c r="P14" s="302"/>
    </row>
    <row r="15" spans="1:18">
      <c r="A15" s="276"/>
      <c r="B15" s="277"/>
      <c r="C15" s="276"/>
      <c r="D15" s="303" t="s">
        <v>3192</v>
      </c>
      <c r="E15" s="303"/>
      <c r="F15" s="304" t="s">
        <v>3193</v>
      </c>
      <c r="G15" s="287"/>
      <c r="H15" s="271"/>
      <c r="I15" s="272"/>
      <c r="J15" s="273"/>
      <c r="K15" s="301"/>
      <c r="L15" s="272"/>
      <c r="M15" s="281"/>
      <c r="N15" s="301"/>
      <c r="O15" s="272"/>
      <c r="P15" s="302"/>
    </row>
    <row r="16" spans="1:18">
      <c r="A16" s="276"/>
      <c r="B16" s="277"/>
      <c r="C16" s="276" t="s">
        <v>161</v>
      </c>
      <c r="D16" s="278"/>
      <c r="E16" s="278"/>
      <c r="F16" s="278" t="s">
        <v>3194</v>
      </c>
      <c r="G16" s="287">
        <v>88000000</v>
      </c>
      <c r="H16" s="286">
        <v>44000000</v>
      </c>
      <c r="I16" s="281">
        <v>5500000</v>
      </c>
      <c r="J16" s="281">
        <f>+H16+I16</f>
        <v>49500000</v>
      </c>
      <c r="K16" s="282">
        <f t="shared" ref="K16:K25" si="7">+IF(G16&lt;&gt;0,+J16/G16,0)</f>
        <v>0.5625</v>
      </c>
      <c r="L16" s="281">
        <f>+G16-J16</f>
        <v>38500000</v>
      </c>
      <c r="M16" s="281">
        <f>(G16/16)*3</f>
        <v>16500000</v>
      </c>
      <c r="N16" s="282">
        <f t="shared" ref="N16:N25" si="8">+IF(G16&lt;&gt;0,M16/G16,0)</f>
        <v>0.1875</v>
      </c>
      <c r="O16" s="287">
        <f t="shared" ref="O16:O25" si="9">+G16-J16-M16</f>
        <v>22000000</v>
      </c>
      <c r="P16" s="284">
        <f t="shared" ref="P16:P26" si="10">+IF(+G16&lt;&gt;0,O16/G16,0)</f>
        <v>0.25</v>
      </c>
    </row>
    <row r="17" spans="1:16">
      <c r="A17" s="276"/>
      <c r="B17" s="277"/>
      <c r="C17" s="276" t="s">
        <v>80</v>
      </c>
      <c r="D17" s="278"/>
      <c r="E17" s="278"/>
      <c r="F17" s="278" t="s">
        <v>3195</v>
      </c>
      <c r="G17" s="287">
        <v>18000000</v>
      </c>
      <c r="H17" s="286">
        <v>21000000</v>
      </c>
      <c r="I17" s="281">
        <v>3000000</v>
      </c>
      <c r="J17" s="281">
        <f t="shared" ref="J17:J25" si="11">+H17+I17</f>
        <v>24000000</v>
      </c>
      <c r="K17" s="282">
        <f t="shared" si="7"/>
        <v>1.3333333333333333</v>
      </c>
      <c r="L17" s="281">
        <f t="shared" ref="L17:L25" si="12">+G17-J17</f>
        <v>-6000000</v>
      </c>
      <c r="M17" s="281">
        <f>1500000*3</f>
        <v>4500000</v>
      </c>
      <c r="N17" s="282">
        <f t="shared" si="8"/>
        <v>0.25</v>
      </c>
      <c r="O17" s="287">
        <f t="shared" si="9"/>
        <v>-10500000</v>
      </c>
      <c r="P17" s="284">
        <f t="shared" si="10"/>
        <v>-0.58333333333333337</v>
      </c>
    </row>
    <row r="18" spans="1:16">
      <c r="A18" s="276"/>
      <c r="B18" s="277"/>
      <c r="C18" s="305" t="s">
        <v>161</v>
      </c>
      <c r="D18" s="278"/>
      <c r="E18" s="278"/>
      <c r="F18" s="278" t="s">
        <v>3196</v>
      </c>
      <c r="G18" s="287">
        <v>48000000</v>
      </c>
      <c r="H18" s="286">
        <v>24000000</v>
      </c>
      <c r="I18" s="281">
        <v>3000000</v>
      </c>
      <c r="J18" s="281">
        <f t="shared" si="11"/>
        <v>27000000</v>
      </c>
      <c r="K18" s="282">
        <f t="shared" si="7"/>
        <v>0.5625</v>
      </c>
      <c r="L18" s="281">
        <f t="shared" si="12"/>
        <v>21000000</v>
      </c>
      <c r="M18" s="281">
        <f>3000000*3</f>
        <v>9000000</v>
      </c>
      <c r="N18" s="282">
        <f t="shared" si="8"/>
        <v>0.1875</v>
      </c>
      <c r="O18" s="287">
        <f t="shared" si="9"/>
        <v>12000000</v>
      </c>
      <c r="P18" s="284">
        <f t="shared" si="10"/>
        <v>0.25</v>
      </c>
    </row>
    <row r="19" spans="1:16">
      <c r="A19" s="276"/>
      <c r="B19" s="277"/>
      <c r="C19" s="305" t="s">
        <v>161</v>
      </c>
      <c r="D19" s="278"/>
      <c r="E19" s="278"/>
      <c r="F19" s="278" t="s">
        <v>3197</v>
      </c>
      <c r="G19" s="287">
        <v>24000000</v>
      </c>
      <c r="H19" s="286">
        <v>12000000</v>
      </c>
      <c r="I19" s="281">
        <v>1500000</v>
      </c>
      <c r="J19" s="281">
        <f t="shared" si="11"/>
        <v>13500000</v>
      </c>
      <c r="K19" s="282">
        <f t="shared" si="7"/>
        <v>0.5625</v>
      </c>
      <c r="L19" s="281">
        <f t="shared" si="12"/>
        <v>10500000</v>
      </c>
      <c r="M19" s="281">
        <f>1500000*3</f>
        <v>4500000</v>
      </c>
      <c r="N19" s="282">
        <f t="shared" si="8"/>
        <v>0.1875</v>
      </c>
      <c r="O19" s="287">
        <f t="shared" si="9"/>
        <v>6000000</v>
      </c>
      <c r="P19" s="284">
        <f t="shared" si="10"/>
        <v>0.25</v>
      </c>
    </row>
    <row r="20" spans="1:16">
      <c r="A20" s="276"/>
      <c r="B20" s="277"/>
      <c r="C20" s="276" t="s">
        <v>161</v>
      </c>
      <c r="D20" s="278"/>
      <c r="E20" s="278"/>
      <c r="F20" s="278" t="s">
        <v>3198</v>
      </c>
      <c r="G20" s="287">
        <v>32000000</v>
      </c>
      <c r="H20" s="286">
        <v>16000000</v>
      </c>
      <c r="I20" s="281">
        <v>2000000</v>
      </c>
      <c r="J20" s="281">
        <f t="shared" si="11"/>
        <v>18000000</v>
      </c>
      <c r="K20" s="282">
        <f t="shared" si="7"/>
        <v>0.5625</v>
      </c>
      <c r="L20" s="281">
        <f t="shared" si="12"/>
        <v>14000000</v>
      </c>
      <c r="M20" s="281">
        <f>(G20/16)*3</f>
        <v>6000000</v>
      </c>
      <c r="N20" s="282">
        <f t="shared" si="8"/>
        <v>0.1875</v>
      </c>
      <c r="O20" s="287">
        <f t="shared" si="9"/>
        <v>8000000</v>
      </c>
      <c r="P20" s="284">
        <f t="shared" si="10"/>
        <v>0.25</v>
      </c>
    </row>
    <row r="21" spans="1:16">
      <c r="A21" s="276"/>
      <c r="B21" s="277"/>
      <c r="C21" s="276" t="s">
        <v>161</v>
      </c>
      <c r="D21" s="278"/>
      <c r="E21" s="278"/>
      <c r="F21" s="278" t="s">
        <v>3199</v>
      </c>
      <c r="G21" s="287">
        <v>40000000</v>
      </c>
      <c r="H21" s="286">
        <v>20000000</v>
      </c>
      <c r="I21" s="281">
        <v>2500000</v>
      </c>
      <c r="J21" s="281">
        <f t="shared" si="11"/>
        <v>22500000</v>
      </c>
      <c r="K21" s="282">
        <f t="shared" si="7"/>
        <v>0.5625</v>
      </c>
      <c r="L21" s="281">
        <f t="shared" si="12"/>
        <v>17500000</v>
      </c>
      <c r="M21" s="281">
        <f>2700000*3</f>
        <v>8100000</v>
      </c>
      <c r="N21" s="282">
        <f t="shared" si="8"/>
        <v>0.20250000000000001</v>
      </c>
      <c r="O21" s="287">
        <f t="shared" si="9"/>
        <v>9400000</v>
      </c>
      <c r="P21" s="284">
        <f t="shared" si="10"/>
        <v>0.23499999999999999</v>
      </c>
    </row>
    <row r="22" spans="1:16" ht="15" customHeight="1">
      <c r="A22" s="276"/>
      <c r="B22" s="277"/>
      <c r="C22" s="276" t="s">
        <v>96</v>
      </c>
      <c r="D22" s="278"/>
      <c r="E22" s="278"/>
      <c r="F22" s="278" t="s">
        <v>3200</v>
      </c>
      <c r="G22" s="287">
        <v>48000000</v>
      </c>
      <c r="H22" s="286">
        <v>24000000</v>
      </c>
      <c r="I22" s="281">
        <v>3000000</v>
      </c>
      <c r="J22" s="281">
        <f t="shared" si="11"/>
        <v>27000000</v>
      </c>
      <c r="K22" s="282">
        <f t="shared" si="7"/>
        <v>0.5625</v>
      </c>
      <c r="L22" s="281">
        <f t="shared" si="12"/>
        <v>21000000</v>
      </c>
      <c r="M22" s="281">
        <f>(G22/16)*3</f>
        <v>9000000</v>
      </c>
      <c r="N22" s="282">
        <f t="shared" si="8"/>
        <v>0.1875</v>
      </c>
      <c r="O22" s="287">
        <f t="shared" si="9"/>
        <v>12000000</v>
      </c>
      <c r="P22" s="284">
        <f t="shared" si="10"/>
        <v>0.25</v>
      </c>
    </row>
    <row r="23" spans="1:16" ht="15" customHeight="1">
      <c r="A23" s="276"/>
      <c r="B23" s="277"/>
      <c r="C23" s="276" t="s">
        <v>161</v>
      </c>
      <c r="D23" s="278"/>
      <c r="E23" s="278"/>
      <c r="F23" s="278" t="s">
        <v>3201</v>
      </c>
      <c r="G23" s="287">
        <v>16800000</v>
      </c>
      <c r="H23" s="286">
        <v>8400000</v>
      </c>
      <c r="I23" s="272">
        <v>2800000</v>
      </c>
      <c r="J23" s="281">
        <f t="shared" si="11"/>
        <v>11200000</v>
      </c>
      <c r="K23" s="282">
        <f t="shared" si="7"/>
        <v>0.66666666666666663</v>
      </c>
      <c r="L23" s="281">
        <f t="shared" si="12"/>
        <v>5600000</v>
      </c>
      <c r="M23" s="281">
        <v>0</v>
      </c>
      <c r="N23" s="282">
        <f t="shared" si="8"/>
        <v>0</v>
      </c>
      <c r="O23" s="287">
        <f t="shared" si="9"/>
        <v>5600000</v>
      </c>
      <c r="P23" s="284">
        <f t="shared" si="10"/>
        <v>0.33333333333333331</v>
      </c>
    </row>
    <row r="24" spans="1:16">
      <c r="A24" s="276"/>
      <c r="B24" s="277"/>
      <c r="C24" s="276" t="s">
        <v>161</v>
      </c>
      <c r="D24" s="278"/>
      <c r="E24" s="278"/>
      <c r="F24" s="278" t="s">
        <v>3202</v>
      </c>
      <c r="G24" s="287">
        <v>16800000</v>
      </c>
      <c r="H24" s="286">
        <v>11200000</v>
      </c>
      <c r="I24" s="272">
        <v>2800000</v>
      </c>
      <c r="J24" s="281">
        <f t="shared" si="11"/>
        <v>14000000</v>
      </c>
      <c r="K24" s="282">
        <f t="shared" si="7"/>
        <v>0.83333333333333337</v>
      </c>
      <c r="L24" s="281">
        <f t="shared" si="12"/>
        <v>2800000</v>
      </c>
      <c r="M24" s="281">
        <v>0</v>
      </c>
      <c r="N24" s="282">
        <f t="shared" si="8"/>
        <v>0</v>
      </c>
      <c r="O24" s="287">
        <f t="shared" si="9"/>
        <v>2800000</v>
      </c>
      <c r="P24" s="284">
        <f t="shared" si="10"/>
        <v>0.16666666666666666</v>
      </c>
    </row>
    <row r="25" spans="1:16" ht="15" customHeight="1" thickBot="1">
      <c r="A25" s="276"/>
      <c r="B25" s="277"/>
      <c r="C25" s="276" t="s">
        <v>161</v>
      </c>
      <c r="D25" s="306"/>
      <c r="E25" s="306"/>
      <c r="F25" s="307" t="s">
        <v>3203</v>
      </c>
      <c r="G25" s="287">
        <v>16800000</v>
      </c>
      <c r="H25" s="286">
        <v>8400000</v>
      </c>
      <c r="I25" s="272">
        <v>2800000</v>
      </c>
      <c r="J25" s="281">
        <f t="shared" si="11"/>
        <v>11200000</v>
      </c>
      <c r="K25" s="282">
        <f t="shared" si="7"/>
        <v>0.66666666666666663</v>
      </c>
      <c r="L25" s="281">
        <f t="shared" si="12"/>
        <v>5600000</v>
      </c>
      <c r="M25" s="281"/>
      <c r="N25" s="282">
        <f t="shared" si="8"/>
        <v>0</v>
      </c>
      <c r="O25" s="287">
        <f t="shared" si="9"/>
        <v>5600000</v>
      </c>
      <c r="P25" s="284">
        <f t="shared" si="10"/>
        <v>0.33333333333333331</v>
      </c>
    </row>
    <row r="26" spans="1:16" ht="15.75" thickBot="1">
      <c r="A26" s="276"/>
      <c r="B26" s="277"/>
      <c r="C26" s="291">
        <v>4042</v>
      </c>
      <c r="D26" s="308">
        <v>2</v>
      </c>
      <c r="E26" s="308"/>
      <c r="F26" s="293" t="s">
        <v>3204</v>
      </c>
      <c r="G26" s="294">
        <f>SUM(G16:G25)</f>
        <v>348400000</v>
      </c>
      <c r="H26" s="295">
        <f t="shared" ref="H26:O26" si="13">SUM(H16:H25)</f>
        <v>189000000</v>
      </c>
      <c r="I26" s="296">
        <f t="shared" si="13"/>
        <v>28900000</v>
      </c>
      <c r="J26" s="296">
        <f t="shared" si="13"/>
        <v>217900000</v>
      </c>
      <c r="K26" s="297">
        <f t="shared" si="13"/>
        <v>6.875</v>
      </c>
      <c r="L26" s="296">
        <f t="shared" si="13"/>
        <v>130500000</v>
      </c>
      <c r="M26" s="296">
        <f>SUM(M16:M25)</f>
        <v>57600000</v>
      </c>
      <c r="N26" s="297">
        <f>+AVERAGE(N16,N17,N18,N19,N20,N21,N22,N23,N24)</f>
        <v>0.15444444444444447</v>
      </c>
      <c r="O26" s="296">
        <f t="shared" si="13"/>
        <v>72900000</v>
      </c>
      <c r="P26" s="298">
        <f t="shared" si="10"/>
        <v>0.20924225028702639</v>
      </c>
    </row>
    <row r="27" spans="1:16">
      <c r="A27" s="267"/>
      <c r="B27" s="268"/>
      <c r="C27" s="267"/>
      <c r="D27" s="309"/>
      <c r="E27" s="309"/>
      <c r="G27" s="310"/>
      <c r="H27" s="271"/>
      <c r="I27" s="272"/>
      <c r="J27" s="273"/>
      <c r="K27" s="301"/>
      <c r="L27" s="272"/>
      <c r="M27" s="272"/>
      <c r="N27" s="301"/>
      <c r="O27" s="272"/>
      <c r="P27" s="302"/>
    </row>
    <row r="28" spans="1:16">
      <c r="A28" s="276"/>
      <c r="B28" s="277"/>
      <c r="C28" s="276"/>
      <c r="D28" s="303" t="s">
        <v>3205</v>
      </c>
      <c r="E28" s="303"/>
      <c r="F28" s="252" t="s">
        <v>3206</v>
      </c>
      <c r="G28" s="311"/>
      <c r="H28" s="271"/>
      <c r="I28" s="272"/>
      <c r="J28" s="273"/>
      <c r="K28" s="301"/>
      <c r="L28" s="272"/>
      <c r="M28" s="272"/>
      <c r="N28" s="301"/>
      <c r="O28" s="272"/>
      <c r="P28" s="302"/>
    </row>
    <row r="29" spans="1:16">
      <c r="A29" s="276"/>
      <c r="B29" s="277"/>
      <c r="C29" s="276" t="s">
        <v>173</v>
      </c>
      <c r="D29" s="278"/>
      <c r="E29" s="278"/>
      <c r="F29" s="253" t="s">
        <v>3207</v>
      </c>
      <c r="G29" s="285">
        <v>6080000</v>
      </c>
      <c r="H29" s="286">
        <v>7031728</v>
      </c>
      <c r="I29" s="272">
        <v>718200.90999999992</v>
      </c>
      <c r="J29" s="281">
        <f t="shared" ref="J29:J39" si="14">+H29+I29</f>
        <v>7749928.9100000001</v>
      </c>
      <c r="K29" s="282">
        <f t="shared" ref="K29:K39" si="15">+IF(G29&lt;&gt;0,+J29/G29,0)</f>
        <v>1.2746593601973684</v>
      </c>
      <c r="L29" s="281">
        <f t="shared" ref="L29:L39" si="16">+G29-J29</f>
        <v>-1669928.9100000001</v>
      </c>
      <c r="M29" s="281">
        <f>850000*3</f>
        <v>2550000</v>
      </c>
      <c r="N29" s="282">
        <f>+IF(G29&lt;&gt;0,M29/G29,0)</f>
        <v>0.41940789473684209</v>
      </c>
      <c r="O29" s="287">
        <f t="shared" ref="O29:O39" si="17">+G29-J29-M29</f>
        <v>-4219928.91</v>
      </c>
      <c r="P29" s="284">
        <f t="shared" ref="P29:P40" si="18">+IF(+G29&lt;&gt;0,O29/G29,0)</f>
        <v>-0.69406725493421051</v>
      </c>
    </row>
    <row r="30" spans="1:16">
      <c r="A30" s="276"/>
      <c r="B30" s="277"/>
      <c r="C30" s="276" t="s">
        <v>173</v>
      </c>
      <c r="D30" s="278"/>
      <c r="E30" s="278"/>
      <c r="F30" s="253" t="s">
        <v>3208</v>
      </c>
      <c r="G30" s="285">
        <v>4000000</v>
      </c>
      <c r="H30" s="286">
        <v>223700</v>
      </c>
      <c r="I30" s="272">
        <v>0</v>
      </c>
      <c r="J30" s="281">
        <f t="shared" si="14"/>
        <v>223700</v>
      </c>
      <c r="K30" s="282">
        <f t="shared" si="15"/>
        <v>5.5925000000000002E-2</v>
      </c>
      <c r="L30" s="281">
        <f t="shared" si="16"/>
        <v>3776300</v>
      </c>
      <c r="M30" s="281">
        <f>250000*3</f>
        <v>750000</v>
      </c>
      <c r="N30" s="282">
        <f t="shared" ref="N30:N39" si="19">+IF(G30&lt;&gt;0,M30/G30,0)</f>
        <v>0.1875</v>
      </c>
      <c r="O30" s="287">
        <f t="shared" si="17"/>
        <v>3026300</v>
      </c>
      <c r="P30" s="284">
        <f t="shared" si="18"/>
        <v>0.756575</v>
      </c>
    </row>
    <row r="31" spans="1:16">
      <c r="A31" s="276"/>
      <c r="B31" s="277"/>
      <c r="C31" s="276" t="s">
        <v>173</v>
      </c>
      <c r="D31" s="278"/>
      <c r="E31" s="278"/>
      <c r="F31" s="253" t="s">
        <v>3209</v>
      </c>
      <c r="G31" s="285">
        <v>1600000</v>
      </c>
      <c r="H31" s="286">
        <v>128900</v>
      </c>
      <c r="I31" s="272">
        <v>0</v>
      </c>
      <c r="J31" s="281">
        <f t="shared" si="14"/>
        <v>128900</v>
      </c>
      <c r="K31" s="282">
        <f t="shared" si="15"/>
        <v>8.0562499999999995E-2</v>
      </c>
      <c r="L31" s="281">
        <f t="shared" si="16"/>
        <v>1471100</v>
      </c>
      <c r="M31" s="281">
        <f>100000*3</f>
        <v>300000</v>
      </c>
      <c r="N31" s="282">
        <f t="shared" si="19"/>
        <v>0.1875</v>
      </c>
      <c r="O31" s="287">
        <f t="shared" si="17"/>
        <v>1171100</v>
      </c>
      <c r="P31" s="284">
        <f t="shared" si="18"/>
        <v>0.73193750000000002</v>
      </c>
    </row>
    <row r="32" spans="1:16">
      <c r="A32" s="276"/>
      <c r="B32" s="277"/>
      <c r="C32" s="276" t="s">
        <v>173</v>
      </c>
      <c r="D32" s="278"/>
      <c r="E32" s="278"/>
      <c r="F32" s="253" t="s">
        <v>3210</v>
      </c>
      <c r="G32" s="285">
        <v>4000000</v>
      </c>
      <c r="H32" s="286"/>
      <c r="I32" s="272">
        <v>268000</v>
      </c>
      <c r="J32" s="281">
        <f t="shared" si="14"/>
        <v>268000</v>
      </c>
      <c r="K32" s="282">
        <f t="shared" si="15"/>
        <v>6.7000000000000004E-2</v>
      </c>
      <c r="L32" s="281">
        <f t="shared" si="16"/>
        <v>3732000</v>
      </c>
      <c r="M32" s="281">
        <f>250000*3</f>
        <v>750000</v>
      </c>
      <c r="N32" s="282">
        <f t="shared" si="19"/>
        <v>0.1875</v>
      </c>
      <c r="O32" s="287">
        <f t="shared" si="17"/>
        <v>2982000</v>
      </c>
      <c r="P32" s="284">
        <f t="shared" si="18"/>
        <v>0.74550000000000005</v>
      </c>
    </row>
    <row r="33" spans="1:16">
      <c r="A33" s="276"/>
      <c r="B33" s="277"/>
      <c r="C33" s="276" t="s">
        <v>173</v>
      </c>
      <c r="D33" s="278"/>
      <c r="E33" s="278"/>
      <c r="F33" s="253" t="s">
        <v>3211</v>
      </c>
      <c r="G33" s="285">
        <v>10400000</v>
      </c>
      <c r="H33" s="286">
        <v>1397900</v>
      </c>
      <c r="I33" s="272">
        <v>45000</v>
      </c>
      <c r="J33" s="281">
        <f t="shared" si="14"/>
        <v>1442900</v>
      </c>
      <c r="K33" s="282">
        <f t="shared" si="15"/>
        <v>0.13874038461538463</v>
      </c>
      <c r="L33" s="281">
        <f t="shared" si="16"/>
        <v>8957100</v>
      </c>
      <c r="M33" s="281">
        <f>631250*3</f>
        <v>1893750</v>
      </c>
      <c r="N33" s="282">
        <f t="shared" si="19"/>
        <v>0.18209134615384615</v>
      </c>
      <c r="O33" s="287">
        <f t="shared" si="17"/>
        <v>7063350</v>
      </c>
      <c r="P33" s="284">
        <f t="shared" si="18"/>
        <v>0.67916826923076923</v>
      </c>
    </row>
    <row r="34" spans="1:16">
      <c r="A34" s="276"/>
      <c r="B34" s="277"/>
      <c r="C34" s="276" t="s">
        <v>173</v>
      </c>
      <c r="D34" s="278"/>
      <c r="E34" s="278"/>
      <c r="F34" s="253" t="s">
        <v>3212</v>
      </c>
      <c r="G34" s="285">
        <v>1400000</v>
      </c>
      <c r="H34" s="286"/>
      <c r="I34" s="272"/>
      <c r="J34" s="281">
        <f t="shared" si="14"/>
        <v>0</v>
      </c>
      <c r="K34" s="282">
        <f t="shared" si="15"/>
        <v>0</v>
      </c>
      <c r="L34" s="281">
        <f t="shared" si="16"/>
        <v>1400000</v>
      </c>
      <c r="M34" s="281"/>
      <c r="N34" s="282">
        <f t="shared" si="19"/>
        <v>0</v>
      </c>
      <c r="O34" s="287">
        <f t="shared" si="17"/>
        <v>1400000</v>
      </c>
      <c r="P34" s="284">
        <f t="shared" si="18"/>
        <v>1</v>
      </c>
    </row>
    <row r="35" spans="1:16">
      <c r="A35" s="276"/>
      <c r="B35" s="277"/>
      <c r="C35" s="276" t="s">
        <v>173</v>
      </c>
      <c r="D35" s="278"/>
      <c r="E35" s="278"/>
      <c r="F35" s="253" t="s">
        <v>3213</v>
      </c>
      <c r="G35" s="285">
        <v>0</v>
      </c>
      <c r="H35" s="286"/>
      <c r="I35" s="272"/>
      <c r="J35" s="281">
        <f t="shared" si="14"/>
        <v>0</v>
      </c>
      <c r="K35" s="282">
        <f t="shared" si="15"/>
        <v>0</v>
      </c>
      <c r="L35" s="281">
        <f t="shared" si="16"/>
        <v>0</v>
      </c>
      <c r="M35" s="281"/>
      <c r="N35" s="282">
        <f t="shared" si="19"/>
        <v>0</v>
      </c>
      <c r="O35" s="287">
        <f t="shared" si="17"/>
        <v>0</v>
      </c>
      <c r="P35" s="284">
        <f t="shared" si="18"/>
        <v>0</v>
      </c>
    </row>
    <row r="36" spans="1:16">
      <c r="A36" s="276"/>
      <c r="B36" s="277"/>
      <c r="C36" s="276" t="s">
        <v>173</v>
      </c>
      <c r="D36" s="278"/>
      <c r="E36" s="278"/>
      <c r="F36" s="253" t="s">
        <v>3214</v>
      </c>
      <c r="G36" s="285">
        <v>0</v>
      </c>
      <c r="H36" s="286"/>
      <c r="I36" s="272"/>
      <c r="J36" s="281">
        <f t="shared" si="14"/>
        <v>0</v>
      </c>
      <c r="K36" s="282">
        <f t="shared" si="15"/>
        <v>0</v>
      </c>
      <c r="L36" s="281">
        <f t="shared" si="16"/>
        <v>0</v>
      </c>
      <c r="M36" s="281"/>
      <c r="N36" s="282">
        <f t="shared" si="19"/>
        <v>0</v>
      </c>
      <c r="O36" s="287">
        <f t="shared" si="17"/>
        <v>0</v>
      </c>
      <c r="P36" s="284">
        <f t="shared" si="18"/>
        <v>0</v>
      </c>
    </row>
    <row r="37" spans="1:16">
      <c r="A37" s="276"/>
      <c r="B37" s="277"/>
      <c r="C37" s="276" t="s">
        <v>173</v>
      </c>
      <c r="D37" s="278"/>
      <c r="E37" s="278"/>
      <c r="F37" s="253" t="s">
        <v>3215</v>
      </c>
      <c r="G37" s="285">
        <v>10000000</v>
      </c>
      <c r="H37" s="312">
        <v>2221822.2599999998</v>
      </c>
      <c r="I37" s="313">
        <v>795959.39</v>
      </c>
      <c r="J37" s="281">
        <f>+H37+I37</f>
        <v>3017781.65</v>
      </c>
      <c r="K37" s="282">
        <f t="shared" si="15"/>
        <v>0.30177816499999999</v>
      </c>
      <c r="L37" s="281">
        <f t="shared" si="16"/>
        <v>6982218.3499999996</v>
      </c>
      <c r="M37" s="281">
        <f>300000*3</f>
        <v>900000</v>
      </c>
      <c r="N37" s="282">
        <f t="shared" si="19"/>
        <v>0.09</v>
      </c>
      <c r="O37" s="287">
        <f t="shared" si="17"/>
        <v>6082218.3499999996</v>
      </c>
      <c r="P37" s="284">
        <f t="shared" si="18"/>
        <v>0.60822183499999993</v>
      </c>
    </row>
    <row r="38" spans="1:16">
      <c r="A38" s="276"/>
      <c r="B38" s="277"/>
      <c r="C38" s="276" t="s">
        <v>173</v>
      </c>
      <c r="D38" s="278"/>
      <c r="E38" s="278"/>
      <c r="F38" s="253" t="s">
        <v>3216</v>
      </c>
      <c r="G38" s="285">
        <v>0</v>
      </c>
      <c r="H38" s="286"/>
      <c r="I38" s="272"/>
      <c r="J38" s="281">
        <f t="shared" si="14"/>
        <v>0</v>
      </c>
      <c r="K38" s="282">
        <f t="shared" si="15"/>
        <v>0</v>
      </c>
      <c r="L38" s="281">
        <f t="shared" si="16"/>
        <v>0</v>
      </c>
      <c r="M38" s="287"/>
      <c r="N38" s="282">
        <f t="shared" si="19"/>
        <v>0</v>
      </c>
      <c r="O38" s="287">
        <f t="shared" si="17"/>
        <v>0</v>
      </c>
      <c r="P38" s="284">
        <f t="shared" si="18"/>
        <v>0</v>
      </c>
    </row>
    <row r="39" spans="1:16" ht="14.25" customHeight="1">
      <c r="A39" s="276"/>
      <c r="B39" s="277"/>
      <c r="C39" s="276" t="s">
        <v>173</v>
      </c>
      <c r="D39" s="306"/>
      <c r="E39" s="306"/>
      <c r="F39" s="314"/>
      <c r="G39" s="285"/>
      <c r="H39" s="286"/>
      <c r="I39" s="272"/>
      <c r="J39" s="281">
        <f t="shared" si="14"/>
        <v>0</v>
      </c>
      <c r="K39" s="282">
        <f t="shared" si="15"/>
        <v>0</v>
      </c>
      <c r="L39" s="281">
        <f t="shared" si="16"/>
        <v>0</v>
      </c>
      <c r="M39" s="283"/>
      <c r="N39" s="282">
        <f t="shared" si="19"/>
        <v>0</v>
      </c>
      <c r="O39" s="287">
        <f t="shared" si="17"/>
        <v>0</v>
      </c>
      <c r="P39" s="284">
        <f t="shared" si="18"/>
        <v>0</v>
      </c>
    </row>
    <row r="40" spans="1:16" ht="15.75" thickBot="1">
      <c r="A40" s="289"/>
      <c r="B40" s="290"/>
      <c r="C40" s="291">
        <v>4043</v>
      </c>
      <c r="D40" s="292">
        <v>3</v>
      </c>
      <c r="E40" s="292"/>
      <c r="F40" s="293" t="s">
        <v>3217</v>
      </c>
      <c r="G40" s="294">
        <f t="shared" ref="G40:O40" si="20">SUM(G29:G39)</f>
        <v>37480000</v>
      </c>
      <c r="H40" s="295">
        <f t="shared" si="20"/>
        <v>11004050.26</v>
      </c>
      <c r="I40" s="296">
        <f t="shared" si="20"/>
        <v>1827160.2999999998</v>
      </c>
      <c r="J40" s="296">
        <f t="shared" si="20"/>
        <v>12831210.560000001</v>
      </c>
      <c r="K40" s="297">
        <f t="shared" si="20"/>
        <v>1.9186654098127529</v>
      </c>
      <c r="L40" s="296">
        <f t="shared" si="20"/>
        <v>24648789.439999998</v>
      </c>
      <c r="M40" s="296">
        <f t="shared" si="20"/>
        <v>7143750</v>
      </c>
      <c r="N40" s="297">
        <f>+AVERAGE(N29,N30,N31,N32,N33,N34,N35,N36,N37,N38)</f>
        <v>0.12539992408906883</v>
      </c>
      <c r="O40" s="296">
        <f t="shared" si="20"/>
        <v>17505039.439999998</v>
      </c>
      <c r="P40" s="298">
        <f t="shared" si="18"/>
        <v>0.46705014514407678</v>
      </c>
    </row>
    <row r="41" spans="1:16">
      <c r="A41" s="276"/>
      <c r="B41" s="277"/>
      <c r="C41" s="276"/>
      <c r="D41" s="304"/>
      <c r="E41" s="304"/>
      <c r="F41" s="315"/>
      <c r="G41" s="316"/>
      <c r="H41" s="271"/>
      <c r="I41" s="272"/>
      <c r="J41" s="273"/>
      <c r="K41" s="301"/>
      <c r="L41" s="272"/>
      <c r="M41" s="272"/>
      <c r="N41" s="301"/>
      <c r="O41" s="272"/>
      <c r="P41" s="302"/>
    </row>
    <row r="42" spans="1:16">
      <c r="A42" s="276"/>
      <c r="B42" s="277"/>
      <c r="C42" s="276"/>
      <c r="D42" s="303" t="s">
        <v>3218</v>
      </c>
      <c r="E42" s="303"/>
      <c r="F42" s="252" t="s">
        <v>3219</v>
      </c>
      <c r="G42" s="310"/>
      <c r="H42" s="271"/>
      <c r="I42" s="272"/>
      <c r="J42" s="273"/>
      <c r="K42" s="301"/>
      <c r="L42" s="272"/>
      <c r="M42" s="281"/>
      <c r="N42" s="301"/>
      <c r="O42" s="272"/>
      <c r="P42" s="302"/>
    </row>
    <row r="43" spans="1:16">
      <c r="A43" s="276"/>
      <c r="B43" s="277"/>
      <c r="C43" s="276"/>
      <c r="D43" s="278"/>
      <c r="E43" s="278"/>
      <c r="F43" s="253" t="s">
        <v>3220</v>
      </c>
      <c r="G43" s="285">
        <v>0</v>
      </c>
      <c r="H43" s="286"/>
      <c r="I43" s="272"/>
      <c r="J43" s="281">
        <f t="shared" ref="J43:J50" si="21">+H43+I43</f>
        <v>0</v>
      </c>
      <c r="K43" s="282">
        <f t="shared" ref="K43:K50" si="22">+IF(G43&lt;&gt;0,+J43/G43,0)</f>
        <v>0</v>
      </c>
      <c r="L43" s="281">
        <f t="shared" ref="L43:L50" si="23">+G43-J43</f>
        <v>0</v>
      </c>
      <c r="M43" s="281"/>
      <c r="N43" s="282">
        <f t="shared" ref="N43:N50" si="24">+IF(G43&lt;&gt;0,M43/G43,0)</f>
        <v>0</v>
      </c>
      <c r="O43" s="287">
        <f t="shared" ref="O43:O50" si="25">+G43-J43-M43</f>
        <v>0</v>
      </c>
      <c r="P43" s="284">
        <f t="shared" ref="P43:P51" si="26">+IF(+G43&lt;&gt;0,O43/G43,0)</f>
        <v>0</v>
      </c>
    </row>
    <row r="44" spans="1:16">
      <c r="A44" s="276"/>
      <c r="B44" s="277"/>
      <c r="C44" s="276"/>
      <c r="D44" s="278"/>
      <c r="E44" s="278"/>
      <c r="F44" s="253" t="s">
        <v>3221</v>
      </c>
      <c r="G44" s="285">
        <v>0</v>
      </c>
      <c r="H44" s="286"/>
      <c r="I44" s="272"/>
      <c r="J44" s="281">
        <f t="shared" si="21"/>
        <v>0</v>
      </c>
      <c r="K44" s="282">
        <f t="shared" si="22"/>
        <v>0</v>
      </c>
      <c r="L44" s="281">
        <f t="shared" si="23"/>
        <v>0</v>
      </c>
      <c r="M44" s="281"/>
      <c r="N44" s="282">
        <f t="shared" si="24"/>
        <v>0</v>
      </c>
      <c r="O44" s="287">
        <f t="shared" si="25"/>
        <v>0</v>
      </c>
      <c r="P44" s="284">
        <f t="shared" si="26"/>
        <v>0</v>
      </c>
    </row>
    <row r="45" spans="1:16">
      <c r="A45" s="276"/>
      <c r="B45" s="277"/>
      <c r="C45" s="276"/>
      <c r="D45" s="278"/>
      <c r="E45" s="278"/>
      <c r="F45" s="253" t="s">
        <v>3222</v>
      </c>
      <c r="G45" s="285">
        <v>0</v>
      </c>
      <c r="H45" s="286"/>
      <c r="I45" s="272"/>
      <c r="J45" s="281">
        <f t="shared" si="21"/>
        <v>0</v>
      </c>
      <c r="K45" s="282">
        <f t="shared" si="22"/>
        <v>0</v>
      </c>
      <c r="L45" s="281">
        <f t="shared" si="23"/>
        <v>0</v>
      </c>
      <c r="M45" s="281"/>
      <c r="N45" s="282">
        <f t="shared" si="24"/>
        <v>0</v>
      </c>
      <c r="O45" s="287">
        <f t="shared" si="25"/>
        <v>0</v>
      </c>
      <c r="P45" s="284">
        <f t="shared" si="26"/>
        <v>0</v>
      </c>
    </row>
    <row r="46" spans="1:16">
      <c r="A46" s="276"/>
      <c r="B46" s="277"/>
      <c r="C46" s="276" t="s">
        <v>161</v>
      </c>
      <c r="D46" s="278"/>
      <c r="E46" s="278"/>
      <c r="F46" s="253" t="s">
        <v>3223</v>
      </c>
      <c r="G46" s="285">
        <v>16000000</v>
      </c>
      <c r="H46" s="286">
        <v>2910000</v>
      </c>
      <c r="I46" s="272"/>
      <c r="J46" s="281">
        <f t="shared" si="21"/>
        <v>2910000</v>
      </c>
      <c r="K46" s="282">
        <f t="shared" si="22"/>
        <v>0.18187500000000001</v>
      </c>
      <c r="L46" s="281">
        <f t="shared" si="23"/>
        <v>13090000</v>
      </c>
      <c r="M46" s="281">
        <f>1000000*5</f>
        <v>5000000</v>
      </c>
      <c r="N46" s="282">
        <f t="shared" si="24"/>
        <v>0.3125</v>
      </c>
      <c r="O46" s="287">
        <f t="shared" si="25"/>
        <v>8090000</v>
      </c>
      <c r="P46" s="284">
        <f t="shared" si="26"/>
        <v>0.50562499999999999</v>
      </c>
    </row>
    <row r="47" spans="1:16">
      <c r="A47" s="276"/>
      <c r="B47" s="277"/>
      <c r="C47" s="276"/>
      <c r="D47" s="278"/>
      <c r="E47" s="278"/>
      <c r="F47" s="253" t="s">
        <v>3224</v>
      </c>
      <c r="G47" s="285">
        <v>0</v>
      </c>
      <c r="H47" s="286"/>
      <c r="I47" s="272"/>
      <c r="J47" s="281">
        <f t="shared" si="21"/>
        <v>0</v>
      </c>
      <c r="K47" s="282">
        <f t="shared" si="22"/>
        <v>0</v>
      </c>
      <c r="L47" s="281">
        <f t="shared" si="23"/>
        <v>0</v>
      </c>
      <c r="M47" s="281"/>
      <c r="N47" s="282">
        <f t="shared" si="24"/>
        <v>0</v>
      </c>
      <c r="O47" s="287">
        <f t="shared" si="25"/>
        <v>0</v>
      </c>
      <c r="P47" s="284">
        <f t="shared" si="26"/>
        <v>0</v>
      </c>
    </row>
    <row r="48" spans="1:16">
      <c r="A48" s="276"/>
      <c r="B48" s="277"/>
      <c r="C48" s="276"/>
      <c r="D48" s="278"/>
      <c r="E48" s="278"/>
      <c r="F48" s="253" t="s">
        <v>3225</v>
      </c>
      <c r="G48" s="285">
        <v>0</v>
      </c>
      <c r="H48" s="286"/>
      <c r="I48" s="272"/>
      <c r="J48" s="281">
        <f t="shared" si="21"/>
        <v>0</v>
      </c>
      <c r="K48" s="282">
        <f t="shared" si="22"/>
        <v>0</v>
      </c>
      <c r="L48" s="281">
        <f t="shared" si="23"/>
        <v>0</v>
      </c>
      <c r="M48" s="281"/>
      <c r="N48" s="282">
        <f t="shared" si="24"/>
        <v>0</v>
      </c>
      <c r="O48" s="287">
        <f t="shared" si="25"/>
        <v>0</v>
      </c>
      <c r="P48" s="284">
        <f t="shared" si="26"/>
        <v>0</v>
      </c>
    </row>
    <row r="49" spans="1:16">
      <c r="A49" s="276"/>
      <c r="B49" s="277"/>
      <c r="C49" s="276"/>
      <c r="D49" s="278"/>
      <c r="E49" s="278"/>
      <c r="G49" s="285"/>
      <c r="H49" s="286"/>
      <c r="I49" s="272"/>
      <c r="J49" s="281">
        <f t="shared" si="21"/>
        <v>0</v>
      </c>
      <c r="K49" s="282">
        <f t="shared" si="22"/>
        <v>0</v>
      </c>
      <c r="L49" s="281">
        <f t="shared" si="23"/>
        <v>0</v>
      </c>
      <c r="M49" s="281"/>
      <c r="N49" s="282">
        <f t="shared" si="24"/>
        <v>0</v>
      </c>
      <c r="O49" s="287">
        <f t="shared" si="25"/>
        <v>0</v>
      </c>
      <c r="P49" s="284">
        <f t="shared" si="26"/>
        <v>0</v>
      </c>
    </row>
    <row r="50" spans="1:16" ht="15" customHeight="1">
      <c r="A50" s="276"/>
      <c r="B50" s="277"/>
      <c r="C50" s="276"/>
      <c r="D50" s="278"/>
      <c r="E50" s="278"/>
      <c r="F50" s="314"/>
      <c r="G50" s="285"/>
      <c r="H50" s="286"/>
      <c r="I50" s="272"/>
      <c r="J50" s="281">
        <f t="shared" si="21"/>
        <v>0</v>
      </c>
      <c r="K50" s="282">
        <f t="shared" si="22"/>
        <v>0</v>
      </c>
      <c r="L50" s="281">
        <f t="shared" si="23"/>
        <v>0</v>
      </c>
      <c r="M50" s="281"/>
      <c r="N50" s="282">
        <f t="shared" si="24"/>
        <v>0</v>
      </c>
      <c r="O50" s="287">
        <f t="shared" si="25"/>
        <v>0</v>
      </c>
      <c r="P50" s="284">
        <f t="shared" si="26"/>
        <v>0</v>
      </c>
    </row>
    <row r="51" spans="1:16" ht="15.75" thickBot="1">
      <c r="A51" s="276"/>
      <c r="B51" s="277"/>
      <c r="C51" s="291">
        <v>4044</v>
      </c>
      <c r="D51" s="308">
        <v>4</v>
      </c>
      <c r="E51" s="308"/>
      <c r="F51" s="293" t="s">
        <v>3226</v>
      </c>
      <c r="G51" s="294">
        <f t="shared" ref="G51:O51" si="27">SUM(G43:G50)</f>
        <v>16000000</v>
      </c>
      <c r="H51" s="295">
        <f t="shared" si="27"/>
        <v>2910000</v>
      </c>
      <c r="I51" s="296">
        <f t="shared" si="27"/>
        <v>0</v>
      </c>
      <c r="J51" s="296">
        <f t="shared" si="27"/>
        <v>2910000</v>
      </c>
      <c r="K51" s="297">
        <f>SUM(K43:K50)</f>
        <v>0.18187500000000001</v>
      </c>
      <c r="L51" s="296">
        <f t="shared" si="27"/>
        <v>13090000</v>
      </c>
      <c r="M51" s="296">
        <f t="shared" si="27"/>
        <v>5000000</v>
      </c>
      <c r="N51" s="297">
        <f>+AVERAGE(N41,N42,N43,N44,N45,N46,N47,N48,N49)</f>
        <v>4.4642857142857144E-2</v>
      </c>
      <c r="O51" s="296">
        <f t="shared" si="27"/>
        <v>8090000</v>
      </c>
      <c r="P51" s="298">
        <f t="shared" si="26"/>
        <v>0.50562499999999999</v>
      </c>
    </row>
    <row r="52" spans="1:16" ht="15.75" thickBot="1">
      <c r="A52" s="267"/>
      <c r="B52" s="268"/>
      <c r="C52" s="267"/>
      <c r="D52" s="299"/>
      <c r="E52" s="299"/>
      <c r="F52" s="317" t="s">
        <v>3227</v>
      </c>
      <c r="G52" s="318"/>
      <c r="H52" s="271"/>
      <c r="I52" s="272"/>
      <c r="J52" s="319"/>
      <c r="K52" s="320"/>
      <c r="L52" s="272"/>
      <c r="M52" s="272"/>
      <c r="N52" s="320"/>
      <c r="O52" s="272"/>
      <c r="P52" s="321"/>
    </row>
    <row r="53" spans="1:16">
      <c r="A53" s="276"/>
      <c r="B53" s="277"/>
      <c r="C53" s="276"/>
      <c r="D53" s="303" t="s">
        <v>3228</v>
      </c>
      <c r="E53" s="322"/>
      <c r="F53" s="323" t="s">
        <v>3229</v>
      </c>
      <c r="G53" s="324"/>
      <c r="H53" s="271"/>
      <c r="I53" s="272"/>
      <c r="J53" s="319"/>
      <c r="K53" s="320"/>
      <c r="L53" s="272"/>
      <c r="M53" s="272"/>
      <c r="N53" s="320"/>
      <c r="O53" s="272"/>
      <c r="P53" s="321"/>
    </row>
    <row r="54" spans="1:16" ht="78" customHeight="1">
      <c r="A54" s="276"/>
      <c r="B54" s="277"/>
      <c r="C54" s="276"/>
      <c r="D54" s="278"/>
      <c r="E54" s="325"/>
      <c r="F54" s="326" t="s">
        <v>3230</v>
      </c>
      <c r="G54" s="327"/>
      <c r="H54" s="286"/>
      <c r="I54" s="272"/>
      <c r="J54" s="281">
        <f t="shared" ref="J54:J115" si="28">+H54+I54</f>
        <v>0</v>
      </c>
      <c r="K54" s="282"/>
      <c r="L54" s="281"/>
      <c r="M54" s="283"/>
      <c r="N54" s="282"/>
      <c r="O54" s="287"/>
      <c r="P54" s="284"/>
    </row>
    <row r="55" spans="1:16">
      <c r="A55" s="276"/>
      <c r="B55" s="277"/>
      <c r="C55" s="276" t="s">
        <v>83</v>
      </c>
      <c r="D55" s="278"/>
      <c r="E55" s="325"/>
      <c r="F55" s="328" t="s">
        <v>3231</v>
      </c>
      <c r="G55" s="329">
        <v>40000000</v>
      </c>
      <c r="H55" s="286"/>
      <c r="I55" s="272"/>
      <c r="J55" s="281">
        <f t="shared" si="28"/>
        <v>0</v>
      </c>
      <c r="K55" s="282">
        <f t="shared" ref="K55:K118" si="29">+IF(G55&lt;&gt;0,+J55/G55,0)</f>
        <v>0</v>
      </c>
      <c r="L55" s="281">
        <f t="shared" ref="L55:L118" si="30">+G55-J55</f>
        <v>40000000</v>
      </c>
      <c r="M55" s="281">
        <f>100*3*40000</f>
        <v>12000000</v>
      </c>
      <c r="N55" s="282">
        <f t="shared" ref="N55:N118" si="31">+IF(G55&lt;&gt;0,M55/G55,0)</f>
        <v>0.3</v>
      </c>
      <c r="O55" s="287">
        <f t="shared" ref="O55:O118" si="32">+G55-J55-M55</f>
        <v>28000000</v>
      </c>
      <c r="P55" s="284">
        <f t="shared" ref="P55:P129" si="33">+IF(+G55&lt;&gt;0,O55/G55,0)</f>
        <v>0.7</v>
      </c>
    </row>
    <row r="56" spans="1:16">
      <c r="A56" s="276"/>
      <c r="B56" s="277"/>
      <c r="C56" s="276" t="s">
        <v>87</v>
      </c>
      <c r="D56" s="278"/>
      <c r="E56" s="325"/>
      <c r="F56" s="328" t="s">
        <v>3232</v>
      </c>
      <c r="G56" s="329">
        <v>3000000</v>
      </c>
      <c r="H56" s="286">
        <v>2129533</v>
      </c>
      <c r="I56" s="313">
        <v>0</v>
      </c>
      <c r="J56" s="281">
        <f t="shared" si="28"/>
        <v>2129533</v>
      </c>
      <c r="K56" s="282">
        <f t="shared" si="29"/>
        <v>0.7098443333333333</v>
      </c>
      <c r="L56" s="281">
        <f t="shared" si="30"/>
        <v>870467</v>
      </c>
      <c r="M56" s="281">
        <f>1600000*3</f>
        <v>4800000</v>
      </c>
      <c r="N56" s="282">
        <f t="shared" si="31"/>
        <v>1.6</v>
      </c>
      <c r="O56" s="287">
        <f t="shared" si="32"/>
        <v>-3929533</v>
      </c>
      <c r="P56" s="284">
        <f t="shared" si="33"/>
        <v>-1.3098443333333334</v>
      </c>
    </row>
    <row r="57" spans="1:16">
      <c r="A57" s="276"/>
      <c r="B57" s="277"/>
      <c r="C57" s="276" t="s">
        <v>85</v>
      </c>
      <c r="D57" s="278"/>
      <c r="E57" s="325"/>
      <c r="F57" s="328" t="s">
        <v>3233</v>
      </c>
      <c r="G57" s="329">
        <v>2500000</v>
      </c>
      <c r="H57" s="286">
        <v>0</v>
      </c>
      <c r="I57" s="272"/>
      <c r="J57" s="281">
        <f t="shared" si="28"/>
        <v>0</v>
      </c>
      <c r="K57" s="282">
        <f t="shared" si="29"/>
        <v>0</v>
      </c>
      <c r="L57" s="281">
        <f t="shared" si="30"/>
        <v>2500000</v>
      </c>
      <c r="M57" s="281">
        <v>0</v>
      </c>
      <c r="N57" s="282">
        <f t="shared" si="31"/>
        <v>0</v>
      </c>
      <c r="O57" s="287">
        <f t="shared" si="32"/>
        <v>2500000</v>
      </c>
      <c r="P57" s="284">
        <f t="shared" si="33"/>
        <v>1</v>
      </c>
    </row>
    <row r="58" spans="1:16">
      <c r="A58" s="276"/>
      <c r="B58" s="277"/>
      <c r="C58" s="276" t="s">
        <v>80</v>
      </c>
      <c r="D58" s="278"/>
      <c r="E58" s="325"/>
      <c r="F58" s="328" t="s">
        <v>3234</v>
      </c>
      <c r="G58" s="329">
        <v>20000000</v>
      </c>
      <c r="H58" s="286">
        <v>13700000</v>
      </c>
      <c r="I58" s="313">
        <v>0</v>
      </c>
      <c r="J58" s="281">
        <f t="shared" si="28"/>
        <v>13700000</v>
      </c>
      <c r="K58" s="282">
        <f t="shared" si="29"/>
        <v>0.68500000000000005</v>
      </c>
      <c r="L58" s="281">
        <f t="shared" si="30"/>
        <v>6300000</v>
      </c>
      <c r="M58" s="281">
        <f>100*3*20000</f>
        <v>6000000</v>
      </c>
      <c r="N58" s="282">
        <f t="shared" si="31"/>
        <v>0.3</v>
      </c>
      <c r="O58" s="287">
        <f t="shared" si="32"/>
        <v>300000</v>
      </c>
      <c r="P58" s="284">
        <f t="shared" si="33"/>
        <v>1.4999999999999999E-2</v>
      </c>
    </row>
    <row r="59" spans="1:16" ht="15.75" thickBot="1">
      <c r="A59" s="276"/>
      <c r="B59" s="277"/>
      <c r="C59" s="276" t="s">
        <v>80</v>
      </c>
      <c r="D59" s="278"/>
      <c r="E59" s="325"/>
      <c r="F59" s="330" t="s">
        <v>3235</v>
      </c>
      <c r="G59" s="331">
        <v>14000000</v>
      </c>
      <c r="H59" s="286"/>
      <c r="I59" s="272"/>
      <c r="J59" s="281">
        <f t="shared" si="28"/>
        <v>0</v>
      </c>
      <c r="K59" s="282">
        <f t="shared" si="29"/>
        <v>0</v>
      </c>
      <c r="L59" s="281">
        <f t="shared" si="30"/>
        <v>14000000</v>
      </c>
      <c r="M59" s="281">
        <v>0</v>
      </c>
      <c r="N59" s="282">
        <f t="shared" si="31"/>
        <v>0</v>
      </c>
      <c r="O59" s="287">
        <f t="shared" si="32"/>
        <v>14000000</v>
      </c>
      <c r="P59" s="284">
        <f t="shared" si="33"/>
        <v>1</v>
      </c>
    </row>
    <row r="60" spans="1:16" ht="15.75" thickBot="1">
      <c r="A60" s="289"/>
      <c r="B60" s="290"/>
      <c r="C60" s="332">
        <v>4045</v>
      </c>
      <c r="D60" s="333"/>
      <c r="E60" s="334"/>
      <c r="F60" s="293" t="s">
        <v>3236</v>
      </c>
      <c r="G60" s="294">
        <f>SUM(G55:G59)</f>
        <v>79500000</v>
      </c>
      <c r="H60" s="295">
        <f t="shared" ref="H60:O60" si="34">SUM(H55:H59)</f>
        <v>15829533</v>
      </c>
      <c r="I60" s="296">
        <f t="shared" si="34"/>
        <v>0</v>
      </c>
      <c r="J60" s="296">
        <f t="shared" si="34"/>
        <v>15829533</v>
      </c>
      <c r="K60" s="297">
        <f>SUM(K55:K59)</f>
        <v>1.3948443333333334</v>
      </c>
      <c r="L60" s="296">
        <f t="shared" si="34"/>
        <v>63670467</v>
      </c>
      <c r="M60" s="296">
        <f t="shared" si="34"/>
        <v>22800000</v>
      </c>
      <c r="N60" s="297">
        <f>+AVERAGE(N55,N56,N57,N58)</f>
        <v>0.55000000000000004</v>
      </c>
      <c r="O60" s="296">
        <f t="shared" si="34"/>
        <v>40870467</v>
      </c>
      <c r="P60" s="298">
        <f t="shared" si="33"/>
        <v>0.51409392452830194</v>
      </c>
    </row>
    <row r="61" spans="1:16" ht="62.25" customHeight="1">
      <c r="A61" s="276"/>
      <c r="B61" s="277"/>
      <c r="C61" s="276"/>
      <c r="D61" s="278"/>
      <c r="E61" s="278"/>
      <c r="F61" s="335" t="s">
        <v>3237</v>
      </c>
      <c r="G61" s="336"/>
      <c r="H61" s="286"/>
      <c r="I61" s="272"/>
      <c r="J61" s="281"/>
      <c r="K61" s="282"/>
      <c r="L61" s="281"/>
      <c r="M61" s="281"/>
      <c r="N61" s="282"/>
      <c r="O61" s="287"/>
      <c r="P61" s="284"/>
    </row>
    <row r="62" spans="1:16" ht="43.5" customHeight="1">
      <c r="A62" s="276"/>
      <c r="B62" s="277"/>
      <c r="C62" s="276" t="s">
        <v>112</v>
      </c>
      <c r="D62" s="278"/>
      <c r="E62" s="278"/>
      <c r="F62" s="317" t="s">
        <v>3238</v>
      </c>
      <c r="G62" s="337">
        <v>2500000</v>
      </c>
      <c r="H62" s="286">
        <v>1300000</v>
      </c>
      <c r="I62" s="272">
        <v>800000</v>
      </c>
      <c r="J62" s="281">
        <f t="shared" si="28"/>
        <v>2100000</v>
      </c>
      <c r="K62" s="282">
        <f t="shared" si="29"/>
        <v>0.84</v>
      </c>
      <c r="L62" s="281">
        <f t="shared" si="30"/>
        <v>400000</v>
      </c>
      <c r="M62" s="338">
        <f>1000000*5</f>
        <v>5000000</v>
      </c>
      <c r="N62" s="282">
        <f>+IF(G62&lt;&gt;0,M62/G62,0)</f>
        <v>2</v>
      </c>
      <c r="O62" s="287">
        <f t="shared" si="32"/>
        <v>-4600000</v>
      </c>
      <c r="P62" s="284">
        <f t="shared" si="33"/>
        <v>-1.84</v>
      </c>
    </row>
    <row r="63" spans="1:16">
      <c r="A63" s="276"/>
      <c r="B63" s="277"/>
      <c r="C63" s="276" t="s">
        <v>100</v>
      </c>
      <c r="D63" s="278"/>
      <c r="E63" s="278"/>
      <c r="F63" s="317" t="s">
        <v>3231</v>
      </c>
      <c r="G63" s="337">
        <v>20000000</v>
      </c>
      <c r="H63" s="286">
        <v>14458000</v>
      </c>
      <c r="I63" s="313">
        <v>7890000</v>
      </c>
      <c r="J63" s="281">
        <f t="shared" si="28"/>
        <v>22348000</v>
      </c>
      <c r="K63" s="282">
        <f t="shared" si="29"/>
        <v>1.1173999999999999</v>
      </c>
      <c r="L63" s="281">
        <f t="shared" si="30"/>
        <v>-2348000</v>
      </c>
      <c r="M63" s="338">
        <f>4000000*5</f>
        <v>20000000</v>
      </c>
      <c r="N63" s="282">
        <f t="shared" si="31"/>
        <v>1</v>
      </c>
      <c r="O63" s="287">
        <f t="shared" si="32"/>
        <v>-22348000</v>
      </c>
      <c r="P63" s="284">
        <f t="shared" si="33"/>
        <v>-1.1173999999999999</v>
      </c>
    </row>
    <row r="64" spans="1:16" ht="15" customHeight="1">
      <c r="A64" s="276"/>
      <c r="B64" s="277"/>
      <c r="C64" s="276" t="s">
        <v>119</v>
      </c>
      <c r="D64" s="278"/>
      <c r="E64" s="278"/>
      <c r="F64" s="317" t="s">
        <v>3239</v>
      </c>
      <c r="G64" s="337">
        <v>2000000</v>
      </c>
      <c r="H64" s="286"/>
      <c r="I64" s="272"/>
      <c r="J64" s="281">
        <f t="shared" si="28"/>
        <v>0</v>
      </c>
      <c r="K64" s="282">
        <f t="shared" si="29"/>
        <v>0</v>
      </c>
      <c r="L64" s="281">
        <f t="shared" si="30"/>
        <v>2000000</v>
      </c>
      <c r="M64" s="338">
        <v>0</v>
      </c>
      <c r="N64" s="282">
        <f>+IF(G64&lt;&gt;0,M64/G64,0)</f>
        <v>0</v>
      </c>
      <c r="O64" s="287">
        <f>+G64-J64-M64</f>
        <v>2000000</v>
      </c>
      <c r="P64" s="284">
        <f t="shared" si="33"/>
        <v>1</v>
      </c>
    </row>
    <row r="65" spans="1:16" ht="15" customHeight="1">
      <c r="A65" s="276"/>
      <c r="B65" s="277"/>
      <c r="C65" s="276" t="s">
        <v>106</v>
      </c>
      <c r="D65" s="278"/>
      <c r="E65" s="278"/>
      <c r="F65" s="317" t="s">
        <v>3232</v>
      </c>
      <c r="G65" s="337">
        <v>1500000</v>
      </c>
      <c r="H65" s="286"/>
      <c r="I65" s="272">
        <v>1500000</v>
      </c>
      <c r="J65" s="281">
        <f t="shared" si="28"/>
        <v>1500000</v>
      </c>
      <c r="K65" s="282">
        <f t="shared" si="29"/>
        <v>1</v>
      </c>
      <c r="L65" s="281">
        <f t="shared" si="30"/>
        <v>0</v>
      </c>
      <c r="M65" s="338">
        <f>1600000*5</f>
        <v>8000000</v>
      </c>
      <c r="N65" s="282">
        <f>+IF(G65&lt;&gt;0,M65/G65,0)</f>
        <v>5.333333333333333</v>
      </c>
      <c r="O65" s="287">
        <f>+G65-J65-M65</f>
        <v>-8000000</v>
      </c>
      <c r="P65" s="284">
        <f t="shared" si="33"/>
        <v>-5.333333333333333</v>
      </c>
    </row>
    <row r="66" spans="1:16" ht="15" customHeight="1">
      <c r="A66" s="276"/>
      <c r="B66" s="277"/>
      <c r="C66" s="276" t="s">
        <v>103</v>
      </c>
      <c r="D66" s="278"/>
      <c r="E66" s="278"/>
      <c r="F66" s="317" t="s">
        <v>3233</v>
      </c>
      <c r="G66" s="337">
        <v>1250000</v>
      </c>
      <c r="H66" s="286"/>
      <c r="I66" s="272"/>
      <c r="J66" s="281">
        <f t="shared" si="28"/>
        <v>0</v>
      </c>
      <c r="K66" s="282">
        <f t="shared" si="29"/>
        <v>0</v>
      </c>
      <c r="L66" s="281">
        <f t="shared" si="30"/>
        <v>1250000</v>
      </c>
      <c r="M66" s="338">
        <v>0</v>
      </c>
      <c r="N66" s="282">
        <f t="shared" si="31"/>
        <v>0</v>
      </c>
      <c r="O66" s="287">
        <f t="shared" si="32"/>
        <v>1250000</v>
      </c>
      <c r="P66" s="284">
        <f t="shared" si="33"/>
        <v>1</v>
      </c>
    </row>
    <row r="67" spans="1:16" ht="15" customHeight="1">
      <c r="A67" s="276"/>
      <c r="B67" s="277"/>
      <c r="C67" s="276" t="s">
        <v>116</v>
      </c>
      <c r="D67" s="278"/>
      <c r="E67" s="278"/>
      <c r="F67" s="317" t="s">
        <v>3240</v>
      </c>
      <c r="G67" s="337">
        <v>3500000</v>
      </c>
      <c r="H67" s="286"/>
      <c r="I67" s="272">
        <v>0</v>
      </c>
      <c r="J67" s="281">
        <f t="shared" si="28"/>
        <v>0</v>
      </c>
      <c r="K67" s="282">
        <f t="shared" si="29"/>
        <v>0</v>
      </c>
      <c r="L67" s="281">
        <f t="shared" si="30"/>
        <v>3500000</v>
      </c>
      <c r="M67" s="338">
        <v>0</v>
      </c>
      <c r="N67" s="282">
        <f t="shared" si="31"/>
        <v>0</v>
      </c>
      <c r="O67" s="287">
        <f t="shared" si="32"/>
        <v>3500000</v>
      </c>
      <c r="P67" s="284">
        <f t="shared" si="33"/>
        <v>1</v>
      </c>
    </row>
    <row r="68" spans="1:16" ht="15" customHeight="1">
      <c r="A68" s="276"/>
      <c r="B68" s="277"/>
      <c r="C68" s="276" t="s">
        <v>96</v>
      </c>
      <c r="D68" s="278"/>
      <c r="E68" s="278"/>
      <c r="F68" s="317" t="s">
        <v>3241</v>
      </c>
      <c r="G68" s="337">
        <v>10000000</v>
      </c>
      <c r="H68" s="286">
        <v>1300000</v>
      </c>
      <c r="I68" s="272">
        <v>5100000</v>
      </c>
      <c r="J68" s="281">
        <f t="shared" si="28"/>
        <v>6400000</v>
      </c>
      <c r="K68" s="282">
        <f t="shared" si="29"/>
        <v>0.64</v>
      </c>
      <c r="L68" s="281">
        <f t="shared" si="30"/>
        <v>3600000</v>
      </c>
      <c r="M68" s="338">
        <f>(80*20000)*2*5</f>
        <v>16000000</v>
      </c>
      <c r="N68" s="282">
        <f t="shared" si="31"/>
        <v>1.6</v>
      </c>
      <c r="O68" s="287">
        <f t="shared" si="32"/>
        <v>-12400000</v>
      </c>
      <c r="P68" s="284">
        <f t="shared" si="33"/>
        <v>-1.24</v>
      </c>
    </row>
    <row r="69" spans="1:16">
      <c r="A69" s="276"/>
      <c r="B69" s="277"/>
      <c r="C69" s="276" t="s">
        <v>96</v>
      </c>
      <c r="D69" s="278"/>
      <c r="E69" s="278"/>
      <c r="F69" s="317" t="s">
        <v>3235</v>
      </c>
      <c r="G69" s="339">
        <v>14000000</v>
      </c>
      <c r="H69" s="286"/>
      <c r="I69" s="272"/>
      <c r="J69" s="281">
        <f t="shared" si="28"/>
        <v>0</v>
      </c>
      <c r="K69" s="282">
        <f t="shared" si="29"/>
        <v>0</v>
      </c>
      <c r="L69" s="281">
        <f t="shared" si="30"/>
        <v>14000000</v>
      </c>
      <c r="M69" s="338">
        <v>0</v>
      </c>
      <c r="N69" s="282">
        <f t="shared" si="31"/>
        <v>0</v>
      </c>
      <c r="O69" s="287">
        <f t="shared" si="32"/>
        <v>14000000</v>
      </c>
      <c r="P69" s="284">
        <f t="shared" si="33"/>
        <v>1</v>
      </c>
    </row>
    <row r="70" spans="1:16" ht="15.75" thickBot="1">
      <c r="A70" s="276"/>
      <c r="B70" s="277"/>
      <c r="C70" s="276" t="s">
        <v>122</v>
      </c>
      <c r="D70" s="278"/>
      <c r="E70" s="278"/>
      <c r="F70" s="317" t="s">
        <v>3242</v>
      </c>
      <c r="G70" s="340">
        <v>1500000</v>
      </c>
      <c r="H70" s="286"/>
      <c r="I70" s="272"/>
      <c r="J70" s="281">
        <f t="shared" si="28"/>
        <v>0</v>
      </c>
      <c r="K70" s="282">
        <f t="shared" si="29"/>
        <v>0</v>
      </c>
      <c r="L70" s="281">
        <f t="shared" si="30"/>
        <v>1500000</v>
      </c>
      <c r="M70" s="338">
        <v>0</v>
      </c>
      <c r="N70" s="282">
        <f t="shared" si="31"/>
        <v>0</v>
      </c>
      <c r="O70" s="287">
        <f t="shared" si="32"/>
        <v>1500000</v>
      </c>
      <c r="P70" s="284">
        <f t="shared" si="33"/>
        <v>1</v>
      </c>
    </row>
    <row r="71" spans="1:16" ht="15.75" thickBot="1">
      <c r="A71" s="289"/>
      <c r="B71" s="290"/>
      <c r="C71" s="332">
        <v>4045</v>
      </c>
      <c r="D71" s="333"/>
      <c r="E71" s="334"/>
      <c r="F71" s="293" t="s">
        <v>3243</v>
      </c>
      <c r="G71" s="294">
        <f>SUM(G62:G70)</f>
        <v>56250000</v>
      </c>
      <c r="H71" s="295">
        <f t="shared" ref="H71:O71" si="35">SUM(H62:H70)</f>
        <v>17058000</v>
      </c>
      <c r="I71" s="296">
        <f t="shared" si="35"/>
        <v>15290000</v>
      </c>
      <c r="J71" s="296">
        <f t="shared" si="35"/>
        <v>32348000</v>
      </c>
      <c r="K71" s="297">
        <f t="shared" si="35"/>
        <v>3.5973999999999999</v>
      </c>
      <c r="L71" s="296">
        <f t="shared" si="35"/>
        <v>23902000</v>
      </c>
      <c r="M71" s="296">
        <f>SUM(M62:M70)</f>
        <v>49000000</v>
      </c>
      <c r="N71" s="297">
        <f>+AVERAGE(N62,N63,N64,N65,N66,N67,N68,N69,N70)</f>
        <v>1.1037037037037036</v>
      </c>
      <c r="O71" s="296">
        <f t="shared" si="35"/>
        <v>-25098000</v>
      </c>
      <c r="P71" s="298">
        <f t="shared" si="33"/>
        <v>-0.44618666666666668</v>
      </c>
    </row>
    <row r="72" spans="1:16" ht="95.25" customHeight="1">
      <c r="A72" s="276"/>
      <c r="B72" s="277"/>
      <c r="C72" s="276"/>
      <c r="D72" s="278"/>
      <c r="E72" s="278"/>
      <c r="F72" s="341" t="s">
        <v>3244</v>
      </c>
      <c r="G72" s="342"/>
      <c r="H72" s="286"/>
      <c r="I72" s="272"/>
      <c r="J72" s="281"/>
      <c r="K72" s="282"/>
      <c r="L72" s="281"/>
      <c r="M72" s="283"/>
      <c r="N72" s="282"/>
      <c r="O72" s="287"/>
      <c r="P72" s="284"/>
    </row>
    <row r="73" spans="1:16" ht="30" customHeight="1">
      <c r="A73" s="276"/>
      <c r="B73" s="277"/>
      <c r="C73" s="276" t="s">
        <v>137</v>
      </c>
      <c r="D73" s="278"/>
      <c r="E73" s="278"/>
      <c r="F73" s="328" t="s">
        <v>3245</v>
      </c>
      <c r="G73" s="329">
        <v>6000000</v>
      </c>
      <c r="H73" s="286"/>
      <c r="I73" s="272"/>
      <c r="J73" s="281">
        <f t="shared" si="28"/>
        <v>0</v>
      </c>
      <c r="K73" s="282">
        <f t="shared" si="29"/>
        <v>0</v>
      </c>
      <c r="L73" s="281">
        <f t="shared" si="30"/>
        <v>6000000</v>
      </c>
      <c r="M73" s="338">
        <f>1000000*3</f>
        <v>3000000</v>
      </c>
      <c r="N73" s="282">
        <f t="shared" si="31"/>
        <v>0.5</v>
      </c>
      <c r="O73" s="287">
        <f t="shared" si="32"/>
        <v>3000000</v>
      </c>
      <c r="P73" s="284">
        <f t="shared" si="33"/>
        <v>0.5</v>
      </c>
    </row>
    <row r="74" spans="1:16">
      <c r="A74" s="276"/>
      <c r="B74" s="277"/>
      <c r="C74" s="276" t="s">
        <v>141</v>
      </c>
      <c r="D74" s="278"/>
      <c r="E74" s="278"/>
      <c r="F74" s="328" t="s">
        <v>3246</v>
      </c>
      <c r="G74" s="329">
        <v>68000000</v>
      </c>
      <c r="H74" s="286"/>
      <c r="I74" s="272"/>
      <c r="J74" s="281">
        <f t="shared" si="28"/>
        <v>0</v>
      </c>
      <c r="K74" s="282">
        <f t="shared" si="29"/>
        <v>0</v>
      </c>
      <c r="L74" s="281">
        <f t="shared" si="30"/>
        <v>68000000</v>
      </c>
      <c r="M74" s="338">
        <f>510*40000</f>
        <v>20400000</v>
      </c>
      <c r="N74" s="282">
        <f t="shared" si="31"/>
        <v>0.3</v>
      </c>
      <c r="O74" s="287">
        <f t="shared" si="32"/>
        <v>47600000</v>
      </c>
      <c r="P74" s="284">
        <f t="shared" si="33"/>
        <v>0.7</v>
      </c>
    </row>
    <row r="75" spans="1:16">
      <c r="A75" s="276"/>
      <c r="B75" s="277"/>
      <c r="C75" s="276" t="s">
        <v>146</v>
      </c>
      <c r="D75" s="278"/>
      <c r="E75" s="278"/>
      <c r="F75" s="328" t="s">
        <v>3232</v>
      </c>
      <c r="G75" s="329">
        <v>3000000</v>
      </c>
      <c r="H75" s="286">
        <v>1600000</v>
      </c>
      <c r="I75" s="272">
        <v>1400000</v>
      </c>
      <c r="J75" s="281">
        <f t="shared" si="28"/>
        <v>3000000</v>
      </c>
      <c r="K75" s="282">
        <f t="shared" si="29"/>
        <v>1</v>
      </c>
      <c r="L75" s="281">
        <f t="shared" si="30"/>
        <v>0</v>
      </c>
      <c r="M75" s="338"/>
      <c r="N75" s="282">
        <f t="shared" si="31"/>
        <v>0</v>
      </c>
      <c r="O75" s="287">
        <f t="shared" si="32"/>
        <v>0</v>
      </c>
      <c r="P75" s="284">
        <f t="shared" si="33"/>
        <v>0</v>
      </c>
    </row>
    <row r="76" spans="1:16">
      <c r="A76" s="276"/>
      <c r="B76" s="277"/>
      <c r="C76" s="276" t="s">
        <v>144</v>
      </c>
      <c r="D76" s="278"/>
      <c r="E76" s="278"/>
      <c r="F76" s="328" t="s">
        <v>3233</v>
      </c>
      <c r="G76" s="329">
        <v>2500000</v>
      </c>
      <c r="H76" s="286"/>
      <c r="I76" s="272">
        <v>0</v>
      </c>
      <c r="J76" s="281">
        <f t="shared" si="28"/>
        <v>0</v>
      </c>
      <c r="K76" s="282">
        <f t="shared" si="29"/>
        <v>0</v>
      </c>
      <c r="L76" s="281">
        <f t="shared" si="30"/>
        <v>2500000</v>
      </c>
      <c r="M76" s="338">
        <v>0</v>
      </c>
      <c r="N76" s="282">
        <f t="shared" si="31"/>
        <v>0</v>
      </c>
      <c r="O76" s="287">
        <f t="shared" si="32"/>
        <v>2500000</v>
      </c>
      <c r="P76" s="284">
        <f t="shared" si="33"/>
        <v>1</v>
      </c>
    </row>
    <row r="77" spans="1:16">
      <c r="A77" s="276"/>
      <c r="B77" s="277"/>
      <c r="C77" s="276" t="s">
        <v>137</v>
      </c>
      <c r="D77" s="278"/>
      <c r="E77" s="278"/>
      <c r="F77" s="328" t="s">
        <v>3241</v>
      </c>
      <c r="G77" s="329">
        <v>34000000</v>
      </c>
      <c r="H77" s="286">
        <v>9980000</v>
      </c>
      <c r="I77" s="272">
        <v>7090000</v>
      </c>
      <c r="J77" s="281">
        <f t="shared" si="28"/>
        <v>17070000</v>
      </c>
      <c r="K77" s="282">
        <f t="shared" si="29"/>
        <v>0.50205882352941178</v>
      </c>
      <c r="L77" s="281">
        <f t="shared" si="30"/>
        <v>16930000</v>
      </c>
      <c r="M77" s="338">
        <f>510*20000</f>
        <v>10200000</v>
      </c>
      <c r="N77" s="282">
        <f t="shared" si="31"/>
        <v>0.3</v>
      </c>
      <c r="O77" s="287">
        <f t="shared" si="32"/>
        <v>6730000</v>
      </c>
      <c r="P77" s="284">
        <f t="shared" si="33"/>
        <v>0.19794117647058823</v>
      </c>
    </row>
    <row r="78" spans="1:16" ht="15" customHeight="1" thickBot="1">
      <c r="A78" s="276"/>
      <c r="B78" s="277"/>
      <c r="C78" s="276" t="s">
        <v>137</v>
      </c>
      <c r="D78" s="278"/>
      <c r="E78" s="278"/>
      <c r="F78" s="330" t="s">
        <v>3247</v>
      </c>
      <c r="G78" s="329">
        <v>5000000</v>
      </c>
      <c r="H78" s="286"/>
      <c r="I78" s="272"/>
      <c r="J78" s="281">
        <f t="shared" si="28"/>
        <v>0</v>
      </c>
      <c r="K78" s="282">
        <f t="shared" si="29"/>
        <v>0</v>
      </c>
      <c r="L78" s="281">
        <f t="shared" si="30"/>
        <v>5000000</v>
      </c>
      <c r="M78" s="319">
        <v>0</v>
      </c>
      <c r="N78" s="282">
        <f t="shared" si="31"/>
        <v>0</v>
      </c>
      <c r="O78" s="287">
        <f t="shared" si="32"/>
        <v>5000000</v>
      </c>
      <c r="P78" s="284">
        <f t="shared" si="33"/>
        <v>1</v>
      </c>
    </row>
    <row r="79" spans="1:16" ht="15.75" thickBot="1">
      <c r="A79" s="289"/>
      <c r="B79" s="290"/>
      <c r="C79" s="332">
        <v>4045</v>
      </c>
      <c r="D79" s="333"/>
      <c r="E79" s="334"/>
      <c r="F79" s="293" t="s">
        <v>3248</v>
      </c>
      <c r="G79" s="294">
        <f>SUM(G73:G78)</f>
        <v>118500000</v>
      </c>
      <c r="H79" s="295">
        <f t="shared" ref="H79:O79" si="36">SUM(H73:H78)</f>
        <v>11580000</v>
      </c>
      <c r="I79" s="296">
        <f t="shared" si="36"/>
        <v>8490000</v>
      </c>
      <c r="J79" s="296">
        <f t="shared" si="36"/>
        <v>20070000</v>
      </c>
      <c r="K79" s="297">
        <f t="shared" si="36"/>
        <v>1.5020588235294117</v>
      </c>
      <c r="L79" s="296">
        <f t="shared" si="36"/>
        <v>98430000</v>
      </c>
      <c r="M79" s="296">
        <f t="shared" si="36"/>
        <v>33600000</v>
      </c>
      <c r="N79" s="297">
        <f>+AVERAGE(N73,N74,N75,N76,N77,N78)</f>
        <v>0.18333333333333335</v>
      </c>
      <c r="O79" s="296">
        <f t="shared" si="36"/>
        <v>64830000</v>
      </c>
      <c r="P79" s="298">
        <f t="shared" si="33"/>
        <v>0.54708860759493672</v>
      </c>
    </row>
    <row r="80" spans="1:16" ht="50.25" customHeight="1">
      <c r="A80" s="276"/>
      <c r="B80" s="277"/>
      <c r="C80" s="276"/>
      <c r="D80" s="278"/>
      <c r="E80" s="278"/>
      <c r="F80" s="341" t="s">
        <v>3249</v>
      </c>
      <c r="G80" s="342"/>
      <c r="H80" s="286"/>
      <c r="I80" s="272"/>
      <c r="J80" s="281"/>
      <c r="K80" s="282"/>
      <c r="L80" s="281"/>
      <c r="M80" s="283"/>
      <c r="N80" s="282"/>
      <c r="O80" s="287"/>
      <c r="P80" s="284"/>
    </row>
    <row r="81" spans="1:16">
      <c r="A81" s="276"/>
      <c r="B81" s="277"/>
      <c r="C81" s="276" t="s">
        <v>152</v>
      </c>
      <c r="D81" s="278"/>
      <c r="E81" s="278"/>
      <c r="F81" s="328" t="s">
        <v>3231</v>
      </c>
      <c r="G81" s="329">
        <v>8400000</v>
      </c>
      <c r="H81" s="286">
        <v>320000</v>
      </c>
      <c r="I81" s="272">
        <v>0</v>
      </c>
      <c r="J81" s="281">
        <f t="shared" si="28"/>
        <v>320000</v>
      </c>
      <c r="K81" s="282">
        <f t="shared" si="29"/>
        <v>3.8095238095238099E-2</v>
      </c>
      <c r="L81" s="281">
        <f t="shared" si="30"/>
        <v>8080000</v>
      </c>
      <c r="M81" s="281">
        <f>G81/3</f>
        <v>2800000</v>
      </c>
      <c r="N81" s="282">
        <f t="shared" si="31"/>
        <v>0.33333333333333331</v>
      </c>
      <c r="O81" s="287">
        <f t="shared" si="32"/>
        <v>5280000</v>
      </c>
      <c r="P81" s="284">
        <f t="shared" si="33"/>
        <v>0.62857142857142856</v>
      </c>
    </row>
    <row r="82" spans="1:16" ht="15.75" thickBot="1">
      <c r="A82" s="276"/>
      <c r="B82" s="277"/>
      <c r="C82" s="276" t="s">
        <v>152</v>
      </c>
      <c r="D82" s="278"/>
      <c r="E82" s="278"/>
      <c r="F82" s="330" t="s">
        <v>3234</v>
      </c>
      <c r="G82" s="329">
        <v>4200000</v>
      </c>
      <c r="H82" s="286">
        <v>4200000</v>
      </c>
      <c r="I82" s="287">
        <v>0</v>
      </c>
      <c r="J82" s="281">
        <f t="shared" si="28"/>
        <v>4200000</v>
      </c>
      <c r="K82" s="282">
        <f t="shared" si="29"/>
        <v>1</v>
      </c>
      <c r="L82" s="281">
        <f t="shared" si="30"/>
        <v>0</v>
      </c>
      <c r="M82" s="281">
        <f>G82/3</f>
        <v>1400000</v>
      </c>
      <c r="N82" s="282">
        <f t="shared" si="31"/>
        <v>0.33333333333333331</v>
      </c>
      <c r="O82" s="287">
        <f t="shared" si="32"/>
        <v>-1400000</v>
      </c>
      <c r="P82" s="284">
        <f t="shared" si="33"/>
        <v>-0.33333333333333331</v>
      </c>
    </row>
    <row r="83" spans="1:16" ht="15.75" thickBot="1">
      <c r="A83" s="289"/>
      <c r="B83" s="290"/>
      <c r="C83" s="332">
        <v>4045</v>
      </c>
      <c r="D83" s="333"/>
      <c r="E83" s="334"/>
      <c r="F83" s="343" t="s">
        <v>3250</v>
      </c>
      <c r="G83" s="294">
        <f>SUM(G81:G82)</f>
        <v>12600000</v>
      </c>
      <c r="H83" s="294">
        <f>SUM(H81:H82)</f>
        <v>4520000</v>
      </c>
      <c r="I83" s="294">
        <f>SUM(I81:I82)</f>
        <v>0</v>
      </c>
      <c r="J83" s="294">
        <f>SUM(J81:J82)</f>
        <v>4520000</v>
      </c>
      <c r="K83" s="297">
        <f t="shared" si="29"/>
        <v>0.35873015873015873</v>
      </c>
      <c r="L83" s="296">
        <f t="shared" si="30"/>
        <v>8080000</v>
      </c>
      <c r="M83" s="296"/>
      <c r="N83" s="297">
        <f>+AVERAGE(,N81,N82)</f>
        <v>0.22222222222222221</v>
      </c>
      <c r="O83" s="296">
        <f t="shared" si="32"/>
        <v>8080000</v>
      </c>
      <c r="P83" s="298">
        <f t="shared" si="33"/>
        <v>0.64126984126984132</v>
      </c>
    </row>
    <row r="84" spans="1:16" ht="41.25" customHeight="1">
      <c r="A84" s="276"/>
      <c r="B84" s="277"/>
      <c r="C84" s="276"/>
      <c r="D84" s="278"/>
      <c r="E84" s="278"/>
      <c r="F84" s="341" t="s">
        <v>3251</v>
      </c>
      <c r="G84" s="342"/>
      <c r="H84" s="286"/>
      <c r="I84" s="272"/>
      <c r="J84" s="281"/>
      <c r="K84" s="282"/>
      <c r="L84" s="281"/>
      <c r="M84" s="283"/>
      <c r="N84" s="282"/>
      <c r="O84" s="287"/>
      <c r="P84" s="284"/>
    </row>
    <row r="85" spans="1:16" ht="33" customHeight="1">
      <c r="A85" s="276"/>
      <c r="B85" s="277"/>
      <c r="C85" s="276" t="s">
        <v>161</v>
      </c>
      <c r="D85" s="278"/>
      <c r="E85" s="278"/>
      <c r="F85" s="328" t="s">
        <v>3252</v>
      </c>
      <c r="G85" s="344">
        <v>9770000</v>
      </c>
      <c r="H85" s="286"/>
      <c r="I85" s="272">
        <v>8000000</v>
      </c>
      <c r="J85" s="281">
        <f t="shared" si="28"/>
        <v>8000000</v>
      </c>
      <c r="K85" s="282">
        <f t="shared" si="29"/>
        <v>0.81883316274309115</v>
      </c>
      <c r="L85" s="281">
        <f t="shared" si="30"/>
        <v>1770000</v>
      </c>
      <c r="M85" s="281">
        <v>0</v>
      </c>
      <c r="N85" s="282">
        <f t="shared" si="31"/>
        <v>0</v>
      </c>
      <c r="O85" s="287">
        <f t="shared" si="32"/>
        <v>1770000</v>
      </c>
      <c r="P85" s="284">
        <f t="shared" si="33"/>
        <v>0.18116683725690891</v>
      </c>
    </row>
    <row r="86" spans="1:16" ht="15" customHeight="1">
      <c r="A86" s="276"/>
      <c r="B86" s="277"/>
      <c r="C86" s="276" t="s">
        <v>161</v>
      </c>
      <c r="D86" s="278"/>
      <c r="E86" s="278"/>
      <c r="F86" s="328" t="s">
        <v>3253</v>
      </c>
      <c r="G86" s="329">
        <v>6000000</v>
      </c>
      <c r="H86" s="286"/>
      <c r="I86" s="272">
        <v>4400000</v>
      </c>
      <c r="J86" s="281">
        <f t="shared" si="28"/>
        <v>4400000</v>
      </c>
      <c r="K86" s="282">
        <f t="shared" si="29"/>
        <v>0.73333333333333328</v>
      </c>
      <c r="L86" s="281">
        <f t="shared" si="30"/>
        <v>1600000</v>
      </c>
      <c r="M86" s="273">
        <v>6000000</v>
      </c>
      <c r="N86" s="282">
        <f t="shared" si="31"/>
        <v>1</v>
      </c>
      <c r="O86" s="287">
        <f t="shared" si="32"/>
        <v>-4400000</v>
      </c>
      <c r="P86" s="284">
        <f t="shared" si="33"/>
        <v>-0.73333333333333328</v>
      </c>
    </row>
    <row r="87" spans="1:16" ht="68.25" customHeight="1">
      <c r="A87" s="276"/>
      <c r="B87" s="277"/>
      <c r="C87" s="276"/>
      <c r="D87" s="278"/>
      <c r="E87" s="278"/>
      <c r="F87" s="345" t="s">
        <v>3254</v>
      </c>
      <c r="G87" s="346"/>
      <c r="H87" s="286"/>
      <c r="I87" s="272"/>
      <c r="J87" s="338"/>
      <c r="K87" s="347"/>
      <c r="L87" s="338"/>
      <c r="M87" s="338"/>
      <c r="N87" s="282"/>
      <c r="O87" s="287"/>
      <c r="P87" s="284"/>
    </row>
    <row r="88" spans="1:16" ht="15" customHeight="1">
      <c r="A88" s="276"/>
      <c r="B88" s="277"/>
      <c r="C88" s="276" t="s">
        <v>161</v>
      </c>
      <c r="D88" s="278"/>
      <c r="E88" s="278"/>
      <c r="F88" s="328" t="s">
        <v>3255</v>
      </c>
      <c r="G88" s="346">
        <v>192000000</v>
      </c>
      <c r="H88" s="286">
        <v>60000000</v>
      </c>
      <c r="I88" s="319">
        <v>14000000</v>
      </c>
      <c r="J88" s="338">
        <f t="shared" si="28"/>
        <v>74000000</v>
      </c>
      <c r="K88" s="347">
        <f t="shared" si="29"/>
        <v>0.38541666666666669</v>
      </c>
      <c r="L88" s="338">
        <f t="shared" si="30"/>
        <v>118000000</v>
      </c>
      <c r="M88" s="338">
        <f>(L88/16)*3</f>
        <v>22125000</v>
      </c>
      <c r="N88" s="282">
        <f t="shared" si="31"/>
        <v>0.115234375</v>
      </c>
      <c r="O88" s="287">
        <f t="shared" si="32"/>
        <v>95875000</v>
      </c>
      <c r="P88" s="284">
        <f t="shared" si="33"/>
        <v>0.49934895833333331</v>
      </c>
    </row>
    <row r="89" spans="1:16">
      <c r="A89" s="276"/>
      <c r="B89" s="277"/>
      <c r="C89" s="276" t="s">
        <v>161</v>
      </c>
      <c r="D89" s="278"/>
      <c r="E89" s="278"/>
      <c r="F89" s="328" t="s">
        <v>3231</v>
      </c>
      <c r="G89" s="346">
        <v>18000000</v>
      </c>
      <c r="H89" s="286"/>
      <c r="I89" s="272"/>
      <c r="J89" s="338">
        <f t="shared" si="28"/>
        <v>0</v>
      </c>
      <c r="K89" s="347">
        <f t="shared" si="29"/>
        <v>0</v>
      </c>
      <c r="L89" s="338">
        <f t="shared" si="30"/>
        <v>18000000</v>
      </c>
      <c r="M89" s="338">
        <f>30*3*40000</f>
        <v>3600000</v>
      </c>
      <c r="N89" s="282">
        <f t="shared" si="31"/>
        <v>0.2</v>
      </c>
      <c r="O89" s="287">
        <f t="shared" si="32"/>
        <v>14400000</v>
      </c>
      <c r="P89" s="284">
        <f t="shared" si="33"/>
        <v>0.8</v>
      </c>
    </row>
    <row r="90" spans="1:16" ht="15" customHeight="1">
      <c r="A90" s="276"/>
      <c r="B90" s="277"/>
      <c r="C90" s="276" t="s">
        <v>161</v>
      </c>
      <c r="D90" s="278"/>
      <c r="E90" s="278"/>
      <c r="F90" s="328" t="s">
        <v>3232</v>
      </c>
      <c r="G90" s="346">
        <v>4500000</v>
      </c>
      <c r="H90" s="286">
        <v>1800000</v>
      </c>
      <c r="I90" s="272">
        <v>3425000</v>
      </c>
      <c r="J90" s="338">
        <f t="shared" si="28"/>
        <v>5225000</v>
      </c>
      <c r="K90" s="347">
        <f t="shared" si="29"/>
        <v>1.1611111111111112</v>
      </c>
      <c r="L90" s="338">
        <f t="shared" si="30"/>
        <v>-725000</v>
      </c>
      <c r="M90" s="338">
        <f>800000*3</f>
        <v>2400000</v>
      </c>
      <c r="N90" s="282">
        <f t="shared" si="31"/>
        <v>0.53333333333333333</v>
      </c>
      <c r="O90" s="287">
        <f t="shared" si="32"/>
        <v>-3125000</v>
      </c>
      <c r="P90" s="284">
        <f t="shared" si="33"/>
        <v>-0.69444444444444442</v>
      </c>
    </row>
    <row r="91" spans="1:16">
      <c r="A91" s="276"/>
      <c r="B91" s="277"/>
      <c r="C91" s="276" t="s">
        <v>161</v>
      </c>
      <c r="D91" s="278"/>
      <c r="E91" s="278"/>
      <c r="F91" s="328" t="s">
        <v>3234</v>
      </c>
      <c r="G91" s="346">
        <v>9000000</v>
      </c>
      <c r="H91" s="286">
        <v>1600000</v>
      </c>
      <c r="I91" s="272">
        <v>3000000</v>
      </c>
      <c r="J91" s="338">
        <f t="shared" si="28"/>
        <v>4600000</v>
      </c>
      <c r="K91" s="347">
        <f t="shared" si="29"/>
        <v>0.51111111111111107</v>
      </c>
      <c r="L91" s="338">
        <f t="shared" si="30"/>
        <v>4400000</v>
      </c>
      <c r="M91" s="338">
        <f>30*3*20000</f>
        <v>1800000</v>
      </c>
      <c r="N91" s="282">
        <f t="shared" si="31"/>
        <v>0.2</v>
      </c>
      <c r="O91" s="287">
        <f t="shared" si="32"/>
        <v>2600000</v>
      </c>
      <c r="P91" s="284">
        <f t="shared" si="33"/>
        <v>0.28888888888888886</v>
      </c>
    </row>
    <row r="92" spans="1:16" ht="62.25" customHeight="1">
      <c r="A92" s="276"/>
      <c r="B92" s="277"/>
      <c r="C92" s="276"/>
      <c r="D92" s="278"/>
      <c r="E92" s="278"/>
      <c r="F92" s="345" t="s">
        <v>3256</v>
      </c>
      <c r="G92" s="329"/>
      <c r="H92" s="286"/>
      <c r="I92" s="272"/>
      <c r="J92" s="281"/>
      <c r="K92" s="282"/>
      <c r="L92" s="281"/>
      <c r="M92" s="281"/>
      <c r="N92" s="282"/>
      <c r="O92" s="287"/>
      <c r="P92" s="284"/>
    </row>
    <row r="93" spans="1:16">
      <c r="A93" s="276"/>
      <c r="B93" s="277"/>
      <c r="C93" s="276" t="s">
        <v>161</v>
      </c>
      <c r="D93" s="278"/>
      <c r="E93" s="278"/>
      <c r="F93" s="328" t="s">
        <v>3231</v>
      </c>
      <c r="G93" s="348">
        <f>50*40000*25</f>
        <v>50000000</v>
      </c>
      <c r="H93" s="286"/>
      <c r="I93" s="272"/>
      <c r="J93" s="281">
        <f t="shared" si="28"/>
        <v>0</v>
      </c>
      <c r="K93" s="282">
        <f t="shared" si="29"/>
        <v>0</v>
      </c>
      <c r="L93" s="281">
        <f t="shared" si="30"/>
        <v>50000000</v>
      </c>
      <c r="M93" s="273"/>
      <c r="N93" s="282">
        <f t="shared" si="31"/>
        <v>0</v>
      </c>
      <c r="O93" s="287">
        <f t="shared" si="32"/>
        <v>50000000</v>
      </c>
      <c r="P93" s="284">
        <f t="shared" si="33"/>
        <v>1</v>
      </c>
    </row>
    <row r="94" spans="1:16">
      <c r="A94" s="276"/>
      <c r="B94" s="277"/>
      <c r="C94" s="276" t="s">
        <v>161</v>
      </c>
      <c r="D94" s="278"/>
      <c r="E94" s="278"/>
      <c r="F94" s="328" t="s">
        <v>3257</v>
      </c>
      <c r="G94" s="348">
        <f>600000*25</f>
        <v>15000000</v>
      </c>
      <c r="H94" s="286"/>
      <c r="I94" s="272"/>
      <c r="J94" s="281">
        <f t="shared" si="28"/>
        <v>0</v>
      </c>
      <c r="K94" s="282">
        <f t="shared" si="29"/>
        <v>0</v>
      </c>
      <c r="L94" s="281">
        <f t="shared" si="30"/>
        <v>15000000</v>
      </c>
      <c r="M94" s="273">
        <v>0</v>
      </c>
      <c r="N94" s="282">
        <f t="shared" si="31"/>
        <v>0</v>
      </c>
      <c r="O94" s="287">
        <f t="shared" si="32"/>
        <v>15000000</v>
      </c>
      <c r="P94" s="284">
        <f t="shared" si="33"/>
        <v>1</v>
      </c>
    </row>
    <row r="95" spans="1:16">
      <c r="A95" s="276"/>
      <c r="B95" s="277"/>
      <c r="C95" s="276" t="s">
        <v>161</v>
      </c>
      <c r="D95" s="278"/>
      <c r="E95" s="278"/>
      <c r="F95" s="328" t="s">
        <v>3232</v>
      </c>
      <c r="G95" s="348">
        <f>300000*25</f>
        <v>7500000</v>
      </c>
      <c r="H95" s="286"/>
      <c r="I95" s="272"/>
      <c r="J95" s="281">
        <f t="shared" si="28"/>
        <v>0</v>
      </c>
      <c r="K95" s="282">
        <f t="shared" si="29"/>
        <v>0</v>
      </c>
      <c r="L95" s="281">
        <f t="shared" si="30"/>
        <v>7500000</v>
      </c>
      <c r="M95" s="273"/>
      <c r="N95" s="282">
        <f t="shared" si="31"/>
        <v>0</v>
      </c>
      <c r="O95" s="287">
        <f t="shared" si="32"/>
        <v>7500000</v>
      </c>
      <c r="P95" s="284">
        <f t="shared" si="33"/>
        <v>1</v>
      </c>
    </row>
    <row r="96" spans="1:16">
      <c r="A96" s="276"/>
      <c r="B96" s="277"/>
      <c r="C96" s="276" t="s">
        <v>161</v>
      </c>
      <c r="D96" s="278"/>
      <c r="E96" s="278"/>
      <c r="F96" s="328" t="s">
        <v>3234</v>
      </c>
      <c r="G96" s="348">
        <f>20000*50*25</f>
        <v>25000000</v>
      </c>
      <c r="H96" s="286"/>
      <c r="I96" s="272"/>
      <c r="J96" s="281">
        <f t="shared" si="28"/>
        <v>0</v>
      </c>
      <c r="K96" s="282">
        <f t="shared" si="29"/>
        <v>0</v>
      </c>
      <c r="L96" s="281">
        <f t="shared" si="30"/>
        <v>25000000</v>
      </c>
      <c r="M96" s="273"/>
      <c r="N96" s="282">
        <f t="shared" si="31"/>
        <v>0</v>
      </c>
      <c r="O96" s="287">
        <f t="shared" si="32"/>
        <v>25000000</v>
      </c>
      <c r="P96" s="284">
        <f t="shared" si="33"/>
        <v>1</v>
      </c>
    </row>
    <row r="97" spans="1:16" ht="15" customHeight="1">
      <c r="A97" s="276"/>
      <c r="B97" s="277"/>
      <c r="C97" s="276" t="s">
        <v>161</v>
      </c>
      <c r="D97" s="278"/>
      <c r="E97" s="278"/>
      <c r="F97" s="328" t="s">
        <v>3258</v>
      </c>
      <c r="G97" s="349">
        <v>20000000</v>
      </c>
      <c r="H97" s="286"/>
      <c r="I97" s="272"/>
      <c r="J97" s="281">
        <f t="shared" si="28"/>
        <v>0</v>
      </c>
      <c r="K97" s="282">
        <f t="shared" si="29"/>
        <v>0</v>
      </c>
      <c r="L97" s="281">
        <f t="shared" si="30"/>
        <v>20000000</v>
      </c>
      <c r="M97" s="273">
        <v>0</v>
      </c>
      <c r="N97" s="282">
        <f t="shared" si="31"/>
        <v>0</v>
      </c>
      <c r="O97" s="287">
        <f t="shared" si="32"/>
        <v>20000000</v>
      </c>
      <c r="P97" s="284">
        <f t="shared" si="33"/>
        <v>1</v>
      </c>
    </row>
    <row r="98" spans="1:16" ht="88.5" customHeight="1">
      <c r="A98" s="276"/>
      <c r="B98" s="277"/>
      <c r="C98" s="276"/>
      <c r="D98" s="278"/>
      <c r="E98" s="278"/>
      <c r="F98" s="345" t="s">
        <v>3259</v>
      </c>
      <c r="G98" s="344"/>
      <c r="H98" s="286"/>
      <c r="I98" s="272"/>
      <c r="J98" s="281">
        <f t="shared" si="28"/>
        <v>0</v>
      </c>
      <c r="K98" s="282">
        <f t="shared" si="29"/>
        <v>0</v>
      </c>
      <c r="L98" s="281">
        <f t="shared" si="30"/>
        <v>0</v>
      </c>
      <c r="M98" s="281"/>
      <c r="N98" s="282">
        <f t="shared" si="31"/>
        <v>0</v>
      </c>
      <c r="O98" s="287">
        <f t="shared" si="32"/>
        <v>0</v>
      </c>
      <c r="P98" s="284">
        <f t="shared" si="33"/>
        <v>0</v>
      </c>
    </row>
    <row r="99" spans="1:16" ht="15" customHeight="1">
      <c r="A99" s="276"/>
      <c r="B99" s="277"/>
      <c r="C99" s="276" t="s">
        <v>165</v>
      </c>
      <c r="D99" s="278"/>
      <c r="E99" s="278"/>
      <c r="F99" s="328" t="s">
        <v>3260</v>
      </c>
      <c r="G99" s="348">
        <f>2000000*6</f>
        <v>12000000</v>
      </c>
      <c r="H99" s="286"/>
      <c r="I99" s="272"/>
      <c r="J99" s="281">
        <f t="shared" si="28"/>
        <v>0</v>
      </c>
      <c r="K99" s="282">
        <f t="shared" si="29"/>
        <v>0</v>
      </c>
      <c r="L99" s="281">
        <f t="shared" si="30"/>
        <v>12000000</v>
      </c>
      <c r="M99" s="281"/>
      <c r="N99" s="282">
        <f t="shared" si="31"/>
        <v>0</v>
      </c>
      <c r="O99" s="287">
        <f t="shared" si="32"/>
        <v>12000000</v>
      </c>
      <c r="P99" s="284">
        <f t="shared" si="33"/>
        <v>1</v>
      </c>
    </row>
    <row r="100" spans="1:16">
      <c r="A100" s="276"/>
      <c r="B100" s="277"/>
      <c r="C100" s="276" t="s">
        <v>165</v>
      </c>
      <c r="D100" s="278"/>
      <c r="E100" s="278"/>
      <c r="F100" s="328" t="s">
        <v>3231</v>
      </c>
      <c r="G100" s="348">
        <f>20*40000*5</f>
        <v>4000000</v>
      </c>
      <c r="H100" s="286"/>
      <c r="I100" s="272"/>
      <c r="J100" s="281">
        <f t="shared" si="28"/>
        <v>0</v>
      </c>
      <c r="K100" s="282">
        <f t="shared" si="29"/>
        <v>0</v>
      </c>
      <c r="L100" s="281">
        <f t="shared" si="30"/>
        <v>4000000</v>
      </c>
      <c r="M100" s="281">
        <f>2*20*40000</f>
        <v>1600000</v>
      </c>
      <c r="N100" s="282">
        <f t="shared" si="31"/>
        <v>0.4</v>
      </c>
      <c r="O100" s="287">
        <f t="shared" si="32"/>
        <v>2400000</v>
      </c>
      <c r="P100" s="284">
        <f t="shared" si="33"/>
        <v>0.6</v>
      </c>
    </row>
    <row r="101" spans="1:16">
      <c r="A101" s="276"/>
      <c r="B101" s="277"/>
      <c r="C101" s="276" t="s">
        <v>165</v>
      </c>
      <c r="D101" s="278"/>
      <c r="E101" s="278"/>
      <c r="F101" s="328" t="s">
        <v>3261</v>
      </c>
      <c r="G101" s="348">
        <f>600000*5</f>
        <v>3000000</v>
      </c>
      <c r="H101" s="286"/>
      <c r="I101" s="272"/>
      <c r="J101" s="281">
        <f t="shared" si="28"/>
        <v>0</v>
      </c>
      <c r="K101" s="282">
        <f t="shared" si="29"/>
        <v>0</v>
      </c>
      <c r="L101" s="281">
        <f t="shared" si="30"/>
        <v>3000000</v>
      </c>
      <c r="M101" s="281"/>
      <c r="N101" s="282">
        <f t="shared" si="31"/>
        <v>0</v>
      </c>
      <c r="O101" s="287">
        <f t="shared" si="32"/>
        <v>3000000</v>
      </c>
      <c r="P101" s="284">
        <f t="shared" si="33"/>
        <v>1</v>
      </c>
    </row>
    <row r="102" spans="1:16">
      <c r="A102" s="276"/>
      <c r="B102" s="277"/>
      <c r="C102" s="276" t="s">
        <v>165</v>
      </c>
      <c r="D102" s="278"/>
      <c r="E102" s="278"/>
      <c r="F102" s="328" t="s">
        <v>3262</v>
      </c>
      <c r="G102" s="348">
        <f>300000*5</f>
        <v>1500000</v>
      </c>
      <c r="H102" s="286"/>
      <c r="I102" s="272"/>
      <c r="J102" s="281">
        <f t="shared" si="28"/>
        <v>0</v>
      </c>
      <c r="K102" s="282">
        <f t="shared" si="29"/>
        <v>0</v>
      </c>
      <c r="L102" s="281">
        <f t="shared" si="30"/>
        <v>1500000</v>
      </c>
      <c r="M102" s="281">
        <v>0</v>
      </c>
      <c r="N102" s="282">
        <f t="shared" si="31"/>
        <v>0</v>
      </c>
      <c r="O102" s="287">
        <f t="shared" si="32"/>
        <v>1500000</v>
      </c>
      <c r="P102" s="284">
        <f t="shared" si="33"/>
        <v>1</v>
      </c>
    </row>
    <row r="103" spans="1:16" ht="15" customHeight="1">
      <c r="A103" s="276"/>
      <c r="B103" s="277"/>
      <c r="C103" s="276"/>
      <c r="D103" s="278"/>
      <c r="E103" s="278"/>
      <c r="F103" s="328" t="s">
        <v>3234</v>
      </c>
      <c r="G103" s="348">
        <f>20000*20*5</f>
        <v>2000000</v>
      </c>
      <c r="H103" s="286"/>
      <c r="I103" s="272"/>
      <c r="J103" s="281">
        <f t="shared" si="28"/>
        <v>0</v>
      </c>
      <c r="K103" s="282">
        <f t="shared" si="29"/>
        <v>0</v>
      </c>
      <c r="L103" s="281">
        <f t="shared" si="30"/>
        <v>2000000</v>
      </c>
      <c r="M103" s="281">
        <f>20*20000*2</f>
        <v>800000</v>
      </c>
      <c r="N103" s="282">
        <f t="shared" si="31"/>
        <v>0.4</v>
      </c>
      <c r="O103" s="287">
        <f t="shared" si="32"/>
        <v>1200000</v>
      </c>
      <c r="P103" s="284">
        <f t="shared" si="33"/>
        <v>0.6</v>
      </c>
    </row>
    <row r="104" spans="1:16" ht="71.25" customHeight="1">
      <c r="A104" s="276"/>
      <c r="B104" s="277"/>
      <c r="C104" s="276"/>
      <c r="D104" s="278"/>
      <c r="E104" s="278"/>
      <c r="F104" s="345" t="s">
        <v>3263</v>
      </c>
      <c r="G104" s="329"/>
      <c r="H104" s="286"/>
      <c r="I104" s="272"/>
      <c r="J104" s="281"/>
      <c r="K104" s="282"/>
      <c r="L104" s="281"/>
      <c r="M104" s="281"/>
      <c r="N104" s="282"/>
      <c r="O104" s="287"/>
      <c r="P104" s="284"/>
    </row>
    <row r="105" spans="1:16">
      <c r="A105" s="276"/>
      <c r="B105" s="277"/>
      <c r="C105" s="276" t="s">
        <v>161</v>
      </c>
      <c r="D105" s="278"/>
      <c r="E105" s="278"/>
      <c r="F105" s="328" t="s">
        <v>3231</v>
      </c>
      <c r="G105" s="348">
        <f>(30*5*40000)+(70*40000)</f>
        <v>8800000</v>
      </c>
      <c r="H105" s="286"/>
      <c r="I105" s="272"/>
      <c r="J105" s="281">
        <f t="shared" si="28"/>
        <v>0</v>
      </c>
      <c r="K105" s="282">
        <f t="shared" si="29"/>
        <v>0</v>
      </c>
      <c r="L105" s="281">
        <f t="shared" si="30"/>
        <v>8800000</v>
      </c>
      <c r="M105" s="281">
        <v>0</v>
      </c>
      <c r="N105" s="282">
        <f t="shared" si="31"/>
        <v>0</v>
      </c>
      <c r="O105" s="287">
        <f t="shared" si="32"/>
        <v>8800000</v>
      </c>
      <c r="P105" s="284">
        <f t="shared" si="33"/>
        <v>1</v>
      </c>
    </row>
    <row r="106" spans="1:16">
      <c r="A106" s="276"/>
      <c r="B106" s="277"/>
      <c r="C106" s="276" t="s">
        <v>161</v>
      </c>
      <c r="D106" s="278"/>
      <c r="E106" s="278"/>
      <c r="F106" s="328" t="s">
        <v>3264</v>
      </c>
      <c r="G106" s="348">
        <f>20*100000</f>
        <v>2000000</v>
      </c>
      <c r="H106" s="286"/>
      <c r="I106" s="272"/>
      <c r="J106" s="281">
        <f t="shared" si="28"/>
        <v>0</v>
      </c>
      <c r="K106" s="282">
        <f t="shared" si="29"/>
        <v>0</v>
      </c>
      <c r="L106" s="281">
        <f t="shared" si="30"/>
        <v>2000000</v>
      </c>
      <c r="M106" s="281">
        <v>0</v>
      </c>
      <c r="N106" s="282">
        <f t="shared" si="31"/>
        <v>0</v>
      </c>
      <c r="O106" s="287">
        <f t="shared" si="32"/>
        <v>2000000</v>
      </c>
      <c r="P106" s="284">
        <f t="shared" si="33"/>
        <v>1</v>
      </c>
    </row>
    <row r="107" spans="1:16">
      <c r="A107" s="276"/>
      <c r="B107" s="277"/>
      <c r="C107" s="276" t="s">
        <v>161</v>
      </c>
      <c r="D107" s="278"/>
      <c r="E107" s="278"/>
      <c r="F107" s="328" t="s">
        <v>3234</v>
      </c>
      <c r="G107" s="348">
        <f>(30*5*20000)+(70*20000)</f>
        <v>4400000</v>
      </c>
      <c r="H107" s="286"/>
      <c r="I107" s="272"/>
      <c r="J107" s="281">
        <f t="shared" si="28"/>
        <v>0</v>
      </c>
      <c r="K107" s="282">
        <f t="shared" si="29"/>
        <v>0</v>
      </c>
      <c r="L107" s="281">
        <f t="shared" si="30"/>
        <v>4400000</v>
      </c>
      <c r="M107" s="281">
        <v>0</v>
      </c>
      <c r="N107" s="282">
        <f t="shared" si="31"/>
        <v>0</v>
      </c>
      <c r="O107" s="287">
        <f t="shared" si="32"/>
        <v>4400000</v>
      </c>
      <c r="P107" s="284">
        <f t="shared" si="33"/>
        <v>1</v>
      </c>
    </row>
    <row r="108" spans="1:16" ht="39.75" customHeight="1">
      <c r="A108" s="276"/>
      <c r="B108" s="277"/>
      <c r="C108" s="276"/>
      <c r="D108" s="278"/>
      <c r="E108" s="278"/>
      <c r="F108" s="345" t="s">
        <v>3265</v>
      </c>
      <c r="G108" s="329"/>
      <c r="H108" s="286"/>
      <c r="I108" s="272"/>
      <c r="J108" s="281">
        <f t="shared" si="28"/>
        <v>0</v>
      </c>
      <c r="K108" s="282">
        <f t="shared" si="29"/>
        <v>0</v>
      </c>
      <c r="L108" s="281">
        <f t="shared" si="30"/>
        <v>0</v>
      </c>
      <c r="M108" s="281"/>
      <c r="N108" s="282">
        <f t="shared" si="31"/>
        <v>0</v>
      </c>
      <c r="O108" s="287">
        <f t="shared" si="32"/>
        <v>0</v>
      </c>
      <c r="P108" s="284">
        <f t="shared" si="33"/>
        <v>0</v>
      </c>
    </row>
    <row r="109" spans="1:16">
      <c r="A109" s="276"/>
      <c r="B109" s="277"/>
      <c r="C109" s="276" t="s">
        <v>161</v>
      </c>
      <c r="D109" s="278"/>
      <c r="E109" s="278"/>
      <c r="F109" s="328" t="s">
        <v>3266</v>
      </c>
      <c r="G109" s="349">
        <v>49000000</v>
      </c>
      <c r="H109" s="286"/>
      <c r="I109" s="272"/>
      <c r="J109" s="338">
        <f t="shared" si="28"/>
        <v>0</v>
      </c>
      <c r="K109" s="347">
        <f t="shared" si="29"/>
        <v>0</v>
      </c>
      <c r="L109" s="338">
        <f t="shared" si="30"/>
        <v>49000000</v>
      </c>
      <c r="M109" s="338">
        <v>5000000</v>
      </c>
      <c r="N109" s="282">
        <f t="shared" si="31"/>
        <v>0.10204081632653061</v>
      </c>
      <c r="O109" s="287">
        <f t="shared" si="32"/>
        <v>44000000</v>
      </c>
      <c r="P109" s="284">
        <f t="shared" si="33"/>
        <v>0.89795918367346939</v>
      </c>
    </row>
    <row r="110" spans="1:16" ht="51.75" customHeight="1">
      <c r="A110" s="276"/>
      <c r="B110" s="277"/>
      <c r="C110" s="276"/>
      <c r="D110" s="278"/>
      <c r="E110" s="278"/>
      <c r="F110" s="345" t="s">
        <v>3267</v>
      </c>
      <c r="G110" s="329"/>
      <c r="H110" s="286"/>
      <c r="I110" s="272"/>
      <c r="J110" s="281"/>
      <c r="K110" s="282"/>
      <c r="L110" s="281"/>
      <c r="M110" s="281"/>
      <c r="N110" s="282"/>
      <c r="O110" s="287"/>
      <c r="P110" s="284"/>
    </row>
    <row r="111" spans="1:16">
      <c r="A111" s="276"/>
      <c r="B111" s="277"/>
      <c r="C111" s="276" t="s">
        <v>173</v>
      </c>
      <c r="D111" s="278"/>
      <c r="E111" s="278"/>
      <c r="F111" s="328" t="s">
        <v>3231</v>
      </c>
      <c r="G111" s="329">
        <v>32000000</v>
      </c>
      <c r="H111" s="286"/>
      <c r="I111" s="272"/>
      <c r="J111" s="281">
        <f t="shared" si="28"/>
        <v>0</v>
      </c>
      <c r="K111" s="282">
        <f t="shared" si="29"/>
        <v>0</v>
      </c>
      <c r="L111" s="281">
        <f t="shared" si="30"/>
        <v>32000000</v>
      </c>
      <c r="M111" s="281">
        <f>300*40000</f>
        <v>12000000</v>
      </c>
      <c r="N111" s="282">
        <f t="shared" si="31"/>
        <v>0.375</v>
      </c>
      <c r="O111" s="287">
        <f t="shared" si="32"/>
        <v>20000000</v>
      </c>
      <c r="P111" s="284">
        <f t="shared" si="33"/>
        <v>0.625</v>
      </c>
    </row>
    <row r="112" spans="1:16">
      <c r="A112" s="276"/>
      <c r="B112" s="277"/>
      <c r="C112" s="276" t="s">
        <v>173</v>
      </c>
      <c r="D112" s="278"/>
      <c r="E112" s="278"/>
      <c r="F112" s="328" t="s">
        <v>3232</v>
      </c>
      <c r="G112" s="329">
        <v>1500000</v>
      </c>
      <c r="H112" s="286"/>
      <c r="I112" s="272"/>
      <c r="J112" s="281">
        <f t="shared" si="28"/>
        <v>0</v>
      </c>
      <c r="K112" s="282">
        <f t="shared" si="29"/>
        <v>0</v>
      </c>
      <c r="L112" s="281">
        <f t="shared" si="30"/>
        <v>1500000</v>
      </c>
      <c r="M112" s="281">
        <v>1500000</v>
      </c>
      <c r="N112" s="282">
        <f t="shared" si="31"/>
        <v>1</v>
      </c>
      <c r="O112" s="287">
        <f t="shared" si="32"/>
        <v>0</v>
      </c>
      <c r="P112" s="284">
        <f t="shared" si="33"/>
        <v>0</v>
      </c>
    </row>
    <row r="113" spans="1:16">
      <c r="A113" s="276"/>
      <c r="B113" s="277"/>
      <c r="C113" s="276" t="s">
        <v>173</v>
      </c>
      <c r="D113" s="278"/>
      <c r="E113" s="278"/>
      <c r="F113" s="328" t="s">
        <v>3234</v>
      </c>
      <c r="G113" s="329">
        <v>16000000</v>
      </c>
      <c r="H113" s="286"/>
      <c r="I113" s="272"/>
      <c r="J113" s="281">
        <f t="shared" si="28"/>
        <v>0</v>
      </c>
      <c r="K113" s="282">
        <f t="shared" si="29"/>
        <v>0</v>
      </c>
      <c r="L113" s="281">
        <f t="shared" si="30"/>
        <v>16000000</v>
      </c>
      <c r="M113" s="281">
        <f>300*20000</f>
        <v>6000000</v>
      </c>
      <c r="N113" s="282">
        <f t="shared" si="31"/>
        <v>0.375</v>
      </c>
      <c r="O113" s="287">
        <f t="shared" si="32"/>
        <v>10000000</v>
      </c>
      <c r="P113" s="284">
        <f t="shared" si="33"/>
        <v>0.625</v>
      </c>
    </row>
    <row r="114" spans="1:16">
      <c r="A114" s="276"/>
      <c r="B114" s="277"/>
      <c r="C114" s="276" t="s">
        <v>173</v>
      </c>
      <c r="D114" s="278"/>
      <c r="E114" s="278"/>
      <c r="F114" s="328" t="s">
        <v>3245</v>
      </c>
      <c r="G114" s="346">
        <v>2500000</v>
      </c>
      <c r="H114" s="286"/>
      <c r="I114" s="272"/>
      <c r="J114" s="338">
        <f t="shared" si="28"/>
        <v>0</v>
      </c>
      <c r="K114" s="347">
        <f t="shared" si="29"/>
        <v>0</v>
      </c>
      <c r="L114" s="338">
        <f t="shared" si="30"/>
        <v>2500000</v>
      </c>
      <c r="M114" s="338">
        <v>2500000</v>
      </c>
      <c r="N114" s="282">
        <f t="shared" si="31"/>
        <v>1</v>
      </c>
      <c r="O114" s="287">
        <f t="shared" si="32"/>
        <v>0</v>
      </c>
      <c r="P114" s="284">
        <f t="shared" si="33"/>
        <v>0</v>
      </c>
    </row>
    <row r="115" spans="1:16" ht="15.75" thickBot="1">
      <c r="A115" s="276"/>
      <c r="B115" s="277"/>
      <c r="C115" s="276" t="s">
        <v>173</v>
      </c>
      <c r="D115" s="278"/>
      <c r="E115" s="278"/>
      <c r="F115" s="330" t="s">
        <v>3268</v>
      </c>
      <c r="G115" s="329">
        <v>5000000</v>
      </c>
      <c r="H115" s="286"/>
      <c r="I115" s="272"/>
      <c r="J115" s="281">
        <f t="shared" si="28"/>
        <v>0</v>
      </c>
      <c r="K115" s="282">
        <f t="shared" si="29"/>
        <v>0</v>
      </c>
      <c r="L115" s="281">
        <f t="shared" si="30"/>
        <v>5000000</v>
      </c>
      <c r="M115" s="281">
        <v>0</v>
      </c>
      <c r="N115" s="282">
        <f t="shared" si="31"/>
        <v>0</v>
      </c>
      <c r="O115" s="287">
        <f t="shared" si="32"/>
        <v>5000000</v>
      </c>
      <c r="P115" s="284">
        <f t="shared" si="33"/>
        <v>1</v>
      </c>
    </row>
    <row r="116" spans="1:16" ht="15.75" thickBot="1">
      <c r="A116" s="289"/>
      <c r="B116" s="290"/>
      <c r="C116" s="332">
        <v>4045</v>
      </c>
      <c r="D116" s="333"/>
      <c r="E116" s="334"/>
      <c r="F116" s="343" t="s">
        <v>3269</v>
      </c>
      <c r="G116" s="294">
        <f>SUM(G84:G115)</f>
        <v>500470000</v>
      </c>
      <c r="H116" s="294">
        <f t="shared" ref="H116:O116" si="37">SUM(H84:H115)</f>
        <v>63400000</v>
      </c>
      <c r="I116" s="294">
        <f t="shared" si="37"/>
        <v>32825000</v>
      </c>
      <c r="J116" s="294">
        <f t="shared" si="37"/>
        <v>96225000</v>
      </c>
      <c r="K116" s="294">
        <f t="shared" si="37"/>
        <v>3.6098053849653136</v>
      </c>
      <c r="L116" s="294">
        <f t="shared" si="37"/>
        <v>404245000</v>
      </c>
      <c r="M116" s="294">
        <f t="shared" si="37"/>
        <v>65325000</v>
      </c>
      <c r="N116" s="350">
        <f>+AVERAGE(N85:N115)</f>
        <v>0.21113364906147644</v>
      </c>
      <c r="O116" s="294">
        <f t="shared" si="37"/>
        <v>338920000</v>
      </c>
      <c r="P116" s="298">
        <f>+IF(+G116&lt;&gt;0,O116/G116,0)</f>
        <v>0.67720342877694961</v>
      </c>
    </row>
    <row r="117" spans="1:16" ht="51" customHeight="1">
      <c r="A117" s="276"/>
      <c r="B117" s="277"/>
      <c r="C117" s="276"/>
      <c r="D117" s="278"/>
      <c r="E117" s="278"/>
      <c r="F117" s="335" t="s">
        <v>3270</v>
      </c>
      <c r="G117" s="336"/>
      <c r="H117" s="286"/>
      <c r="I117" s="272"/>
      <c r="J117" s="281"/>
      <c r="K117" s="282"/>
      <c r="L117" s="281"/>
      <c r="M117" s="281"/>
      <c r="N117" s="282"/>
      <c r="O117" s="287"/>
      <c r="P117" s="284"/>
    </row>
    <row r="118" spans="1:16">
      <c r="A118" s="276"/>
      <c r="B118" s="277"/>
      <c r="C118" s="276" t="s">
        <v>169</v>
      </c>
      <c r="D118" s="278"/>
      <c r="E118" s="278"/>
      <c r="F118" s="253" t="s">
        <v>3231</v>
      </c>
      <c r="G118" s="337">
        <v>16000000</v>
      </c>
      <c r="H118" s="286"/>
      <c r="I118" s="272"/>
      <c r="J118" s="281">
        <f t="shared" ref="J118:J125" si="38">+H118+I118</f>
        <v>0</v>
      </c>
      <c r="K118" s="282">
        <f t="shared" si="29"/>
        <v>0</v>
      </c>
      <c r="L118" s="281">
        <f t="shared" si="30"/>
        <v>16000000</v>
      </c>
      <c r="M118" s="281">
        <v>0</v>
      </c>
      <c r="N118" s="282">
        <f t="shared" si="31"/>
        <v>0</v>
      </c>
      <c r="O118" s="287">
        <f t="shared" si="32"/>
        <v>16000000</v>
      </c>
      <c r="P118" s="284">
        <f t="shared" si="33"/>
        <v>1</v>
      </c>
    </row>
    <row r="119" spans="1:16">
      <c r="A119" s="276"/>
      <c r="B119" s="277"/>
      <c r="C119" s="276" t="s">
        <v>169</v>
      </c>
      <c r="D119" s="278"/>
      <c r="E119" s="278"/>
      <c r="F119" s="253" t="s">
        <v>3232</v>
      </c>
      <c r="G119" s="337">
        <v>2400000</v>
      </c>
      <c r="H119" s="286">
        <v>1650000</v>
      </c>
      <c r="I119" s="272">
        <v>0</v>
      </c>
      <c r="J119" s="281">
        <f t="shared" si="38"/>
        <v>1650000</v>
      </c>
      <c r="K119" s="282">
        <f t="shared" ref="K119:K125" si="39">+IF(G119&lt;&gt;0,+J119/G119,0)</f>
        <v>0.6875</v>
      </c>
      <c r="L119" s="281">
        <f t="shared" ref="L119:L125" si="40">+G119-J119</f>
        <v>750000</v>
      </c>
      <c r="M119" s="281">
        <v>0</v>
      </c>
      <c r="N119" s="282">
        <f t="shared" ref="N119:N125" si="41">+IF(G119&lt;&gt;0,M119/G119,0)</f>
        <v>0</v>
      </c>
      <c r="O119" s="287">
        <f t="shared" ref="O119:O125" si="42">+G119-J119-M119</f>
        <v>750000</v>
      </c>
      <c r="P119" s="284">
        <f t="shared" si="33"/>
        <v>0.3125</v>
      </c>
    </row>
    <row r="120" spans="1:16">
      <c r="A120" s="276"/>
      <c r="B120" s="277"/>
      <c r="C120" s="276" t="s">
        <v>169</v>
      </c>
      <c r="D120" s="278"/>
      <c r="E120" s="278"/>
      <c r="F120" s="253" t="s">
        <v>3234</v>
      </c>
      <c r="G120" s="337">
        <v>14000000</v>
      </c>
      <c r="H120" s="286"/>
      <c r="I120" s="272"/>
      <c r="J120" s="281">
        <f t="shared" si="38"/>
        <v>0</v>
      </c>
      <c r="K120" s="282">
        <f t="shared" si="39"/>
        <v>0</v>
      </c>
      <c r="L120" s="281">
        <f t="shared" si="40"/>
        <v>14000000</v>
      </c>
      <c r="M120" s="281">
        <v>0</v>
      </c>
      <c r="N120" s="282">
        <f t="shared" si="41"/>
        <v>0</v>
      </c>
      <c r="O120" s="287">
        <f t="shared" si="42"/>
        <v>14000000</v>
      </c>
      <c r="P120" s="284">
        <f t="shared" si="33"/>
        <v>1</v>
      </c>
    </row>
    <row r="121" spans="1:16" ht="15.75" thickBot="1">
      <c r="A121" s="276"/>
      <c r="B121" s="277"/>
      <c r="C121" s="277" t="s">
        <v>169</v>
      </c>
      <c r="D121" s="278"/>
      <c r="E121" s="278"/>
      <c r="F121" s="253" t="s">
        <v>3271</v>
      </c>
      <c r="G121" s="351">
        <v>12000000</v>
      </c>
      <c r="H121" s="286">
        <v>800000</v>
      </c>
      <c r="I121" s="272">
        <v>0</v>
      </c>
      <c r="J121" s="281">
        <f t="shared" si="38"/>
        <v>800000</v>
      </c>
      <c r="K121" s="282">
        <f t="shared" si="39"/>
        <v>6.6666666666666666E-2</v>
      </c>
      <c r="L121" s="281">
        <f t="shared" si="40"/>
        <v>11200000</v>
      </c>
      <c r="M121" s="281">
        <v>0</v>
      </c>
      <c r="N121" s="282">
        <f t="shared" si="41"/>
        <v>0</v>
      </c>
      <c r="O121" s="287">
        <f t="shared" si="42"/>
        <v>11200000</v>
      </c>
      <c r="P121" s="284">
        <f t="shared" si="33"/>
        <v>0.93333333333333335</v>
      </c>
    </row>
    <row r="122" spans="1:16" ht="15.75" thickBot="1">
      <c r="A122" s="289"/>
      <c r="B122" s="290"/>
      <c r="C122" s="332">
        <v>4045</v>
      </c>
      <c r="D122" s="333"/>
      <c r="E122" s="334"/>
      <c r="F122" s="293" t="s">
        <v>3272</v>
      </c>
      <c r="G122" s="352">
        <f>SUM(G118:G121)</f>
        <v>44400000</v>
      </c>
      <c r="H122" s="352">
        <f>SUM(H118:H121)</f>
        <v>2450000</v>
      </c>
      <c r="I122" s="352">
        <f>SUM(I118:I121)</f>
        <v>0</v>
      </c>
      <c r="J122" s="352">
        <f>SUM(J118:J121)</f>
        <v>2450000</v>
      </c>
      <c r="K122" s="297">
        <f t="shared" si="39"/>
        <v>5.5180180180180179E-2</v>
      </c>
      <c r="L122" s="296">
        <f t="shared" si="40"/>
        <v>41950000</v>
      </c>
      <c r="M122" s="296"/>
      <c r="N122" s="297">
        <f>+IF(G122&lt;&gt;0,M122/G122,0)</f>
        <v>0</v>
      </c>
      <c r="O122" s="296">
        <f t="shared" si="42"/>
        <v>41950000</v>
      </c>
      <c r="P122" s="298">
        <f t="shared" si="33"/>
        <v>0.94481981981981977</v>
      </c>
    </row>
    <row r="123" spans="1:16" ht="37.5" customHeight="1">
      <c r="A123" s="276"/>
      <c r="B123" s="277"/>
      <c r="C123" s="276"/>
      <c r="D123" s="278"/>
      <c r="E123" s="278"/>
      <c r="F123" s="335" t="s">
        <v>3273</v>
      </c>
      <c r="G123" s="336"/>
      <c r="H123" s="286"/>
      <c r="I123" s="272"/>
      <c r="J123" s="281"/>
      <c r="K123" s="282"/>
      <c r="L123" s="281"/>
      <c r="M123" s="283"/>
      <c r="N123" s="282"/>
      <c r="O123" s="287"/>
      <c r="P123" s="284"/>
    </row>
    <row r="124" spans="1:16">
      <c r="A124" s="276"/>
      <c r="B124" s="277"/>
      <c r="C124" s="276" t="s">
        <v>169</v>
      </c>
      <c r="D124" s="278"/>
      <c r="E124" s="278"/>
      <c r="F124" s="253" t="s">
        <v>3231</v>
      </c>
      <c r="G124" s="337">
        <f>11*40000*15</f>
        <v>6600000</v>
      </c>
      <c r="H124" s="286"/>
      <c r="I124" s="272"/>
      <c r="J124" s="281">
        <f t="shared" si="38"/>
        <v>0</v>
      </c>
      <c r="K124" s="282">
        <f t="shared" si="39"/>
        <v>0</v>
      </c>
      <c r="L124" s="281">
        <f t="shared" si="40"/>
        <v>6600000</v>
      </c>
      <c r="M124" s="281">
        <f>+L124/2</f>
        <v>3300000</v>
      </c>
      <c r="N124" s="282">
        <f t="shared" si="41"/>
        <v>0.5</v>
      </c>
      <c r="O124" s="287">
        <f t="shared" si="42"/>
        <v>3300000</v>
      </c>
      <c r="P124" s="284">
        <f t="shared" si="33"/>
        <v>0.5</v>
      </c>
    </row>
    <row r="125" spans="1:16" ht="15.75" thickBot="1">
      <c r="A125" s="276"/>
      <c r="B125" s="277"/>
      <c r="C125" s="276" t="s">
        <v>169</v>
      </c>
      <c r="D125" s="278"/>
      <c r="E125" s="278"/>
      <c r="F125" s="253" t="s">
        <v>3234</v>
      </c>
      <c r="G125" s="351">
        <f>11*20000*15</f>
        <v>3300000</v>
      </c>
      <c r="H125" s="286"/>
      <c r="I125" s="272"/>
      <c r="J125" s="281">
        <f t="shared" si="38"/>
        <v>0</v>
      </c>
      <c r="K125" s="282">
        <f t="shared" si="39"/>
        <v>0</v>
      </c>
      <c r="L125" s="281">
        <f t="shared" si="40"/>
        <v>3300000</v>
      </c>
      <c r="M125" s="281">
        <f>+L125/2</f>
        <v>1650000</v>
      </c>
      <c r="N125" s="282">
        <f t="shared" si="41"/>
        <v>0.5</v>
      </c>
      <c r="O125" s="287">
        <f t="shared" si="42"/>
        <v>1650000</v>
      </c>
      <c r="P125" s="284">
        <f t="shared" si="33"/>
        <v>0.5</v>
      </c>
    </row>
    <row r="126" spans="1:16" ht="15.75" thickBot="1">
      <c r="A126" s="289"/>
      <c r="B126" s="290"/>
      <c r="C126" s="332">
        <v>4045</v>
      </c>
      <c r="D126" s="333"/>
      <c r="E126" s="334"/>
      <c r="F126" s="293" t="s">
        <v>3274</v>
      </c>
      <c r="G126" s="352">
        <f>SUM(G124:G125)</f>
        <v>9900000</v>
      </c>
      <c r="H126" s="294">
        <f t="shared" ref="H126:O126" si="43">SUM(H124:H125)</f>
        <v>0</v>
      </c>
      <c r="I126" s="294">
        <f t="shared" si="43"/>
        <v>0</v>
      </c>
      <c r="J126" s="294">
        <f t="shared" si="43"/>
        <v>0</v>
      </c>
      <c r="K126" s="294">
        <f t="shared" si="43"/>
        <v>0</v>
      </c>
      <c r="L126" s="294">
        <f t="shared" si="43"/>
        <v>9900000</v>
      </c>
      <c r="M126" s="294">
        <f t="shared" si="43"/>
        <v>4950000</v>
      </c>
      <c r="N126" s="350">
        <f>+AVERAGE(N124:N125)</f>
        <v>0.5</v>
      </c>
      <c r="O126" s="294">
        <f t="shared" si="43"/>
        <v>4950000</v>
      </c>
      <c r="P126" s="298">
        <f t="shared" si="33"/>
        <v>0.5</v>
      </c>
    </row>
    <row r="127" spans="1:16">
      <c r="A127" s="276"/>
      <c r="B127" s="277"/>
      <c r="C127" s="276"/>
      <c r="D127" s="278"/>
      <c r="E127" s="278"/>
      <c r="G127" s="285"/>
      <c r="H127" s="286"/>
      <c r="I127" s="272"/>
      <c r="J127" s="281"/>
      <c r="K127" s="282"/>
      <c r="L127" s="281"/>
      <c r="M127" s="283"/>
      <c r="N127" s="282"/>
      <c r="O127" s="287"/>
      <c r="P127" s="284"/>
    </row>
    <row r="128" spans="1:16" ht="15.75" thickBot="1">
      <c r="A128" s="276"/>
      <c r="B128" s="277"/>
      <c r="C128" s="276"/>
      <c r="D128" s="306"/>
      <c r="E128" s="306"/>
      <c r="F128" s="317"/>
      <c r="G128" s="353"/>
      <c r="H128" s="286"/>
      <c r="I128" s="272"/>
      <c r="J128" s="281"/>
      <c r="K128" s="282"/>
      <c r="L128" s="281"/>
      <c r="M128" s="283"/>
      <c r="N128" s="282"/>
      <c r="O128" s="287"/>
      <c r="P128" s="284"/>
    </row>
    <row r="129" spans="1:16" s="252" customFormat="1" ht="15.75" thickBot="1">
      <c r="A129" s="289"/>
      <c r="B129" s="290"/>
      <c r="C129" s="332">
        <v>4045</v>
      </c>
      <c r="D129" s="292">
        <v>5</v>
      </c>
      <c r="E129" s="292"/>
      <c r="F129" s="293" t="s">
        <v>3275</v>
      </c>
      <c r="G129" s="292">
        <f>G122+G116+G83+G71+G60+G126+G79</f>
        <v>821620000</v>
      </c>
      <c r="H129" s="292">
        <f t="shared" ref="H129:O129" si="44">H122+H116+H83+H71+H60+H126+H79</f>
        <v>114837533</v>
      </c>
      <c r="I129" s="292">
        <f t="shared" si="44"/>
        <v>56605000</v>
      </c>
      <c r="J129" s="292">
        <f t="shared" si="44"/>
        <v>171442533</v>
      </c>
      <c r="K129" s="292"/>
      <c r="L129" s="292">
        <f t="shared" si="44"/>
        <v>650177467</v>
      </c>
      <c r="M129" s="292">
        <f t="shared" si="44"/>
        <v>175675000</v>
      </c>
      <c r="N129" s="292"/>
      <c r="O129" s="292">
        <f t="shared" si="44"/>
        <v>474502467</v>
      </c>
      <c r="P129" s="298">
        <f t="shared" si="33"/>
        <v>0.57752058981037457</v>
      </c>
    </row>
    <row r="130" spans="1:16" ht="15.75" thickBot="1">
      <c r="A130" s="276"/>
      <c r="B130" s="277"/>
      <c r="C130" s="354"/>
      <c r="G130" s="311"/>
      <c r="H130" s="355"/>
      <c r="I130" s="356"/>
      <c r="J130" s="356"/>
      <c r="K130" s="357"/>
      <c r="L130" s="356"/>
      <c r="M130" s="356"/>
      <c r="N130" s="357"/>
      <c r="O130" s="356"/>
      <c r="P130" s="358"/>
    </row>
    <row r="131" spans="1:16" ht="15.75" thickBot="1">
      <c r="A131" s="289"/>
      <c r="B131" s="290"/>
      <c r="C131" s="359" t="s">
        <v>3276</v>
      </c>
      <c r="D131" s="260"/>
      <c r="E131" s="360"/>
      <c r="F131" s="360"/>
      <c r="G131" s="292">
        <f t="shared" ref="G131:O131" si="45">+G13+G26+G40+G51+G129</f>
        <v>1260000000</v>
      </c>
      <c r="H131" s="295">
        <f t="shared" si="45"/>
        <v>317751583.25999999</v>
      </c>
      <c r="I131" s="296">
        <f>+I13+I26+I40+I51+I129</f>
        <v>87332160.299999997</v>
      </c>
      <c r="J131" s="361">
        <f>+J13+J26+J40+J51+J129</f>
        <v>405083743.56</v>
      </c>
      <c r="K131" s="362"/>
      <c r="L131" s="361">
        <f t="shared" si="45"/>
        <v>854916256.44000006</v>
      </c>
      <c r="M131" s="361">
        <f t="shared" si="45"/>
        <v>276918750</v>
      </c>
      <c r="N131" s="362"/>
      <c r="O131" s="361">
        <f t="shared" si="45"/>
        <v>577997506.44000006</v>
      </c>
      <c r="P131" s="298">
        <f>+IF(+G131&lt;&gt;0,O131/G131,0)</f>
        <v>0.45872817971428576</v>
      </c>
    </row>
    <row r="132" spans="1:16">
      <c r="D132" s="252"/>
    </row>
    <row r="133" spans="1:16">
      <c r="J133" s="392"/>
    </row>
    <row r="134" spans="1:16">
      <c r="F134" s="253" t="s">
        <v>3277</v>
      </c>
      <c r="J134" s="392">
        <f>+J131/$R$2</f>
        <v>111398.02947899989</v>
      </c>
    </row>
    <row r="136" spans="1:16">
      <c r="F136" s="363"/>
      <c r="G136" s="364"/>
    </row>
    <row r="137" spans="1:16">
      <c r="F137" s="365"/>
      <c r="G137" s="364"/>
    </row>
    <row r="138" spans="1:16">
      <c r="F138" s="364"/>
      <c r="G138" s="364"/>
    </row>
    <row r="139" spans="1:16" ht="15.75">
      <c r="F139" s="366" t="s">
        <v>3278</v>
      </c>
      <c r="G139" s="367"/>
      <c r="H139" s="368"/>
      <c r="I139" s="369"/>
      <c r="J139" s="368"/>
      <c r="K139" s="368"/>
      <c r="L139" s="368"/>
      <c r="M139" s="368"/>
      <c r="N139" s="368"/>
      <c r="O139" s="368"/>
    </row>
    <row r="140" spans="1:16" ht="15.75">
      <c r="B140" s="370" t="s">
        <v>3279</v>
      </c>
      <c r="D140" s="252"/>
      <c r="E140" s="252"/>
      <c r="F140" s="371" t="s">
        <v>3280</v>
      </c>
      <c r="G140" s="368"/>
      <c r="H140" s="390"/>
      <c r="I140" s="390"/>
      <c r="J140" s="390"/>
      <c r="K140" s="368"/>
      <c r="L140" s="517">
        <v>44471</v>
      </c>
      <c r="M140" s="518"/>
      <c r="N140" s="518"/>
      <c r="O140" s="518"/>
    </row>
    <row r="141" spans="1:16" ht="21">
      <c r="D141" s="519" t="s">
        <v>3281</v>
      </c>
      <c r="E141" s="519"/>
      <c r="F141" s="520"/>
      <c r="G141" s="372"/>
      <c r="H141" s="391" t="s">
        <v>3282</v>
      </c>
      <c r="I141" s="391"/>
      <c r="J141" s="391"/>
      <c r="K141" s="372"/>
      <c r="L141" s="520" t="s">
        <v>3283</v>
      </c>
      <c r="M141" s="520"/>
      <c r="N141" s="520"/>
      <c r="O141" s="520"/>
    </row>
    <row r="142" spans="1:16" ht="18">
      <c r="D142" s="372"/>
      <c r="E142" s="372"/>
      <c r="F142" s="372"/>
      <c r="G142" s="372"/>
      <c r="H142" s="372"/>
      <c r="I142" s="373"/>
      <c r="J142" s="372"/>
      <c r="K142" s="372"/>
      <c r="L142" s="372"/>
      <c r="M142" s="372"/>
      <c r="N142" s="372"/>
      <c r="O142" s="372"/>
    </row>
    <row r="143" spans="1:16" ht="18">
      <c r="D143" s="372"/>
      <c r="E143" s="372"/>
      <c r="F143" s="372"/>
      <c r="G143" s="372"/>
      <c r="H143" s="372"/>
      <c r="I143" s="373"/>
      <c r="J143" s="372"/>
      <c r="K143" s="372"/>
      <c r="L143" s="372"/>
      <c r="M143" s="372"/>
      <c r="N143" s="372"/>
      <c r="O143" s="372"/>
    </row>
    <row r="150" spans="1:2">
      <c r="A150" s="374"/>
      <c r="B150" s="252"/>
    </row>
    <row r="151" spans="1:2">
      <c r="A151" s="374"/>
      <c r="B151" s="252"/>
    </row>
    <row r="152" spans="1:2">
      <c r="A152" s="374"/>
      <c r="B152" s="252"/>
    </row>
    <row r="153" spans="1:2">
      <c r="A153" s="374"/>
      <c r="B153" s="252"/>
    </row>
    <row r="154" spans="1:2">
      <c r="A154" s="374"/>
      <c r="B154" s="252"/>
    </row>
    <row r="155" spans="1:2">
      <c r="A155" s="374"/>
      <c r="B155" s="252"/>
    </row>
    <row r="156" spans="1:2">
      <c r="A156" s="374"/>
      <c r="B156" s="252"/>
    </row>
    <row r="157" spans="1:2">
      <c r="A157" s="374"/>
      <c r="B157" s="252"/>
    </row>
    <row r="158" spans="1:2">
      <c r="B158" s="252"/>
    </row>
    <row r="159" spans="1:2">
      <c r="B159" s="252"/>
    </row>
  </sheetData>
  <mergeCells count="3">
    <mergeCell ref="L140:O140"/>
    <mergeCell ref="D141:F141"/>
    <mergeCell ref="L141:O14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180"/>
  <sheetViews>
    <sheetView topLeftCell="A136" zoomScale="70" zoomScaleNormal="70" workbookViewId="0">
      <selection activeCell="J159" sqref="J159"/>
    </sheetView>
  </sheetViews>
  <sheetFormatPr baseColWidth="10" defaultColWidth="11.42578125" defaultRowHeight="15"/>
  <cols>
    <col min="1" max="2" width="11.42578125" style="251"/>
    <col min="3" max="5" width="11.42578125" style="253"/>
    <col min="6" max="6" width="73.140625" style="253" bestFit="1" customWidth="1"/>
    <col min="7" max="7" width="27.42578125" style="253" bestFit="1" customWidth="1"/>
    <col min="8" max="8" width="36.5703125" style="440" bestFit="1" customWidth="1"/>
    <col min="9" max="9" width="23.42578125" style="440" bestFit="1" customWidth="1"/>
    <col min="10" max="10" width="38.42578125" style="440" bestFit="1" customWidth="1"/>
    <col min="11" max="11" width="11.42578125" style="253"/>
    <col min="12" max="12" width="28.5703125" style="440" bestFit="1" customWidth="1"/>
    <col min="13" max="13" width="14.5703125" style="440" bestFit="1" customWidth="1"/>
    <col min="14" max="14" width="11.42578125" style="253"/>
    <col min="15" max="15" width="15.28515625" style="440" customWidth="1"/>
    <col min="16" max="16" width="11.42578125" style="253"/>
    <col min="17" max="17" width="17.5703125" customWidth="1"/>
    <col min="18" max="18" width="19.5703125" customWidth="1"/>
  </cols>
  <sheetData>
    <row r="1" spans="1:18" ht="59.25" customHeight="1" thickBot="1">
      <c r="A1" s="405"/>
      <c r="C1" s="251"/>
      <c r="D1" s="251"/>
      <c r="G1" s="443" t="s">
        <v>3165</v>
      </c>
      <c r="H1" s="444" t="s">
        <v>3166</v>
      </c>
      <c r="I1" s="444" t="s">
        <v>3167</v>
      </c>
      <c r="J1" s="387" t="s">
        <v>3168</v>
      </c>
      <c r="K1" s="388"/>
      <c r="L1" s="444" t="s">
        <v>3169</v>
      </c>
      <c r="M1" s="387" t="s">
        <v>3170</v>
      </c>
      <c r="N1" s="388"/>
      <c r="O1" s="387" t="s">
        <v>3171</v>
      </c>
      <c r="P1" s="389"/>
      <c r="Q1" t="s">
        <v>3180</v>
      </c>
      <c r="R1" s="393">
        <v>3584.229390681</v>
      </c>
    </row>
    <row r="2" spans="1:18" ht="45.75" thickBot="1">
      <c r="A2" s="256" t="s">
        <v>3172</v>
      </c>
      <c r="B2" s="257" t="s">
        <v>3173</v>
      </c>
      <c r="C2" s="258" t="s">
        <v>3174</v>
      </c>
      <c r="D2" s="259" t="s">
        <v>3175</v>
      </c>
      <c r="E2" s="259" t="s">
        <v>3176</v>
      </c>
      <c r="F2" s="260" t="s">
        <v>3177</v>
      </c>
      <c r="G2" s="261"/>
      <c r="H2" s="406"/>
      <c r="I2" s="407"/>
      <c r="J2" s="408" t="s">
        <v>3178</v>
      </c>
      <c r="K2" s="265" t="s">
        <v>3179</v>
      </c>
      <c r="L2" s="408"/>
      <c r="M2" s="408" t="s">
        <v>3178</v>
      </c>
      <c r="N2" s="265" t="s">
        <v>3179</v>
      </c>
      <c r="O2" s="408" t="s">
        <v>3178</v>
      </c>
      <c r="P2" s="266" t="s">
        <v>3179</v>
      </c>
    </row>
    <row r="3" spans="1:18">
      <c r="A3" s="276"/>
      <c r="B3" s="376"/>
      <c r="C3" s="377"/>
      <c r="D3" s="278"/>
      <c r="E3" s="278"/>
      <c r="F3" s="315"/>
      <c r="G3" s="318"/>
      <c r="H3" s="280"/>
      <c r="I3" s="281"/>
      <c r="J3" s="281"/>
      <c r="K3" s="301"/>
      <c r="L3" s="281"/>
      <c r="M3" s="281"/>
      <c r="N3" s="301"/>
      <c r="O3" s="281"/>
      <c r="P3" s="302"/>
    </row>
    <row r="4" spans="1:18">
      <c r="A4" s="276"/>
      <c r="B4" s="376"/>
      <c r="C4" s="377"/>
      <c r="D4" s="303" t="s">
        <v>3181</v>
      </c>
      <c r="E4" s="303"/>
      <c r="F4" s="252" t="s">
        <v>3182</v>
      </c>
      <c r="G4" s="311"/>
      <c r="H4" s="409"/>
      <c r="I4" s="409"/>
      <c r="J4" s="281"/>
      <c r="K4" s="301"/>
      <c r="L4" s="281"/>
      <c r="M4" s="281"/>
      <c r="N4" s="301"/>
      <c r="O4" s="281"/>
      <c r="P4" s="302"/>
    </row>
    <row r="5" spans="1:18">
      <c r="A5" s="276"/>
      <c r="B5" s="376"/>
      <c r="C5" s="377"/>
      <c r="D5" s="303"/>
      <c r="E5" s="303"/>
      <c r="F5" s="253" t="s">
        <v>3284</v>
      </c>
      <c r="G5" s="285">
        <v>2474800</v>
      </c>
      <c r="H5" s="410">
        <v>0</v>
      </c>
      <c r="I5" s="410">
        <v>0</v>
      </c>
      <c r="J5" s="281">
        <f t="shared" ref="J5:J12" si="0">+H5+I5</f>
        <v>0</v>
      </c>
      <c r="K5" s="301">
        <f t="shared" ref="K5:K12" si="1">+IF(G5&lt;&gt;0,+J5/G5,0)</f>
        <v>0</v>
      </c>
      <c r="L5" s="409">
        <f t="shared" ref="L5:L12" si="2">+G5-J5</f>
        <v>2474800</v>
      </c>
      <c r="M5" s="411">
        <v>2474800</v>
      </c>
      <c r="N5" s="301">
        <f t="shared" ref="N5:N12" si="3">+IF(G5&lt;&gt;0,M5/G5,0)</f>
        <v>1</v>
      </c>
      <c r="O5" s="281">
        <f t="shared" ref="O5:O12" si="4">+G5-J5-M5</f>
        <v>0</v>
      </c>
      <c r="P5" s="302">
        <f t="shared" ref="P5:P12" si="5">+IF(+G5&lt;&gt;0,O5/G5,0)</f>
        <v>0</v>
      </c>
    </row>
    <row r="6" spans="1:18">
      <c r="A6" s="276"/>
      <c r="B6" s="376"/>
      <c r="C6" s="377"/>
      <c r="D6" s="303"/>
      <c r="E6" s="303"/>
      <c r="F6" s="253" t="s">
        <v>3285</v>
      </c>
      <c r="G6" s="285">
        <v>1044000</v>
      </c>
      <c r="H6" s="410">
        <v>0</v>
      </c>
      <c r="I6" s="410">
        <v>0</v>
      </c>
      <c r="J6" s="281">
        <f t="shared" si="0"/>
        <v>0</v>
      </c>
      <c r="K6" s="301">
        <f t="shared" si="1"/>
        <v>0</v>
      </c>
      <c r="L6" s="409">
        <f t="shared" si="2"/>
        <v>1044000</v>
      </c>
      <c r="M6" s="411">
        <v>1044000</v>
      </c>
      <c r="N6" s="301">
        <f t="shared" si="3"/>
        <v>1</v>
      </c>
      <c r="O6" s="281">
        <f t="shared" si="4"/>
        <v>0</v>
      </c>
      <c r="P6" s="302">
        <f t="shared" si="5"/>
        <v>0</v>
      </c>
    </row>
    <row r="7" spans="1:18">
      <c r="A7" s="276"/>
      <c r="B7" s="376"/>
      <c r="C7" s="377"/>
      <c r="D7" s="303"/>
      <c r="E7" s="303"/>
      <c r="F7" s="253" t="s">
        <v>3286</v>
      </c>
      <c r="G7" s="285">
        <v>1500000</v>
      </c>
      <c r="H7" s="410">
        <v>0</v>
      </c>
      <c r="I7" s="410">
        <v>0</v>
      </c>
      <c r="J7" s="281">
        <f t="shared" si="0"/>
        <v>0</v>
      </c>
      <c r="K7" s="301">
        <f t="shared" si="1"/>
        <v>0</v>
      </c>
      <c r="L7" s="409">
        <f t="shared" si="2"/>
        <v>1500000</v>
      </c>
      <c r="M7" s="411">
        <v>1500000</v>
      </c>
      <c r="N7" s="301">
        <f t="shared" si="3"/>
        <v>1</v>
      </c>
      <c r="O7" s="281">
        <f t="shared" si="4"/>
        <v>0</v>
      </c>
      <c r="P7" s="302">
        <f t="shared" si="5"/>
        <v>0</v>
      </c>
    </row>
    <row r="8" spans="1:18">
      <c r="A8" s="276"/>
      <c r="B8" s="376"/>
      <c r="C8" s="377"/>
      <c r="D8" s="303"/>
      <c r="E8" s="303"/>
      <c r="F8" s="253" t="s">
        <v>3287</v>
      </c>
      <c r="G8" s="285">
        <v>2931600</v>
      </c>
      <c r="H8" s="410">
        <v>0</v>
      </c>
      <c r="I8" s="410">
        <v>0</v>
      </c>
      <c r="J8" s="281">
        <f t="shared" si="0"/>
        <v>0</v>
      </c>
      <c r="K8" s="301">
        <f t="shared" si="1"/>
        <v>0</v>
      </c>
      <c r="L8" s="409">
        <f t="shared" si="2"/>
        <v>2931600</v>
      </c>
      <c r="M8" s="411">
        <v>2931600</v>
      </c>
      <c r="N8" s="301">
        <f t="shared" si="3"/>
        <v>1</v>
      </c>
      <c r="O8" s="281">
        <f t="shared" si="4"/>
        <v>0</v>
      </c>
      <c r="P8" s="302">
        <f t="shared" si="5"/>
        <v>0</v>
      </c>
    </row>
    <row r="9" spans="1:18">
      <c r="A9" s="276"/>
      <c r="B9" s="376"/>
      <c r="C9" s="377"/>
      <c r="D9" s="303"/>
      <c r="E9" s="303"/>
      <c r="F9" s="253" t="s">
        <v>3288</v>
      </c>
      <c r="G9" s="285">
        <v>875000</v>
      </c>
      <c r="H9" s="410">
        <v>0</v>
      </c>
      <c r="I9" s="410">
        <v>0</v>
      </c>
      <c r="J9" s="281">
        <f t="shared" si="0"/>
        <v>0</v>
      </c>
      <c r="K9" s="301">
        <f t="shared" si="1"/>
        <v>0</v>
      </c>
      <c r="L9" s="409">
        <f t="shared" si="2"/>
        <v>875000</v>
      </c>
      <c r="M9" s="411">
        <v>875000</v>
      </c>
      <c r="N9" s="301">
        <f t="shared" si="3"/>
        <v>1</v>
      </c>
      <c r="O9" s="281">
        <f t="shared" si="4"/>
        <v>0</v>
      </c>
      <c r="P9" s="302">
        <f t="shared" si="5"/>
        <v>0</v>
      </c>
    </row>
    <row r="10" spans="1:18">
      <c r="A10" s="276"/>
      <c r="B10" s="376"/>
      <c r="C10" s="377"/>
      <c r="D10" s="303"/>
      <c r="E10" s="303"/>
      <c r="F10" s="253" t="s">
        <v>3289</v>
      </c>
      <c r="G10" s="285">
        <v>2000000</v>
      </c>
      <c r="H10" s="410">
        <v>0</v>
      </c>
      <c r="I10" s="410">
        <v>0</v>
      </c>
      <c r="J10" s="281">
        <f t="shared" si="0"/>
        <v>0</v>
      </c>
      <c r="K10" s="301">
        <f t="shared" si="1"/>
        <v>0</v>
      </c>
      <c r="L10" s="409">
        <f t="shared" si="2"/>
        <v>2000000</v>
      </c>
      <c r="M10" s="411">
        <v>2000000</v>
      </c>
      <c r="N10" s="301">
        <f t="shared" si="3"/>
        <v>1</v>
      </c>
      <c r="O10" s="281">
        <f t="shared" si="4"/>
        <v>0</v>
      </c>
      <c r="P10" s="302">
        <f t="shared" si="5"/>
        <v>0</v>
      </c>
    </row>
    <row r="11" spans="1:18">
      <c r="A11" s="276"/>
      <c r="B11" s="376"/>
      <c r="C11" s="377"/>
      <c r="D11" s="303"/>
      <c r="E11" s="303"/>
      <c r="F11" s="253" t="s">
        <v>3290</v>
      </c>
      <c r="G11" s="285">
        <v>1000000</v>
      </c>
      <c r="H11" s="410">
        <v>0</v>
      </c>
      <c r="I11" s="410">
        <v>0</v>
      </c>
      <c r="J11" s="281">
        <f t="shared" si="0"/>
        <v>0</v>
      </c>
      <c r="K11" s="301">
        <f t="shared" si="1"/>
        <v>0</v>
      </c>
      <c r="L11" s="409">
        <f t="shared" si="2"/>
        <v>1000000</v>
      </c>
      <c r="M11" s="411">
        <v>1000000</v>
      </c>
      <c r="N11" s="301">
        <f t="shared" si="3"/>
        <v>1</v>
      </c>
      <c r="O11" s="281">
        <f t="shared" si="4"/>
        <v>0</v>
      </c>
      <c r="P11" s="302">
        <f t="shared" si="5"/>
        <v>0</v>
      </c>
    </row>
    <row r="12" spans="1:18">
      <c r="A12" s="276"/>
      <c r="B12" s="376"/>
      <c r="C12" s="377"/>
      <c r="D12" s="303"/>
      <c r="E12" s="303"/>
      <c r="F12" s="253" t="s">
        <v>3291</v>
      </c>
      <c r="G12" s="285">
        <v>8550000</v>
      </c>
      <c r="H12" s="410">
        <v>0</v>
      </c>
      <c r="I12" s="410">
        <v>0</v>
      </c>
      <c r="J12" s="281">
        <f t="shared" si="0"/>
        <v>0</v>
      </c>
      <c r="K12" s="301">
        <f t="shared" si="1"/>
        <v>0</v>
      </c>
      <c r="L12" s="409">
        <f t="shared" si="2"/>
        <v>8550000</v>
      </c>
      <c r="M12" s="411">
        <v>8550000</v>
      </c>
      <c r="N12" s="301">
        <f t="shared" si="3"/>
        <v>1</v>
      </c>
      <c r="O12" s="281">
        <f t="shared" si="4"/>
        <v>0</v>
      </c>
      <c r="P12" s="302">
        <f t="shared" si="5"/>
        <v>0</v>
      </c>
    </row>
    <row r="13" spans="1:18">
      <c r="A13" s="276"/>
      <c r="B13" s="376"/>
      <c r="C13" s="377"/>
      <c r="D13" s="306"/>
      <c r="E13" s="306"/>
      <c r="G13" s="285"/>
      <c r="H13" s="280"/>
      <c r="I13" s="281"/>
      <c r="J13" s="281"/>
      <c r="K13" s="282"/>
      <c r="L13" s="281"/>
      <c r="M13" s="281"/>
      <c r="N13" s="282"/>
      <c r="O13" s="281"/>
      <c r="P13" s="284"/>
    </row>
    <row r="14" spans="1:18" ht="15.75" thickBot="1">
      <c r="A14" s="412"/>
      <c r="B14" s="413"/>
      <c r="C14" s="291">
        <v>4041</v>
      </c>
      <c r="D14" s="292">
        <v>1</v>
      </c>
      <c r="E14" s="292"/>
      <c r="F14" s="293" t="s">
        <v>3204</v>
      </c>
      <c r="G14" s="292">
        <v>20375400</v>
      </c>
      <c r="H14" s="414">
        <f>SUM(H4:H12)</f>
        <v>0</v>
      </c>
      <c r="I14" s="415">
        <f>SUM(I4:I12)</f>
        <v>0</v>
      </c>
      <c r="J14" s="415">
        <f>SUM(J4:J12)</f>
        <v>0</v>
      </c>
      <c r="K14" s="362">
        <f>+IF(G14&lt;&gt;0,+J14/G14,0)</f>
        <v>0</v>
      </c>
      <c r="L14" s="415">
        <f>SUM(L4:L13)</f>
        <v>20375400</v>
      </c>
      <c r="M14" s="415">
        <f>SUM(M4:M12)</f>
        <v>20375400</v>
      </c>
      <c r="N14" s="362">
        <f>+IF(G14&lt;&gt;0,M14/G14,0)</f>
        <v>1</v>
      </c>
      <c r="O14" s="415">
        <f>SUM(O4:O12)</f>
        <v>0</v>
      </c>
      <c r="P14" s="416">
        <f>+IF(+G14&lt;&gt;0,O14/G14,0)</f>
        <v>0</v>
      </c>
      <c r="R14" s="447">
        <f>M14+M24+M36+M45+M153</f>
        <v>315142918.92690825</v>
      </c>
    </row>
    <row r="15" spans="1:18">
      <c r="A15" s="276"/>
      <c r="B15" s="376"/>
      <c r="C15" s="377"/>
      <c r="D15" s="278"/>
      <c r="E15" s="278"/>
      <c r="G15" s="311"/>
      <c r="H15" s="280"/>
      <c r="I15" s="281"/>
      <c r="J15" s="281"/>
      <c r="K15" s="301"/>
      <c r="L15" s="281"/>
      <c r="M15" s="281"/>
      <c r="N15" s="301"/>
      <c r="O15" s="281"/>
      <c r="P15" s="302"/>
    </row>
    <row r="16" spans="1:18">
      <c r="A16" s="276"/>
      <c r="B16" s="376"/>
      <c r="C16" s="377"/>
      <c r="D16" s="303" t="s">
        <v>3192</v>
      </c>
      <c r="E16" s="303"/>
      <c r="F16" s="252" t="s">
        <v>3193</v>
      </c>
      <c r="G16" s="311"/>
      <c r="H16" s="409"/>
      <c r="I16" s="409"/>
      <c r="J16" s="281"/>
      <c r="K16" s="301"/>
      <c r="L16" s="281"/>
      <c r="M16" s="281"/>
      <c r="N16" s="301"/>
      <c r="O16" s="281"/>
      <c r="P16" s="302"/>
    </row>
    <row r="17" spans="1:16">
      <c r="A17" s="276"/>
      <c r="B17" s="376"/>
      <c r="C17" s="377" t="s">
        <v>199</v>
      </c>
      <c r="D17" s="303"/>
      <c r="E17" s="303"/>
      <c r="F17" s="253" t="s">
        <v>3292</v>
      </c>
      <c r="G17" s="285">
        <v>48018750.5</v>
      </c>
      <c r="H17" s="410">
        <v>7500941</v>
      </c>
      <c r="I17" s="410">
        <v>9943318</v>
      </c>
      <c r="J17" s="281">
        <f t="shared" ref="J17:J23" si="6">+H17+I17</f>
        <v>17444259</v>
      </c>
      <c r="K17" s="301">
        <f t="shared" ref="K17:K24" si="7">+IF(G17&lt;&gt;0,+J17/G17,0)</f>
        <v>0.36328015240629802</v>
      </c>
      <c r="L17" s="409">
        <f t="shared" ref="L17:L23" si="8">+G17-J17</f>
        <v>30574491.5</v>
      </c>
      <c r="M17" s="411">
        <v>14111304</v>
      </c>
      <c r="N17" s="301">
        <f t="shared" ref="N17:N24" si="9">+IF(G17&lt;&gt;0,M17/G17,0)</f>
        <v>0.2938707036952159</v>
      </c>
      <c r="O17" s="281">
        <f t="shared" ref="O17:O23" si="10">+G17-J17-M17</f>
        <v>16463187.5</v>
      </c>
      <c r="P17" s="302">
        <f t="shared" ref="P17:P24" si="11">+IF(+G17&lt;&gt;0,O17/G17,0)</f>
        <v>0.34284914389848609</v>
      </c>
    </row>
    <row r="18" spans="1:16">
      <c r="A18" s="276"/>
      <c r="B18" s="376"/>
      <c r="C18" s="377" t="s">
        <v>240</v>
      </c>
      <c r="D18" s="303"/>
      <c r="E18" s="303"/>
      <c r="F18" s="253" t="s">
        <v>3293</v>
      </c>
      <c r="G18" s="285">
        <v>11340000</v>
      </c>
      <c r="H18" s="410">
        <v>9450000</v>
      </c>
      <c r="I18" s="410">
        <v>0</v>
      </c>
      <c r="J18" s="281">
        <f t="shared" si="6"/>
        <v>9450000</v>
      </c>
      <c r="K18" s="301">
        <f t="shared" si="7"/>
        <v>0.83333333333333337</v>
      </c>
      <c r="L18" s="409">
        <f t="shared" si="8"/>
        <v>1890000</v>
      </c>
      <c r="M18" s="411">
        <v>1260000</v>
      </c>
      <c r="N18" s="301">
        <f t="shared" si="9"/>
        <v>0.1111111111111111</v>
      </c>
      <c r="O18" s="281">
        <f t="shared" si="10"/>
        <v>630000</v>
      </c>
      <c r="P18" s="302">
        <f t="shared" si="11"/>
        <v>5.5555555555555552E-2</v>
      </c>
    </row>
    <row r="19" spans="1:16">
      <c r="A19" s="276"/>
      <c r="B19" s="376"/>
      <c r="C19" s="377" t="s">
        <v>236</v>
      </c>
      <c r="D19" s="303"/>
      <c r="E19" s="303"/>
      <c r="F19" s="253" t="s">
        <v>3294</v>
      </c>
      <c r="G19" s="285">
        <v>35400217.439999998</v>
      </c>
      <c r="H19" s="410">
        <v>9000000</v>
      </c>
      <c r="I19" s="410">
        <v>6785346</v>
      </c>
      <c r="J19" s="281">
        <f t="shared" si="6"/>
        <v>15785346</v>
      </c>
      <c r="K19" s="301">
        <f t="shared" si="7"/>
        <v>0.44591098986198774</v>
      </c>
      <c r="L19" s="409">
        <f t="shared" si="8"/>
        <v>19614871.439999998</v>
      </c>
      <c r="M19" s="411">
        <v>9053017.9199999999</v>
      </c>
      <c r="N19" s="301">
        <f t="shared" si="9"/>
        <v>0.25573339868163253</v>
      </c>
      <c r="O19" s="281">
        <f t="shared" si="10"/>
        <v>10561853.519999998</v>
      </c>
      <c r="P19" s="302">
        <f t="shared" si="11"/>
        <v>0.29835561145637973</v>
      </c>
    </row>
    <row r="20" spans="1:16">
      <c r="A20" s="276"/>
      <c r="B20" s="376"/>
      <c r="C20" s="377" t="s">
        <v>260</v>
      </c>
      <c r="D20" s="303"/>
      <c r="E20" s="303"/>
      <c r="F20" s="253" t="s">
        <v>3295</v>
      </c>
      <c r="G20" s="285">
        <v>30250000</v>
      </c>
      <c r="H20" s="410">
        <v>4000000</v>
      </c>
      <c r="I20" s="410">
        <v>6000000</v>
      </c>
      <c r="J20" s="281">
        <f t="shared" si="6"/>
        <v>10000000</v>
      </c>
      <c r="K20" s="301">
        <f t="shared" si="7"/>
        <v>0.33057851239669422</v>
      </c>
      <c r="L20" s="409">
        <f t="shared" si="8"/>
        <v>20250000</v>
      </c>
      <c r="M20" s="411">
        <v>7500000</v>
      </c>
      <c r="N20" s="301">
        <f t="shared" si="9"/>
        <v>0.24793388429752067</v>
      </c>
      <c r="O20" s="281">
        <f t="shared" si="10"/>
        <v>12750000</v>
      </c>
      <c r="P20" s="302">
        <f t="shared" si="11"/>
        <v>0.42148760330578511</v>
      </c>
    </row>
    <row r="21" spans="1:16">
      <c r="A21" s="276"/>
      <c r="B21" s="376"/>
      <c r="C21" s="377" t="s">
        <v>268</v>
      </c>
      <c r="D21" s="303"/>
      <c r="E21" s="303"/>
      <c r="F21" s="253" t="s">
        <v>3296</v>
      </c>
      <c r="G21" s="285">
        <v>31030000</v>
      </c>
      <c r="H21" s="410">
        <v>4740000</v>
      </c>
      <c r="I21" s="410">
        <v>6790000</v>
      </c>
      <c r="J21" s="281">
        <f t="shared" si="6"/>
        <v>11530000</v>
      </c>
      <c r="K21" s="301">
        <f t="shared" si="7"/>
        <v>0.37157589429584276</v>
      </c>
      <c r="L21" s="409">
        <f t="shared" si="8"/>
        <v>19500000</v>
      </c>
      <c r="M21" s="411">
        <f>3*3000000</f>
        <v>9000000</v>
      </c>
      <c r="N21" s="301">
        <f t="shared" si="9"/>
        <v>0.2900418949403803</v>
      </c>
      <c r="O21" s="281">
        <f t="shared" si="10"/>
        <v>10500000</v>
      </c>
      <c r="P21" s="302">
        <f t="shared" si="11"/>
        <v>0.338382210763777</v>
      </c>
    </row>
    <row r="22" spans="1:16">
      <c r="A22" s="276"/>
      <c r="B22" s="376"/>
      <c r="C22" s="377" t="s">
        <v>199</v>
      </c>
      <c r="D22" s="303"/>
      <c r="E22" s="303"/>
      <c r="F22" s="253" t="s">
        <v>3297</v>
      </c>
      <c r="G22" s="285">
        <v>3000000</v>
      </c>
      <c r="H22" s="410">
        <v>7000000</v>
      </c>
      <c r="I22" s="410">
        <v>0</v>
      </c>
      <c r="J22" s="281">
        <f t="shared" si="6"/>
        <v>7000000</v>
      </c>
      <c r="K22" s="301">
        <f t="shared" si="7"/>
        <v>2.3333333333333335</v>
      </c>
      <c r="L22" s="409">
        <f t="shared" si="8"/>
        <v>-4000000</v>
      </c>
      <c r="M22" s="411">
        <v>0</v>
      </c>
      <c r="N22" s="301">
        <f t="shared" si="9"/>
        <v>0</v>
      </c>
      <c r="O22" s="409">
        <f t="shared" si="10"/>
        <v>-4000000</v>
      </c>
      <c r="P22" s="302">
        <f t="shared" si="11"/>
        <v>-1.3333333333333333</v>
      </c>
    </row>
    <row r="23" spans="1:16">
      <c r="A23" s="276"/>
      <c r="B23" s="376"/>
      <c r="C23" s="377"/>
      <c r="D23" s="306"/>
      <c r="E23" s="306"/>
      <c r="G23" s="285"/>
      <c r="H23" s="280"/>
      <c r="I23" s="281"/>
      <c r="J23" s="281">
        <f t="shared" si="6"/>
        <v>0</v>
      </c>
      <c r="K23" s="282">
        <f t="shared" si="7"/>
        <v>0</v>
      </c>
      <c r="L23" s="281">
        <f t="shared" si="8"/>
        <v>0</v>
      </c>
      <c r="M23" s="281"/>
      <c r="N23" s="282">
        <f t="shared" si="9"/>
        <v>0</v>
      </c>
      <c r="O23" s="281">
        <f t="shared" si="10"/>
        <v>0</v>
      </c>
      <c r="P23" s="284">
        <f t="shared" si="11"/>
        <v>0</v>
      </c>
    </row>
    <row r="24" spans="1:16" ht="15.75" thickBot="1">
      <c r="A24" s="412"/>
      <c r="B24" s="413"/>
      <c r="C24" s="291">
        <v>4042</v>
      </c>
      <c r="D24" s="308">
        <v>2</v>
      </c>
      <c r="E24" s="308"/>
      <c r="F24" s="293" t="s">
        <v>3204</v>
      </c>
      <c r="G24" s="292">
        <v>159038967.94</v>
      </c>
      <c r="H24" s="417">
        <f>SUM(H17:H23)</f>
        <v>41690941</v>
      </c>
      <c r="I24" s="417">
        <f>SUM(I17:I23)</f>
        <v>29518664</v>
      </c>
      <c r="J24" s="417">
        <f>SUM(J17:J23)</f>
        <v>71209605</v>
      </c>
      <c r="K24" s="418">
        <f t="shared" si="7"/>
        <v>0.44774941589702072</v>
      </c>
      <c r="L24" s="417">
        <f>SUM(L17:L23)</f>
        <v>87829362.939999998</v>
      </c>
      <c r="M24" s="417">
        <f>SUM(M17:M23)</f>
        <v>40924321.920000002</v>
      </c>
      <c r="N24" s="418">
        <f t="shared" si="9"/>
        <v>0.25732260747214708</v>
      </c>
      <c r="O24" s="417">
        <f>SUM(O17:O23)</f>
        <v>46905041.019999996</v>
      </c>
      <c r="P24" s="419">
        <f t="shared" si="11"/>
        <v>0.29492797663083226</v>
      </c>
    </row>
    <row r="25" spans="1:16">
      <c r="A25" s="267"/>
      <c r="B25" s="378"/>
      <c r="C25" s="379"/>
      <c r="D25" s="309"/>
      <c r="E25" s="309"/>
      <c r="G25" s="310"/>
      <c r="H25" s="420"/>
      <c r="I25" s="421"/>
      <c r="J25" s="421"/>
      <c r="K25" s="380"/>
      <c r="L25" s="421"/>
      <c r="M25" s="421"/>
      <c r="N25" s="380"/>
      <c r="O25" s="421"/>
      <c r="P25" s="381"/>
    </row>
    <row r="26" spans="1:16">
      <c r="A26" s="276"/>
      <c r="B26" s="376"/>
      <c r="C26" s="377"/>
      <c r="D26" s="303" t="s">
        <v>3298</v>
      </c>
      <c r="E26" s="303"/>
      <c r="F26" s="252" t="s">
        <v>3206</v>
      </c>
      <c r="G26" s="311"/>
      <c r="H26" s="422"/>
      <c r="I26" s="281"/>
      <c r="J26" s="281"/>
      <c r="K26" s="301"/>
      <c r="L26" s="281"/>
      <c r="M26" s="281"/>
      <c r="N26" s="301"/>
      <c r="O26" s="281"/>
      <c r="P26" s="302"/>
    </row>
    <row r="27" spans="1:16">
      <c r="A27" s="276"/>
      <c r="B27" s="376"/>
      <c r="C27" s="377" t="s">
        <v>211</v>
      </c>
      <c r="D27" s="278"/>
      <c r="E27" s="278"/>
      <c r="F27" s="253" t="s">
        <v>3299</v>
      </c>
      <c r="G27" s="285">
        <v>27695312.5</v>
      </c>
      <c r="H27" s="422">
        <v>16635938</v>
      </c>
      <c r="I27" s="281">
        <v>4559375</v>
      </c>
      <c r="J27" s="281">
        <f t="shared" ref="J27:J35" si="12">+H27+I27</f>
        <v>21195313</v>
      </c>
      <c r="K27" s="282">
        <f t="shared" ref="K27:K36" si="13">+IF(G27&lt;&gt;0,+J27/G27,0)</f>
        <v>0.76530326205923838</v>
      </c>
      <c r="L27" s="281">
        <f t="shared" ref="L27:L35" si="14">+G27-J27</f>
        <v>6499999.5</v>
      </c>
      <c r="M27" s="411">
        <v>3000000</v>
      </c>
      <c r="N27" s="282">
        <f t="shared" ref="N27:N36" si="15">+IF(G27&lt;&gt;0,M27/G27,0)</f>
        <v>0.10832157968970381</v>
      </c>
      <c r="O27" s="281">
        <f t="shared" ref="O27:O35" si="16">+G27-J27-M27</f>
        <v>3499999.5</v>
      </c>
      <c r="P27" s="284">
        <f t="shared" ref="P27:P36" si="17">+IF(+G27&lt;&gt;0,O27/G27,0)</f>
        <v>0.12637515825105783</v>
      </c>
    </row>
    <row r="28" spans="1:16">
      <c r="A28" s="276"/>
      <c r="B28" s="376"/>
      <c r="C28" s="377" t="s">
        <v>215</v>
      </c>
      <c r="D28" s="278"/>
      <c r="E28" s="278"/>
      <c r="F28" s="253" t="s">
        <v>3300</v>
      </c>
      <c r="G28" s="285">
        <v>3730000</v>
      </c>
      <c r="H28" s="422">
        <v>1170000</v>
      </c>
      <c r="I28" s="281">
        <v>740000</v>
      </c>
      <c r="J28" s="281">
        <f t="shared" si="12"/>
        <v>1910000</v>
      </c>
      <c r="K28" s="282">
        <f t="shared" si="13"/>
        <v>0.51206434316353888</v>
      </c>
      <c r="L28" s="281">
        <f t="shared" si="14"/>
        <v>1820000</v>
      </c>
      <c r="M28" s="411">
        <v>840000</v>
      </c>
      <c r="N28" s="282">
        <f t="shared" si="15"/>
        <v>0.22520107238605899</v>
      </c>
      <c r="O28" s="281">
        <f t="shared" si="16"/>
        <v>980000</v>
      </c>
      <c r="P28" s="284">
        <f t="shared" si="17"/>
        <v>0.26273458445040215</v>
      </c>
    </row>
    <row r="29" spans="1:16">
      <c r="A29" s="276"/>
      <c r="B29" s="376"/>
      <c r="C29" s="377" t="s">
        <v>215</v>
      </c>
      <c r="D29" s="278"/>
      <c r="E29" s="278"/>
      <c r="F29" s="253" t="s">
        <v>3301</v>
      </c>
      <c r="G29" s="285">
        <v>2694687.5</v>
      </c>
      <c r="H29" s="422">
        <v>1304062</v>
      </c>
      <c r="I29" s="281">
        <v>480625</v>
      </c>
      <c r="J29" s="281">
        <f t="shared" si="12"/>
        <v>1784687</v>
      </c>
      <c r="K29" s="282">
        <f t="shared" si="13"/>
        <v>0.66229831845065523</v>
      </c>
      <c r="L29" s="281">
        <f t="shared" si="14"/>
        <v>910000.5</v>
      </c>
      <c r="M29" s="411">
        <v>420000</v>
      </c>
      <c r="N29" s="282">
        <f t="shared" si="15"/>
        <v>0.15586222892264873</v>
      </c>
      <c r="O29" s="281">
        <f t="shared" si="16"/>
        <v>490000.5</v>
      </c>
      <c r="P29" s="284">
        <f t="shared" si="17"/>
        <v>0.18183945262669604</v>
      </c>
    </row>
    <row r="30" spans="1:16">
      <c r="A30" s="276"/>
      <c r="B30" s="376"/>
      <c r="C30" s="377" t="s">
        <v>215</v>
      </c>
      <c r="D30" s="278"/>
      <c r="E30" s="278"/>
      <c r="F30" s="253" t="s">
        <v>3302</v>
      </c>
      <c r="G30" s="285">
        <v>1417972.5</v>
      </c>
      <c r="H30" s="422">
        <v>1228906</v>
      </c>
      <c r="I30" s="281">
        <v>189063</v>
      </c>
      <c r="J30" s="281">
        <f t="shared" si="12"/>
        <v>1417969</v>
      </c>
      <c r="K30" s="282">
        <f t="shared" si="13"/>
        <v>0.99999753168696859</v>
      </c>
      <c r="L30" s="281">
        <f t="shared" si="14"/>
        <v>3.5</v>
      </c>
      <c r="M30" s="411">
        <v>0</v>
      </c>
      <c r="N30" s="282">
        <f t="shared" si="15"/>
        <v>0</v>
      </c>
      <c r="O30" s="281">
        <f t="shared" si="16"/>
        <v>3.5</v>
      </c>
      <c r="P30" s="284">
        <f t="shared" si="17"/>
        <v>2.4683130314586494E-6</v>
      </c>
    </row>
    <row r="31" spans="1:16">
      <c r="A31" s="276"/>
      <c r="B31" s="376"/>
      <c r="C31" s="377" t="s">
        <v>215</v>
      </c>
      <c r="D31" s="278"/>
      <c r="E31" s="278"/>
      <c r="F31" s="253" t="s">
        <v>3303</v>
      </c>
      <c r="G31" s="285">
        <v>3195467.5</v>
      </c>
      <c r="H31" s="422">
        <v>2222797</v>
      </c>
      <c r="I31" s="281">
        <v>490369</v>
      </c>
      <c r="J31" s="281">
        <f t="shared" si="12"/>
        <v>2713166</v>
      </c>
      <c r="K31" s="282">
        <f t="shared" si="13"/>
        <v>0.84906699880377445</v>
      </c>
      <c r="L31" s="281">
        <f t="shared" si="14"/>
        <v>482301.5</v>
      </c>
      <c r="M31" s="411">
        <v>222600</v>
      </c>
      <c r="N31" s="282">
        <f t="shared" si="15"/>
        <v>6.9661168514466187E-2</v>
      </c>
      <c r="O31" s="281">
        <f t="shared" si="16"/>
        <v>259701.5</v>
      </c>
      <c r="P31" s="284">
        <f t="shared" si="17"/>
        <v>8.1271832681759401E-2</v>
      </c>
    </row>
    <row r="32" spans="1:16">
      <c r="A32" s="276"/>
      <c r="B32" s="376"/>
      <c r="C32" s="377" t="s">
        <v>215</v>
      </c>
      <c r="D32" s="278"/>
      <c r="E32" s="278"/>
      <c r="F32" s="253" t="s">
        <v>3304</v>
      </c>
      <c r="G32" s="285">
        <v>6763192</v>
      </c>
      <c r="H32" s="422">
        <v>2790000</v>
      </c>
      <c r="I32" s="281">
        <v>1900000</v>
      </c>
      <c r="J32" s="281">
        <f t="shared" si="12"/>
        <v>4690000</v>
      </c>
      <c r="K32" s="282">
        <f t="shared" si="13"/>
        <v>0.69345953804061755</v>
      </c>
      <c r="L32" s="281">
        <f t="shared" si="14"/>
        <v>2073192</v>
      </c>
      <c r="M32" s="411">
        <v>1000000</v>
      </c>
      <c r="N32" s="282">
        <f t="shared" si="15"/>
        <v>0.14785917655450267</v>
      </c>
      <c r="O32" s="281">
        <f t="shared" si="16"/>
        <v>1073192</v>
      </c>
      <c r="P32" s="284">
        <f t="shared" si="17"/>
        <v>0.15868128540487983</v>
      </c>
    </row>
    <row r="33" spans="1:16">
      <c r="A33" s="276"/>
      <c r="B33" s="376"/>
      <c r="C33" s="377" t="s">
        <v>215</v>
      </c>
      <c r="D33" s="278"/>
      <c r="E33" s="278"/>
      <c r="F33" s="253" t="s">
        <v>3305</v>
      </c>
      <c r="G33" s="285">
        <v>500000</v>
      </c>
      <c r="H33" s="422">
        <v>129710</v>
      </c>
      <c r="I33" s="281">
        <v>0</v>
      </c>
      <c r="J33" s="281">
        <f t="shared" si="12"/>
        <v>129710</v>
      </c>
      <c r="K33" s="282">
        <f t="shared" si="13"/>
        <v>0.25941999999999998</v>
      </c>
      <c r="L33" s="281">
        <f t="shared" si="14"/>
        <v>370290</v>
      </c>
      <c r="M33" s="411">
        <v>148512.63157894736</v>
      </c>
      <c r="N33" s="282">
        <f t="shared" si="15"/>
        <v>0.29702526315789474</v>
      </c>
      <c r="O33" s="281">
        <f t="shared" si="16"/>
        <v>221777.36842105264</v>
      </c>
      <c r="P33" s="284">
        <f t="shared" si="17"/>
        <v>0.44355473684210528</v>
      </c>
    </row>
    <row r="34" spans="1:16">
      <c r="A34" s="276"/>
      <c r="B34" s="376"/>
      <c r="C34" s="377" t="s">
        <v>215</v>
      </c>
      <c r="D34" s="278"/>
      <c r="E34" s="278"/>
      <c r="F34" s="253" t="s">
        <v>3306</v>
      </c>
      <c r="G34" s="285">
        <v>5000000</v>
      </c>
      <c r="H34" s="422">
        <v>336792.45999999996</v>
      </c>
      <c r="I34" s="273">
        <v>547868.93000000005</v>
      </c>
      <c r="J34" s="338">
        <f t="shared" si="12"/>
        <v>884661.39</v>
      </c>
      <c r="K34" s="282">
        <f t="shared" si="13"/>
        <v>0.176932278</v>
      </c>
      <c r="L34" s="281">
        <f t="shared" si="14"/>
        <v>4115338.61</v>
      </c>
      <c r="M34" s="411">
        <v>1472591.8547368422</v>
      </c>
      <c r="N34" s="282">
        <f t="shared" si="15"/>
        <v>0.29451837094736844</v>
      </c>
      <c r="O34" s="281">
        <f t="shared" si="16"/>
        <v>2642746.7552631577</v>
      </c>
      <c r="P34" s="284">
        <f t="shared" si="17"/>
        <v>0.52854935105263157</v>
      </c>
    </row>
    <row r="35" spans="1:16">
      <c r="A35" s="276"/>
      <c r="B35" s="376"/>
      <c r="C35" s="377"/>
      <c r="D35" s="306"/>
      <c r="E35" s="306"/>
      <c r="F35" s="314"/>
      <c r="G35" s="285"/>
      <c r="H35" s="422">
        <v>0</v>
      </c>
      <c r="I35" s="423"/>
      <c r="J35" s="281">
        <f t="shared" si="12"/>
        <v>0</v>
      </c>
      <c r="K35" s="282">
        <f t="shared" si="13"/>
        <v>0</v>
      </c>
      <c r="L35" s="281">
        <f t="shared" si="14"/>
        <v>0</v>
      </c>
      <c r="M35" s="281"/>
      <c r="N35" s="282">
        <f t="shared" si="15"/>
        <v>0</v>
      </c>
      <c r="O35" s="281">
        <f t="shared" si="16"/>
        <v>0</v>
      </c>
      <c r="P35" s="284">
        <f t="shared" si="17"/>
        <v>0</v>
      </c>
    </row>
    <row r="36" spans="1:16" ht="15.75" thickBot="1">
      <c r="A36" s="412"/>
      <c r="B36" s="413"/>
      <c r="C36" s="291">
        <v>4043</v>
      </c>
      <c r="D36" s="292">
        <v>3</v>
      </c>
      <c r="E36" s="292"/>
      <c r="F36" s="293" t="s">
        <v>3217</v>
      </c>
      <c r="G36" s="292">
        <v>50996632</v>
      </c>
      <c r="H36" s="292">
        <f>SUM(H27:H35)</f>
        <v>25818205.460000001</v>
      </c>
      <c r="I36" s="292">
        <f>SUM(I27:I35)</f>
        <v>8907300.9299999997</v>
      </c>
      <c r="J36" s="292">
        <f>SUM(J27:J35)</f>
        <v>34725506.390000001</v>
      </c>
      <c r="K36" s="362">
        <f t="shared" si="13"/>
        <v>0.68093725071883182</v>
      </c>
      <c r="L36" s="292">
        <f>SUM(L27:L35)</f>
        <v>16271125.609999999</v>
      </c>
      <c r="M36" s="292">
        <f>SUM(M27:M35)</f>
        <v>7103704.4863157896</v>
      </c>
      <c r="N36" s="362">
        <f t="shared" si="15"/>
        <v>0.13929752236021761</v>
      </c>
      <c r="O36" s="292">
        <f>SUM(O27:O35)</f>
        <v>9167421.1236842107</v>
      </c>
      <c r="P36" s="416">
        <f t="shared" si="17"/>
        <v>0.17976522692095059</v>
      </c>
    </row>
    <row r="37" spans="1:16">
      <c r="A37" s="276"/>
      <c r="B37" s="376"/>
      <c r="C37" s="377"/>
      <c r="D37" s="304"/>
      <c r="E37" s="304"/>
      <c r="F37" s="315"/>
      <c r="G37" s="316"/>
      <c r="H37" s="280"/>
      <c r="I37" s="281"/>
      <c r="J37" s="281"/>
      <c r="K37" s="301"/>
      <c r="L37" s="281"/>
      <c r="M37" s="281"/>
      <c r="N37" s="301"/>
      <c r="O37" s="281"/>
      <c r="P37" s="302"/>
    </row>
    <row r="38" spans="1:16">
      <c r="A38" s="276"/>
      <c r="B38" s="376"/>
      <c r="C38" s="377"/>
      <c r="D38" s="303" t="s">
        <v>3218</v>
      </c>
      <c r="E38" s="303"/>
      <c r="F38" s="252" t="s">
        <v>3219</v>
      </c>
      <c r="G38" s="310"/>
      <c r="H38" s="280"/>
      <c r="I38" s="281"/>
      <c r="J38" s="281"/>
      <c r="K38" s="301"/>
      <c r="L38" s="281"/>
      <c r="M38" s="338"/>
      <c r="N38" s="301"/>
      <c r="O38" s="281"/>
      <c r="P38" s="302"/>
    </row>
    <row r="39" spans="1:16">
      <c r="A39" s="276"/>
      <c r="B39" s="376"/>
      <c r="C39" s="377" t="s">
        <v>264</v>
      </c>
      <c r="D39" s="278"/>
      <c r="E39" s="278"/>
      <c r="F39" s="253" t="s">
        <v>3307</v>
      </c>
      <c r="G39" s="285">
        <v>11900000</v>
      </c>
      <c r="H39" s="281">
        <v>7728800</v>
      </c>
      <c r="I39" s="281">
        <v>0</v>
      </c>
      <c r="J39" s="281">
        <f>+H39+I39</f>
        <v>7728800</v>
      </c>
      <c r="K39" s="282">
        <f>+IF(G39&lt;&gt;0,+J39/G39,0)</f>
        <v>0.64947899159663869</v>
      </c>
      <c r="L39" s="281">
        <f>+G39-J39</f>
        <v>4171200</v>
      </c>
      <c r="M39" s="424">
        <v>2782922.5</v>
      </c>
      <c r="N39" s="282">
        <f>+IF(G39&lt;&gt;0,M39/G39,0)</f>
        <v>0.23385903361344537</v>
      </c>
      <c r="O39" s="281">
        <f>+G39-J39-M39</f>
        <v>1388277.5</v>
      </c>
      <c r="P39" s="284">
        <f>+IF(+G39&lt;&gt;0,O39/G39,0)</f>
        <v>0.11666197478991597</v>
      </c>
    </row>
    <row r="40" spans="1:16">
      <c r="A40" s="276"/>
      <c r="B40" s="376"/>
      <c r="C40" s="377" t="s">
        <v>264</v>
      </c>
      <c r="D40" s="278"/>
      <c r="E40" s="278"/>
      <c r="F40" s="253" t="s">
        <v>3308</v>
      </c>
      <c r="G40" s="285">
        <v>6840000</v>
      </c>
      <c r="H40" s="281">
        <v>3715393</v>
      </c>
      <c r="I40" s="281">
        <v>0</v>
      </c>
      <c r="J40" s="281">
        <f>+H40+I40</f>
        <v>3715393</v>
      </c>
      <c r="K40" s="282">
        <f>+IF(G40&lt;&gt;0,+J40/G40,0)</f>
        <v>0.54318611111111115</v>
      </c>
      <c r="L40" s="281">
        <f>+G40-J40</f>
        <v>3124607</v>
      </c>
      <c r="M40" s="424">
        <v>2576627.5</v>
      </c>
      <c r="N40" s="282">
        <f>+IF(G40&lt;&gt;0,M40/G40,0)</f>
        <v>0.37669992690058479</v>
      </c>
      <c r="O40" s="281">
        <f>+G40-J40-M40</f>
        <v>547979.5</v>
      </c>
      <c r="P40" s="284">
        <f>+IF(+G40&lt;&gt;0,O40/G40,0)</f>
        <v>8.0113961988304089E-2</v>
      </c>
    </row>
    <row r="41" spans="1:16">
      <c r="A41" s="276"/>
      <c r="B41" s="376"/>
      <c r="C41" s="377" t="s">
        <v>264</v>
      </c>
      <c r="D41" s="278"/>
      <c r="E41" s="278"/>
      <c r="F41" s="253" t="s">
        <v>3309</v>
      </c>
      <c r="G41" s="285">
        <v>16800000</v>
      </c>
      <c r="H41" s="281">
        <v>10434155</v>
      </c>
      <c r="I41" s="338">
        <v>0</v>
      </c>
      <c r="J41" s="281">
        <f>+H41+I41</f>
        <v>10434155</v>
      </c>
      <c r="K41" s="282">
        <f>+IF(G41&lt;&gt;0,+J41/G41,0)</f>
        <v>0.62108065476190477</v>
      </c>
      <c r="L41" s="281">
        <f>+G41-J41</f>
        <v>6365845</v>
      </c>
      <c r="M41" s="424">
        <v>1418303.5</v>
      </c>
      <c r="N41" s="282">
        <f>+IF(G41&lt;&gt;0,M41/G41,0)</f>
        <v>8.4422827380952387E-2</v>
      </c>
      <c r="O41" s="281">
        <f>+G41-J41-M41</f>
        <v>4947541.5</v>
      </c>
      <c r="P41" s="284">
        <f>+IF(+G41&lt;&gt;0,O41/G41,0)</f>
        <v>0.29449651785714287</v>
      </c>
    </row>
    <row r="42" spans="1:16">
      <c r="A42" s="276"/>
      <c r="B42" s="376"/>
      <c r="C42" s="377" t="s">
        <v>264</v>
      </c>
      <c r="D42" s="278"/>
      <c r="E42" s="278"/>
      <c r="F42" s="253" t="s">
        <v>3310</v>
      </c>
      <c r="G42" s="285">
        <v>12800000</v>
      </c>
      <c r="H42" s="281">
        <v>7246745</v>
      </c>
      <c r="I42" s="281">
        <v>0</v>
      </c>
      <c r="J42" s="281">
        <f>+H42+I42</f>
        <v>7246745</v>
      </c>
      <c r="K42" s="282">
        <f>+IF(G42&lt;&gt;0,+J42/G42,0)</f>
        <v>0.566151953125</v>
      </c>
      <c r="L42" s="281">
        <f>+G42-J42</f>
        <v>5553255</v>
      </c>
      <c r="M42" s="424">
        <v>2000600</v>
      </c>
      <c r="N42" s="282">
        <f>+IF(G42&lt;&gt;0,M42/G42,0)</f>
        <v>0.156296875</v>
      </c>
      <c r="O42" s="281">
        <f>+G42-J42-M42</f>
        <v>3552655</v>
      </c>
      <c r="P42" s="284">
        <f>+IF(+G42&lt;&gt;0,O42/G42,0)</f>
        <v>0.277551171875</v>
      </c>
    </row>
    <row r="43" spans="1:16">
      <c r="A43" s="276"/>
      <c r="B43" s="376"/>
      <c r="C43" s="377" t="s">
        <v>264</v>
      </c>
      <c r="D43" s="278"/>
      <c r="E43" s="278"/>
      <c r="F43" s="253" t="s">
        <v>3311</v>
      </c>
      <c r="G43" s="285">
        <v>1128000</v>
      </c>
      <c r="H43" s="280">
        <v>0</v>
      </c>
      <c r="I43" s="281">
        <v>0</v>
      </c>
      <c r="J43" s="281">
        <f>+H43+I43</f>
        <v>0</v>
      </c>
      <c r="K43" s="282">
        <f>+IF(G43&lt;&gt;0,+J43/G43,0)</f>
        <v>0</v>
      </c>
      <c r="L43" s="281">
        <f>+G43-J43</f>
        <v>1128000</v>
      </c>
      <c r="M43" s="424">
        <v>518880</v>
      </c>
      <c r="N43" s="282">
        <f>+IF(G43&lt;&gt;0,M43/G43,0)</f>
        <v>0.46</v>
      </c>
      <c r="O43" s="281">
        <f>+G43-J43-M43</f>
        <v>609120</v>
      </c>
      <c r="P43" s="284">
        <f>+IF(+G43&lt;&gt;0,O43/G43,0)</f>
        <v>0.54</v>
      </c>
    </row>
    <row r="44" spans="1:16">
      <c r="A44" s="276"/>
      <c r="B44" s="376"/>
      <c r="C44" s="377"/>
      <c r="D44" s="278"/>
      <c r="E44" s="278"/>
      <c r="G44" s="285"/>
      <c r="H44" s="280"/>
      <c r="I44" s="281"/>
      <c r="J44" s="281"/>
      <c r="K44" s="282"/>
      <c r="L44" s="281"/>
      <c r="M44" s="338"/>
      <c r="N44" s="282"/>
      <c r="O44" s="281"/>
      <c r="P44" s="284"/>
    </row>
    <row r="45" spans="1:16" ht="15.75" thickBot="1">
      <c r="A45" s="412"/>
      <c r="B45" s="413"/>
      <c r="C45" s="291">
        <v>4044</v>
      </c>
      <c r="D45" s="308">
        <v>4</v>
      </c>
      <c r="E45" s="308"/>
      <c r="F45" s="293" t="s">
        <v>3226</v>
      </c>
      <c r="G45" s="292">
        <v>49468000</v>
      </c>
      <c r="H45" s="292">
        <f t="shared" ref="H45:O45" si="18">SUM(H39:H43)</f>
        <v>29125093</v>
      </c>
      <c r="I45" s="292">
        <f t="shared" si="18"/>
        <v>0</v>
      </c>
      <c r="J45" s="292">
        <f t="shared" si="18"/>
        <v>29125093</v>
      </c>
      <c r="K45" s="362">
        <f>+IF(G45&lt;&gt;0,+J45/G45,0)</f>
        <v>0.58876633379154197</v>
      </c>
      <c r="L45" s="292">
        <f t="shared" si="18"/>
        <v>20342907</v>
      </c>
      <c r="M45" s="292">
        <f t="shared" si="18"/>
        <v>9297333.5</v>
      </c>
      <c r="N45" s="362">
        <f>+IF(G45&lt;&gt;0,M45/G45,0)</f>
        <v>0.18794641990781918</v>
      </c>
      <c r="O45" s="292">
        <f t="shared" si="18"/>
        <v>11045573.5</v>
      </c>
      <c r="P45" s="416">
        <f>+IF(+G45&lt;&gt;0,O45/G45,0)</f>
        <v>0.22328724630063879</v>
      </c>
    </row>
    <row r="46" spans="1:16">
      <c r="A46" s="267"/>
      <c r="B46" s="378"/>
      <c r="C46" s="379"/>
      <c r="D46" s="299"/>
      <c r="E46" s="299"/>
      <c r="F46" s="315"/>
      <c r="G46" s="318"/>
      <c r="H46" s="280"/>
      <c r="I46" s="281"/>
      <c r="J46" s="338"/>
      <c r="K46" s="320"/>
      <c r="L46" s="281"/>
      <c r="M46" s="281"/>
      <c r="N46" s="320"/>
      <c r="O46" s="281"/>
      <c r="P46" s="321"/>
    </row>
    <row r="47" spans="1:16">
      <c r="A47" s="276"/>
      <c r="B47" s="376"/>
      <c r="C47" s="377"/>
      <c r="D47" s="303" t="s">
        <v>3312</v>
      </c>
      <c r="E47" s="303"/>
      <c r="F47" s="383" t="s">
        <v>3229</v>
      </c>
      <c r="G47" s="311"/>
      <c r="H47" s="280"/>
      <c r="I47" s="281"/>
      <c r="J47" s="338"/>
      <c r="K47" s="320"/>
      <c r="L47" s="281"/>
      <c r="M47" s="281"/>
      <c r="N47" s="282"/>
      <c r="O47" s="281"/>
      <c r="P47" s="321"/>
    </row>
    <row r="48" spans="1:16" ht="30">
      <c r="A48" s="276"/>
      <c r="B48" s="376"/>
      <c r="C48" s="377"/>
      <c r="D48" s="303"/>
      <c r="E48" s="425"/>
      <c r="F48" s="426" t="s">
        <v>3313</v>
      </c>
      <c r="G48" s="285"/>
      <c r="H48" s="319"/>
      <c r="I48" s="320"/>
      <c r="J48" s="272"/>
      <c r="K48" s="282"/>
      <c r="L48" s="281"/>
      <c r="M48" s="338"/>
      <c r="N48" s="282"/>
      <c r="O48" s="281"/>
      <c r="P48" s="321"/>
    </row>
    <row r="49" spans="1:16" ht="15.75">
      <c r="A49" s="276"/>
      <c r="B49" s="376"/>
      <c r="C49" s="377" t="s">
        <v>199</v>
      </c>
      <c r="D49" s="303"/>
      <c r="E49" s="427"/>
      <c r="F49" s="428" t="s">
        <v>3314</v>
      </c>
      <c r="G49" s="285">
        <v>1150000</v>
      </c>
      <c r="H49" s="281">
        <v>0</v>
      </c>
      <c r="I49" s="281">
        <v>1329131</v>
      </c>
      <c r="J49" s="281">
        <f t="shared" ref="J49:J112" si="19">+H49+I49</f>
        <v>1329131</v>
      </c>
      <c r="K49" s="282">
        <f>+IF(G49&lt;&gt;0,+J49/G49,0)</f>
        <v>1.1557660869565218</v>
      </c>
      <c r="L49" s="281">
        <f>+G49-J49</f>
        <v>-179131</v>
      </c>
      <c r="M49" s="411">
        <v>0</v>
      </c>
      <c r="N49" s="282">
        <f t="shared" ref="N49:N112" si="20">+IF(G49&lt;&gt;0,M49/G49,0)</f>
        <v>0</v>
      </c>
      <c r="O49" s="281">
        <f>+G49-J49-M49</f>
        <v>-179131</v>
      </c>
      <c r="P49" s="284">
        <f>+IF(+G49&lt;&gt;0,O49/G49,0)</f>
        <v>-0.15576608695652175</v>
      </c>
    </row>
    <row r="50" spans="1:16" ht="45">
      <c r="A50" s="276"/>
      <c r="B50" s="376"/>
      <c r="C50" s="377"/>
      <c r="D50" s="303"/>
      <c r="E50" s="425"/>
      <c r="F50" s="426" t="s">
        <v>3315</v>
      </c>
      <c r="G50" s="285"/>
      <c r="H50" s="271"/>
      <c r="I50" s="320"/>
      <c r="J50" s="281"/>
      <c r="K50" s="282"/>
      <c r="L50" s="281"/>
      <c r="M50" s="411"/>
      <c r="N50" s="282"/>
      <c r="O50" s="281"/>
      <c r="P50" s="284"/>
    </row>
    <row r="51" spans="1:16">
      <c r="A51" s="276"/>
      <c r="B51" s="376"/>
      <c r="C51" s="377" t="s">
        <v>203</v>
      </c>
      <c r="D51" s="303"/>
      <c r="E51" s="429"/>
      <c r="F51" s="430" t="s">
        <v>3316</v>
      </c>
      <c r="G51" s="285">
        <v>1850000</v>
      </c>
      <c r="H51" s="271"/>
      <c r="I51" s="320"/>
      <c r="J51" s="281">
        <f t="shared" si="19"/>
        <v>0</v>
      </c>
      <c r="K51" s="282">
        <f>+IF(G51&lt;&gt;0,+J51/G51,0)</f>
        <v>0</v>
      </c>
      <c r="L51" s="281">
        <f>+G51-J51</f>
        <v>1850000</v>
      </c>
      <c r="M51" s="411">
        <v>0</v>
      </c>
      <c r="N51" s="282">
        <f t="shared" si="20"/>
        <v>0</v>
      </c>
      <c r="O51" s="281">
        <f>+G51-J51-M51</f>
        <v>1850000</v>
      </c>
      <c r="P51" s="284">
        <f>+IF(+G51&lt;&gt;0,O51/G51,0)</f>
        <v>1</v>
      </c>
    </row>
    <row r="52" spans="1:16">
      <c r="A52" s="276"/>
      <c r="B52" s="376"/>
      <c r="C52" s="377" t="s">
        <v>203</v>
      </c>
      <c r="D52" s="303"/>
      <c r="E52" s="429"/>
      <c r="F52" s="430" t="s">
        <v>3317</v>
      </c>
      <c r="G52" s="285">
        <v>4000000</v>
      </c>
      <c r="H52" s="281">
        <v>0</v>
      </c>
      <c r="I52" s="281">
        <v>4000000</v>
      </c>
      <c r="J52" s="281">
        <f t="shared" si="19"/>
        <v>4000000</v>
      </c>
      <c r="K52" s="282">
        <f>+IF(G52&lt;&gt;0,+J52/G52,0)</f>
        <v>1</v>
      </c>
      <c r="L52" s="281">
        <f>+G52-J52</f>
        <v>0</v>
      </c>
      <c r="M52" s="411">
        <v>0</v>
      </c>
      <c r="N52" s="282">
        <f t="shared" si="20"/>
        <v>0</v>
      </c>
      <c r="O52" s="281">
        <f>+G52-J52-M52</f>
        <v>0</v>
      </c>
      <c r="P52" s="284">
        <f>+IF(+G52&lt;&gt;0,O52/G52,0)</f>
        <v>0</v>
      </c>
    </row>
    <row r="53" spans="1:16" ht="30">
      <c r="A53" s="276"/>
      <c r="B53" s="376"/>
      <c r="C53" s="377"/>
      <c r="D53" s="303"/>
      <c r="E53" s="425"/>
      <c r="F53" s="426" t="s">
        <v>3318</v>
      </c>
      <c r="G53" s="285"/>
      <c r="H53" s="319"/>
      <c r="I53" s="320"/>
      <c r="J53" s="281"/>
      <c r="K53" s="282"/>
      <c r="L53" s="281"/>
      <c r="M53" s="281"/>
      <c r="N53" s="282"/>
      <c r="O53" s="281"/>
      <c r="P53" s="284"/>
    </row>
    <row r="54" spans="1:16" ht="15.75">
      <c r="A54" s="276"/>
      <c r="B54" s="376"/>
      <c r="C54" s="377" t="s">
        <v>207</v>
      </c>
      <c r="D54" s="303"/>
      <c r="E54" s="427"/>
      <c r="F54" s="428" t="s">
        <v>3319</v>
      </c>
      <c r="G54" s="285">
        <v>30000</v>
      </c>
      <c r="H54" s="271">
        <v>0</v>
      </c>
      <c r="I54" s="431">
        <v>0</v>
      </c>
      <c r="J54" s="281">
        <f t="shared" si="19"/>
        <v>0</v>
      </c>
      <c r="K54" s="282">
        <f t="shared" ref="K54:K61" si="21">+IF(G54&lt;&gt;0,+J54/G54,0)</f>
        <v>0</v>
      </c>
      <c r="L54" s="281">
        <f t="shared" ref="L54:L117" si="22">+G54-J54</f>
        <v>30000</v>
      </c>
      <c r="M54" s="411">
        <v>30000</v>
      </c>
      <c r="N54" s="282">
        <f t="shared" si="20"/>
        <v>1</v>
      </c>
      <c r="O54" s="281">
        <f>+G54-J54-M54</f>
        <v>0</v>
      </c>
      <c r="P54" s="284">
        <f t="shared" ref="P54:P117" si="23">+IF(+G54&lt;&gt;0,O54/G54,0)</f>
        <v>0</v>
      </c>
    </row>
    <row r="55" spans="1:16" ht="28.5">
      <c r="A55" s="276"/>
      <c r="B55" s="376"/>
      <c r="C55" s="377" t="s">
        <v>207</v>
      </c>
      <c r="D55" s="303"/>
      <c r="E55" s="427"/>
      <c r="F55" s="428" t="s">
        <v>3320</v>
      </c>
      <c r="G55" s="285">
        <v>1000000</v>
      </c>
      <c r="H55" s="271">
        <v>0</v>
      </c>
      <c r="I55" s="431">
        <v>0</v>
      </c>
      <c r="J55" s="281">
        <f t="shared" si="19"/>
        <v>0</v>
      </c>
      <c r="K55" s="282">
        <f t="shared" si="21"/>
        <v>0</v>
      </c>
      <c r="L55" s="281">
        <f t="shared" si="22"/>
        <v>1000000</v>
      </c>
      <c r="M55" s="411">
        <v>1000000</v>
      </c>
      <c r="N55" s="282">
        <f t="shared" si="20"/>
        <v>1</v>
      </c>
      <c r="O55" s="281">
        <f>+G55-J55-M55</f>
        <v>0</v>
      </c>
      <c r="P55" s="284">
        <f t="shared" si="23"/>
        <v>0</v>
      </c>
    </row>
    <row r="56" spans="1:16" ht="28.5">
      <c r="A56" s="276"/>
      <c r="B56" s="376"/>
      <c r="C56" s="377" t="s">
        <v>207</v>
      </c>
      <c r="D56" s="303"/>
      <c r="E56" s="427"/>
      <c r="F56" s="428" t="s">
        <v>3321</v>
      </c>
      <c r="G56" s="285">
        <v>2200000</v>
      </c>
      <c r="H56" s="271">
        <v>0</v>
      </c>
      <c r="I56" s="431">
        <v>0</v>
      </c>
      <c r="J56" s="281">
        <f t="shared" si="19"/>
        <v>0</v>
      </c>
      <c r="K56" s="282">
        <f t="shared" si="21"/>
        <v>0</v>
      </c>
      <c r="L56" s="281">
        <f t="shared" si="22"/>
        <v>2200000</v>
      </c>
      <c r="M56" s="411">
        <v>2200000</v>
      </c>
      <c r="N56" s="282">
        <f t="shared" si="20"/>
        <v>1</v>
      </c>
      <c r="O56" s="281">
        <f t="shared" ref="O56:O119" si="24">+G56-J56-M56</f>
        <v>0</v>
      </c>
      <c r="P56" s="284">
        <f t="shared" si="23"/>
        <v>0</v>
      </c>
    </row>
    <row r="57" spans="1:16" ht="15.75">
      <c r="A57" s="276"/>
      <c r="B57" s="376"/>
      <c r="C57" s="377" t="s">
        <v>207</v>
      </c>
      <c r="D57" s="303"/>
      <c r="E57" s="427"/>
      <c r="F57" s="428" t="s">
        <v>3322</v>
      </c>
      <c r="G57" s="285">
        <v>2400000</v>
      </c>
      <c r="H57" s="271">
        <v>0</v>
      </c>
      <c r="I57" s="431">
        <v>0</v>
      </c>
      <c r="J57" s="281">
        <f t="shared" si="19"/>
        <v>0</v>
      </c>
      <c r="K57" s="282">
        <f t="shared" si="21"/>
        <v>0</v>
      </c>
      <c r="L57" s="281">
        <f t="shared" si="22"/>
        <v>2400000</v>
      </c>
      <c r="M57" s="411">
        <v>2400000</v>
      </c>
      <c r="N57" s="282">
        <f t="shared" si="20"/>
        <v>1</v>
      </c>
      <c r="O57" s="281">
        <f t="shared" si="24"/>
        <v>0</v>
      </c>
      <c r="P57" s="284">
        <f t="shared" si="23"/>
        <v>0</v>
      </c>
    </row>
    <row r="58" spans="1:16" ht="15.75">
      <c r="A58" s="276"/>
      <c r="B58" s="376"/>
      <c r="C58" s="377" t="s">
        <v>207</v>
      </c>
      <c r="D58" s="303"/>
      <c r="E58" s="427"/>
      <c r="F58" s="428" t="s">
        <v>3323</v>
      </c>
      <c r="G58" s="285">
        <v>2400000</v>
      </c>
      <c r="H58" s="271">
        <v>0</v>
      </c>
      <c r="I58" s="431">
        <v>0</v>
      </c>
      <c r="J58" s="281">
        <f t="shared" si="19"/>
        <v>0</v>
      </c>
      <c r="K58" s="282">
        <f t="shared" si="21"/>
        <v>0</v>
      </c>
      <c r="L58" s="281">
        <f t="shared" si="22"/>
        <v>2400000</v>
      </c>
      <c r="M58" s="411">
        <v>2400000</v>
      </c>
      <c r="N58" s="282">
        <f t="shared" si="20"/>
        <v>1</v>
      </c>
      <c r="O58" s="281">
        <f t="shared" si="24"/>
        <v>0</v>
      </c>
      <c r="P58" s="284">
        <f t="shared" si="23"/>
        <v>0</v>
      </c>
    </row>
    <row r="59" spans="1:16" ht="15.75">
      <c r="A59" s="276"/>
      <c r="B59" s="376"/>
      <c r="C59" s="377" t="s">
        <v>207</v>
      </c>
      <c r="D59" s="303"/>
      <c r="E59" s="427"/>
      <c r="F59" s="428" t="s">
        <v>3324</v>
      </c>
      <c r="G59" s="285">
        <v>864000</v>
      </c>
      <c r="H59" s="271">
        <v>0</v>
      </c>
      <c r="I59" s="431">
        <v>0</v>
      </c>
      <c r="J59" s="281">
        <f t="shared" si="19"/>
        <v>0</v>
      </c>
      <c r="K59" s="282">
        <f t="shared" si="21"/>
        <v>0</v>
      </c>
      <c r="L59" s="281">
        <f t="shared" si="22"/>
        <v>864000</v>
      </c>
      <c r="M59" s="411">
        <v>864000</v>
      </c>
      <c r="N59" s="282">
        <f t="shared" si="20"/>
        <v>1</v>
      </c>
      <c r="O59" s="281">
        <f t="shared" si="24"/>
        <v>0</v>
      </c>
      <c r="P59" s="284">
        <f t="shared" si="23"/>
        <v>0</v>
      </c>
    </row>
    <row r="60" spans="1:16" ht="15.75">
      <c r="A60" s="276"/>
      <c r="B60" s="376"/>
      <c r="C60" s="377" t="s">
        <v>207</v>
      </c>
      <c r="D60" s="303"/>
      <c r="E60" s="427"/>
      <c r="F60" s="428" t="s">
        <v>3325</v>
      </c>
      <c r="G60" s="285">
        <v>1140000</v>
      </c>
      <c r="H60" s="271">
        <v>0</v>
      </c>
      <c r="I60" s="431">
        <v>0</v>
      </c>
      <c r="J60" s="281">
        <f t="shared" si="19"/>
        <v>0</v>
      </c>
      <c r="K60" s="282">
        <f t="shared" si="21"/>
        <v>0</v>
      </c>
      <c r="L60" s="281">
        <f t="shared" si="22"/>
        <v>1140000</v>
      </c>
      <c r="M60" s="411">
        <v>1140000</v>
      </c>
      <c r="N60" s="282">
        <f t="shared" si="20"/>
        <v>1</v>
      </c>
      <c r="O60" s="281">
        <f t="shared" si="24"/>
        <v>0</v>
      </c>
      <c r="P60" s="284">
        <f t="shared" si="23"/>
        <v>0</v>
      </c>
    </row>
    <row r="61" spans="1:16" ht="15.75">
      <c r="A61" s="276"/>
      <c r="B61" s="376"/>
      <c r="C61" s="377" t="s">
        <v>207</v>
      </c>
      <c r="D61" s="303"/>
      <c r="E61" s="427"/>
      <c r="F61" s="428" t="s">
        <v>3311</v>
      </c>
      <c r="G61" s="285">
        <v>600000</v>
      </c>
      <c r="H61" s="271">
        <v>0</v>
      </c>
      <c r="I61" s="431">
        <v>0</v>
      </c>
      <c r="J61" s="281">
        <f t="shared" si="19"/>
        <v>0</v>
      </c>
      <c r="K61" s="282">
        <f t="shared" si="21"/>
        <v>0</v>
      </c>
      <c r="L61" s="281">
        <f t="shared" si="22"/>
        <v>600000</v>
      </c>
      <c r="M61" s="411">
        <v>600000</v>
      </c>
      <c r="N61" s="282">
        <f t="shared" si="20"/>
        <v>1</v>
      </c>
      <c r="O61" s="281">
        <f t="shared" si="24"/>
        <v>0</v>
      </c>
      <c r="P61" s="284">
        <f t="shared" si="23"/>
        <v>0</v>
      </c>
    </row>
    <row r="62" spans="1:16" ht="30">
      <c r="A62" s="276"/>
      <c r="B62" s="376"/>
      <c r="C62" s="377"/>
      <c r="D62" s="303"/>
      <c r="E62" s="425"/>
      <c r="F62" s="426" t="s">
        <v>3326</v>
      </c>
      <c r="G62" s="285"/>
      <c r="H62" s="319"/>
      <c r="I62" s="320"/>
      <c r="J62" s="281"/>
      <c r="K62" s="282"/>
      <c r="L62" s="281"/>
      <c r="M62" s="281"/>
      <c r="N62" s="282"/>
      <c r="O62" s="281"/>
      <c r="P62" s="284"/>
    </row>
    <row r="63" spans="1:16" ht="15.75">
      <c r="A63" s="276"/>
      <c r="B63" s="376"/>
      <c r="C63" s="377" t="s">
        <v>211</v>
      </c>
      <c r="D63" s="303"/>
      <c r="E63" s="427"/>
      <c r="F63" s="428" t="s">
        <v>3327</v>
      </c>
      <c r="G63" s="285">
        <v>19200000</v>
      </c>
      <c r="H63" s="286">
        <v>6400000</v>
      </c>
      <c r="I63" s="287">
        <v>12800000</v>
      </c>
      <c r="J63" s="281">
        <f t="shared" si="19"/>
        <v>19200000</v>
      </c>
      <c r="K63" s="282">
        <f t="shared" ref="K63:K84" si="25">+IF(G63&lt;&gt;0,+J63/G63,0)</f>
        <v>1</v>
      </c>
      <c r="L63" s="281">
        <f t="shared" si="22"/>
        <v>0</v>
      </c>
      <c r="M63" s="411">
        <v>0</v>
      </c>
      <c r="N63" s="282">
        <f t="shared" si="20"/>
        <v>0</v>
      </c>
      <c r="O63" s="281">
        <f t="shared" si="24"/>
        <v>0</v>
      </c>
      <c r="P63" s="284">
        <f t="shared" si="23"/>
        <v>0</v>
      </c>
    </row>
    <row r="64" spans="1:16" ht="15.75">
      <c r="A64" s="276"/>
      <c r="B64" s="376"/>
      <c r="C64" s="377" t="s">
        <v>211</v>
      </c>
      <c r="D64" s="303"/>
      <c r="E64" s="427"/>
      <c r="F64" s="428" t="s">
        <v>3328</v>
      </c>
      <c r="G64" s="285">
        <v>7500000</v>
      </c>
      <c r="H64" s="271"/>
      <c r="I64" s="287">
        <v>7760869</v>
      </c>
      <c r="J64" s="338">
        <f t="shared" si="19"/>
        <v>7760869</v>
      </c>
      <c r="K64" s="282">
        <f t="shared" si="25"/>
        <v>1.0347825333333334</v>
      </c>
      <c r="L64" s="281">
        <f t="shared" si="22"/>
        <v>-260869</v>
      </c>
      <c r="M64" s="411">
        <v>0</v>
      </c>
      <c r="N64" s="282">
        <f t="shared" si="20"/>
        <v>0</v>
      </c>
      <c r="O64" s="281">
        <f t="shared" si="24"/>
        <v>-260869</v>
      </c>
      <c r="P64" s="284">
        <f t="shared" si="23"/>
        <v>-3.4782533333333331E-2</v>
      </c>
    </row>
    <row r="65" spans="1:16" ht="15.75">
      <c r="A65" s="276"/>
      <c r="B65" s="376"/>
      <c r="C65" s="377" t="s">
        <v>211</v>
      </c>
      <c r="D65" s="303"/>
      <c r="E65" s="427"/>
      <c r="F65" s="428" t="s">
        <v>3319</v>
      </c>
      <c r="G65" s="285">
        <v>1760000</v>
      </c>
      <c r="H65" s="286">
        <v>1028195</v>
      </c>
      <c r="I65" s="287">
        <v>673650</v>
      </c>
      <c r="J65" s="281">
        <f t="shared" si="19"/>
        <v>1701845</v>
      </c>
      <c r="K65" s="282">
        <f t="shared" si="25"/>
        <v>0.96695738636363637</v>
      </c>
      <c r="L65" s="281">
        <f t="shared" si="22"/>
        <v>58155</v>
      </c>
      <c r="M65" s="411">
        <v>360000</v>
      </c>
      <c r="N65" s="282">
        <f t="shared" si="20"/>
        <v>0.20454545454545456</v>
      </c>
      <c r="O65" s="281">
        <f t="shared" si="24"/>
        <v>-301845</v>
      </c>
      <c r="P65" s="284">
        <f t="shared" si="23"/>
        <v>-0.1715028409090909</v>
      </c>
    </row>
    <row r="66" spans="1:16" ht="15.75">
      <c r="A66" s="276"/>
      <c r="B66" s="376"/>
      <c r="C66" s="377" t="s">
        <v>211</v>
      </c>
      <c r="D66" s="303"/>
      <c r="E66" s="427"/>
      <c r="F66" s="428" t="s">
        <v>3329</v>
      </c>
      <c r="G66" s="285">
        <v>11100000</v>
      </c>
      <c r="H66" s="286">
        <v>0</v>
      </c>
      <c r="I66" s="287">
        <v>11100000</v>
      </c>
      <c r="J66" s="281">
        <f t="shared" si="19"/>
        <v>11100000</v>
      </c>
      <c r="K66" s="282">
        <f t="shared" si="25"/>
        <v>1</v>
      </c>
      <c r="L66" s="281">
        <f t="shared" si="22"/>
        <v>0</v>
      </c>
      <c r="M66" s="411"/>
      <c r="N66" s="282">
        <f t="shared" si="20"/>
        <v>0</v>
      </c>
      <c r="O66" s="281">
        <f t="shared" si="24"/>
        <v>0</v>
      </c>
      <c r="P66" s="284">
        <f t="shared" si="23"/>
        <v>0</v>
      </c>
    </row>
    <row r="67" spans="1:16" ht="15.75">
      <c r="A67" s="276"/>
      <c r="B67" s="376"/>
      <c r="C67" s="377" t="s">
        <v>211</v>
      </c>
      <c r="D67" s="303"/>
      <c r="E67" s="427"/>
      <c r="F67" s="428" t="s">
        <v>3330</v>
      </c>
      <c r="G67" s="285">
        <v>6000000</v>
      </c>
      <c r="H67" s="286">
        <v>0</v>
      </c>
      <c r="I67" s="287">
        <v>5900000</v>
      </c>
      <c r="J67" s="281">
        <f t="shared" si="19"/>
        <v>5900000</v>
      </c>
      <c r="K67" s="282">
        <f t="shared" si="25"/>
        <v>0.98333333333333328</v>
      </c>
      <c r="L67" s="281">
        <f t="shared" si="22"/>
        <v>100000</v>
      </c>
      <c r="M67" s="411"/>
      <c r="N67" s="282">
        <f t="shared" si="20"/>
        <v>0</v>
      </c>
      <c r="O67" s="281">
        <f t="shared" si="24"/>
        <v>100000</v>
      </c>
      <c r="P67" s="284">
        <f t="shared" si="23"/>
        <v>1.6666666666666666E-2</v>
      </c>
    </row>
    <row r="68" spans="1:16" ht="15.75">
      <c r="A68" s="276"/>
      <c r="B68" s="376"/>
      <c r="C68" s="377" t="s">
        <v>211</v>
      </c>
      <c r="D68" s="303"/>
      <c r="E68" s="427"/>
      <c r="F68" s="428" t="s">
        <v>3331</v>
      </c>
      <c r="G68" s="285">
        <v>5400000</v>
      </c>
      <c r="H68" s="286">
        <v>0</v>
      </c>
      <c r="I68" s="287">
        <v>5400000</v>
      </c>
      <c r="J68" s="281">
        <f t="shared" si="19"/>
        <v>5400000</v>
      </c>
      <c r="K68" s="282">
        <f t="shared" si="25"/>
        <v>1</v>
      </c>
      <c r="L68" s="281">
        <f t="shared" si="22"/>
        <v>0</v>
      </c>
      <c r="M68" s="411"/>
      <c r="N68" s="282">
        <f t="shared" si="20"/>
        <v>0</v>
      </c>
      <c r="O68" s="281">
        <f t="shared" si="24"/>
        <v>0</v>
      </c>
      <c r="P68" s="284">
        <f t="shared" si="23"/>
        <v>0</v>
      </c>
    </row>
    <row r="69" spans="1:16" ht="15.75">
      <c r="A69" s="276"/>
      <c r="B69" s="376"/>
      <c r="C69" s="377" t="s">
        <v>211</v>
      </c>
      <c r="D69" s="303"/>
      <c r="E69" s="427"/>
      <c r="F69" s="428" t="s">
        <v>3332</v>
      </c>
      <c r="G69" s="285">
        <v>5400000</v>
      </c>
      <c r="H69" s="286">
        <v>400000</v>
      </c>
      <c r="I69" s="287">
        <v>2700000</v>
      </c>
      <c r="J69" s="281">
        <f t="shared" si="19"/>
        <v>3100000</v>
      </c>
      <c r="K69" s="282">
        <f t="shared" si="25"/>
        <v>0.57407407407407407</v>
      </c>
      <c r="L69" s="281">
        <f t="shared" si="22"/>
        <v>2300000</v>
      </c>
      <c r="M69" s="411"/>
      <c r="N69" s="282">
        <f t="shared" si="20"/>
        <v>0</v>
      </c>
      <c r="O69" s="281">
        <f t="shared" si="24"/>
        <v>2300000</v>
      </c>
      <c r="P69" s="284">
        <f t="shared" si="23"/>
        <v>0.42592592592592593</v>
      </c>
    </row>
    <row r="70" spans="1:16" ht="15.75">
      <c r="A70" s="276"/>
      <c r="B70" s="376"/>
      <c r="C70" s="377" t="s">
        <v>211</v>
      </c>
      <c r="D70" s="303"/>
      <c r="E70" s="427"/>
      <c r="F70" s="428" t="s">
        <v>3332</v>
      </c>
      <c r="G70" s="285">
        <v>4200000</v>
      </c>
      <c r="H70" s="286">
        <v>1400000</v>
      </c>
      <c r="I70" s="287">
        <v>700000</v>
      </c>
      <c r="J70" s="281">
        <f t="shared" si="19"/>
        <v>2100000</v>
      </c>
      <c r="K70" s="282">
        <f t="shared" si="25"/>
        <v>0.5</v>
      </c>
      <c r="L70" s="281">
        <f t="shared" si="22"/>
        <v>2100000</v>
      </c>
      <c r="M70" s="411"/>
      <c r="N70" s="282">
        <f t="shared" si="20"/>
        <v>0</v>
      </c>
      <c r="O70" s="281">
        <f t="shared" si="24"/>
        <v>2100000</v>
      </c>
      <c r="P70" s="284">
        <f t="shared" si="23"/>
        <v>0.5</v>
      </c>
    </row>
    <row r="71" spans="1:16" ht="15.75">
      <c r="A71" s="276"/>
      <c r="B71" s="376"/>
      <c r="C71" s="377" t="s">
        <v>211</v>
      </c>
      <c r="D71" s="303"/>
      <c r="E71" s="427"/>
      <c r="F71" s="428" t="s">
        <v>3333</v>
      </c>
      <c r="G71" s="285">
        <v>5606319</v>
      </c>
      <c r="H71" s="286">
        <v>0</v>
      </c>
      <c r="I71" s="287">
        <v>2935012</v>
      </c>
      <c r="J71" s="281">
        <f t="shared" si="19"/>
        <v>2935012</v>
      </c>
      <c r="K71" s="282">
        <f t="shared" si="25"/>
        <v>0.5235185511206194</v>
      </c>
      <c r="L71" s="281">
        <f t="shared" si="22"/>
        <v>2671307</v>
      </c>
      <c r="M71" s="411"/>
      <c r="N71" s="282">
        <f t="shared" si="20"/>
        <v>0</v>
      </c>
      <c r="O71" s="281">
        <f t="shared" si="24"/>
        <v>2671307</v>
      </c>
      <c r="P71" s="284">
        <f t="shared" si="23"/>
        <v>0.4764814488793806</v>
      </c>
    </row>
    <row r="72" spans="1:16" ht="15.75">
      <c r="A72" s="276"/>
      <c r="B72" s="376"/>
      <c r="C72" s="377" t="s">
        <v>211</v>
      </c>
      <c r="D72" s="303"/>
      <c r="E72" s="427"/>
      <c r="F72" s="428" t="s">
        <v>3334</v>
      </c>
      <c r="G72" s="285">
        <v>5765856</v>
      </c>
      <c r="H72" s="286">
        <v>0</v>
      </c>
      <c r="I72" s="287">
        <v>5765856</v>
      </c>
      <c r="J72" s="281">
        <f t="shared" si="19"/>
        <v>5765856</v>
      </c>
      <c r="K72" s="282">
        <f t="shared" si="25"/>
        <v>1</v>
      </c>
      <c r="L72" s="281">
        <f t="shared" si="22"/>
        <v>0</v>
      </c>
      <c r="M72" s="411"/>
      <c r="N72" s="282">
        <f t="shared" si="20"/>
        <v>0</v>
      </c>
      <c r="O72" s="281">
        <f t="shared" si="24"/>
        <v>0</v>
      </c>
      <c r="P72" s="284">
        <f t="shared" si="23"/>
        <v>0</v>
      </c>
    </row>
    <row r="73" spans="1:16" ht="15.75">
      <c r="A73" s="276"/>
      <c r="B73" s="376"/>
      <c r="C73" s="377" t="s">
        <v>211</v>
      </c>
      <c r="D73" s="303"/>
      <c r="E73" s="427"/>
      <c r="F73" s="428" t="s">
        <v>3335</v>
      </c>
      <c r="G73" s="285">
        <v>3600000</v>
      </c>
      <c r="H73" s="286">
        <v>1200000</v>
      </c>
      <c r="I73" s="287">
        <v>2400000</v>
      </c>
      <c r="J73" s="281">
        <f t="shared" si="19"/>
        <v>3600000</v>
      </c>
      <c r="K73" s="282">
        <f t="shared" si="25"/>
        <v>1</v>
      </c>
      <c r="L73" s="281">
        <f t="shared" si="22"/>
        <v>0</v>
      </c>
      <c r="M73" s="411"/>
      <c r="N73" s="282">
        <f t="shared" si="20"/>
        <v>0</v>
      </c>
      <c r="O73" s="281">
        <f t="shared" si="24"/>
        <v>0</v>
      </c>
      <c r="P73" s="284">
        <f t="shared" si="23"/>
        <v>0</v>
      </c>
    </row>
    <row r="74" spans="1:16" ht="15.75">
      <c r="A74" s="276"/>
      <c r="B74" s="376"/>
      <c r="C74" s="377" t="s">
        <v>211</v>
      </c>
      <c r="D74" s="303"/>
      <c r="E74" s="427"/>
      <c r="F74" s="428" t="s">
        <v>3336</v>
      </c>
      <c r="G74" s="285">
        <v>900000</v>
      </c>
      <c r="H74" s="286">
        <v>0</v>
      </c>
      <c r="I74" s="287">
        <v>900000</v>
      </c>
      <c r="J74" s="281">
        <f t="shared" si="19"/>
        <v>900000</v>
      </c>
      <c r="K74" s="282">
        <f t="shared" si="25"/>
        <v>1</v>
      </c>
      <c r="L74" s="281">
        <f t="shared" si="22"/>
        <v>0</v>
      </c>
      <c r="M74" s="411"/>
      <c r="N74" s="282">
        <f t="shared" si="20"/>
        <v>0</v>
      </c>
      <c r="O74" s="281">
        <f t="shared" si="24"/>
        <v>0</v>
      </c>
      <c r="P74" s="284">
        <f t="shared" si="23"/>
        <v>0</v>
      </c>
    </row>
    <row r="75" spans="1:16" ht="15.75">
      <c r="A75" s="276"/>
      <c r="B75" s="376"/>
      <c r="C75" s="377" t="s">
        <v>211</v>
      </c>
      <c r="D75" s="303"/>
      <c r="E75" s="427"/>
      <c r="F75" s="428" t="s">
        <v>3337</v>
      </c>
      <c r="G75" s="285">
        <v>3900000</v>
      </c>
      <c r="H75" s="286">
        <v>0</v>
      </c>
      <c r="I75" s="287">
        <v>0</v>
      </c>
      <c r="J75" s="281">
        <f t="shared" si="19"/>
        <v>0</v>
      </c>
      <c r="K75" s="282">
        <f t="shared" si="25"/>
        <v>0</v>
      </c>
      <c r="L75" s="281">
        <f t="shared" si="22"/>
        <v>3900000</v>
      </c>
      <c r="M75" s="411">
        <v>3900000</v>
      </c>
      <c r="N75" s="282">
        <f t="shared" si="20"/>
        <v>1</v>
      </c>
      <c r="O75" s="281">
        <f t="shared" si="24"/>
        <v>0</v>
      </c>
      <c r="P75" s="284">
        <f t="shared" si="23"/>
        <v>0</v>
      </c>
    </row>
    <row r="76" spans="1:16" ht="15.75">
      <c r="A76" s="276"/>
      <c r="B76" s="376"/>
      <c r="C76" s="377" t="s">
        <v>211</v>
      </c>
      <c r="D76" s="303"/>
      <c r="E76" s="427"/>
      <c r="F76" s="428" t="s">
        <v>3338</v>
      </c>
      <c r="G76" s="285">
        <v>1242334.9999999939</v>
      </c>
      <c r="H76" s="286">
        <v>0</v>
      </c>
      <c r="I76" s="287">
        <v>0</v>
      </c>
      <c r="J76" s="281">
        <f t="shared" si="19"/>
        <v>0</v>
      </c>
      <c r="K76" s="282">
        <f t="shared" si="25"/>
        <v>0</v>
      </c>
      <c r="L76" s="281">
        <f t="shared" si="22"/>
        <v>1242334.9999999939</v>
      </c>
      <c r="M76" s="411">
        <v>1242334.9999999939</v>
      </c>
      <c r="N76" s="282">
        <f t="shared" si="20"/>
        <v>1</v>
      </c>
      <c r="O76" s="281">
        <f t="shared" si="24"/>
        <v>0</v>
      </c>
      <c r="P76" s="284">
        <f t="shared" si="23"/>
        <v>0</v>
      </c>
    </row>
    <row r="77" spans="1:16" ht="15.75">
      <c r="A77" s="276"/>
      <c r="B77" s="376"/>
      <c r="C77" s="377" t="s">
        <v>211</v>
      </c>
      <c r="D77" s="303"/>
      <c r="E77" s="427"/>
      <c r="F77" s="428" t="s">
        <v>3339</v>
      </c>
      <c r="G77" s="285">
        <v>3000000</v>
      </c>
      <c r="H77" s="286">
        <v>0</v>
      </c>
      <c r="I77" s="431">
        <v>0</v>
      </c>
      <c r="J77" s="281">
        <f t="shared" si="19"/>
        <v>0</v>
      </c>
      <c r="K77" s="282">
        <f t="shared" si="25"/>
        <v>0</v>
      </c>
      <c r="L77" s="281">
        <f t="shared" si="22"/>
        <v>3000000</v>
      </c>
      <c r="M77" s="411">
        <v>3000000</v>
      </c>
      <c r="N77" s="282">
        <f t="shared" si="20"/>
        <v>1</v>
      </c>
      <c r="O77" s="281">
        <f t="shared" si="24"/>
        <v>0</v>
      </c>
      <c r="P77" s="284">
        <f t="shared" si="23"/>
        <v>0</v>
      </c>
    </row>
    <row r="78" spans="1:16" ht="15.75">
      <c r="A78" s="276"/>
      <c r="B78" s="376"/>
      <c r="C78" s="377" t="s">
        <v>211</v>
      </c>
      <c r="D78" s="303"/>
      <c r="E78" s="427"/>
      <c r="F78" s="428" t="s">
        <v>3340</v>
      </c>
      <c r="G78" s="285">
        <v>35960000</v>
      </c>
      <c r="H78" s="286">
        <v>11577600</v>
      </c>
      <c r="I78" s="287">
        <v>23040000</v>
      </c>
      <c r="J78" s="281">
        <f t="shared" si="19"/>
        <v>34617600</v>
      </c>
      <c r="K78" s="282">
        <f t="shared" si="25"/>
        <v>0.9626696329254727</v>
      </c>
      <c r="L78" s="281">
        <f t="shared" si="22"/>
        <v>1342400</v>
      </c>
      <c r="M78" s="411">
        <v>1342400</v>
      </c>
      <c r="N78" s="282">
        <f t="shared" si="20"/>
        <v>3.7330367074527256E-2</v>
      </c>
      <c r="O78" s="281">
        <f t="shared" si="24"/>
        <v>0</v>
      </c>
      <c r="P78" s="284">
        <f t="shared" si="23"/>
        <v>0</v>
      </c>
    </row>
    <row r="79" spans="1:16" ht="15.75">
      <c r="A79" s="276"/>
      <c r="B79" s="376"/>
      <c r="C79" s="377" t="s">
        <v>211</v>
      </c>
      <c r="D79" s="303"/>
      <c r="E79" s="427"/>
      <c r="F79" s="428" t="s">
        <v>3341</v>
      </c>
      <c r="G79" s="285">
        <v>27160000</v>
      </c>
      <c r="H79" s="286">
        <v>5400000</v>
      </c>
      <c r="I79" s="287">
        <v>11581000</v>
      </c>
      <c r="J79" s="281">
        <f t="shared" si="19"/>
        <v>16981000</v>
      </c>
      <c r="K79" s="282">
        <f t="shared" si="25"/>
        <v>0.62522091310751104</v>
      </c>
      <c r="L79" s="281">
        <f t="shared" si="22"/>
        <v>10179000</v>
      </c>
      <c r="M79" s="411">
        <v>5960000</v>
      </c>
      <c r="N79" s="282">
        <f t="shared" si="20"/>
        <v>0.21944035346097202</v>
      </c>
      <c r="O79" s="281">
        <f t="shared" si="24"/>
        <v>4219000</v>
      </c>
      <c r="P79" s="284">
        <f t="shared" si="23"/>
        <v>0.15533873343151694</v>
      </c>
    </row>
    <row r="80" spans="1:16" ht="15.75">
      <c r="A80" s="276"/>
      <c r="B80" s="376"/>
      <c r="C80" s="377" t="s">
        <v>211</v>
      </c>
      <c r="D80" s="303"/>
      <c r="E80" s="427"/>
      <c r="F80" s="428" t="s">
        <v>3322</v>
      </c>
      <c r="G80" s="285">
        <v>14400000</v>
      </c>
      <c r="H80" s="286">
        <v>0</v>
      </c>
      <c r="I80" s="338">
        <v>12483790</v>
      </c>
      <c r="J80" s="281">
        <v>12483790</v>
      </c>
      <c r="K80" s="282">
        <f t="shared" si="25"/>
        <v>0.86692986111111114</v>
      </c>
      <c r="L80" s="281">
        <f t="shared" si="22"/>
        <v>1916210</v>
      </c>
      <c r="M80" s="411">
        <v>400000</v>
      </c>
      <c r="N80" s="282">
        <f t="shared" si="20"/>
        <v>2.7777777777777776E-2</v>
      </c>
      <c r="O80" s="281">
        <f t="shared" si="24"/>
        <v>1516210</v>
      </c>
      <c r="P80" s="284">
        <f t="shared" si="23"/>
        <v>0.10529236111111111</v>
      </c>
    </row>
    <row r="81" spans="1:16" ht="15.75">
      <c r="A81" s="276"/>
      <c r="B81" s="376"/>
      <c r="C81" s="377" t="s">
        <v>211</v>
      </c>
      <c r="D81" s="303"/>
      <c r="E81" s="427"/>
      <c r="F81" s="428" t="s">
        <v>3323</v>
      </c>
      <c r="G81" s="285">
        <v>15300000</v>
      </c>
      <c r="H81" s="286">
        <v>0</v>
      </c>
      <c r="I81" s="281">
        <v>4276172</v>
      </c>
      <c r="J81" s="281">
        <f t="shared" si="19"/>
        <v>4276172</v>
      </c>
      <c r="K81" s="282">
        <f t="shared" si="25"/>
        <v>0.27948836601307192</v>
      </c>
      <c r="L81" s="281">
        <f t="shared" si="22"/>
        <v>11023828</v>
      </c>
      <c r="M81" s="411">
        <v>300000</v>
      </c>
      <c r="N81" s="282">
        <f t="shared" si="20"/>
        <v>1.9607843137254902E-2</v>
      </c>
      <c r="O81" s="281">
        <f t="shared" si="24"/>
        <v>10723828</v>
      </c>
      <c r="P81" s="284">
        <f t="shared" si="23"/>
        <v>0.70090379084967325</v>
      </c>
    </row>
    <row r="82" spans="1:16" ht="15.75">
      <c r="A82" s="276"/>
      <c r="B82" s="376"/>
      <c r="C82" s="377" t="s">
        <v>211</v>
      </c>
      <c r="D82" s="303"/>
      <c r="E82" s="427"/>
      <c r="F82" s="428" t="s">
        <v>3324</v>
      </c>
      <c r="G82" s="285">
        <v>4809000</v>
      </c>
      <c r="H82" s="286">
        <v>0</v>
      </c>
      <c r="I82" s="281">
        <v>2298796</v>
      </c>
      <c r="J82" s="281">
        <f t="shared" si="19"/>
        <v>2298796</v>
      </c>
      <c r="K82" s="282">
        <f t="shared" si="25"/>
        <v>0.47801954668330215</v>
      </c>
      <c r="L82" s="281">
        <f t="shared" si="22"/>
        <v>2510204</v>
      </c>
      <c r="M82" s="411">
        <v>105000</v>
      </c>
      <c r="N82" s="282">
        <f t="shared" si="20"/>
        <v>2.1834061135371178E-2</v>
      </c>
      <c r="O82" s="281">
        <f t="shared" si="24"/>
        <v>2405204</v>
      </c>
      <c r="P82" s="284">
        <f t="shared" si="23"/>
        <v>0.50014639218132673</v>
      </c>
    </row>
    <row r="83" spans="1:16" ht="15.75">
      <c r="A83" s="276"/>
      <c r="B83" s="376"/>
      <c r="C83" s="377" t="s">
        <v>211</v>
      </c>
      <c r="D83" s="303"/>
      <c r="E83" s="427"/>
      <c r="F83" s="428" t="s">
        <v>3325</v>
      </c>
      <c r="G83" s="285">
        <v>10640000</v>
      </c>
      <c r="H83" s="286">
        <v>0</v>
      </c>
      <c r="I83" s="281">
        <v>2530000</v>
      </c>
      <c r="J83" s="281">
        <f t="shared" si="19"/>
        <v>2530000</v>
      </c>
      <c r="K83" s="282">
        <f t="shared" si="25"/>
        <v>0.23778195488721804</v>
      </c>
      <c r="L83" s="281">
        <f t="shared" si="22"/>
        <v>8110000</v>
      </c>
      <c r="M83" s="411">
        <v>95000</v>
      </c>
      <c r="N83" s="282">
        <f t="shared" si="20"/>
        <v>8.9285714285714281E-3</v>
      </c>
      <c r="O83" s="281">
        <f t="shared" si="24"/>
        <v>8015000</v>
      </c>
      <c r="P83" s="284">
        <f t="shared" si="23"/>
        <v>0.75328947368421051</v>
      </c>
    </row>
    <row r="84" spans="1:16" ht="15.75">
      <c r="A84" s="276"/>
      <c r="B84" s="376"/>
      <c r="C84" s="377" t="s">
        <v>211</v>
      </c>
      <c r="D84" s="303"/>
      <c r="E84" s="427"/>
      <c r="F84" s="428" t="s">
        <v>3342</v>
      </c>
      <c r="G84" s="285">
        <v>1295000</v>
      </c>
      <c r="H84" s="286">
        <v>0</v>
      </c>
      <c r="I84" s="431">
        <v>0</v>
      </c>
      <c r="J84" s="281">
        <f t="shared" si="19"/>
        <v>0</v>
      </c>
      <c r="K84" s="282">
        <f t="shared" si="25"/>
        <v>0</v>
      </c>
      <c r="L84" s="281">
        <f t="shared" si="22"/>
        <v>1295000</v>
      </c>
      <c r="M84" s="411">
        <v>0</v>
      </c>
      <c r="N84" s="282">
        <f t="shared" si="20"/>
        <v>0</v>
      </c>
      <c r="O84" s="281">
        <f t="shared" si="24"/>
        <v>1295000</v>
      </c>
      <c r="P84" s="284">
        <f t="shared" si="23"/>
        <v>1</v>
      </c>
    </row>
    <row r="85" spans="1:16" ht="45">
      <c r="A85" s="276"/>
      <c r="B85" s="376"/>
      <c r="C85" s="377"/>
      <c r="D85" s="303"/>
      <c r="E85" s="425"/>
      <c r="F85" s="426" t="s">
        <v>3343</v>
      </c>
      <c r="G85" s="285"/>
      <c r="H85" s="319"/>
      <c r="I85" s="320"/>
      <c r="J85" s="281"/>
      <c r="K85" s="282"/>
      <c r="L85" s="281"/>
      <c r="M85" s="281"/>
      <c r="N85" s="282"/>
      <c r="O85" s="281"/>
      <c r="P85" s="284">
        <f t="shared" si="23"/>
        <v>0</v>
      </c>
    </row>
    <row r="86" spans="1:16" ht="15.75">
      <c r="A86" s="276"/>
      <c r="B86" s="376"/>
      <c r="C86" s="377" t="s">
        <v>224</v>
      </c>
      <c r="D86" s="303"/>
      <c r="E86" s="427"/>
      <c r="F86" s="428" t="s">
        <v>3327</v>
      </c>
      <c r="G86" s="285">
        <v>1500000</v>
      </c>
      <c r="H86" s="286">
        <v>0</v>
      </c>
      <c r="I86" s="431">
        <v>0</v>
      </c>
      <c r="J86" s="281">
        <f t="shared" si="19"/>
        <v>0</v>
      </c>
      <c r="K86" s="282">
        <f t="shared" ref="K86:K95" si="26">+IF(G86&lt;&gt;0,+J86/G86,0)</f>
        <v>0</v>
      </c>
      <c r="L86" s="281">
        <f t="shared" si="22"/>
        <v>1500000</v>
      </c>
      <c r="M86" s="411">
        <v>1500000</v>
      </c>
      <c r="N86" s="282">
        <f t="shared" si="20"/>
        <v>1</v>
      </c>
      <c r="O86" s="281">
        <f t="shared" si="24"/>
        <v>0</v>
      </c>
      <c r="P86" s="284">
        <f t="shared" si="23"/>
        <v>0</v>
      </c>
    </row>
    <row r="87" spans="1:16" ht="15.75">
      <c r="A87" s="276"/>
      <c r="B87" s="376"/>
      <c r="C87" s="377" t="s">
        <v>224</v>
      </c>
      <c r="D87" s="303"/>
      <c r="E87" s="427"/>
      <c r="F87" s="428" t="s">
        <v>3319</v>
      </c>
      <c r="G87" s="285">
        <v>270000</v>
      </c>
      <c r="H87" s="286">
        <v>0</v>
      </c>
      <c r="I87" s="431">
        <v>0</v>
      </c>
      <c r="J87" s="281">
        <f t="shared" si="19"/>
        <v>0</v>
      </c>
      <c r="K87" s="282">
        <f t="shared" si="26"/>
        <v>0</v>
      </c>
      <c r="L87" s="281">
        <f t="shared" si="22"/>
        <v>270000</v>
      </c>
      <c r="M87" s="411">
        <v>270000</v>
      </c>
      <c r="N87" s="282">
        <f t="shared" si="20"/>
        <v>1</v>
      </c>
      <c r="O87" s="281">
        <f t="shared" si="24"/>
        <v>0</v>
      </c>
      <c r="P87" s="284">
        <f t="shared" si="23"/>
        <v>0</v>
      </c>
    </row>
    <row r="88" spans="1:16" ht="15.75">
      <c r="A88" s="276"/>
      <c r="B88" s="376"/>
      <c r="C88" s="377" t="s">
        <v>224</v>
      </c>
      <c r="D88" s="303"/>
      <c r="E88" s="427"/>
      <c r="F88" s="428" t="s">
        <v>3344</v>
      </c>
      <c r="G88" s="285">
        <v>17647058.823529411</v>
      </c>
      <c r="H88" s="286">
        <v>0</v>
      </c>
      <c r="I88" s="287">
        <v>2941176</v>
      </c>
      <c r="J88" s="281">
        <f t="shared" si="19"/>
        <v>2941176</v>
      </c>
      <c r="K88" s="282">
        <f t="shared" si="26"/>
        <v>0.16666664</v>
      </c>
      <c r="L88" s="281">
        <f t="shared" si="22"/>
        <v>14705882.823529411</v>
      </c>
      <c r="M88" s="411">
        <v>14705883</v>
      </c>
      <c r="N88" s="282">
        <f t="shared" si="20"/>
        <v>0.83333337000000007</v>
      </c>
      <c r="O88" s="281">
        <f t="shared" si="24"/>
        <v>-0.17647058889269829</v>
      </c>
      <c r="P88" s="284">
        <f t="shared" si="23"/>
        <v>-1.0000000037252903E-8</v>
      </c>
    </row>
    <row r="89" spans="1:16" ht="15.75">
      <c r="A89" s="276"/>
      <c r="B89" s="376"/>
      <c r="C89" s="377" t="s">
        <v>224</v>
      </c>
      <c r="D89" s="303"/>
      <c r="E89" s="427"/>
      <c r="F89" s="428" t="s">
        <v>3345</v>
      </c>
      <c r="G89" s="285">
        <v>3500000</v>
      </c>
      <c r="H89" s="286">
        <v>0</v>
      </c>
      <c r="I89" s="431">
        <v>0</v>
      </c>
      <c r="J89" s="281">
        <f t="shared" si="19"/>
        <v>0</v>
      </c>
      <c r="K89" s="282">
        <f t="shared" si="26"/>
        <v>0</v>
      </c>
      <c r="L89" s="281">
        <f t="shared" si="22"/>
        <v>3500000</v>
      </c>
      <c r="M89" s="411">
        <v>3500000</v>
      </c>
      <c r="N89" s="282">
        <f t="shared" si="20"/>
        <v>1</v>
      </c>
      <c r="O89" s="281">
        <f t="shared" si="24"/>
        <v>0</v>
      </c>
      <c r="P89" s="284">
        <f t="shared" si="23"/>
        <v>0</v>
      </c>
    </row>
    <row r="90" spans="1:16" ht="15.75">
      <c r="A90" s="276"/>
      <c r="B90" s="376"/>
      <c r="C90" s="377" t="s">
        <v>224</v>
      </c>
      <c r="D90" s="278"/>
      <c r="E90" s="427"/>
      <c r="F90" s="428" t="s">
        <v>3346</v>
      </c>
      <c r="G90" s="285">
        <v>400000</v>
      </c>
      <c r="H90" s="286">
        <v>0</v>
      </c>
      <c r="I90" s="431">
        <v>0</v>
      </c>
      <c r="J90" s="281">
        <f t="shared" si="19"/>
        <v>0</v>
      </c>
      <c r="K90" s="282">
        <f t="shared" si="26"/>
        <v>0</v>
      </c>
      <c r="L90" s="281">
        <f t="shared" si="22"/>
        <v>400000</v>
      </c>
      <c r="M90" s="411">
        <v>400000</v>
      </c>
      <c r="N90" s="282">
        <f t="shared" si="20"/>
        <v>1</v>
      </c>
      <c r="O90" s="281">
        <f t="shared" si="24"/>
        <v>0</v>
      </c>
      <c r="P90" s="284">
        <f t="shared" si="23"/>
        <v>0</v>
      </c>
    </row>
    <row r="91" spans="1:16" ht="15.75">
      <c r="A91" s="276"/>
      <c r="B91" s="376"/>
      <c r="C91" s="377" t="s">
        <v>224</v>
      </c>
      <c r="D91" s="278"/>
      <c r="E91" s="427"/>
      <c r="F91" s="428" t="s">
        <v>3347</v>
      </c>
      <c r="G91" s="285">
        <v>1600000</v>
      </c>
      <c r="H91" s="286">
        <v>0</v>
      </c>
      <c r="I91" s="431">
        <v>0</v>
      </c>
      <c r="J91" s="281">
        <f t="shared" si="19"/>
        <v>0</v>
      </c>
      <c r="K91" s="282">
        <f t="shared" si="26"/>
        <v>0</v>
      </c>
      <c r="L91" s="281">
        <f t="shared" si="22"/>
        <v>1600000</v>
      </c>
      <c r="M91" s="411">
        <v>1600000</v>
      </c>
      <c r="N91" s="282">
        <f t="shared" si="20"/>
        <v>1</v>
      </c>
      <c r="O91" s="281">
        <f t="shared" si="24"/>
        <v>0</v>
      </c>
      <c r="P91" s="284">
        <f t="shared" si="23"/>
        <v>0</v>
      </c>
    </row>
    <row r="92" spans="1:16" ht="15.75">
      <c r="A92" s="276"/>
      <c r="B92" s="376"/>
      <c r="C92" s="377" t="s">
        <v>224</v>
      </c>
      <c r="D92" s="278"/>
      <c r="E92" s="427"/>
      <c r="F92" s="428" t="s">
        <v>3322</v>
      </c>
      <c r="G92" s="285">
        <v>336000</v>
      </c>
      <c r="H92" s="286">
        <v>0</v>
      </c>
      <c r="I92" s="431">
        <v>0</v>
      </c>
      <c r="J92" s="281">
        <f t="shared" si="19"/>
        <v>0</v>
      </c>
      <c r="K92" s="282">
        <f t="shared" si="26"/>
        <v>0</v>
      </c>
      <c r="L92" s="281">
        <f t="shared" si="22"/>
        <v>336000</v>
      </c>
      <c r="M92" s="411">
        <v>336000</v>
      </c>
      <c r="N92" s="282">
        <f t="shared" si="20"/>
        <v>1</v>
      </c>
      <c r="O92" s="281">
        <f t="shared" si="24"/>
        <v>0</v>
      </c>
      <c r="P92" s="284">
        <f t="shared" si="23"/>
        <v>0</v>
      </c>
    </row>
    <row r="93" spans="1:16" ht="15.75">
      <c r="A93" s="276"/>
      <c r="B93" s="376"/>
      <c r="C93" s="377" t="s">
        <v>224</v>
      </c>
      <c r="D93" s="278"/>
      <c r="E93" s="427"/>
      <c r="F93" s="428" t="s">
        <v>3323</v>
      </c>
      <c r="G93" s="285">
        <v>760000</v>
      </c>
      <c r="H93" s="286">
        <v>0</v>
      </c>
      <c r="I93" s="431">
        <v>0</v>
      </c>
      <c r="J93" s="281">
        <f t="shared" si="19"/>
        <v>0</v>
      </c>
      <c r="K93" s="282">
        <f t="shared" si="26"/>
        <v>0</v>
      </c>
      <c r="L93" s="281">
        <f t="shared" si="22"/>
        <v>760000</v>
      </c>
      <c r="M93" s="411">
        <v>760000</v>
      </c>
      <c r="N93" s="282">
        <f t="shared" si="20"/>
        <v>1</v>
      </c>
      <c r="O93" s="281">
        <f t="shared" si="24"/>
        <v>0</v>
      </c>
      <c r="P93" s="284">
        <f t="shared" si="23"/>
        <v>0</v>
      </c>
    </row>
    <row r="94" spans="1:16" ht="15.75">
      <c r="A94" s="276"/>
      <c r="B94" s="376"/>
      <c r="C94" s="377" t="s">
        <v>224</v>
      </c>
      <c r="D94" s="278"/>
      <c r="E94" s="427"/>
      <c r="F94" s="428" t="s">
        <v>3324</v>
      </c>
      <c r="G94" s="285">
        <v>2400000</v>
      </c>
      <c r="H94" s="286">
        <v>0</v>
      </c>
      <c r="I94" s="431">
        <v>0</v>
      </c>
      <c r="J94" s="281">
        <f t="shared" si="19"/>
        <v>0</v>
      </c>
      <c r="K94" s="282">
        <f t="shared" si="26"/>
        <v>0</v>
      </c>
      <c r="L94" s="281">
        <f t="shared" si="22"/>
        <v>2400000</v>
      </c>
      <c r="M94" s="411">
        <v>2400000</v>
      </c>
      <c r="N94" s="282">
        <f t="shared" si="20"/>
        <v>1</v>
      </c>
      <c r="O94" s="281">
        <f t="shared" si="24"/>
        <v>0</v>
      </c>
      <c r="P94" s="284">
        <f t="shared" si="23"/>
        <v>0</v>
      </c>
    </row>
    <row r="95" spans="1:16" ht="15.75">
      <c r="A95" s="276"/>
      <c r="B95" s="376"/>
      <c r="C95" s="377" t="s">
        <v>224</v>
      </c>
      <c r="D95" s="278"/>
      <c r="E95" s="427"/>
      <c r="F95" s="428" t="s">
        <v>3325</v>
      </c>
      <c r="G95" s="285">
        <v>2700000</v>
      </c>
      <c r="H95" s="286">
        <v>0</v>
      </c>
      <c r="I95" s="431">
        <v>0</v>
      </c>
      <c r="J95" s="281">
        <f t="shared" si="19"/>
        <v>0</v>
      </c>
      <c r="K95" s="282">
        <f t="shared" si="26"/>
        <v>0</v>
      </c>
      <c r="L95" s="281">
        <f t="shared" si="22"/>
        <v>2700000</v>
      </c>
      <c r="M95" s="411">
        <v>2700000</v>
      </c>
      <c r="N95" s="282">
        <f t="shared" si="20"/>
        <v>1</v>
      </c>
      <c r="O95" s="281">
        <f t="shared" si="24"/>
        <v>0</v>
      </c>
      <c r="P95" s="284">
        <f t="shared" si="23"/>
        <v>0</v>
      </c>
    </row>
    <row r="96" spans="1:16" ht="60">
      <c r="A96" s="276"/>
      <c r="B96" s="376"/>
      <c r="C96" s="377"/>
      <c r="D96" s="278"/>
      <c r="E96" s="425"/>
      <c r="F96" s="432" t="s">
        <v>3348</v>
      </c>
      <c r="G96" s="285"/>
      <c r="H96" s="281"/>
      <c r="I96" s="282"/>
      <c r="J96" s="281"/>
      <c r="K96" s="282"/>
      <c r="L96" s="281"/>
      <c r="M96" s="281"/>
      <c r="N96" s="282"/>
      <c r="O96" s="281"/>
      <c r="P96" s="284"/>
    </row>
    <row r="97" spans="1:16" ht="15.75">
      <c r="A97" s="276"/>
      <c r="B97" s="376"/>
      <c r="C97" s="377" t="s">
        <v>228</v>
      </c>
      <c r="D97" s="278"/>
      <c r="E97" s="427"/>
      <c r="F97" s="428" t="s">
        <v>3349</v>
      </c>
      <c r="G97" s="285">
        <v>2125599</v>
      </c>
      <c r="H97" s="286">
        <v>0</v>
      </c>
      <c r="I97" s="431">
        <v>0</v>
      </c>
      <c r="J97" s="281">
        <f t="shared" si="19"/>
        <v>0</v>
      </c>
      <c r="K97" s="282">
        <f>+IF(G97&lt;&gt;0,+J97/G97,0)</f>
        <v>0</v>
      </c>
      <c r="L97" s="281">
        <f t="shared" si="22"/>
        <v>2125599</v>
      </c>
      <c r="M97" s="411">
        <v>2125599</v>
      </c>
      <c r="N97" s="282">
        <f t="shared" si="20"/>
        <v>1</v>
      </c>
      <c r="O97" s="281">
        <f t="shared" si="24"/>
        <v>0</v>
      </c>
      <c r="P97" s="284">
        <f t="shared" si="23"/>
        <v>0</v>
      </c>
    </row>
    <row r="98" spans="1:16" ht="15.75">
      <c r="A98" s="276"/>
      <c r="B98" s="376"/>
      <c r="C98" s="377" t="s">
        <v>228</v>
      </c>
      <c r="D98" s="278"/>
      <c r="E98" s="427"/>
      <c r="F98" s="428" t="s">
        <v>3350</v>
      </c>
      <c r="G98" s="285">
        <v>7055649</v>
      </c>
      <c r="H98" s="286">
        <v>0</v>
      </c>
      <c r="I98" s="431">
        <v>0</v>
      </c>
      <c r="J98" s="281">
        <f t="shared" si="19"/>
        <v>0</v>
      </c>
      <c r="K98" s="282">
        <f>+IF(G98&lt;&gt;0,+J98/G98,0)</f>
        <v>0</v>
      </c>
      <c r="L98" s="281">
        <f t="shared" si="22"/>
        <v>7055649</v>
      </c>
      <c r="M98" s="411">
        <v>5879707.5</v>
      </c>
      <c r="N98" s="282">
        <f t="shared" si="20"/>
        <v>0.83333333333333337</v>
      </c>
      <c r="O98" s="281">
        <f t="shared" si="24"/>
        <v>1175941.5</v>
      </c>
      <c r="P98" s="284">
        <f t="shared" si="23"/>
        <v>0.16666666666666666</v>
      </c>
    </row>
    <row r="99" spans="1:16" ht="15.75">
      <c r="A99" s="276"/>
      <c r="B99" s="376"/>
      <c r="C99" s="377" t="s">
        <v>228</v>
      </c>
      <c r="D99" s="278"/>
      <c r="E99" s="427"/>
      <c r="F99" s="428" t="s">
        <v>3351</v>
      </c>
      <c r="G99" s="285">
        <v>6750000</v>
      </c>
      <c r="H99" s="286">
        <v>0</v>
      </c>
      <c r="I99" s="431">
        <v>0</v>
      </c>
      <c r="J99" s="281">
        <f t="shared" si="19"/>
        <v>0</v>
      </c>
      <c r="K99" s="282">
        <f>+IF(G99&lt;&gt;0,+J99/G99,0)</f>
        <v>0</v>
      </c>
      <c r="L99" s="281">
        <f t="shared" si="22"/>
        <v>6750000</v>
      </c>
      <c r="M99" s="411">
        <v>5625000</v>
      </c>
      <c r="N99" s="282">
        <f t="shared" si="20"/>
        <v>0.83333333333333337</v>
      </c>
      <c r="O99" s="281">
        <f t="shared" si="24"/>
        <v>1125000</v>
      </c>
      <c r="P99" s="284">
        <f t="shared" si="23"/>
        <v>0.16666666666666666</v>
      </c>
    </row>
    <row r="100" spans="1:16" ht="15.75">
      <c r="A100" s="276"/>
      <c r="B100" s="376"/>
      <c r="C100" s="377" t="s">
        <v>228</v>
      </c>
      <c r="D100" s="278"/>
      <c r="E100" s="427"/>
      <c r="F100" s="428" t="s">
        <v>3352</v>
      </c>
      <c r="G100" s="285">
        <v>5400000</v>
      </c>
      <c r="H100" s="286">
        <v>0</v>
      </c>
      <c r="I100" s="431">
        <v>0</v>
      </c>
      <c r="J100" s="281">
        <f t="shared" si="19"/>
        <v>0</v>
      </c>
      <c r="K100" s="282">
        <f>+IF(G100&lt;&gt;0,+J100/G100,0)</f>
        <v>0</v>
      </c>
      <c r="L100" s="281">
        <f t="shared" si="22"/>
        <v>5400000</v>
      </c>
      <c r="M100" s="411">
        <v>4500000</v>
      </c>
      <c r="N100" s="282">
        <f t="shared" si="20"/>
        <v>0.83333333333333337</v>
      </c>
      <c r="O100" s="281">
        <f t="shared" si="24"/>
        <v>900000</v>
      </c>
      <c r="P100" s="284">
        <f t="shared" si="23"/>
        <v>0.16666666666666666</v>
      </c>
    </row>
    <row r="101" spans="1:16" ht="15.75">
      <c r="A101" s="276"/>
      <c r="B101" s="376"/>
      <c r="C101" s="377" t="s">
        <v>228</v>
      </c>
      <c r="D101" s="278"/>
      <c r="E101" s="427"/>
      <c r="F101" s="428" t="s">
        <v>3353</v>
      </c>
      <c r="G101" s="285">
        <v>12000000</v>
      </c>
      <c r="H101" s="286">
        <v>0</v>
      </c>
      <c r="I101" s="431">
        <v>0</v>
      </c>
      <c r="J101" s="281">
        <f t="shared" si="19"/>
        <v>0</v>
      </c>
      <c r="K101" s="282">
        <f>+IF(G101&lt;&gt;0,+J101/G101,0)</f>
        <v>0</v>
      </c>
      <c r="L101" s="281">
        <f t="shared" si="22"/>
        <v>12000000</v>
      </c>
      <c r="M101" s="411">
        <v>5000000</v>
      </c>
      <c r="N101" s="282">
        <f t="shared" si="20"/>
        <v>0.41666666666666669</v>
      </c>
      <c r="O101" s="281">
        <f t="shared" si="24"/>
        <v>7000000</v>
      </c>
      <c r="P101" s="284">
        <f t="shared" si="23"/>
        <v>0.58333333333333337</v>
      </c>
    </row>
    <row r="102" spans="1:16" ht="30">
      <c r="A102" s="276"/>
      <c r="B102" s="376"/>
      <c r="C102" s="377"/>
      <c r="D102" s="278"/>
      <c r="E102" s="425"/>
      <c r="F102" s="432" t="s">
        <v>3354</v>
      </c>
      <c r="G102" s="285"/>
      <c r="H102" s="281"/>
      <c r="I102" s="282"/>
      <c r="J102" s="281"/>
      <c r="K102" s="282"/>
      <c r="L102" s="281"/>
      <c r="M102" s="281"/>
      <c r="N102" s="282"/>
      <c r="O102" s="281"/>
      <c r="P102" s="284"/>
    </row>
    <row r="103" spans="1:16" ht="15.75">
      <c r="A103" s="276"/>
      <c r="B103" s="376"/>
      <c r="C103" s="377" t="s">
        <v>232</v>
      </c>
      <c r="D103" s="278"/>
      <c r="E103" s="427"/>
      <c r="F103" s="428" t="s">
        <v>3347</v>
      </c>
      <c r="G103" s="285">
        <v>2650000</v>
      </c>
      <c r="H103" s="286">
        <v>0</v>
      </c>
      <c r="I103" s="431">
        <v>0</v>
      </c>
      <c r="J103" s="281">
        <f t="shared" si="19"/>
        <v>0</v>
      </c>
      <c r="K103" s="282">
        <f t="shared" ref="K103:K112" si="27">+IF(G103&lt;&gt;0,+J103/G103,0)</f>
        <v>0</v>
      </c>
      <c r="L103" s="281">
        <f t="shared" si="22"/>
        <v>2650000</v>
      </c>
      <c r="M103" s="411">
        <v>2650000</v>
      </c>
      <c r="N103" s="282">
        <f t="shared" si="20"/>
        <v>1</v>
      </c>
      <c r="O103" s="281">
        <f t="shared" si="24"/>
        <v>0</v>
      </c>
      <c r="P103" s="284">
        <f t="shared" si="23"/>
        <v>0</v>
      </c>
    </row>
    <row r="104" spans="1:16" ht="15.75">
      <c r="A104" s="276"/>
      <c r="B104" s="376"/>
      <c r="C104" s="377" t="s">
        <v>232</v>
      </c>
      <c r="D104" s="278"/>
      <c r="E104" s="427"/>
      <c r="F104" s="428" t="s">
        <v>3346</v>
      </c>
      <c r="G104" s="285">
        <v>2820000</v>
      </c>
      <c r="H104" s="286">
        <v>0</v>
      </c>
      <c r="I104" s="431">
        <v>0</v>
      </c>
      <c r="J104" s="281">
        <f t="shared" si="19"/>
        <v>0</v>
      </c>
      <c r="K104" s="282">
        <f t="shared" si="27"/>
        <v>0</v>
      </c>
      <c r="L104" s="281">
        <f t="shared" si="22"/>
        <v>2820000</v>
      </c>
      <c r="M104" s="411">
        <v>2820000</v>
      </c>
      <c r="N104" s="282">
        <f t="shared" si="20"/>
        <v>1</v>
      </c>
      <c r="O104" s="281">
        <f t="shared" si="24"/>
        <v>0</v>
      </c>
      <c r="P104" s="284">
        <f t="shared" si="23"/>
        <v>0</v>
      </c>
    </row>
    <row r="105" spans="1:16" ht="15.75">
      <c r="A105" s="276"/>
      <c r="B105" s="376"/>
      <c r="C105" s="377" t="s">
        <v>232</v>
      </c>
      <c r="D105" s="278"/>
      <c r="E105" s="427"/>
      <c r="F105" s="428" t="s">
        <v>3355</v>
      </c>
      <c r="G105" s="285">
        <v>1040000</v>
      </c>
      <c r="H105" s="286">
        <v>0</v>
      </c>
      <c r="I105" s="431">
        <v>0</v>
      </c>
      <c r="J105" s="281">
        <f t="shared" si="19"/>
        <v>0</v>
      </c>
      <c r="K105" s="282">
        <f t="shared" si="27"/>
        <v>0</v>
      </c>
      <c r="L105" s="281">
        <f t="shared" si="22"/>
        <v>1040000</v>
      </c>
      <c r="M105" s="411">
        <v>1040000</v>
      </c>
      <c r="N105" s="282">
        <f t="shared" si="20"/>
        <v>1</v>
      </c>
      <c r="O105" s="281">
        <f t="shared" si="24"/>
        <v>0</v>
      </c>
      <c r="P105" s="284">
        <f t="shared" si="23"/>
        <v>0</v>
      </c>
    </row>
    <row r="106" spans="1:16" ht="15.75">
      <c r="A106" s="276"/>
      <c r="B106" s="376"/>
      <c r="C106" s="377" t="s">
        <v>232</v>
      </c>
      <c r="D106" s="278"/>
      <c r="E106" s="427"/>
      <c r="F106" s="428" t="s">
        <v>3356</v>
      </c>
      <c r="G106" s="285">
        <v>1000000</v>
      </c>
      <c r="H106" s="286">
        <v>0</v>
      </c>
      <c r="I106" s="431">
        <v>0</v>
      </c>
      <c r="J106" s="281">
        <f t="shared" si="19"/>
        <v>0</v>
      </c>
      <c r="K106" s="282">
        <f t="shared" si="27"/>
        <v>0</v>
      </c>
      <c r="L106" s="281">
        <f t="shared" si="22"/>
        <v>1000000</v>
      </c>
      <c r="M106" s="411">
        <v>1000000</v>
      </c>
      <c r="N106" s="282">
        <f t="shared" si="20"/>
        <v>1</v>
      </c>
      <c r="O106" s="281">
        <f t="shared" si="24"/>
        <v>0</v>
      </c>
      <c r="P106" s="284">
        <f t="shared" si="23"/>
        <v>0</v>
      </c>
    </row>
    <row r="107" spans="1:16" ht="15.75">
      <c r="A107" s="276"/>
      <c r="B107" s="376"/>
      <c r="C107" s="377" t="s">
        <v>232</v>
      </c>
      <c r="D107" s="278"/>
      <c r="E107" s="427"/>
      <c r="F107" s="428" t="s">
        <v>3357</v>
      </c>
      <c r="G107" s="285">
        <v>150000</v>
      </c>
      <c r="H107" s="286">
        <v>0</v>
      </c>
      <c r="I107" s="431">
        <v>0</v>
      </c>
      <c r="J107" s="281">
        <f t="shared" si="19"/>
        <v>0</v>
      </c>
      <c r="K107" s="282">
        <f t="shared" si="27"/>
        <v>0</v>
      </c>
      <c r="L107" s="281">
        <f t="shared" si="22"/>
        <v>150000</v>
      </c>
      <c r="M107" s="411">
        <v>150000</v>
      </c>
      <c r="N107" s="282">
        <f t="shared" si="20"/>
        <v>1</v>
      </c>
      <c r="O107" s="281">
        <f t="shared" si="24"/>
        <v>0</v>
      </c>
      <c r="P107" s="284">
        <f t="shared" si="23"/>
        <v>0</v>
      </c>
    </row>
    <row r="108" spans="1:16" ht="15.75">
      <c r="A108" s="276"/>
      <c r="B108" s="376"/>
      <c r="C108" s="377" t="s">
        <v>232</v>
      </c>
      <c r="D108" s="278"/>
      <c r="E108" s="427"/>
      <c r="F108" s="428" t="s">
        <v>3358</v>
      </c>
      <c r="G108" s="285">
        <v>1537561</v>
      </c>
      <c r="H108" s="286">
        <v>0</v>
      </c>
      <c r="I108" s="431">
        <v>0</v>
      </c>
      <c r="J108" s="281">
        <f t="shared" si="19"/>
        <v>0</v>
      </c>
      <c r="K108" s="282">
        <f t="shared" si="27"/>
        <v>0</v>
      </c>
      <c r="L108" s="281">
        <f t="shared" si="22"/>
        <v>1537561</v>
      </c>
      <c r="M108" s="411">
        <v>1537561</v>
      </c>
      <c r="N108" s="282">
        <f t="shared" si="20"/>
        <v>1</v>
      </c>
      <c r="O108" s="281">
        <f t="shared" si="24"/>
        <v>0</v>
      </c>
      <c r="P108" s="284">
        <f t="shared" si="23"/>
        <v>0</v>
      </c>
    </row>
    <row r="109" spans="1:16" ht="15.75">
      <c r="A109" s="276"/>
      <c r="B109" s="376"/>
      <c r="C109" s="377" t="s">
        <v>232</v>
      </c>
      <c r="D109" s="278"/>
      <c r="E109" s="427"/>
      <c r="F109" s="428" t="s">
        <v>3322</v>
      </c>
      <c r="G109" s="285">
        <v>1200000</v>
      </c>
      <c r="H109" s="286">
        <v>0</v>
      </c>
      <c r="I109" s="431">
        <v>0</v>
      </c>
      <c r="J109" s="281">
        <f t="shared" si="19"/>
        <v>0</v>
      </c>
      <c r="K109" s="282">
        <f t="shared" si="27"/>
        <v>0</v>
      </c>
      <c r="L109" s="281">
        <f t="shared" si="22"/>
        <v>1200000</v>
      </c>
      <c r="M109" s="411">
        <v>1200000</v>
      </c>
      <c r="N109" s="282">
        <f t="shared" si="20"/>
        <v>1</v>
      </c>
      <c r="O109" s="281">
        <f t="shared" si="24"/>
        <v>0</v>
      </c>
      <c r="P109" s="284">
        <f t="shared" si="23"/>
        <v>0</v>
      </c>
    </row>
    <row r="110" spans="1:16" ht="15.75">
      <c r="A110" s="276"/>
      <c r="B110" s="376"/>
      <c r="C110" s="377" t="s">
        <v>232</v>
      </c>
      <c r="D110" s="278"/>
      <c r="E110" s="427"/>
      <c r="F110" s="428" t="s">
        <v>3323</v>
      </c>
      <c r="G110" s="285">
        <v>1600000</v>
      </c>
      <c r="H110" s="286">
        <v>0</v>
      </c>
      <c r="I110" s="431">
        <v>0</v>
      </c>
      <c r="J110" s="281">
        <f t="shared" si="19"/>
        <v>0</v>
      </c>
      <c r="K110" s="282">
        <f t="shared" si="27"/>
        <v>0</v>
      </c>
      <c r="L110" s="281">
        <f t="shared" si="22"/>
        <v>1600000</v>
      </c>
      <c r="M110" s="411">
        <v>1600000</v>
      </c>
      <c r="N110" s="282">
        <f t="shared" si="20"/>
        <v>1</v>
      </c>
      <c r="O110" s="281">
        <f t="shared" si="24"/>
        <v>0</v>
      </c>
      <c r="P110" s="284">
        <f t="shared" si="23"/>
        <v>0</v>
      </c>
    </row>
    <row r="111" spans="1:16" ht="15.75">
      <c r="A111" s="276"/>
      <c r="B111" s="376"/>
      <c r="C111" s="377" t="s">
        <v>232</v>
      </c>
      <c r="D111" s="278"/>
      <c r="E111" s="427"/>
      <c r="F111" s="428" t="s">
        <v>3324</v>
      </c>
      <c r="G111" s="285">
        <v>504000</v>
      </c>
      <c r="H111" s="286">
        <v>0</v>
      </c>
      <c r="I111" s="431">
        <v>0</v>
      </c>
      <c r="J111" s="281">
        <f t="shared" si="19"/>
        <v>0</v>
      </c>
      <c r="K111" s="282">
        <f t="shared" si="27"/>
        <v>0</v>
      </c>
      <c r="L111" s="281">
        <f t="shared" si="22"/>
        <v>504000</v>
      </c>
      <c r="M111" s="411">
        <v>504000</v>
      </c>
      <c r="N111" s="282">
        <f t="shared" si="20"/>
        <v>1</v>
      </c>
      <c r="O111" s="281">
        <f t="shared" si="24"/>
        <v>0</v>
      </c>
      <c r="P111" s="284">
        <f t="shared" si="23"/>
        <v>0</v>
      </c>
    </row>
    <row r="112" spans="1:16" ht="15.75">
      <c r="A112" s="276"/>
      <c r="B112" s="376"/>
      <c r="C112" s="377" t="s">
        <v>232</v>
      </c>
      <c r="D112" s="278"/>
      <c r="E112" s="427"/>
      <c r="F112" s="428" t="s">
        <v>3325</v>
      </c>
      <c r="G112" s="285">
        <v>1140000</v>
      </c>
      <c r="H112" s="286">
        <v>0</v>
      </c>
      <c r="I112" s="431">
        <v>0</v>
      </c>
      <c r="J112" s="281">
        <f t="shared" si="19"/>
        <v>0</v>
      </c>
      <c r="K112" s="282">
        <f t="shared" si="27"/>
        <v>0</v>
      </c>
      <c r="L112" s="281">
        <f t="shared" si="22"/>
        <v>1140000</v>
      </c>
      <c r="M112" s="411">
        <v>1140000</v>
      </c>
      <c r="N112" s="282">
        <f t="shared" si="20"/>
        <v>1</v>
      </c>
      <c r="O112" s="281">
        <f t="shared" si="24"/>
        <v>0</v>
      </c>
      <c r="P112" s="284">
        <f t="shared" si="23"/>
        <v>0</v>
      </c>
    </row>
    <row r="113" spans="1:16" ht="45">
      <c r="A113" s="276"/>
      <c r="B113" s="376"/>
      <c r="C113" s="377"/>
      <c r="D113" s="278"/>
      <c r="E113" s="425"/>
      <c r="F113" s="432" t="s">
        <v>3359</v>
      </c>
      <c r="G113" s="285"/>
      <c r="H113" s="281"/>
      <c r="I113" s="282"/>
      <c r="J113" s="281"/>
      <c r="K113" s="282"/>
      <c r="L113" s="281"/>
      <c r="M113" s="411"/>
      <c r="N113" s="282"/>
      <c r="O113" s="281"/>
      <c r="P113" s="284"/>
    </row>
    <row r="114" spans="1:16" ht="15.75">
      <c r="A114" s="276"/>
      <c r="B114" s="376"/>
      <c r="C114" s="377" t="s">
        <v>236</v>
      </c>
      <c r="D114" s="278"/>
      <c r="E114" s="427"/>
      <c r="F114" s="428" t="s">
        <v>3360</v>
      </c>
      <c r="G114" s="285">
        <v>5606322</v>
      </c>
      <c r="H114" s="286">
        <v>0</v>
      </c>
      <c r="I114" s="431">
        <v>0</v>
      </c>
      <c r="J114" s="281">
        <f t="shared" ref="J114:J151" si="28">+H114+I114</f>
        <v>0</v>
      </c>
      <c r="K114" s="282">
        <f>+IF(G114&lt;&gt;0,+J114/G114,0)</f>
        <v>0</v>
      </c>
      <c r="L114" s="281">
        <f t="shared" si="22"/>
        <v>5606322</v>
      </c>
      <c r="M114" s="411">
        <v>2335967.5</v>
      </c>
      <c r="N114" s="282">
        <f t="shared" ref="N114:N151" si="29">+IF(G114&lt;&gt;0,M114/G114,0)</f>
        <v>0.41666666666666669</v>
      </c>
      <c r="O114" s="281">
        <f t="shared" si="24"/>
        <v>3270354.5</v>
      </c>
      <c r="P114" s="284">
        <f t="shared" si="23"/>
        <v>0.58333333333333337</v>
      </c>
    </row>
    <row r="115" spans="1:16" ht="28.5">
      <c r="A115" s="276"/>
      <c r="B115" s="376"/>
      <c r="C115" s="377" t="s">
        <v>236</v>
      </c>
      <c r="D115" s="303"/>
      <c r="E115" s="427"/>
      <c r="F115" s="428" t="s">
        <v>3361</v>
      </c>
      <c r="G115" s="285">
        <v>1100000</v>
      </c>
      <c r="H115" s="286">
        <v>0</v>
      </c>
      <c r="I115" s="431">
        <v>0</v>
      </c>
      <c r="J115" s="281">
        <f t="shared" si="28"/>
        <v>0</v>
      </c>
      <c r="K115" s="282">
        <f>+IF(G115&lt;&gt;0,+J115/G115,0)</f>
        <v>0</v>
      </c>
      <c r="L115" s="281">
        <f t="shared" si="22"/>
        <v>1100000</v>
      </c>
      <c r="M115" s="411">
        <v>550000</v>
      </c>
      <c r="N115" s="282">
        <f t="shared" si="29"/>
        <v>0.5</v>
      </c>
      <c r="O115" s="281">
        <f t="shared" si="24"/>
        <v>550000</v>
      </c>
      <c r="P115" s="284">
        <f t="shared" si="23"/>
        <v>0.5</v>
      </c>
    </row>
    <row r="116" spans="1:16" ht="45">
      <c r="A116" s="276"/>
      <c r="B116" s="376"/>
      <c r="C116" s="377"/>
      <c r="D116" s="303"/>
      <c r="E116" s="425"/>
      <c r="F116" s="426" t="s">
        <v>3362</v>
      </c>
      <c r="G116" s="285"/>
      <c r="H116" s="319"/>
      <c r="I116" s="320"/>
      <c r="J116" s="281">
        <f t="shared" si="28"/>
        <v>0</v>
      </c>
      <c r="K116" s="282"/>
      <c r="L116" s="281"/>
      <c r="M116" s="411"/>
      <c r="N116" s="282"/>
      <c r="O116" s="281"/>
      <c r="P116" s="284"/>
    </row>
    <row r="117" spans="1:16">
      <c r="A117" s="276"/>
      <c r="B117" s="376"/>
      <c r="C117" s="377" t="s">
        <v>240</v>
      </c>
      <c r="D117" s="303"/>
      <c r="E117" s="429"/>
      <c r="F117" s="430" t="s">
        <v>3363</v>
      </c>
      <c r="G117" s="285">
        <v>2669675</v>
      </c>
      <c r="H117" s="286">
        <v>0</v>
      </c>
      <c r="I117" s="431">
        <v>0</v>
      </c>
      <c r="J117" s="281">
        <f t="shared" si="28"/>
        <v>0</v>
      </c>
      <c r="K117" s="282">
        <f t="shared" ref="K117:K122" si="30">+IF(G117&lt;&gt;0,+J117/G117,0)</f>
        <v>0</v>
      </c>
      <c r="L117" s="281">
        <f t="shared" si="22"/>
        <v>2669675</v>
      </c>
      <c r="M117" s="411">
        <v>2135740</v>
      </c>
      <c r="N117" s="282">
        <f t="shared" si="29"/>
        <v>0.8</v>
      </c>
      <c r="O117" s="281">
        <f t="shared" si="24"/>
        <v>533935</v>
      </c>
      <c r="P117" s="284">
        <f t="shared" si="23"/>
        <v>0.2</v>
      </c>
    </row>
    <row r="118" spans="1:16">
      <c r="A118" s="276"/>
      <c r="B118" s="376"/>
      <c r="C118" s="377" t="s">
        <v>240</v>
      </c>
      <c r="D118" s="303"/>
      <c r="E118" s="429"/>
      <c r="F118" s="430" t="s">
        <v>3364</v>
      </c>
      <c r="G118" s="285">
        <v>3000000</v>
      </c>
      <c r="H118" s="286">
        <v>0</v>
      </c>
      <c r="I118" s="431">
        <v>0</v>
      </c>
      <c r="J118" s="281">
        <f t="shared" si="28"/>
        <v>0</v>
      </c>
      <c r="K118" s="282">
        <f t="shared" si="30"/>
        <v>0</v>
      </c>
      <c r="L118" s="281">
        <f t="shared" ref="L118:L151" si="31">+G118-J118</f>
        <v>3000000</v>
      </c>
      <c r="M118" s="411">
        <v>2000000</v>
      </c>
      <c r="N118" s="282">
        <f t="shared" si="29"/>
        <v>0.66666666666666663</v>
      </c>
      <c r="O118" s="281">
        <f t="shared" si="24"/>
        <v>1000000</v>
      </c>
      <c r="P118" s="284">
        <f t="shared" ref="P118:P151" si="32">+IF(+G118&lt;&gt;0,O118/G118,0)</f>
        <v>0.33333333333333331</v>
      </c>
    </row>
    <row r="119" spans="1:16">
      <c r="A119" s="276"/>
      <c r="B119" s="376"/>
      <c r="C119" s="377" t="s">
        <v>240</v>
      </c>
      <c r="D119" s="303"/>
      <c r="E119" s="429"/>
      <c r="F119" s="430" t="s">
        <v>3365</v>
      </c>
      <c r="G119" s="285">
        <v>3700000</v>
      </c>
      <c r="H119" s="286">
        <v>0</v>
      </c>
      <c r="I119" s="287">
        <v>3700000</v>
      </c>
      <c r="J119" s="281">
        <f t="shared" si="28"/>
        <v>3700000</v>
      </c>
      <c r="K119" s="282">
        <f t="shared" si="30"/>
        <v>1</v>
      </c>
      <c r="L119" s="281">
        <f t="shared" si="31"/>
        <v>0</v>
      </c>
      <c r="M119" s="411"/>
      <c r="N119" s="282">
        <f t="shared" si="29"/>
        <v>0</v>
      </c>
      <c r="O119" s="281">
        <f t="shared" si="24"/>
        <v>0</v>
      </c>
      <c r="P119" s="284">
        <f t="shared" si="32"/>
        <v>0</v>
      </c>
    </row>
    <row r="120" spans="1:16">
      <c r="A120" s="276"/>
      <c r="B120" s="376"/>
      <c r="C120" s="377" t="s">
        <v>240</v>
      </c>
      <c r="D120" s="303"/>
      <c r="E120" s="429"/>
      <c r="F120" s="430" t="s">
        <v>3330</v>
      </c>
      <c r="G120" s="285">
        <v>2000000</v>
      </c>
      <c r="H120" s="286">
        <v>0</v>
      </c>
      <c r="I120" s="431">
        <v>0</v>
      </c>
      <c r="J120" s="281">
        <f t="shared" si="28"/>
        <v>0</v>
      </c>
      <c r="K120" s="282">
        <f t="shared" si="30"/>
        <v>0</v>
      </c>
      <c r="L120" s="281">
        <f t="shared" si="31"/>
        <v>2000000</v>
      </c>
      <c r="M120" s="411">
        <v>1333333.3333333333</v>
      </c>
      <c r="N120" s="282">
        <f t="shared" si="29"/>
        <v>0.66666666666666663</v>
      </c>
      <c r="O120" s="281">
        <f>+G120-J120-M120</f>
        <v>666666.66666666674</v>
      </c>
      <c r="P120" s="284">
        <f t="shared" si="32"/>
        <v>0.33333333333333337</v>
      </c>
    </row>
    <row r="121" spans="1:16">
      <c r="A121" s="276"/>
      <c r="B121" s="376"/>
      <c r="C121" s="377" t="s">
        <v>240</v>
      </c>
      <c r="D121" s="303"/>
      <c r="E121" s="429"/>
      <c r="F121" s="430" t="s">
        <v>3366</v>
      </c>
      <c r="G121" s="285">
        <v>1868773</v>
      </c>
      <c r="H121" s="286">
        <v>0</v>
      </c>
      <c r="I121" s="431">
        <v>0</v>
      </c>
      <c r="J121" s="281">
        <f t="shared" si="28"/>
        <v>0</v>
      </c>
      <c r="K121" s="282">
        <f t="shared" si="30"/>
        <v>0</v>
      </c>
      <c r="L121" s="281">
        <f t="shared" si="31"/>
        <v>1868773</v>
      </c>
      <c r="M121" s="411">
        <v>1245848.6666666667</v>
      </c>
      <c r="N121" s="282">
        <f t="shared" si="29"/>
        <v>0.66666666666666674</v>
      </c>
      <c r="O121" s="281">
        <f>+G121-J121-M121</f>
        <v>622924.33333333326</v>
      </c>
      <c r="P121" s="284">
        <f t="shared" si="32"/>
        <v>0.33333333333333331</v>
      </c>
    </row>
    <row r="122" spans="1:16">
      <c r="A122" s="276"/>
      <c r="B122" s="376"/>
      <c r="C122" s="377" t="s">
        <v>240</v>
      </c>
      <c r="D122" s="303"/>
      <c r="E122" s="429"/>
      <c r="F122" s="430" t="s">
        <v>3334</v>
      </c>
      <c r="G122" s="285">
        <v>1921952</v>
      </c>
      <c r="H122" s="286">
        <v>0</v>
      </c>
      <c r="I122" s="431">
        <v>0</v>
      </c>
      <c r="J122" s="281">
        <f t="shared" si="28"/>
        <v>0</v>
      </c>
      <c r="K122" s="282">
        <f t="shared" si="30"/>
        <v>0</v>
      </c>
      <c r="L122" s="281">
        <f t="shared" si="31"/>
        <v>1921952</v>
      </c>
      <c r="M122" s="411">
        <v>1281301.3333333333</v>
      </c>
      <c r="N122" s="282">
        <f t="shared" si="29"/>
        <v>0.66666666666666663</v>
      </c>
      <c r="O122" s="281">
        <f>+G122-J122-M122</f>
        <v>640650.66666666674</v>
      </c>
      <c r="P122" s="284">
        <f t="shared" si="32"/>
        <v>0.33333333333333337</v>
      </c>
    </row>
    <row r="123" spans="1:16" ht="45">
      <c r="A123" s="276"/>
      <c r="B123" s="376"/>
      <c r="C123" s="377"/>
      <c r="D123" s="303"/>
      <c r="E123" s="425"/>
      <c r="F123" s="426" t="s">
        <v>3367</v>
      </c>
      <c r="G123" s="285"/>
      <c r="H123" s="319"/>
      <c r="I123" s="320"/>
      <c r="J123" s="281"/>
      <c r="K123" s="282"/>
      <c r="L123" s="281"/>
      <c r="M123" s="411"/>
      <c r="N123" s="282"/>
      <c r="O123" s="281"/>
      <c r="P123" s="284"/>
    </row>
    <row r="124" spans="1:16" ht="15.75">
      <c r="A124" s="276"/>
      <c r="B124" s="376"/>
      <c r="C124" s="377" t="s">
        <v>244</v>
      </c>
      <c r="D124" s="303"/>
      <c r="E124" s="427"/>
      <c r="F124" s="428" t="s">
        <v>3368</v>
      </c>
      <c r="G124" s="285">
        <v>500000</v>
      </c>
      <c r="H124" s="286">
        <v>0</v>
      </c>
      <c r="I124" s="431">
        <v>0</v>
      </c>
      <c r="J124" s="281">
        <f t="shared" si="28"/>
        <v>0</v>
      </c>
      <c r="K124" s="282">
        <f>+IF(G124&lt;&gt;0,+J124/G124,0)</f>
        <v>0</v>
      </c>
      <c r="L124" s="281">
        <f t="shared" si="31"/>
        <v>500000</v>
      </c>
      <c r="M124" s="411">
        <v>500000</v>
      </c>
      <c r="N124" s="282">
        <f t="shared" si="29"/>
        <v>1</v>
      </c>
      <c r="O124" s="281">
        <f>+G124-J124-M124</f>
        <v>0</v>
      </c>
      <c r="P124" s="284">
        <f t="shared" si="32"/>
        <v>0</v>
      </c>
    </row>
    <row r="125" spans="1:16" ht="15.75">
      <c r="A125" s="276"/>
      <c r="B125" s="376"/>
      <c r="C125" s="377" t="s">
        <v>244</v>
      </c>
      <c r="D125" s="303"/>
      <c r="E125" s="427"/>
      <c r="F125" s="428" t="s">
        <v>3369</v>
      </c>
      <c r="G125" s="285">
        <v>1000000</v>
      </c>
      <c r="H125" s="286">
        <v>0</v>
      </c>
      <c r="I125" s="431">
        <v>0</v>
      </c>
      <c r="J125" s="281">
        <f t="shared" si="28"/>
        <v>0</v>
      </c>
      <c r="K125" s="282">
        <f>+IF(G125&lt;&gt;0,+J125/G125,0)</f>
        <v>0</v>
      </c>
      <c r="L125" s="281">
        <f t="shared" si="31"/>
        <v>1000000</v>
      </c>
      <c r="M125" s="411">
        <v>1000000</v>
      </c>
      <c r="N125" s="282">
        <f t="shared" si="29"/>
        <v>1</v>
      </c>
      <c r="O125" s="281">
        <f>+G125-J125-M125</f>
        <v>0</v>
      </c>
      <c r="P125" s="284">
        <f t="shared" si="32"/>
        <v>0</v>
      </c>
    </row>
    <row r="126" spans="1:16" ht="15.75">
      <c r="A126" s="276"/>
      <c r="B126" s="376"/>
      <c r="C126" s="377" t="s">
        <v>244</v>
      </c>
      <c r="D126" s="303"/>
      <c r="E126" s="427"/>
      <c r="F126" s="428" t="s">
        <v>3370</v>
      </c>
      <c r="G126" s="285">
        <v>1000000</v>
      </c>
      <c r="H126" s="286">
        <v>0</v>
      </c>
      <c r="I126" s="431">
        <v>0</v>
      </c>
      <c r="J126" s="281">
        <f t="shared" si="28"/>
        <v>0</v>
      </c>
      <c r="K126" s="282">
        <f>+IF(G126&lt;&gt;0,+J126/G126,0)</f>
        <v>0</v>
      </c>
      <c r="L126" s="281">
        <f t="shared" si="31"/>
        <v>1000000</v>
      </c>
      <c r="M126" s="411">
        <v>1000000</v>
      </c>
      <c r="N126" s="282">
        <f t="shared" si="29"/>
        <v>1</v>
      </c>
      <c r="O126" s="281">
        <f>+G126-J126-M126</f>
        <v>0</v>
      </c>
      <c r="P126" s="284">
        <f t="shared" si="32"/>
        <v>0</v>
      </c>
    </row>
    <row r="127" spans="1:16" ht="45">
      <c r="A127" s="276"/>
      <c r="B127" s="376"/>
      <c r="C127" s="377"/>
      <c r="D127" s="303"/>
      <c r="E127" s="425"/>
      <c r="F127" s="426" t="s">
        <v>3371</v>
      </c>
      <c r="G127" s="285"/>
      <c r="H127" s="319"/>
      <c r="I127" s="320"/>
      <c r="J127" s="281"/>
      <c r="K127" s="282"/>
      <c r="L127" s="281"/>
      <c r="M127" s="411"/>
      <c r="N127" s="282"/>
      <c r="O127" s="281"/>
      <c r="P127" s="284"/>
    </row>
    <row r="128" spans="1:16" ht="15.75">
      <c r="A128" s="276"/>
      <c r="B128" s="376"/>
      <c r="C128" s="377" t="s">
        <v>252</v>
      </c>
      <c r="D128" s="303"/>
      <c r="E128" s="427"/>
      <c r="F128" s="428" t="s">
        <v>3344</v>
      </c>
      <c r="G128" s="285">
        <v>32352941.176470585</v>
      </c>
      <c r="H128" s="286">
        <v>0</v>
      </c>
      <c r="I128" s="431">
        <v>0</v>
      </c>
      <c r="J128" s="281">
        <f t="shared" si="28"/>
        <v>0</v>
      </c>
      <c r="K128" s="282">
        <f t="shared" ref="K128:K138" si="33">+IF(G128&lt;&gt;0,+J128/G128,0)</f>
        <v>0</v>
      </c>
      <c r="L128" s="281">
        <f t="shared" si="31"/>
        <v>32352941.176470585</v>
      </c>
      <c r="M128" s="411">
        <v>11764705.882352941</v>
      </c>
      <c r="N128" s="282">
        <f t="shared" si="29"/>
        <v>0.36363636363636365</v>
      </c>
      <c r="O128" s="281">
        <f t="shared" ref="O128:O138" si="34">+G128-J128-M128</f>
        <v>20588235.294117644</v>
      </c>
      <c r="P128" s="284">
        <f t="shared" si="32"/>
        <v>0.63636363636363635</v>
      </c>
    </row>
    <row r="129" spans="1:16" ht="15.75">
      <c r="A129" s="276"/>
      <c r="B129" s="376"/>
      <c r="C129" s="377" t="s">
        <v>252</v>
      </c>
      <c r="D129" s="303"/>
      <c r="E129" s="427"/>
      <c r="F129" s="428" t="s">
        <v>3372</v>
      </c>
      <c r="G129" s="285">
        <v>6211130</v>
      </c>
      <c r="H129" s="286">
        <v>0</v>
      </c>
      <c r="I129" s="431">
        <v>0</v>
      </c>
      <c r="J129" s="281">
        <f t="shared" si="28"/>
        <v>0</v>
      </c>
      <c r="K129" s="282">
        <f t="shared" si="33"/>
        <v>0</v>
      </c>
      <c r="L129" s="281">
        <f t="shared" si="31"/>
        <v>6211130</v>
      </c>
      <c r="M129" s="411">
        <v>4436521.4285714291</v>
      </c>
      <c r="N129" s="282">
        <f t="shared" si="29"/>
        <v>0.71428571428571441</v>
      </c>
      <c r="O129" s="281">
        <f t="shared" si="34"/>
        <v>1774608.5714285709</v>
      </c>
      <c r="P129" s="284">
        <f t="shared" si="32"/>
        <v>0.28571428571428564</v>
      </c>
    </row>
    <row r="130" spans="1:16" ht="15.75">
      <c r="A130" s="276"/>
      <c r="B130" s="376"/>
      <c r="C130" s="377" t="s">
        <v>252</v>
      </c>
      <c r="D130" s="303"/>
      <c r="E130" s="427"/>
      <c r="F130" s="428" t="s">
        <v>3373</v>
      </c>
      <c r="G130" s="285">
        <v>6800000</v>
      </c>
      <c r="H130" s="286">
        <v>0</v>
      </c>
      <c r="I130" s="431">
        <v>0</v>
      </c>
      <c r="J130" s="281">
        <f t="shared" si="28"/>
        <v>0</v>
      </c>
      <c r="K130" s="282">
        <f t="shared" si="33"/>
        <v>0</v>
      </c>
      <c r="L130" s="281">
        <f t="shared" si="31"/>
        <v>6800000</v>
      </c>
      <c r="M130" s="411">
        <v>4857142.8571428573</v>
      </c>
      <c r="N130" s="282">
        <f t="shared" si="29"/>
        <v>0.7142857142857143</v>
      </c>
      <c r="O130" s="281">
        <f t="shared" si="34"/>
        <v>1942857.1428571427</v>
      </c>
      <c r="P130" s="284">
        <f t="shared" si="32"/>
        <v>0.2857142857142857</v>
      </c>
    </row>
    <row r="131" spans="1:16" ht="15.75">
      <c r="A131" s="276"/>
      <c r="B131" s="376"/>
      <c r="C131" s="377" t="s">
        <v>252</v>
      </c>
      <c r="D131" s="303"/>
      <c r="E131" s="427"/>
      <c r="F131" s="428" t="s">
        <v>3374</v>
      </c>
      <c r="G131" s="285">
        <v>7480753</v>
      </c>
      <c r="H131" s="286">
        <v>0</v>
      </c>
      <c r="I131" s="431">
        <v>0</v>
      </c>
      <c r="J131" s="281">
        <f t="shared" si="28"/>
        <v>0</v>
      </c>
      <c r="K131" s="282">
        <f t="shared" si="33"/>
        <v>0</v>
      </c>
      <c r="L131" s="281">
        <f t="shared" si="31"/>
        <v>7480753</v>
      </c>
      <c r="M131" s="411">
        <v>4155973.8888888885</v>
      </c>
      <c r="N131" s="282">
        <f t="shared" si="29"/>
        <v>0.55555555555555547</v>
      </c>
      <c r="O131" s="281">
        <f t="shared" si="34"/>
        <v>3324779.1111111115</v>
      </c>
      <c r="P131" s="284">
        <f t="shared" si="32"/>
        <v>0.44444444444444448</v>
      </c>
    </row>
    <row r="132" spans="1:16" ht="15.75">
      <c r="A132" s="276"/>
      <c r="B132" s="376"/>
      <c r="C132" s="377" t="s">
        <v>252</v>
      </c>
      <c r="D132" s="303"/>
      <c r="E132" s="427"/>
      <c r="F132" s="428" t="s">
        <v>3375</v>
      </c>
      <c r="G132" s="285">
        <v>7480753</v>
      </c>
      <c r="H132" s="286">
        <v>0</v>
      </c>
      <c r="I132" s="431">
        <v>0</v>
      </c>
      <c r="J132" s="281">
        <f t="shared" si="28"/>
        <v>0</v>
      </c>
      <c r="K132" s="282">
        <f t="shared" si="33"/>
        <v>0</v>
      </c>
      <c r="L132" s="281">
        <f t="shared" si="31"/>
        <v>7480753</v>
      </c>
      <c r="M132" s="411">
        <v>4155973.8888888885</v>
      </c>
      <c r="N132" s="282">
        <f t="shared" si="29"/>
        <v>0.55555555555555547</v>
      </c>
      <c r="O132" s="281">
        <f t="shared" si="34"/>
        <v>3324779.1111111115</v>
      </c>
      <c r="P132" s="284">
        <f t="shared" si="32"/>
        <v>0.44444444444444448</v>
      </c>
    </row>
    <row r="133" spans="1:16" ht="15.75">
      <c r="A133" s="276"/>
      <c r="B133" s="376"/>
      <c r="C133" s="377" t="s">
        <v>252</v>
      </c>
      <c r="D133" s="303"/>
      <c r="E133" s="427"/>
      <c r="F133" s="428" t="s">
        <v>3376</v>
      </c>
      <c r="G133" s="285">
        <v>4861130</v>
      </c>
      <c r="H133" s="286">
        <v>0</v>
      </c>
      <c r="I133" s="431">
        <v>0</v>
      </c>
      <c r="J133" s="281">
        <f t="shared" si="28"/>
        <v>0</v>
      </c>
      <c r="K133" s="282">
        <f t="shared" si="33"/>
        <v>0</v>
      </c>
      <c r="L133" s="281">
        <f t="shared" si="31"/>
        <v>4861130</v>
      </c>
      <c r="M133" s="411">
        <v>2700627.7777777775</v>
      </c>
      <c r="N133" s="282">
        <f t="shared" si="29"/>
        <v>0.55555555555555547</v>
      </c>
      <c r="O133" s="281">
        <f t="shared" si="34"/>
        <v>2160502.2222222225</v>
      </c>
      <c r="P133" s="284">
        <f t="shared" si="32"/>
        <v>0.44444444444444448</v>
      </c>
    </row>
    <row r="134" spans="1:16" ht="15.75">
      <c r="A134" s="276"/>
      <c r="B134" s="376"/>
      <c r="C134" s="377" t="s">
        <v>252</v>
      </c>
      <c r="D134" s="303"/>
      <c r="E134" s="427"/>
      <c r="F134" s="428" t="s">
        <v>3377</v>
      </c>
      <c r="G134" s="285">
        <v>9763010</v>
      </c>
      <c r="H134" s="286">
        <v>0</v>
      </c>
      <c r="I134" s="431">
        <v>0</v>
      </c>
      <c r="J134" s="281">
        <f t="shared" si="28"/>
        <v>0</v>
      </c>
      <c r="K134" s="282">
        <f t="shared" si="33"/>
        <v>0</v>
      </c>
      <c r="L134" s="281">
        <f t="shared" si="31"/>
        <v>9763010</v>
      </c>
      <c r="M134" s="411">
        <v>5423894.444444445</v>
      </c>
      <c r="N134" s="282">
        <f t="shared" si="29"/>
        <v>0.55555555555555558</v>
      </c>
      <c r="O134" s="281">
        <f t="shared" si="34"/>
        <v>4339115.555555555</v>
      </c>
      <c r="P134" s="284">
        <f t="shared" si="32"/>
        <v>0.44444444444444436</v>
      </c>
    </row>
    <row r="135" spans="1:16" ht="15.75">
      <c r="A135" s="276"/>
      <c r="B135" s="376"/>
      <c r="C135" s="377" t="s">
        <v>252</v>
      </c>
      <c r="D135" s="303"/>
      <c r="E135" s="427"/>
      <c r="F135" s="428" t="s">
        <v>3378</v>
      </c>
      <c r="G135" s="285">
        <v>4881505</v>
      </c>
      <c r="H135" s="286">
        <v>0</v>
      </c>
      <c r="I135" s="431">
        <v>0</v>
      </c>
      <c r="J135" s="281">
        <f t="shared" si="28"/>
        <v>0</v>
      </c>
      <c r="K135" s="282">
        <f t="shared" si="33"/>
        <v>0</v>
      </c>
      <c r="L135" s="281">
        <f t="shared" si="31"/>
        <v>4881505</v>
      </c>
      <c r="M135" s="411">
        <v>2711947.2222222225</v>
      </c>
      <c r="N135" s="282">
        <f t="shared" si="29"/>
        <v>0.55555555555555558</v>
      </c>
      <c r="O135" s="281">
        <f t="shared" si="34"/>
        <v>2169557.7777777775</v>
      </c>
      <c r="P135" s="284">
        <f t="shared" si="32"/>
        <v>0.44444444444444436</v>
      </c>
    </row>
    <row r="136" spans="1:16" ht="15.75">
      <c r="A136" s="276"/>
      <c r="B136" s="376"/>
      <c r="C136" s="377" t="s">
        <v>252</v>
      </c>
      <c r="D136" s="303"/>
      <c r="E136" s="427"/>
      <c r="F136" s="428" t="s">
        <v>3379</v>
      </c>
      <c r="G136" s="285">
        <v>47332090</v>
      </c>
      <c r="H136" s="286">
        <v>0</v>
      </c>
      <c r="I136" s="431">
        <v>0</v>
      </c>
      <c r="J136" s="281">
        <f t="shared" si="28"/>
        <v>0</v>
      </c>
      <c r="K136" s="282">
        <f t="shared" si="33"/>
        <v>0</v>
      </c>
      <c r="L136" s="281">
        <f t="shared" si="31"/>
        <v>47332090</v>
      </c>
      <c r="M136" s="411">
        <v>21514586.36363636</v>
      </c>
      <c r="N136" s="282">
        <f t="shared" si="29"/>
        <v>0.45454545454545447</v>
      </c>
      <c r="O136" s="281">
        <f t="shared" si="34"/>
        <v>25817503.63636364</v>
      </c>
      <c r="P136" s="284">
        <f t="shared" si="32"/>
        <v>0.54545454545454553</v>
      </c>
    </row>
    <row r="137" spans="1:16" ht="15.75">
      <c r="A137" s="276"/>
      <c r="B137" s="376"/>
      <c r="C137" s="377" t="s">
        <v>252</v>
      </c>
      <c r="D137" s="303"/>
      <c r="E137" s="427"/>
      <c r="F137" s="433" t="s">
        <v>3380</v>
      </c>
      <c r="G137" s="434">
        <v>56395368</v>
      </c>
      <c r="H137" s="286">
        <v>0</v>
      </c>
      <c r="I137" s="431">
        <v>0</v>
      </c>
      <c r="J137" s="281">
        <f t="shared" si="28"/>
        <v>0</v>
      </c>
      <c r="K137" s="282">
        <f t="shared" si="33"/>
        <v>0</v>
      </c>
      <c r="L137" s="281">
        <f t="shared" si="31"/>
        <v>56395368</v>
      </c>
      <c r="M137" s="411">
        <v>25377915.600000001</v>
      </c>
      <c r="N137" s="282">
        <f t="shared" si="29"/>
        <v>0.45</v>
      </c>
      <c r="O137" s="281">
        <f t="shared" si="34"/>
        <v>31017452.399999999</v>
      </c>
      <c r="P137" s="284">
        <f t="shared" si="32"/>
        <v>0.54999999999999993</v>
      </c>
    </row>
    <row r="138" spans="1:16" ht="15.75">
      <c r="A138" s="276"/>
      <c r="B138" s="376"/>
      <c r="C138" s="377" t="s">
        <v>252</v>
      </c>
      <c r="D138" s="303"/>
      <c r="E138" s="427"/>
      <c r="F138" s="435" t="s">
        <v>3381</v>
      </c>
      <c r="G138" s="285">
        <v>32000000</v>
      </c>
      <c r="H138" s="286">
        <v>0</v>
      </c>
      <c r="I138" s="431">
        <v>0</v>
      </c>
      <c r="J138" s="281">
        <f t="shared" si="28"/>
        <v>0</v>
      </c>
      <c r="K138" s="282">
        <f t="shared" si="33"/>
        <v>0</v>
      </c>
      <c r="L138" s="281">
        <f t="shared" si="31"/>
        <v>32000000</v>
      </c>
      <c r="M138" s="411">
        <v>32000000</v>
      </c>
      <c r="N138" s="282">
        <f t="shared" si="29"/>
        <v>1</v>
      </c>
      <c r="O138" s="281">
        <f t="shared" si="34"/>
        <v>0</v>
      </c>
      <c r="P138" s="284">
        <f t="shared" si="32"/>
        <v>0</v>
      </c>
    </row>
    <row r="139" spans="1:16" ht="30">
      <c r="A139" s="276"/>
      <c r="B139" s="376"/>
      <c r="C139" s="377"/>
      <c r="D139" s="303"/>
      <c r="E139" s="425"/>
      <c r="F139" s="426" t="s">
        <v>3382</v>
      </c>
      <c r="G139" s="285"/>
      <c r="H139" s="319"/>
      <c r="I139" s="320"/>
      <c r="J139" s="281"/>
      <c r="K139" s="282"/>
      <c r="L139" s="281"/>
      <c r="M139" s="411"/>
      <c r="N139" s="282">
        <f t="shared" si="29"/>
        <v>0</v>
      </c>
      <c r="O139" s="281"/>
      <c r="P139" s="284"/>
    </row>
    <row r="140" spans="1:16">
      <c r="A140" s="276"/>
      <c r="B140" s="376"/>
      <c r="C140" s="377" t="s">
        <v>256</v>
      </c>
      <c r="D140" s="303"/>
      <c r="E140" s="429"/>
      <c r="F140" s="430" t="s">
        <v>3363</v>
      </c>
      <c r="G140" s="285">
        <v>6407220</v>
      </c>
      <c r="H140" s="286">
        <v>0</v>
      </c>
      <c r="I140" s="431">
        <v>0</v>
      </c>
      <c r="J140" s="281">
        <f t="shared" si="28"/>
        <v>0</v>
      </c>
      <c r="K140" s="282">
        <f t="shared" ref="K140:K145" si="35">+IF(G140&lt;&gt;0,+J140/G140,0)</f>
        <v>0</v>
      </c>
      <c r="L140" s="281">
        <f t="shared" si="31"/>
        <v>6407220</v>
      </c>
      <c r="M140" s="411">
        <v>3203610</v>
      </c>
      <c r="N140" s="282">
        <f t="shared" si="29"/>
        <v>0.5</v>
      </c>
      <c r="O140" s="281">
        <f t="shared" ref="O140:O145" si="36">+G140-J140-M140</f>
        <v>3203610</v>
      </c>
      <c r="P140" s="284">
        <f t="shared" si="32"/>
        <v>0.5</v>
      </c>
    </row>
    <row r="141" spans="1:16">
      <c r="A141" s="276"/>
      <c r="B141" s="376"/>
      <c r="C141" s="377" t="s">
        <v>256</v>
      </c>
      <c r="D141" s="303"/>
      <c r="E141" s="429"/>
      <c r="F141" s="430" t="s">
        <v>3365</v>
      </c>
      <c r="G141" s="285">
        <v>5550000</v>
      </c>
      <c r="H141" s="286">
        <v>0</v>
      </c>
      <c r="I141" s="431">
        <v>0</v>
      </c>
      <c r="J141" s="281">
        <f t="shared" si="28"/>
        <v>0</v>
      </c>
      <c r="K141" s="282">
        <f t="shared" si="35"/>
        <v>0</v>
      </c>
      <c r="L141" s="281">
        <f t="shared" si="31"/>
        <v>5550000</v>
      </c>
      <c r="M141" s="411">
        <v>2312500</v>
      </c>
      <c r="N141" s="282">
        <f t="shared" si="29"/>
        <v>0.41666666666666669</v>
      </c>
      <c r="O141" s="281">
        <f t="shared" si="36"/>
        <v>3237500</v>
      </c>
      <c r="P141" s="284">
        <f t="shared" si="32"/>
        <v>0.58333333333333337</v>
      </c>
    </row>
    <row r="142" spans="1:16">
      <c r="A142" s="276"/>
      <c r="B142" s="376"/>
      <c r="C142" s="377" t="s">
        <v>256</v>
      </c>
      <c r="D142" s="303"/>
      <c r="E142" s="429"/>
      <c r="F142" s="430" t="s">
        <v>3330</v>
      </c>
      <c r="G142" s="285">
        <v>3104526</v>
      </c>
      <c r="H142" s="286">
        <v>0</v>
      </c>
      <c r="I142" s="431">
        <v>0</v>
      </c>
      <c r="J142" s="281">
        <f t="shared" si="28"/>
        <v>0</v>
      </c>
      <c r="K142" s="282">
        <f t="shared" si="35"/>
        <v>0</v>
      </c>
      <c r="L142" s="281">
        <f t="shared" si="31"/>
        <v>3104526</v>
      </c>
      <c r="M142" s="411">
        <v>1293552.5</v>
      </c>
      <c r="N142" s="282">
        <f t="shared" si="29"/>
        <v>0.41666666666666669</v>
      </c>
      <c r="O142" s="281">
        <f t="shared" si="36"/>
        <v>1810973.5</v>
      </c>
      <c r="P142" s="284">
        <f t="shared" si="32"/>
        <v>0.58333333333333337</v>
      </c>
    </row>
    <row r="143" spans="1:16">
      <c r="A143" s="276"/>
      <c r="B143" s="376"/>
      <c r="C143" s="377" t="s">
        <v>256</v>
      </c>
      <c r="D143" s="303"/>
      <c r="E143" s="429"/>
      <c r="F143" s="430" t="s">
        <v>3332</v>
      </c>
      <c r="G143" s="285">
        <v>2700000</v>
      </c>
      <c r="H143" s="286">
        <v>0</v>
      </c>
      <c r="I143" s="431">
        <v>0</v>
      </c>
      <c r="J143" s="281">
        <f t="shared" si="28"/>
        <v>0</v>
      </c>
      <c r="K143" s="282">
        <f t="shared" si="35"/>
        <v>0</v>
      </c>
      <c r="L143" s="281">
        <f t="shared" si="31"/>
        <v>2700000</v>
      </c>
      <c r="M143" s="411">
        <v>1125000</v>
      </c>
      <c r="N143" s="282">
        <f t="shared" si="29"/>
        <v>0.41666666666666669</v>
      </c>
      <c r="O143" s="281">
        <f t="shared" si="36"/>
        <v>1575000</v>
      </c>
      <c r="P143" s="284">
        <f t="shared" si="32"/>
        <v>0.58333333333333337</v>
      </c>
    </row>
    <row r="144" spans="1:16">
      <c r="A144" s="276"/>
      <c r="B144" s="376"/>
      <c r="C144" s="377" t="s">
        <v>256</v>
      </c>
      <c r="D144" s="303"/>
      <c r="E144" s="429"/>
      <c r="F144" s="430" t="s">
        <v>3383</v>
      </c>
      <c r="G144" s="285">
        <v>2882928</v>
      </c>
      <c r="H144" s="286">
        <v>0</v>
      </c>
      <c r="I144" s="431">
        <v>0</v>
      </c>
      <c r="J144" s="281">
        <f t="shared" si="28"/>
        <v>0</v>
      </c>
      <c r="K144" s="282">
        <f t="shared" si="35"/>
        <v>0</v>
      </c>
      <c r="L144" s="281">
        <f t="shared" si="31"/>
        <v>2882928</v>
      </c>
      <c r="M144" s="411">
        <v>1201220</v>
      </c>
      <c r="N144" s="282">
        <f t="shared" si="29"/>
        <v>0.41666666666666669</v>
      </c>
      <c r="O144" s="281">
        <f t="shared" si="36"/>
        <v>1681708</v>
      </c>
      <c r="P144" s="284">
        <f t="shared" si="32"/>
        <v>0.58333333333333337</v>
      </c>
    </row>
    <row r="145" spans="1:16">
      <c r="A145" s="276"/>
      <c r="B145" s="376"/>
      <c r="C145" s="377" t="s">
        <v>256</v>
      </c>
      <c r="D145" s="303"/>
      <c r="E145" s="429"/>
      <c r="F145" s="430" t="s">
        <v>3333</v>
      </c>
      <c r="G145" s="285">
        <v>3737546</v>
      </c>
      <c r="H145" s="286">
        <v>0</v>
      </c>
      <c r="I145" s="431">
        <v>0</v>
      </c>
      <c r="J145" s="281">
        <f t="shared" si="28"/>
        <v>0</v>
      </c>
      <c r="K145" s="282">
        <f t="shared" si="35"/>
        <v>0</v>
      </c>
      <c r="L145" s="281">
        <f t="shared" si="31"/>
        <v>3737546</v>
      </c>
      <c r="M145" s="411">
        <v>1557310.8333333335</v>
      </c>
      <c r="N145" s="282">
        <f t="shared" si="29"/>
        <v>0.41666666666666669</v>
      </c>
      <c r="O145" s="281">
        <f t="shared" si="36"/>
        <v>2180235.1666666665</v>
      </c>
      <c r="P145" s="284">
        <f t="shared" si="32"/>
        <v>0.58333333333333326</v>
      </c>
    </row>
    <row r="146" spans="1:16" ht="45">
      <c r="A146" s="276"/>
      <c r="B146" s="376"/>
      <c r="C146" s="377"/>
      <c r="D146" s="303"/>
      <c r="E146" s="425"/>
      <c r="F146" s="426" t="s">
        <v>3384</v>
      </c>
      <c r="G146" s="285"/>
      <c r="H146" s="319"/>
      <c r="I146" s="320"/>
      <c r="J146" s="281"/>
      <c r="K146" s="282"/>
      <c r="L146" s="281"/>
      <c r="M146" s="411"/>
      <c r="N146" s="282">
        <f t="shared" si="29"/>
        <v>0</v>
      </c>
      <c r="O146" s="281"/>
      <c r="P146" s="284"/>
    </row>
    <row r="147" spans="1:16" ht="15.75">
      <c r="A147" s="276"/>
      <c r="B147" s="376"/>
      <c r="C147" s="377" t="s">
        <v>260</v>
      </c>
      <c r="D147" s="303"/>
      <c r="E147" s="427"/>
      <c r="F147" s="428" t="s">
        <v>3322</v>
      </c>
      <c r="G147" s="285">
        <v>1200000</v>
      </c>
      <c r="H147" s="286">
        <v>0</v>
      </c>
      <c r="I147" s="431">
        <v>0</v>
      </c>
      <c r="J147" s="281">
        <f t="shared" si="28"/>
        <v>0</v>
      </c>
      <c r="K147" s="282">
        <f>+IF(G147&lt;&gt;0,+J147/G147,0)</f>
        <v>0</v>
      </c>
      <c r="L147" s="281">
        <f t="shared" si="31"/>
        <v>1200000</v>
      </c>
      <c r="M147" s="411">
        <v>400000</v>
      </c>
      <c r="N147" s="282">
        <f t="shared" si="29"/>
        <v>0.33333333333333331</v>
      </c>
      <c r="O147" s="281">
        <f>+G147-J147-M147</f>
        <v>800000</v>
      </c>
      <c r="P147" s="284">
        <f t="shared" si="32"/>
        <v>0.66666666666666663</v>
      </c>
    </row>
    <row r="148" spans="1:16" ht="15.75">
      <c r="A148" s="276"/>
      <c r="B148" s="376"/>
      <c r="C148" s="377" t="s">
        <v>260</v>
      </c>
      <c r="D148" s="303"/>
      <c r="E148" s="427"/>
      <c r="F148" s="428" t="s">
        <v>3323</v>
      </c>
      <c r="G148" s="285">
        <v>2000000</v>
      </c>
      <c r="H148" s="286">
        <v>0</v>
      </c>
      <c r="I148" s="431">
        <v>0</v>
      </c>
      <c r="J148" s="281">
        <f t="shared" si="28"/>
        <v>0</v>
      </c>
      <c r="K148" s="282">
        <f>+IF(G148&lt;&gt;0,+J148/G148,0)</f>
        <v>0</v>
      </c>
      <c r="L148" s="281">
        <f t="shared" si="31"/>
        <v>2000000</v>
      </c>
      <c r="M148" s="411">
        <v>666666.66666666663</v>
      </c>
      <c r="N148" s="282">
        <f t="shared" si="29"/>
        <v>0.33333333333333331</v>
      </c>
      <c r="O148" s="281">
        <f>+G148-J148-M148</f>
        <v>1333333.3333333335</v>
      </c>
      <c r="P148" s="284">
        <f t="shared" si="32"/>
        <v>0.66666666666666674</v>
      </c>
    </row>
    <row r="149" spans="1:16" ht="15.75">
      <c r="A149" s="276"/>
      <c r="B149" s="376"/>
      <c r="C149" s="377" t="s">
        <v>260</v>
      </c>
      <c r="D149" s="303"/>
      <c r="E149" s="427"/>
      <c r="F149" s="428" t="s">
        <v>3324</v>
      </c>
      <c r="G149" s="285">
        <v>1080000</v>
      </c>
      <c r="H149" s="286">
        <v>0</v>
      </c>
      <c r="I149" s="431">
        <v>0</v>
      </c>
      <c r="J149" s="281">
        <f t="shared" si="28"/>
        <v>0</v>
      </c>
      <c r="K149" s="282">
        <f>+IF(G149&lt;&gt;0,+J149/G149,0)</f>
        <v>0</v>
      </c>
      <c r="L149" s="281">
        <f t="shared" si="31"/>
        <v>1080000</v>
      </c>
      <c r="M149" s="411">
        <v>360000</v>
      </c>
      <c r="N149" s="282">
        <f t="shared" si="29"/>
        <v>0.33333333333333331</v>
      </c>
      <c r="O149" s="281">
        <f>+G149-J149-M149</f>
        <v>720000</v>
      </c>
      <c r="P149" s="284">
        <f t="shared" si="32"/>
        <v>0.66666666666666663</v>
      </c>
    </row>
    <row r="150" spans="1:16" ht="15.75">
      <c r="A150" s="276"/>
      <c r="B150" s="376"/>
      <c r="C150" s="377" t="s">
        <v>260</v>
      </c>
      <c r="D150" s="303"/>
      <c r="E150" s="427"/>
      <c r="F150" s="428" t="s">
        <v>3325</v>
      </c>
      <c r="G150" s="285">
        <v>1425000</v>
      </c>
      <c r="H150" s="286">
        <v>0</v>
      </c>
      <c r="I150" s="431">
        <v>0</v>
      </c>
      <c r="J150" s="281">
        <f t="shared" si="28"/>
        <v>0</v>
      </c>
      <c r="K150" s="282">
        <f>+IF(G150&lt;&gt;0,+J150/G150,0)</f>
        <v>0</v>
      </c>
      <c r="L150" s="281">
        <f t="shared" si="31"/>
        <v>1425000</v>
      </c>
      <c r="M150" s="411">
        <v>475000</v>
      </c>
      <c r="N150" s="282">
        <f t="shared" si="29"/>
        <v>0.33333333333333331</v>
      </c>
      <c r="O150" s="281">
        <f>+G150-J150-M150</f>
        <v>950000</v>
      </c>
      <c r="P150" s="284">
        <f t="shared" si="32"/>
        <v>0.66666666666666663</v>
      </c>
    </row>
    <row r="151" spans="1:16" ht="15.75">
      <c r="A151" s="276"/>
      <c r="B151" s="376"/>
      <c r="C151" s="377" t="s">
        <v>260</v>
      </c>
      <c r="D151" s="303"/>
      <c r="E151" s="427"/>
      <c r="F151" s="428" t="s">
        <v>3385</v>
      </c>
      <c r="G151" s="285">
        <v>250000</v>
      </c>
      <c r="H151" s="286">
        <v>0</v>
      </c>
      <c r="I151" s="431">
        <v>0</v>
      </c>
      <c r="J151" s="281">
        <f t="shared" si="28"/>
        <v>0</v>
      </c>
      <c r="K151" s="282">
        <f>+IF(G151&lt;&gt;0,+J151/G151,0)</f>
        <v>0</v>
      </c>
      <c r="L151" s="281">
        <f t="shared" si="31"/>
        <v>250000</v>
      </c>
      <c r="M151" s="411">
        <v>83333.333333333328</v>
      </c>
      <c r="N151" s="282">
        <f t="shared" si="29"/>
        <v>0.33333333333333331</v>
      </c>
      <c r="O151" s="281">
        <f>+G151-J151-M151</f>
        <v>166666.66666666669</v>
      </c>
      <c r="P151" s="284">
        <f t="shared" si="32"/>
        <v>0.66666666666666674</v>
      </c>
    </row>
    <row r="152" spans="1:16">
      <c r="A152" s="276"/>
      <c r="B152" s="376"/>
      <c r="C152" s="377"/>
      <c r="D152" s="278"/>
      <c r="E152" s="278"/>
      <c r="G152" s="285"/>
      <c r="H152" s="436"/>
      <c r="I152" s="436"/>
      <c r="J152" s="281"/>
      <c r="K152" s="282"/>
      <c r="L152" s="281"/>
      <c r="M152" s="409"/>
      <c r="N152" s="282"/>
      <c r="O152" s="281"/>
      <c r="P152" s="284"/>
    </row>
    <row r="153" spans="1:16" ht="15.75" thickBot="1">
      <c r="A153" s="289"/>
      <c r="B153" s="290"/>
      <c r="C153" s="291">
        <v>4045</v>
      </c>
      <c r="D153" s="292">
        <v>5</v>
      </c>
      <c r="E153" s="292"/>
      <c r="F153" s="293" t="s">
        <v>3275</v>
      </c>
      <c r="G153" s="414">
        <v>560121000.00000012</v>
      </c>
      <c r="H153" s="414">
        <f>SUM(H48:H152)</f>
        <v>27405795</v>
      </c>
      <c r="I153" s="414">
        <f>SUM(I48:I152)</f>
        <v>127215452</v>
      </c>
      <c r="J153" s="414">
        <f>SUM(J48:J152)</f>
        <v>154621247</v>
      </c>
      <c r="K153" s="362">
        <f>+IF(G153&lt;&gt;0,+J153/G153,0)</f>
        <v>0.2760497231848118</v>
      </c>
      <c r="L153" s="414">
        <f>SUM(L48:L152)</f>
        <v>405499753</v>
      </c>
      <c r="M153" s="414">
        <f>SUM(M48:M152)</f>
        <v>237442159.02059245</v>
      </c>
      <c r="N153" s="362">
        <f>+IF(G153&lt;&gt;0,M153/G153,0)</f>
        <v>0.42391226006629351</v>
      </c>
      <c r="O153" s="414">
        <f>SUM(O48:O152)</f>
        <v>168057593.97940749</v>
      </c>
      <c r="P153" s="416">
        <f>+IF(+G153&lt;&gt;0,O153/G153,0)</f>
        <v>0.30003801674889435</v>
      </c>
    </row>
    <row r="154" spans="1:16" ht="15.75" thickBot="1">
      <c r="A154" s="276"/>
      <c r="B154" s="376"/>
      <c r="C154" s="325"/>
      <c r="G154" s="311"/>
      <c r="H154" s="437"/>
      <c r="I154" s="411"/>
      <c r="J154" s="411"/>
      <c r="K154" s="357"/>
      <c r="L154" s="411"/>
      <c r="M154" s="411"/>
      <c r="N154" s="357"/>
      <c r="O154" s="411"/>
      <c r="P154" s="358"/>
    </row>
    <row r="155" spans="1:16" ht="15.75" thickBot="1">
      <c r="A155" s="289"/>
      <c r="B155" s="382"/>
      <c r="C155" s="359" t="s">
        <v>3276</v>
      </c>
      <c r="D155" s="260"/>
      <c r="E155" s="360"/>
      <c r="F155" s="360"/>
      <c r="G155" s="292">
        <v>839999999.94000006</v>
      </c>
      <c r="H155" s="417">
        <f>+H14+H24+H36+H45+H153</f>
        <v>124040034.46000001</v>
      </c>
      <c r="I155" s="438">
        <f>+I14+I24+I36+I45+I153</f>
        <v>165641416.93000001</v>
      </c>
      <c r="J155" s="439">
        <f>+J14+J24+J36+J45+J153</f>
        <v>289681451.38999999</v>
      </c>
      <c r="K155" s="350">
        <f>+IF(G155&lt;&gt;0,+J155/G155,0)</f>
        <v>0.34485887072701371</v>
      </c>
      <c r="L155" s="417">
        <f>+L14+L24+L36+L45+L153</f>
        <v>550318548.54999995</v>
      </c>
      <c r="M155" s="417">
        <f>+M14+M24+M36+M45+M153</f>
        <v>315142918.92690825</v>
      </c>
      <c r="N155" s="350">
        <f>+IF(G155&lt;&gt;0,M155/G155,0)</f>
        <v>0.37517014160645051</v>
      </c>
      <c r="O155" s="417">
        <f>+O14+O24+O36+O45+O153</f>
        <v>235175629.6230917</v>
      </c>
      <c r="P155" s="350">
        <f>+IF(+G155&lt;&gt;0,O155/G155,0)</f>
        <v>0.27997098766653566</v>
      </c>
    </row>
    <row r="156" spans="1:16">
      <c r="C156" s="252"/>
      <c r="D156" s="252"/>
    </row>
    <row r="157" spans="1:16">
      <c r="J157" s="441"/>
      <c r="L157" s="440">
        <f>+M155+J155</f>
        <v>604824370.31690824</v>
      </c>
    </row>
    <row r="158" spans="1:16">
      <c r="J158" s="440">
        <f>+J155/R1</f>
        <v>80821.124937810077</v>
      </c>
      <c r="L158" s="442">
        <f>+L157/G155</f>
        <v>0.72002901233346417</v>
      </c>
    </row>
    <row r="161" spans="1:15">
      <c r="B161" s="370" t="s">
        <v>3279</v>
      </c>
      <c r="D161" s="521"/>
      <c r="E161" s="521"/>
      <c r="F161" s="521"/>
      <c r="H161" s="521"/>
      <c r="I161" s="521"/>
      <c r="J161" s="521"/>
      <c r="L161" s="521" t="s">
        <v>3386</v>
      </c>
      <c r="M161" s="521"/>
      <c r="N161" s="521"/>
      <c r="O161" s="521"/>
    </row>
    <row r="162" spans="1:15" ht="17.25">
      <c r="D162" s="522" t="s">
        <v>3387</v>
      </c>
      <c r="E162" s="522"/>
      <c r="F162" s="522"/>
      <c r="H162" s="522" t="s">
        <v>3282</v>
      </c>
      <c r="I162" s="522"/>
      <c r="J162" s="522"/>
      <c r="L162" s="522" t="s">
        <v>3283</v>
      </c>
      <c r="M162" s="522"/>
      <c r="N162" s="522"/>
      <c r="O162" s="522"/>
    </row>
    <row r="171" spans="1:15">
      <c r="A171" s="374"/>
      <c r="B171" s="253"/>
    </row>
    <row r="172" spans="1:15">
      <c r="A172" s="374"/>
      <c r="B172" s="253"/>
    </row>
    <row r="173" spans="1:15">
      <c r="A173" s="374"/>
      <c r="B173" s="253"/>
    </row>
    <row r="174" spans="1:15">
      <c r="A174" s="374"/>
      <c r="B174" s="253"/>
    </row>
    <row r="175" spans="1:15">
      <c r="A175" s="374"/>
      <c r="B175" s="253"/>
    </row>
    <row r="176" spans="1:15">
      <c r="A176" s="374"/>
      <c r="B176" s="253"/>
    </row>
    <row r="177" spans="1:2">
      <c r="A177" s="374"/>
      <c r="B177" s="253"/>
    </row>
    <row r="178" spans="1:2">
      <c r="A178" s="374"/>
      <c r="B178" s="253"/>
    </row>
    <row r="179" spans="1:2">
      <c r="B179" s="253"/>
    </row>
    <row r="180" spans="1:2">
      <c r="B180" s="253"/>
    </row>
  </sheetData>
  <mergeCells count="6">
    <mergeCell ref="D161:F161"/>
    <mergeCell ref="H161:J161"/>
    <mergeCell ref="L161:O161"/>
    <mergeCell ref="D162:F162"/>
    <mergeCell ref="H162:J162"/>
    <mergeCell ref="L162:O16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N249"/>
  <sheetViews>
    <sheetView showGridLines="0" showZeros="0" zoomScale="80" zoomScaleNormal="80" workbookViewId="0">
      <selection activeCell="D1" sqref="D1:D1048576"/>
    </sheetView>
  </sheetViews>
  <sheetFormatPr baseColWidth="10" defaultColWidth="9.28515625" defaultRowHeight="15.75"/>
  <cols>
    <col min="1" max="1" width="4.42578125" style="39" customWidth="1"/>
    <col min="2" max="2" width="3.28515625" style="39" customWidth="1"/>
    <col min="3" max="3" width="51.42578125" style="39" customWidth="1"/>
    <col min="4" max="4" width="34.28515625" style="41" customWidth="1"/>
    <col min="5" max="5" width="35" style="41" hidden="1" customWidth="1"/>
    <col min="6" max="6" width="34" style="41" hidden="1" customWidth="1"/>
    <col min="7" max="7" width="25.7109375" style="39" hidden="1" customWidth="1"/>
    <col min="8" max="8" width="21.42578125" style="39" customWidth="1"/>
    <col min="9" max="9" width="16.7109375" style="39" customWidth="1"/>
    <col min="10" max="10" width="19.42578125" style="39" customWidth="1"/>
    <col min="11" max="11" width="19" style="39" customWidth="1"/>
    <col min="12" max="12" width="26" style="39" customWidth="1"/>
    <col min="13" max="13" width="21.28515625" style="39" customWidth="1"/>
    <col min="14" max="14" width="7" style="39" customWidth="1"/>
    <col min="15" max="15" width="24.28515625" style="39" customWidth="1"/>
    <col min="16" max="16" width="26.42578125" style="39" customWidth="1"/>
    <col min="17" max="17" width="30.28515625" style="39" customWidth="1"/>
    <col min="18" max="18" width="33" style="39" customWidth="1"/>
    <col min="19" max="20" width="22.7109375" style="39" customWidth="1"/>
    <col min="21" max="21" width="23.42578125" style="39" customWidth="1"/>
    <col min="22" max="22" width="32.28515625" style="39" customWidth="1"/>
    <col min="23" max="23" width="9.28515625" style="39"/>
    <col min="24" max="24" width="17.7109375" style="39" customWidth="1"/>
    <col min="25" max="25" width="26.42578125" style="39" customWidth="1"/>
    <col min="26" max="26" width="22.42578125" style="39" customWidth="1"/>
    <col min="27" max="27" width="29.7109375" style="39" customWidth="1"/>
    <col min="28" max="28" width="23.42578125" style="39" customWidth="1"/>
    <col min="29" max="29" width="18.42578125" style="39" customWidth="1"/>
    <col min="30" max="30" width="17.42578125" style="39" customWidth="1"/>
    <col min="31" max="31" width="25.28515625" style="39" customWidth="1"/>
    <col min="32" max="16384" width="9.28515625" style="39"/>
  </cols>
  <sheetData>
    <row r="1" spans="2:14" ht="24" customHeight="1">
      <c r="B1" s="212"/>
      <c r="C1" s="212"/>
      <c r="D1" s="213"/>
      <c r="E1" s="213"/>
      <c r="F1" s="213"/>
      <c r="G1" s="212"/>
      <c r="H1" s="212"/>
      <c r="I1" s="212"/>
      <c r="J1" s="212"/>
      <c r="K1" s="212"/>
      <c r="L1" s="16"/>
      <c r="M1" s="3"/>
      <c r="N1" s="212"/>
    </row>
    <row r="2" spans="2:14" ht="26.25" customHeight="1">
      <c r="B2" s="212"/>
      <c r="C2" s="482" t="s">
        <v>0</v>
      </c>
      <c r="D2" s="482"/>
      <c r="E2" s="482"/>
      <c r="F2" s="482"/>
      <c r="G2" s="27"/>
      <c r="H2" s="28"/>
      <c r="I2" s="28"/>
      <c r="J2" s="212"/>
      <c r="K2" s="212"/>
      <c r="L2" s="16"/>
      <c r="M2" s="3"/>
      <c r="N2" s="212"/>
    </row>
    <row r="3" spans="2:14" ht="15" customHeight="1">
      <c r="B3" s="212"/>
      <c r="C3" s="115" t="s">
        <v>1</v>
      </c>
      <c r="D3" s="29"/>
      <c r="E3" s="29"/>
      <c r="F3" s="29"/>
      <c r="G3" s="29"/>
      <c r="H3" s="29"/>
      <c r="I3" s="29"/>
      <c r="J3" s="212"/>
      <c r="K3" s="212"/>
      <c r="L3" s="16"/>
      <c r="M3" s="3"/>
      <c r="N3" s="212"/>
    </row>
    <row r="4" spans="2:14" ht="17.25" customHeight="1">
      <c r="B4" s="212"/>
      <c r="C4" s="497" t="s">
        <v>3388</v>
      </c>
      <c r="D4" s="497"/>
      <c r="E4" s="497"/>
      <c r="F4" s="29"/>
      <c r="G4" s="29"/>
      <c r="H4" s="29"/>
      <c r="I4" s="29"/>
      <c r="J4" s="212"/>
      <c r="K4" s="212"/>
      <c r="L4" s="16"/>
      <c r="M4" s="3"/>
      <c r="N4" s="212"/>
    </row>
    <row r="5" spans="2:14" ht="13.5" customHeight="1">
      <c r="B5" s="212"/>
      <c r="C5" s="34"/>
      <c r="D5" s="34"/>
      <c r="E5" s="34"/>
      <c r="F5" s="34"/>
      <c r="G5" s="212"/>
      <c r="H5" s="212"/>
      <c r="I5" s="212"/>
      <c r="J5" s="212"/>
      <c r="K5" s="212"/>
      <c r="L5" s="16"/>
      <c r="M5" s="3"/>
      <c r="N5" s="212"/>
    </row>
    <row r="6" spans="2:14" ht="24" customHeight="1">
      <c r="B6" s="212"/>
      <c r="C6" s="34"/>
      <c r="D6" s="17" t="str">
        <f>'1) Budget Tables'!D5</f>
        <v>Recipient Organization</v>
      </c>
      <c r="E6" s="17" t="s">
        <v>3389</v>
      </c>
      <c r="F6" s="17" t="s">
        <v>3390</v>
      </c>
      <c r="G6" s="246" t="s">
        <v>10</v>
      </c>
      <c r="H6" s="212"/>
      <c r="I6" s="212"/>
      <c r="J6" s="212"/>
      <c r="K6" s="212"/>
      <c r="L6" s="16"/>
      <c r="M6" s="3"/>
      <c r="N6" s="212"/>
    </row>
    <row r="7" spans="2:14" ht="24" customHeight="1">
      <c r="B7" s="527" t="s">
        <v>3391</v>
      </c>
      <c r="C7" s="527"/>
      <c r="D7" s="527"/>
      <c r="E7" s="527"/>
      <c r="F7" s="527"/>
      <c r="G7" s="527"/>
      <c r="H7" s="212"/>
      <c r="I7" s="212"/>
      <c r="J7" s="212"/>
      <c r="K7" s="212"/>
      <c r="L7" s="16"/>
      <c r="M7" s="3"/>
      <c r="N7" s="212"/>
    </row>
    <row r="8" spans="2:14" ht="22.5" customHeight="1">
      <c r="B8" s="212"/>
      <c r="C8" s="527" t="s">
        <v>3392</v>
      </c>
      <c r="D8" s="527"/>
      <c r="E8" s="527"/>
      <c r="F8" s="527"/>
      <c r="G8" s="527"/>
      <c r="H8" s="212"/>
      <c r="I8" s="212"/>
      <c r="J8" s="212"/>
      <c r="K8" s="212"/>
      <c r="L8" s="16"/>
      <c r="M8" s="3"/>
      <c r="N8" s="212"/>
    </row>
    <row r="9" spans="2:14" ht="24.75" customHeight="1" thickBot="1">
      <c r="B9" s="212"/>
      <c r="C9" s="49" t="s">
        <v>3393</v>
      </c>
      <c r="D9" s="50">
        <f>'1) Budget Tables'!D16</f>
        <v>102818.15609122254</v>
      </c>
      <c r="E9" s="50">
        <f>'1) Budget Tables'!E16</f>
        <v>0</v>
      </c>
      <c r="F9" s="50">
        <f>'1) Budget Tables'!F16</f>
        <v>0</v>
      </c>
      <c r="G9" s="51">
        <f>SUM(D9:F9)</f>
        <v>102818.15609122254</v>
      </c>
      <c r="H9" s="212"/>
      <c r="I9" s="212"/>
      <c r="J9" s="212"/>
      <c r="K9" s="212"/>
      <c r="L9" s="16"/>
      <c r="M9" s="3"/>
      <c r="N9" s="212"/>
    </row>
    <row r="10" spans="2:14" ht="21.75" customHeight="1">
      <c r="B10" s="212"/>
      <c r="C10" s="47" t="s">
        <v>3394</v>
      </c>
      <c r="D10" s="214">
        <v>30818.15609122254</v>
      </c>
      <c r="E10" s="215"/>
      <c r="F10" s="215"/>
      <c r="G10" s="48">
        <f t="shared" ref="G10:G17" si="0">SUM(D10:F10)</f>
        <v>30818.15609122254</v>
      </c>
      <c r="H10" s="212"/>
      <c r="I10" s="212"/>
      <c r="J10" s="212"/>
      <c r="K10" s="212"/>
      <c r="L10" s="212"/>
      <c r="M10" s="212"/>
      <c r="N10" s="212"/>
    </row>
    <row r="11" spans="2:14">
      <c r="B11" s="212"/>
      <c r="C11" s="37" t="s">
        <v>3395</v>
      </c>
      <c r="D11" s="216"/>
      <c r="E11" s="188"/>
      <c r="F11" s="188"/>
      <c r="G11" s="46">
        <f t="shared" si="0"/>
        <v>0</v>
      </c>
      <c r="H11" s="212"/>
      <c r="I11" s="212"/>
      <c r="J11" s="212"/>
      <c r="K11" s="212"/>
      <c r="L11" s="212"/>
      <c r="M11" s="212"/>
      <c r="N11" s="212"/>
    </row>
    <row r="12" spans="2:14" ht="15.75" customHeight="1">
      <c r="B12" s="212"/>
      <c r="C12" s="37" t="s">
        <v>3396</v>
      </c>
      <c r="D12" s="216"/>
      <c r="E12" s="216"/>
      <c r="F12" s="216"/>
      <c r="G12" s="46">
        <f t="shared" si="0"/>
        <v>0</v>
      </c>
      <c r="H12" s="212"/>
      <c r="I12" s="212"/>
      <c r="J12" s="212"/>
      <c r="K12" s="212"/>
      <c r="L12" s="212"/>
      <c r="M12" s="212"/>
      <c r="N12" s="212"/>
    </row>
    <row r="13" spans="2:14">
      <c r="B13" s="212"/>
      <c r="C13" s="38" t="s">
        <v>3397</v>
      </c>
      <c r="D13" s="216"/>
      <c r="E13" s="216"/>
      <c r="F13" s="216"/>
      <c r="G13" s="46">
        <f t="shared" si="0"/>
        <v>0</v>
      </c>
      <c r="H13" s="212"/>
      <c r="I13" s="212"/>
      <c r="J13" s="212"/>
      <c r="K13" s="212"/>
      <c r="L13" s="212"/>
      <c r="M13" s="212"/>
      <c r="N13" s="212"/>
    </row>
    <row r="14" spans="2:14">
      <c r="B14" s="212"/>
      <c r="C14" s="37" t="s">
        <v>3398</v>
      </c>
      <c r="D14" s="216"/>
      <c r="E14" s="216"/>
      <c r="F14" s="216"/>
      <c r="G14" s="46">
        <f t="shared" si="0"/>
        <v>0</v>
      </c>
      <c r="H14" s="212"/>
      <c r="I14" s="212"/>
      <c r="J14" s="212"/>
      <c r="K14" s="212"/>
      <c r="L14" s="212"/>
      <c r="M14" s="212"/>
      <c r="N14" s="212"/>
    </row>
    <row r="15" spans="2:14" ht="21.75" customHeight="1">
      <c r="B15" s="212"/>
      <c r="C15" s="37" t="s">
        <v>3399</v>
      </c>
      <c r="D15" s="216"/>
      <c r="E15" s="216"/>
      <c r="F15" s="216"/>
      <c r="G15" s="46">
        <f t="shared" si="0"/>
        <v>0</v>
      </c>
      <c r="H15" s="212"/>
      <c r="I15" s="212"/>
      <c r="J15" s="212"/>
      <c r="K15" s="212"/>
      <c r="L15" s="212"/>
      <c r="M15" s="212"/>
      <c r="N15" s="212"/>
    </row>
    <row r="16" spans="2:14" ht="21.75" customHeight="1">
      <c r="B16" s="212"/>
      <c r="C16" s="37" t="s">
        <v>3400</v>
      </c>
      <c r="D16" s="216">
        <v>72000</v>
      </c>
      <c r="E16" s="216"/>
      <c r="F16" s="216"/>
      <c r="G16" s="46">
        <f t="shared" si="0"/>
        <v>72000</v>
      </c>
      <c r="H16" s="212"/>
      <c r="I16" s="212"/>
      <c r="J16" s="212"/>
      <c r="K16" s="212"/>
      <c r="L16" s="212"/>
      <c r="M16" s="212"/>
      <c r="N16" s="212"/>
    </row>
    <row r="17" spans="3:14" ht="15.75" customHeight="1">
      <c r="C17" s="42" t="s">
        <v>3401</v>
      </c>
      <c r="D17" s="52">
        <f>SUM(D10:D16)</f>
        <v>102818.15609122254</v>
      </c>
      <c r="E17" s="52">
        <f>SUM(E10:E16)</f>
        <v>0</v>
      </c>
      <c r="F17" s="52">
        <f>SUM(F10:F16)</f>
        <v>0</v>
      </c>
      <c r="G17" s="99">
        <f t="shared" si="0"/>
        <v>102818.15609122254</v>
      </c>
      <c r="H17" s="212"/>
      <c r="I17" s="217"/>
      <c r="J17" s="212"/>
      <c r="K17" s="212"/>
      <c r="L17" s="212"/>
      <c r="M17" s="212"/>
      <c r="N17" s="212"/>
    </row>
    <row r="18" spans="3:14" s="41" customFormat="1">
      <c r="C18" s="53"/>
      <c r="D18" s="54"/>
      <c r="E18" s="54"/>
      <c r="F18" s="54"/>
      <c r="G18" s="100"/>
      <c r="H18" s="213"/>
      <c r="I18" s="213"/>
      <c r="J18" s="213"/>
      <c r="K18" s="213"/>
      <c r="L18" s="213"/>
      <c r="M18" s="213"/>
      <c r="N18" s="213"/>
    </row>
    <row r="19" spans="3:14">
      <c r="C19" s="527" t="s">
        <v>3402</v>
      </c>
      <c r="D19" s="527"/>
      <c r="E19" s="527"/>
      <c r="F19" s="527"/>
      <c r="G19" s="527"/>
      <c r="H19" s="212"/>
      <c r="I19" s="212"/>
      <c r="J19" s="212"/>
      <c r="K19" s="212"/>
      <c r="L19" s="212"/>
      <c r="M19" s="212"/>
      <c r="N19" s="212"/>
    </row>
    <row r="20" spans="3:14" ht="27" customHeight="1" thickBot="1">
      <c r="C20" s="49" t="s">
        <v>3393</v>
      </c>
      <c r="D20" s="50">
        <f>'1) Budget Tables'!D26</f>
        <v>126932.39391700551</v>
      </c>
      <c r="E20" s="50">
        <f>'1) Budget Tables'!E26</f>
        <v>0</v>
      </c>
      <c r="F20" s="50">
        <f>'1) Budget Tables'!F26</f>
        <v>0</v>
      </c>
      <c r="G20" s="51">
        <f t="shared" ref="G20:G28" si="1">SUM(D20:F20)</f>
        <v>126932.39391700551</v>
      </c>
      <c r="H20" s="212"/>
      <c r="I20" s="212"/>
      <c r="J20" s="212"/>
      <c r="K20" s="212"/>
      <c r="L20" s="212"/>
      <c r="M20" s="212"/>
      <c r="N20" s="212"/>
    </row>
    <row r="21" spans="3:14">
      <c r="C21" s="47" t="s">
        <v>3394</v>
      </c>
      <c r="D21" s="214">
        <v>27432.393917005509</v>
      </c>
      <c r="E21" s="215"/>
      <c r="F21" s="215"/>
      <c r="G21" s="48">
        <f t="shared" si="1"/>
        <v>27432.393917005509</v>
      </c>
      <c r="H21" s="212"/>
      <c r="I21" s="212"/>
      <c r="J21" s="212"/>
      <c r="K21" s="212"/>
      <c r="L21" s="212"/>
      <c r="M21" s="212"/>
      <c r="N21" s="212"/>
    </row>
    <row r="22" spans="3:14">
      <c r="C22" s="37" t="s">
        <v>3395</v>
      </c>
      <c r="D22" s="216"/>
      <c r="E22" s="188"/>
      <c r="F22" s="188"/>
      <c r="G22" s="46">
        <f t="shared" si="1"/>
        <v>0</v>
      </c>
      <c r="H22" s="212"/>
      <c r="I22" s="212"/>
      <c r="J22" s="212"/>
      <c r="K22" s="212"/>
      <c r="L22" s="212"/>
      <c r="M22" s="212"/>
      <c r="N22" s="212"/>
    </row>
    <row r="23" spans="3:14" ht="31.5">
      <c r="C23" s="37" t="s">
        <v>3396</v>
      </c>
      <c r="D23" s="216"/>
      <c r="E23" s="216"/>
      <c r="F23" s="216"/>
      <c r="G23" s="46">
        <f t="shared" si="1"/>
        <v>0</v>
      </c>
      <c r="H23" s="212"/>
      <c r="I23" s="212"/>
      <c r="J23" s="212"/>
      <c r="K23" s="212"/>
      <c r="L23" s="212"/>
      <c r="M23" s="212"/>
      <c r="N23" s="212"/>
    </row>
    <row r="24" spans="3:14">
      <c r="C24" s="38" t="s">
        <v>3397</v>
      </c>
      <c r="D24" s="216"/>
      <c r="E24" s="216"/>
      <c r="F24" s="216"/>
      <c r="G24" s="46">
        <f t="shared" si="1"/>
        <v>0</v>
      </c>
      <c r="H24" s="212"/>
      <c r="I24" s="212"/>
      <c r="J24" s="212"/>
      <c r="K24" s="212"/>
      <c r="L24" s="212"/>
      <c r="M24" s="212"/>
      <c r="N24" s="212"/>
    </row>
    <row r="25" spans="3:14">
      <c r="C25" s="37" t="s">
        <v>3398</v>
      </c>
      <c r="D25" s="216"/>
      <c r="E25" s="216"/>
      <c r="F25" s="216"/>
      <c r="G25" s="46">
        <f t="shared" si="1"/>
        <v>0</v>
      </c>
      <c r="H25" s="212"/>
      <c r="I25" s="212"/>
      <c r="J25" s="212"/>
      <c r="K25" s="212"/>
      <c r="L25" s="212"/>
      <c r="M25" s="212"/>
      <c r="N25" s="212"/>
    </row>
    <row r="26" spans="3:14">
      <c r="C26" s="37" t="s">
        <v>3399</v>
      </c>
      <c r="D26" s="216"/>
      <c r="E26" s="216"/>
      <c r="F26" s="216"/>
      <c r="G26" s="46">
        <f t="shared" si="1"/>
        <v>0</v>
      </c>
      <c r="H26" s="212"/>
      <c r="I26" s="212"/>
      <c r="J26" s="212"/>
      <c r="K26" s="212"/>
      <c r="L26" s="212"/>
      <c r="M26" s="212"/>
      <c r="N26" s="212"/>
    </row>
    <row r="27" spans="3:14">
      <c r="C27" s="37" t="s">
        <v>3400</v>
      </c>
      <c r="D27" s="216">
        <v>99500</v>
      </c>
      <c r="E27" s="216"/>
      <c r="F27" s="216"/>
      <c r="G27" s="46">
        <f t="shared" si="1"/>
        <v>99500</v>
      </c>
      <c r="H27" s="212"/>
      <c r="I27" s="212"/>
      <c r="J27" s="212"/>
      <c r="K27" s="212"/>
      <c r="L27" s="212"/>
      <c r="M27" s="212"/>
      <c r="N27" s="212"/>
    </row>
    <row r="28" spans="3:14">
      <c r="C28" s="42" t="s">
        <v>3401</v>
      </c>
      <c r="D28" s="52">
        <f>SUM(D21:D27)</f>
        <v>126932.39391700551</v>
      </c>
      <c r="E28" s="52">
        <f>SUM(E21:E27)</f>
        <v>0</v>
      </c>
      <c r="F28" s="52">
        <f>SUM(F21:F27)</f>
        <v>0</v>
      </c>
      <c r="G28" s="46">
        <f t="shared" si="1"/>
        <v>126932.39391700551</v>
      </c>
      <c r="H28" s="212"/>
      <c r="I28" s="212"/>
      <c r="J28" s="212"/>
      <c r="K28" s="212"/>
      <c r="L28" s="212"/>
      <c r="M28" s="212"/>
      <c r="N28" s="212"/>
    </row>
    <row r="29" spans="3:14" s="41" customFormat="1">
      <c r="C29" s="53"/>
      <c r="D29" s="54"/>
      <c r="E29" s="54"/>
      <c r="F29" s="54"/>
      <c r="G29" s="55"/>
      <c r="H29" s="213"/>
      <c r="I29" s="213"/>
      <c r="J29" s="213"/>
      <c r="K29" s="213"/>
      <c r="L29" s="213"/>
      <c r="M29" s="213"/>
      <c r="N29" s="213"/>
    </row>
    <row r="30" spans="3:14">
      <c r="C30" s="524" t="s">
        <v>3403</v>
      </c>
      <c r="D30" s="525"/>
      <c r="E30" s="525"/>
      <c r="F30" s="525"/>
      <c r="G30" s="526"/>
      <c r="H30" s="212"/>
      <c r="I30" s="212"/>
      <c r="J30" s="212"/>
      <c r="K30" s="212"/>
      <c r="L30" s="212"/>
      <c r="M30" s="212"/>
      <c r="N30" s="212"/>
    </row>
    <row r="31" spans="3:14" ht="21.75" customHeight="1" thickBot="1">
      <c r="C31" s="49" t="s">
        <v>3393</v>
      </c>
      <c r="D31" s="50">
        <f>'1) Budget Tables'!D36</f>
        <v>196432.39391700551</v>
      </c>
      <c r="E31" s="50">
        <f>'1) Budget Tables'!E36</f>
        <v>0</v>
      </c>
      <c r="F31" s="50">
        <f>'1) Budget Tables'!F36</f>
        <v>0</v>
      </c>
      <c r="G31" s="51">
        <f t="shared" ref="G31:G39" si="2">SUM(D31:F31)</f>
        <v>196432.39391700551</v>
      </c>
      <c r="H31" s="212"/>
      <c r="I31" s="212"/>
      <c r="J31" s="212"/>
      <c r="K31" s="212"/>
      <c r="L31" s="212"/>
      <c r="M31" s="212"/>
      <c r="N31" s="212"/>
    </row>
    <row r="32" spans="3:14">
      <c r="C32" s="47" t="s">
        <v>3394</v>
      </c>
      <c r="D32" s="214">
        <v>27432.393917005509</v>
      </c>
      <c r="E32" s="215"/>
      <c r="F32" s="215"/>
      <c r="G32" s="48">
        <f t="shared" si="2"/>
        <v>27432.393917005509</v>
      </c>
      <c r="H32" s="212"/>
      <c r="I32" s="212"/>
      <c r="J32" s="212"/>
      <c r="K32" s="212"/>
      <c r="L32" s="212"/>
      <c r="M32" s="212"/>
      <c r="N32" s="212"/>
    </row>
    <row r="33" spans="3:14" s="41" customFormat="1" ht="15.75" customHeight="1">
      <c r="C33" s="37" t="s">
        <v>3395</v>
      </c>
      <c r="D33" s="216"/>
      <c r="E33" s="188"/>
      <c r="F33" s="188"/>
      <c r="G33" s="46">
        <f t="shared" si="2"/>
        <v>0</v>
      </c>
      <c r="H33" s="213"/>
      <c r="I33" s="213"/>
      <c r="J33" s="213"/>
      <c r="K33" s="213"/>
      <c r="L33" s="213"/>
      <c r="M33" s="213"/>
      <c r="N33" s="213"/>
    </row>
    <row r="34" spans="3:14" s="41" customFormat="1" ht="31.5">
      <c r="C34" s="37" t="s">
        <v>3396</v>
      </c>
      <c r="D34" s="216"/>
      <c r="E34" s="216"/>
      <c r="F34" s="216"/>
      <c r="G34" s="46">
        <f t="shared" si="2"/>
        <v>0</v>
      </c>
      <c r="H34" s="213"/>
      <c r="I34" s="213"/>
      <c r="J34" s="213"/>
      <c r="K34" s="213"/>
      <c r="L34" s="213"/>
      <c r="M34" s="213"/>
      <c r="N34" s="213"/>
    </row>
    <row r="35" spans="3:14" s="41" customFormat="1">
      <c r="C35" s="38" t="s">
        <v>3397</v>
      </c>
      <c r="D35" s="216"/>
      <c r="E35" s="216"/>
      <c r="F35" s="216"/>
      <c r="G35" s="46">
        <f t="shared" si="2"/>
        <v>0</v>
      </c>
      <c r="H35" s="213"/>
      <c r="I35" s="213"/>
      <c r="J35" s="213"/>
      <c r="K35" s="213"/>
      <c r="L35" s="213"/>
      <c r="M35" s="213"/>
      <c r="N35" s="213"/>
    </row>
    <row r="36" spans="3:14">
      <c r="C36" s="37" t="s">
        <v>3398</v>
      </c>
      <c r="D36" s="216"/>
      <c r="E36" s="216"/>
      <c r="F36" s="216"/>
      <c r="G36" s="46">
        <f t="shared" si="2"/>
        <v>0</v>
      </c>
      <c r="H36" s="212"/>
      <c r="I36" s="212"/>
      <c r="J36" s="212"/>
      <c r="K36" s="212"/>
      <c r="L36" s="212"/>
      <c r="M36" s="212"/>
      <c r="N36" s="212"/>
    </row>
    <row r="37" spans="3:14">
      <c r="C37" s="37" t="s">
        <v>3399</v>
      </c>
      <c r="D37" s="216"/>
      <c r="E37" s="216"/>
      <c r="F37" s="216"/>
      <c r="G37" s="46">
        <f t="shared" si="2"/>
        <v>0</v>
      </c>
      <c r="H37" s="212"/>
      <c r="I37" s="212"/>
      <c r="J37" s="212"/>
      <c r="K37" s="212"/>
      <c r="L37" s="212"/>
      <c r="M37" s="212"/>
      <c r="N37" s="212"/>
    </row>
    <row r="38" spans="3:14">
      <c r="C38" s="37" t="s">
        <v>3400</v>
      </c>
      <c r="D38" s="216">
        <v>169000</v>
      </c>
      <c r="E38" s="216"/>
      <c r="F38" s="216"/>
      <c r="G38" s="46">
        <f t="shared" si="2"/>
        <v>169000</v>
      </c>
      <c r="H38" s="212"/>
      <c r="I38" s="212"/>
      <c r="J38" s="212"/>
      <c r="K38" s="212"/>
      <c r="L38" s="212"/>
      <c r="M38" s="212"/>
      <c r="N38" s="212"/>
    </row>
    <row r="39" spans="3:14">
      <c r="C39" s="42" t="s">
        <v>3401</v>
      </c>
      <c r="D39" s="52">
        <f>SUM(D32:D38)</f>
        <v>196432.39391700551</v>
      </c>
      <c r="E39" s="52">
        <f>SUM(E32:E38)</f>
        <v>0</v>
      </c>
      <c r="F39" s="52">
        <f>SUM(F32:F38)</f>
        <v>0</v>
      </c>
      <c r="G39" s="46">
        <f t="shared" si="2"/>
        <v>196432.39391700551</v>
      </c>
      <c r="H39" s="212"/>
      <c r="I39" s="212"/>
      <c r="J39" s="212"/>
      <c r="K39" s="212"/>
      <c r="L39" s="212"/>
      <c r="M39" s="212"/>
      <c r="N39" s="212"/>
    </row>
    <row r="40" spans="3:14" s="41" customFormat="1">
      <c r="C40" s="53"/>
      <c r="D40" s="54"/>
      <c r="E40" s="54"/>
      <c r="F40" s="54"/>
      <c r="G40" s="55"/>
      <c r="H40" s="213"/>
      <c r="I40" s="213"/>
      <c r="J40" s="213"/>
      <c r="K40" s="213"/>
      <c r="L40" s="213"/>
      <c r="M40" s="213"/>
      <c r="N40" s="213"/>
    </row>
    <row r="41" spans="3:14" hidden="1">
      <c r="C41" s="524" t="s">
        <v>3404</v>
      </c>
      <c r="D41" s="525"/>
      <c r="E41" s="525"/>
      <c r="F41" s="525"/>
      <c r="G41" s="526"/>
      <c r="H41" s="212"/>
      <c r="I41" s="212"/>
      <c r="J41" s="212"/>
      <c r="K41" s="212"/>
      <c r="L41" s="212"/>
      <c r="M41" s="212"/>
      <c r="N41" s="212"/>
    </row>
    <row r="42" spans="3:14" ht="20.25" hidden="1" customHeight="1" thickBot="1">
      <c r="C42" s="49" t="s">
        <v>3393</v>
      </c>
      <c r="D42" s="50">
        <f>'1) Budget Tables'!D46</f>
        <v>0</v>
      </c>
      <c r="E42" s="50">
        <f>'1) Budget Tables'!E46</f>
        <v>0</v>
      </c>
      <c r="F42" s="50">
        <f>'1) Budget Tables'!F46</f>
        <v>0</v>
      </c>
      <c r="G42" s="51">
        <f t="shared" ref="G42:G50" si="3">SUM(D42:F42)</f>
        <v>0</v>
      </c>
      <c r="H42" s="212"/>
      <c r="I42" s="212"/>
      <c r="J42" s="212"/>
      <c r="K42" s="212"/>
      <c r="L42" s="212"/>
      <c r="M42" s="212"/>
      <c r="N42" s="212"/>
    </row>
    <row r="43" spans="3:14" hidden="1">
      <c r="C43" s="47" t="s">
        <v>3394</v>
      </c>
      <c r="D43" s="214"/>
      <c r="E43" s="215"/>
      <c r="F43" s="215"/>
      <c r="G43" s="48">
        <f t="shared" si="3"/>
        <v>0</v>
      </c>
      <c r="H43" s="212"/>
      <c r="I43" s="212"/>
      <c r="J43" s="212"/>
      <c r="K43" s="212"/>
      <c r="L43" s="212"/>
      <c r="M43" s="212"/>
      <c r="N43" s="212"/>
    </row>
    <row r="44" spans="3:14" ht="15.75" hidden="1" customHeight="1">
      <c r="C44" s="37" t="s">
        <v>3395</v>
      </c>
      <c r="D44" s="216"/>
      <c r="E44" s="188"/>
      <c r="F44" s="188"/>
      <c r="G44" s="46">
        <f t="shared" si="3"/>
        <v>0</v>
      </c>
      <c r="H44" s="212"/>
      <c r="I44" s="212"/>
      <c r="J44" s="212"/>
      <c r="K44" s="212"/>
      <c r="L44" s="212"/>
      <c r="M44" s="212"/>
      <c r="N44" s="212"/>
    </row>
    <row r="45" spans="3:14" ht="32.25" hidden="1" customHeight="1">
      <c r="C45" s="37" t="s">
        <v>3396</v>
      </c>
      <c r="D45" s="216"/>
      <c r="E45" s="216"/>
      <c r="F45" s="216"/>
      <c r="G45" s="46">
        <f t="shared" si="3"/>
        <v>0</v>
      </c>
      <c r="H45" s="212"/>
      <c r="I45" s="212"/>
      <c r="J45" s="212"/>
      <c r="K45" s="212"/>
      <c r="L45" s="212"/>
      <c r="M45" s="212"/>
      <c r="N45" s="212"/>
    </row>
    <row r="46" spans="3:14" s="41" customFormat="1" hidden="1">
      <c r="C46" s="38" t="s">
        <v>3397</v>
      </c>
      <c r="D46" s="216"/>
      <c r="E46" s="216"/>
      <c r="F46" s="216"/>
      <c r="G46" s="46">
        <f t="shared" si="3"/>
        <v>0</v>
      </c>
      <c r="H46" s="213"/>
      <c r="I46" s="213"/>
      <c r="J46" s="213"/>
      <c r="K46" s="213"/>
      <c r="L46" s="213"/>
      <c r="M46" s="213"/>
      <c r="N46" s="213"/>
    </row>
    <row r="47" spans="3:14" hidden="1">
      <c r="C47" s="37" t="s">
        <v>3398</v>
      </c>
      <c r="D47" s="216"/>
      <c r="E47" s="216"/>
      <c r="F47" s="216"/>
      <c r="G47" s="46">
        <f t="shared" si="3"/>
        <v>0</v>
      </c>
      <c r="H47" s="212"/>
      <c r="I47" s="212"/>
      <c r="J47" s="212"/>
      <c r="K47" s="212"/>
      <c r="L47" s="212"/>
      <c r="M47" s="212"/>
      <c r="N47" s="212"/>
    </row>
    <row r="48" spans="3:14" hidden="1">
      <c r="C48" s="37" t="s">
        <v>3399</v>
      </c>
      <c r="D48" s="216"/>
      <c r="E48" s="216"/>
      <c r="F48" s="216"/>
      <c r="G48" s="46">
        <f t="shared" si="3"/>
        <v>0</v>
      </c>
      <c r="H48" s="212"/>
      <c r="I48" s="212"/>
      <c r="J48" s="212"/>
      <c r="K48" s="212"/>
      <c r="L48" s="212"/>
      <c r="M48" s="212"/>
      <c r="N48" s="212"/>
    </row>
    <row r="49" spans="2:14" hidden="1">
      <c r="B49" s="212"/>
      <c r="C49" s="37" t="s">
        <v>3400</v>
      </c>
      <c r="D49" s="216"/>
      <c r="E49" s="216"/>
      <c r="F49" s="216"/>
      <c r="G49" s="46">
        <f t="shared" si="3"/>
        <v>0</v>
      </c>
      <c r="H49" s="212"/>
      <c r="I49" s="212"/>
      <c r="J49" s="212"/>
      <c r="K49" s="212"/>
      <c r="L49" s="212"/>
      <c r="M49" s="212"/>
      <c r="N49" s="212"/>
    </row>
    <row r="50" spans="2:14" ht="21" hidden="1" customHeight="1">
      <c r="B50" s="212"/>
      <c r="C50" s="42" t="s">
        <v>3401</v>
      </c>
      <c r="D50" s="52">
        <f>SUM(D43:D49)</f>
        <v>0</v>
      </c>
      <c r="E50" s="52">
        <f>SUM(E43:E49)</f>
        <v>0</v>
      </c>
      <c r="F50" s="52">
        <f>SUM(F43:F49)</f>
        <v>0</v>
      </c>
      <c r="G50" s="46">
        <f t="shared" si="3"/>
        <v>0</v>
      </c>
      <c r="H50" s="212"/>
      <c r="I50" s="212"/>
      <c r="J50" s="212"/>
      <c r="K50" s="212"/>
      <c r="L50" s="212"/>
      <c r="M50" s="212"/>
      <c r="N50" s="212"/>
    </row>
    <row r="51" spans="2:14" s="41" customFormat="1" ht="22.5" customHeight="1">
      <c r="B51" s="213"/>
      <c r="C51" s="56"/>
      <c r="D51" s="54"/>
      <c r="E51" s="54"/>
      <c r="F51" s="54"/>
      <c r="G51" s="55"/>
      <c r="H51" s="213"/>
      <c r="I51" s="213"/>
      <c r="J51" s="213"/>
      <c r="K51" s="213"/>
      <c r="L51" s="213"/>
      <c r="M51" s="213"/>
      <c r="N51" s="213"/>
    </row>
    <row r="52" spans="2:14">
      <c r="B52" s="524" t="s">
        <v>3405</v>
      </c>
      <c r="C52" s="525"/>
      <c r="D52" s="525"/>
      <c r="E52" s="525"/>
      <c r="F52" s="525"/>
      <c r="G52" s="526"/>
      <c r="H52" s="212"/>
      <c r="I52" s="212"/>
      <c r="J52" s="212"/>
      <c r="K52" s="212"/>
      <c r="L52" s="212"/>
      <c r="M52" s="212"/>
      <c r="N52" s="212"/>
    </row>
    <row r="53" spans="2:14">
      <c r="B53" s="212"/>
      <c r="C53" s="524" t="s">
        <v>3406</v>
      </c>
      <c r="D53" s="525"/>
      <c r="E53" s="525"/>
      <c r="F53" s="525"/>
      <c r="G53" s="526"/>
      <c r="H53" s="212"/>
      <c r="I53" s="212"/>
      <c r="J53" s="212"/>
      <c r="K53" s="212"/>
      <c r="L53" s="212"/>
      <c r="M53" s="212"/>
      <c r="N53" s="212"/>
    </row>
    <row r="54" spans="2:14" ht="24" customHeight="1" thickBot="1">
      <c r="B54" s="212"/>
      <c r="C54" s="49" t="s">
        <v>3393</v>
      </c>
      <c r="D54" s="50">
        <f>'1) Budget Tables'!D58</f>
        <v>45414.285714285717</v>
      </c>
      <c r="E54" s="50">
        <f>'1) Budget Tables'!E58</f>
        <v>0</v>
      </c>
      <c r="F54" s="50">
        <f>'1) Budget Tables'!F58</f>
        <v>0</v>
      </c>
      <c r="G54" s="51">
        <f>SUM(D54:F54)</f>
        <v>45414.285714285717</v>
      </c>
      <c r="H54" s="212"/>
      <c r="I54" s="212"/>
      <c r="J54" s="212"/>
      <c r="K54" s="212"/>
      <c r="L54" s="212"/>
      <c r="M54" s="212"/>
      <c r="N54" s="212"/>
    </row>
    <row r="55" spans="2:14" ht="15.75" customHeight="1">
      <c r="B55" s="212"/>
      <c r="C55" s="47" t="s">
        <v>3394</v>
      </c>
      <c r="D55" s="214">
        <v>3005.8428976190476</v>
      </c>
      <c r="E55" s="215"/>
      <c r="F55" s="215"/>
      <c r="G55" s="48">
        <f t="shared" ref="G55:G62" si="4">SUM(D55:F55)</f>
        <v>3005.8428976190476</v>
      </c>
      <c r="H55" s="217"/>
      <c r="I55" s="212"/>
      <c r="J55" s="212"/>
      <c r="K55" s="212"/>
      <c r="L55" s="212"/>
      <c r="M55" s="212"/>
      <c r="N55" s="212"/>
    </row>
    <row r="56" spans="2:14" ht="15.75" customHeight="1">
      <c r="B56" s="212"/>
      <c r="C56" s="37" t="s">
        <v>3395</v>
      </c>
      <c r="D56" s="216"/>
      <c r="E56" s="188"/>
      <c r="F56" s="188"/>
      <c r="G56" s="46">
        <f t="shared" si="4"/>
        <v>0</v>
      </c>
      <c r="H56" s="217"/>
      <c r="I56" s="212"/>
      <c r="J56" s="212"/>
      <c r="K56" s="212"/>
      <c r="L56" s="212"/>
      <c r="M56" s="212"/>
      <c r="N56" s="212"/>
    </row>
    <row r="57" spans="2:14" ht="15.75" customHeight="1">
      <c r="B57" s="212"/>
      <c r="C57" s="37" t="s">
        <v>3396</v>
      </c>
      <c r="D57" s="216"/>
      <c r="E57" s="216"/>
      <c r="F57" s="216"/>
      <c r="G57" s="46">
        <f t="shared" si="4"/>
        <v>0</v>
      </c>
      <c r="H57" s="212"/>
      <c r="I57" s="212"/>
      <c r="J57" s="212"/>
      <c r="K57" s="212"/>
      <c r="L57" s="212"/>
      <c r="M57" s="212"/>
      <c r="N57" s="212"/>
    </row>
    <row r="58" spans="2:14" ht="18.75" customHeight="1">
      <c r="B58" s="212"/>
      <c r="C58" s="38" t="s">
        <v>3397</v>
      </c>
      <c r="D58" s="216"/>
      <c r="E58" s="216"/>
      <c r="F58" s="216"/>
      <c r="G58" s="46">
        <f t="shared" si="4"/>
        <v>0</v>
      </c>
      <c r="H58" s="212"/>
      <c r="I58" s="212"/>
      <c r="J58" s="212"/>
      <c r="K58" s="212"/>
      <c r="L58" s="212"/>
      <c r="M58" s="212"/>
      <c r="N58" s="212"/>
    </row>
    <row r="59" spans="2:14">
      <c r="B59" s="212"/>
      <c r="C59" s="37" t="s">
        <v>3398</v>
      </c>
      <c r="D59" s="216"/>
      <c r="E59" s="216"/>
      <c r="F59" s="216"/>
      <c r="G59" s="46">
        <f t="shared" si="4"/>
        <v>0</v>
      </c>
      <c r="H59" s="212"/>
      <c r="I59" s="212"/>
      <c r="J59" s="212"/>
      <c r="K59" s="212"/>
      <c r="L59" s="212"/>
      <c r="M59" s="212"/>
      <c r="N59" s="212"/>
    </row>
    <row r="60" spans="2:14" s="41" customFormat="1" ht="21.75" customHeight="1">
      <c r="B60" s="212"/>
      <c r="C60" s="37" t="s">
        <v>3399</v>
      </c>
      <c r="D60" s="216"/>
      <c r="E60" s="216"/>
      <c r="F60" s="216"/>
      <c r="G60" s="46">
        <f t="shared" si="4"/>
        <v>0</v>
      </c>
      <c r="H60" s="213"/>
      <c r="I60" s="213"/>
      <c r="J60" s="213"/>
      <c r="K60" s="213"/>
      <c r="L60" s="213"/>
      <c r="M60" s="213"/>
      <c r="N60" s="213"/>
    </row>
    <row r="61" spans="2:14" s="41" customFormat="1">
      <c r="B61" s="212"/>
      <c r="C61" s="37" t="s">
        <v>3400</v>
      </c>
      <c r="D61" s="216">
        <v>42408.442816666669</v>
      </c>
      <c r="E61" s="216"/>
      <c r="F61" s="216"/>
      <c r="G61" s="46">
        <f t="shared" si="4"/>
        <v>42408.442816666669</v>
      </c>
      <c r="H61" s="213"/>
      <c r="I61" s="213"/>
      <c r="J61" s="213"/>
      <c r="K61" s="213"/>
      <c r="L61" s="213"/>
      <c r="M61" s="213"/>
      <c r="N61" s="213"/>
    </row>
    <row r="62" spans="2:14">
      <c r="B62" s="212"/>
      <c r="C62" s="42" t="s">
        <v>3401</v>
      </c>
      <c r="D62" s="52">
        <f>SUM(D55:D61)</f>
        <v>45414.285714285717</v>
      </c>
      <c r="E62" s="52">
        <f>SUM(E55:E61)</f>
        <v>0</v>
      </c>
      <c r="F62" s="52">
        <f>SUM(F55:F61)</f>
        <v>0</v>
      </c>
      <c r="G62" s="46">
        <f t="shared" si="4"/>
        <v>45414.285714285717</v>
      </c>
      <c r="H62" s="212"/>
      <c r="I62" s="212"/>
      <c r="J62" s="212"/>
      <c r="K62" s="212"/>
      <c r="L62" s="212"/>
      <c r="M62" s="212"/>
      <c r="N62" s="212"/>
    </row>
    <row r="63" spans="2:14" s="41" customFormat="1">
      <c r="B63" s="213"/>
      <c r="C63" s="53"/>
      <c r="D63" s="54"/>
      <c r="E63" s="54"/>
      <c r="F63" s="54"/>
      <c r="G63" s="55"/>
      <c r="H63" s="213"/>
      <c r="I63" s="213"/>
      <c r="J63" s="213"/>
      <c r="K63" s="213"/>
      <c r="L63" s="213"/>
      <c r="M63" s="213"/>
      <c r="N63" s="213"/>
    </row>
    <row r="64" spans="2:14">
      <c r="B64" s="213"/>
      <c r="C64" s="524" t="s">
        <v>94</v>
      </c>
      <c r="D64" s="525"/>
      <c r="E64" s="525"/>
      <c r="F64" s="525"/>
      <c r="G64" s="526"/>
      <c r="H64" s="212"/>
      <c r="I64" s="212"/>
      <c r="J64" s="212"/>
      <c r="K64" s="212"/>
      <c r="L64" s="212"/>
      <c r="M64" s="212"/>
      <c r="N64" s="212"/>
    </row>
    <row r="65" spans="2:14" ht="21.75" customHeight="1" thickBot="1">
      <c r="B65" s="212"/>
      <c r="C65" s="49" t="s">
        <v>3393</v>
      </c>
      <c r="D65" s="50">
        <f>'1) Budget Tables'!D81</f>
        <v>118857.14285714287</v>
      </c>
      <c r="E65" s="50">
        <f>'1) Budget Tables'!E81</f>
        <v>0</v>
      </c>
      <c r="F65" s="50">
        <f>'1) Budget Tables'!F81</f>
        <v>0</v>
      </c>
      <c r="G65" s="51">
        <f t="shared" ref="G65:G73" si="5">SUM(D65:F65)</f>
        <v>118857.14285714287</v>
      </c>
      <c r="H65" s="217">
        <f>+D65-D73</f>
        <v>0</v>
      </c>
      <c r="I65" s="212"/>
      <c r="J65" s="212"/>
      <c r="K65" s="212"/>
      <c r="L65" s="212"/>
      <c r="M65" s="212"/>
      <c r="N65" s="212"/>
    </row>
    <row r="66" spans="2:14" ht="15.75" customHeight="1">
      <c r="B66" s="212"/>
      <c r="C66" s="47" t="s">
        <v>3394</v>
      </c>
      <c r="D66" s="214">
        <v>4112.1141119047625</v>
      </c>
      <c r="E66" s="215"/>
      <c r="F66" s="215"/>
      <c r="G66" s="48">
        <f t="shared" si="5"/>
        <v>4112.1141119047625</v>
      </c>
      <c r="H66" s="212"/>
      <c r="I66" s="212"/>
      <c r="J66" s="212"/>
      <c r="K66" s="212"/>
      <c r="L66" s="212"/>
      <c r="M66" s="212"/>
      <c r="N66" s="212"/>
    </row>
    <row r="67" spans="2:14" ht="15.75" customHeight="1">
      <c r="B67" s="212"/>
      <c r="C67" s="37" t="s">
        <v>3395</v>
      </c>
      <c r="D67" s="216"/>
      <c r="E67" s="188"/>
      <c r="F67" s="188"/>
      <c r="G67" s="46">
        <f t="shared" si="5"/>
        <v>0</v>
      </c>
      <c r="H67" s="212"/>
      <c r="I67" s="212"/>
      <c r="J67" s="212"/>
      <c r="K67" s="212"/>
      <c r="L67" s="212"/>
      <c r="M67" s="212"/>
      <c r="N67" s="212"/>
    </row>
    <row r="68" spans="2:14" ht="15.75" customHeight="1">
      <c r="B68" s="212"/>
      <c r="C68" s="37" t="s">
        <v>3396</v>
      </c>
      <c r="D68" s="216"/>
      <c r="E68" s="216"/>
      <c r="F68" s="216"/>
      <c r="G68" s="46">
        <f t="shared" si="5"/>
        <v>0</v>
      </c>
      <c r="H68" s="212"/>
      <c r="I68" s="212"/>
      <c r="J68" s="212"/>
      <c r="K68" s="212"/>
      <c r="L68" s="212"/>
      <c r="M68" s="212"/>
      <c r="N68" s="212"/>
    </row>
    <row r="69" spans="2:14">
      <c r="B69" s="212"/>
      <c r="C69" s="38" t="s">
        <v>3397</v>
      </c>
      <c r="D69" s="216"/>
      <c r="E69" s="216"/>
      <c r="F69" s="216"/>
      <c r="G69" s="46">
        <f t="shared" si="5"/>
        <v>0</v>
      </c>
      <c r="H69" s="212"/>
      <c r="I69" s="212"/>
      <c r="J69" s="212"/>
      <c r="K69" s="212"/>
      <c r="L69" s="212"/>
      <c r="M69" s="212"/>
      <c r="N69" s="212"/>
    </row>
    <row r="70" spans="2:14">
      <c r="B70" s="212"/>
      <c r="C70" s="37" t="s">
        <v>3398</v>
      </c>
      <c r="D70" s="216"/>
      <c r="E70" s="216"/>
      <c r="F70" s="216"/>
      <c r="G70" s="46">
        <f t="shared" si="5"/>
        <v>0</v>
      </c>
      <c r="H70" s="212"/>
      <c r="I70" s="212"/>
      <c r="J70" s="212"/>
      <c r="K70" s="212"/>
      <c r="L70" s="212"/>
      <c r="M70" s="212"/>
      <c r="N70" s="212"/>
    </row>
    <row r="71" spans="2:14">
      <c r="B71" s="212"/>
      <c r="C71" s="37" t="s">
        <v>3399</v>
      </c>
      <c r="D71" s="216"/>
      <c r="E71" s="216"/>
      <c r="F71" s="216"/>
      <c r="G71" s="46">
        <f t="shared" si="5"/>
        <v>0</v>
      </c>
      <c r="H71" s="212"/>
      <c r="I71" s="212"/>
      <c r="J71" s="212"/>
      <c r="K71" s="212"/>
      <c r="L71" s="212"/>
      <c r="M71" s="212"/>
      <c r="N71" s="212"/>
    </row>
    <row r="72" spans="2:14">
      <c r="B72" s="212"/>
      <c r="C72" s="37" t="s">
        <v>3400</v>
      </c>
      <c r="D72" s="216">
        <v>114745.0287452381</v>
      </c>
      <c r="E72" s="216"/>
      <c r="F72" s="216"/>
      <c r="G72" s="46">
        <f t="shared" si="5"/>
        <v>114745.0287452381</v>
      </c>
      <c r="H72" s="212"/>
      <c r="I72" s="212"/>
      <c r="J72" s="212"/>
      <c r="K72" s="212"/>
      <c r="L72" s="212"/>
      <c r="M72" s="212"/>
      <c r="N72" s="212"/>
    </row>
    <row r="73" spans="2:14">
      <c r="B73" s="212"/>
      <c r="C73" s="42" t="s">
        <v>3401</v>
      </c>
      <c r="D73" s="52">
        <f>SUM(D66:D72)</f>
        <v>118857.14285714287</v>
      </c>
      <c r="E73" s="52">
        <f>SUM(E66:E72)</f>
        <v>0</v>
      </c>
      <c r="F73" s="52">
        <f>SUM(F66:F72)</f>
        <v>0</v>
      </c>
      <c r="G73" s="46">
        <f t="shared" si="5"/>
        <v>118857.14285714287</v>
      </c>
      <c r="H73" s="212"/>
      <c r="I73" s="212"/>
      <c r="J73" s="212"/>
      <c r="K73" s="212"/>
      <c r="L73" s="212"/>
      <c r="M73" s="212"/>
      <c r="N73" s="212"/>
    </row>
    <row r="74" spans="2:14" s="41" customFormat="1">
      <c r="B74" s="213"/>
      <c r="C74" s="53"/>
      <c r="D74" s="54"/>
      <c r="E74" s="54"/>
      <c r="F74" s="54"/>
      <c r="G74" s="55"/>
      <c r="H74" s="213"/>
      <c r="I74" s="213"/>
      <c r="J74" s="213"/>
      <c r="K74" s="213"/>
      <c r="L74" s="213"/>
      <c r="M74" s="213"/>
      <c r="N74" s="213"/>
    </row>
    <row r="75" spans="2:14">
      <c r="B75" s="212"/>
      <c r="C75" s="524" t="s">
        <v>159</v>
      </c>
      <c r="D75" s="525"/>
      <c r="E75" s="525"/>
      <c r="F75" s="525"/>
      <c r="G75" s="526"/>
      <c r="H75" s="212"/>
      <c r="I75" s="212"/>
      <c r="J75" s="212"/>
      <c r="K75" s="212"/>
      <c r="L75" s="212"/>
      <c r="M75" s="212"/>
      <c r="N75" s="212"/>
    </row>
    <row r="76" spans="2:14" ht="21.75" customHeight="1" thickBot="1">
      <c r="B76" s="213"/>
      <c r="C76" s="49" t="s">
        <v>3393</v>
      </c>
      <c r="D76" s="50">
        <f>'1) Budget Tables'!D94</f>
        <v>195728.57142857145</v>
      </c>
      <c r="E76" s="50">
        <f>'1) Budget Tables'!E94</f>
        <v>0</v>
      </c>
      <c r="F76" s="50">
        <f>'1) Budget Tables'!F94</f>
        <v>0</v>
      </c>
      <c r="G76" s="51">
        <f t="shared" ref="G76:G84" si="6">SUM(D76:F76)</f>
        <v>195728.57142857145</v>
      </c>
      <c r="H76" s="217">
        <f>+D76-D84</f>
        <v>0</v>
      </c>
      <c r="I76" s="212"/>
      <c r="J76" s="212"/>
      <c r="K76" s="212"/>
      <c r="L76" s="212"/>
      <c r="M76" s="212"/>
      <c r="N76" s="212"/>
    </row>
    <row r="77" spans="2:14" ht="18" customHeight="1">
      <c r="B77" s="212"/>
      <c r="C77" s="47" t="s">
        <v>3394</v>
      </c>
      <c r="D77" s="214">
        <v>16709.422990476192</v>
      </c>
      <c r="E77" s="215"/>
      <c r="F77" s="215"/>
      <c r="G77" s="48">
        <f t="shared" si="6"/>
        <v>16709.422990476192</v>
      </c>
      <c r="H77" s="212"/>
      <c r="I77" s="212"/>
      <c r="J77" s="212"/>
      <c r="K77" s="212"/>
      <c r="L77" s="212"/>
      <c r="M77" s="212"/>
      <c r="N77" s="212"/>
    </row>
    <row r="78" spans="2:14" ht="15.75" customHeight="1">
      <c r="B78" s="212"/>
      <c r="C78" s="37" t="s">
        <v>3395</v>
      </c>
      <c r="D78" s="216"/>
      <c r="E78" s="188"/>
      <c r="F78" s="188"/>
      <c r="G78" s="46">
        <f t="shared" si="6"/>
        <v>0</v>
      </c>
      <c r="H78" s="212"/>
      <c r="I78" s="212"/>
      <c r="J78" s="212"/>
      <c r="K78" s="212"/>
      <c r="L78" s="212"/>
      <c r="M78" s="212"/>
      <c r="N78" s="212"/>
    </row>
    <row r="79" spans="2:14" s="41" customFormat="1" ht="15.75" customHeight="1">
      <c r="B79" s="212"/>
      <c r="C79" s="37" t="s">
        <v>3396</v>
      </c>
      <c r="D79" s="216"/>
      <c r="E79" s="216"/>
      <c r="F79" s="216"/>
      <c r="G79" s="46">
        <f t="shared" si="6"/>
        <v>0</v>
      </c>
      <c r="H79" s="213"/>
      <c r="I79" s="213"/>
      <c r="J79" s="213"/>
      <c r="K79" s="213"/>
      <c r="L79" s="213"/>
      <c r="M79" s="213"/>
      <c r="N79" s="213"/>
    </row>
    <row r="80" spans="2:14">
      <c r="B80" s="213"/>
      <c r="C80" s="38" t="s">
        <v>3397</v>
      </c>
      <c r="D80" s="216"/>
      <c r="E80" s="216"/>
      <c r="F80" s="216"/>
      <c r="G80" s="46">
        <f t="shared" si="6"/>
        <v>0</v>
      </c>
      <c r="H80" s="212"/>
      <c r="I80" s="212"/>
      <c r="J80" s="212"/>
      <c r="K80" s="212"/>
      <c r="L80" s="212"/>
      <c r="M80" s="212"/>
      <c r="N80" s="212"/>
    </row>
    <row r="81" spans="2:14">
      <c r="B81" s="213"/>
      <c r="C81" s="37" t="s">
        <v>3398</v>
      </c>
      <c r="D81" s="216"/>
      <c r="E81" s="216"/>
      <c r="F81" s="216"/>
      <c r="G81" s="46">
        <f t="shared" si="6"/>
        <v>0</v>
      </c>
      <c r="H81" s="212"/>
      <c r="I81" s="212"/>
      <c r="J81" s="212"/>
      <c r="K81" s="212"/>
      <c r="L81" s="212"/>
      <c r="M81" s="212"/>
      <c r="N81" s="212"/>
    </row>
    <row r="82" spans="2:14">
      <c r="B82" s="213"/>
      <c r="C82" s="37" t="s">
        <v>3399</v>
      </c>
      <c r="D82" s="216"/>
      <c r="E82" s="216"/>
      <c r="F82" s="216"/>
      <c r="G82" s="46">
        <f t="shared" si="6"/>
        <v>0</v>
      </c>
      <c r="H82" s="212"/>
      <c r="I82" s="212"/>
      <c r="J82" s="212"/>
      <c r="K82" s="212"/>
      <c r="L82" s="212"/>
      <c r="M82" s="212"/>
      <c r="N82" s="212"/>
    </row>
    <row r="83" spans="2:14">
      <c r="B83" s="212"/>
      <c r="C83" s="37" t="s">
        <v>3400</v>
      </c>
      <c r="D83" s="216">
        <v>179019.14843809526</v>
      </c>
      <c r="E83" s="216"/>
      <c r="F83" s="216"/>
      <c r="G83" s="46">
        <f t="shared" si="6"/>
        <v>179019.14843809526</v>
      </c>
      <c r="H83" s="212"/>
      <c r="I83" s="212"/>
      <c r="J83" s="212"/>
      <c r="K83" s="212"/>
      <c r="L83" s="212"/>
      <c r="M83" s="212"/>
      <c r="N83" s="212"/>
    </row>
    <row r="84" spans="2:14">
      <c r="B84" s="212"/>
      <c r="C84" s="42" t="s">
        <v>3401</v>
      </c>
      <c r="D84" s="52">
        <f>SUM(D77:D83)</f>
        <v>195728.57142857145</v>
      </c>
      <c r="E84" s="52">
        <f>SUM(E77:E83)</f>
        <v>0</v>
      </c>
      <c r="F84" s="52">
        <f>SUM(F77:F83)</f>
        <v>0</v>
      </c>
      <c r="G84" s="46">
        <f t="shared" si="6"/>
        <v>195728.57142857145</v>
      </c>
      <c r="H84" s="212"/>
      <c r="I84" s="212"/>
      <c r="J84" s="212"/>
      <c r="K84" s="212"/>
      <c r="L84" s="212"/>
      <c r="M84" s="212"/>
      <c r="N84" s="212"/>
    </row>
    <row r="85" spans="2:14" s="41" customFormat="1">
      <c r="B85" s="213"/>
      <c r="C85" s="53"/>
      <c r="D85" s="54"/>
      <c r="E85" s="54"/>
      <c r="F85" s="54"/>
      <c r="G85" s="55"/>
      <c r="H85" s="213"/>
      <c r="I85" s="213"/>
      <c r="J85" s="213"/>
      <c r="K85" s="213"/>
      <c r="L85" s="213"/>
      <c r="M85" s="213"/>
      <c r="N85" s="213"/>
    </row>
    <row r="86" spans="2:14" hidden="1">
      <c r="B86" s="212"/>
      <c r="C86" s="524" t="s">
        <v>186</v>
      </c>
      <c r="D86" s="525"/>
      <c r="E86" s="525"/>
      <c r="F86" s="525"/>
      <c r="G86" s="526"/>
      <c r="H86" s="212"/>
      <c r="I86" s="212"/>
      <c r="J86" s="212"/>
      <c r="K86" s="212"/>
      <c r="L86" s="212"/>
      <c r="M86" s="212"/>
      <c r="N86" s="212"/>
    </row>
    <row r="87" spans="2:14" ht="21.75" hidden="1" customHeight="1" thickBot="1">
      <c r="B87" s="212"/>
      <c r="C87" s="49" t="s">
        <v>3393</v>
      </c>
      <c r="D87" s="50">
        <f>'1) Budget Tables'!D104</f>
        <v>0</v>
      </c>
      <c r="E87" s="50">
        <f>'1) Budget Tables'!E104</f>
        <v>0</v>
      </c>
      <c r="F87" s="50">
        <f>'1) Budget Tables'!F104</f>
        <v>0</v>
      </c>
      <c r="G87" s="51">
        <f t="shared" ref="G87:G95" si="7">SUM(D87:F87)</f>
        <v>0</v>
      </c>
      <c r="H87" s="212"/>
      <c r="I87" s="212"/>
      <c r="J87" s="212"/>
      <c r="K87" s="212"/>
      <c r="L87" s="212"/>
      <c r="M87" s="212"/>
      <c r="N87" s="212"/>
    </row>
    <row r="88" spans="2:14" ht="15.75" hidden="1" customHeight="1">
      <c r="B88" s="212"/>
      <c r="C88" s="47" t="s">
        <v>3394</v>
      </c>
      <c r="D88" s="214"/>
      <c r="E88" s="215"/>
      <c r="F88" s="215"/>
      <c r="G88" s="48">
        <f t="shared" si="7"/>
        <v>0</v>
      </c>
      <c r="H88" s="212"/>
      <c r="I88" s="212"/>
      <c r="J88" s="212"/>
      <c r="K88" s="212"/>
      <c r="L88" s="212"/>
      <c r="M88" s="212"/>
      <c r="N88" s="212"/>
    </row>
    <row r="89" spans="2:14" ht="15.75" hidden="1" customHeight="1">
      <c r="B89" s="213"/>
      <c r="C89" s="37" t="s">
        <v>3395</v>
      </c>
      <c r="D89" s="216"/>
      <c r="E89" s="188"/>
      <c r="F89" s="188"/>
      <c r="G89" s="46">
        <f t="shared" si="7"/>
        <v>0</v>
      </c>
      <c r="H89" s="212"/>
      <c r="I89" s="212"/>
      <c r="J89" s="212"/>
      <c r="K89" s="212"/>
      <c r="L89" s="212"/>
      <c r="M89" s="212"/>
      <c r="N89" s="212"/>
    </row>
    <row r="90" spans="2:14" ht="15.75" hidden="1" customHeight="1">
      <c r="B90" s="212"/>
      <c r="C90" s="37" t="s">
        <v>3396</v>
      </c>
      <c r="D90" s="216"/>
      <c r="E90" s="216"/>
      <c r="F90" s="216"/>
      <c r="G90" s="46">
        <f t="shared" si="7"/>
        <v>0</v>
      </c>
      <c r="H90" s="212"/>
      <c r="I90" s="212"/>
      <c r="J90" s="212"/>
      <c r="K90" s="212"/>
      <c r="L90" s="212"/>
      <c r="M90" s="212"/>
      <c r="N90" s="212"/>
    </row>
    <row r="91" spans="2:14" hidden="1">
      <c r="B91" s="212"/>
      <c r="C91" s="38" t="s">
        <v>3397</v>
      </c>
      <c r="D91" s="216"/>
      <c r="E91" s="216"/>
      <c r="F91" s="216"/>
      <c r="G91" s="46">
        <f t="shared" si="7"/>
        <v>0</v>
      </c>
      <c r="H91" s="212"/>
      <c r="I91" s="212"/>
      <c r="J91" s="212"/>
      <c r="K91" s="212"/>
      <c r="L91" s="212"/>
      <c r="M91" s="212"/>
      <c r="N91" s="212"/>
    </row>
    <row r="92" spans="2:14" hidden="1">
      <c r="B92" s="212"/>
      <c r="C92" s="37" t="s">
        <v>3398</v>
      </c>
      <c r="D92" s="216"/>
      <c r="E92" s="216"/>
      <c r="F92" s="216"/>
      <c r="G92" s="46">
        <f t="shared" si="7"/>
        <v>0</v>
      </c>
      <c r="H92" s="212"/>
      <c r="I92" s="212"/>
      <c r="J92" s="212"/>
      <c r="K92" s="212"/>
      <c r="L92" s="212"/>
      <c r="M92" s="212"/>
      <c r="N92" s="212"/>
    </row>
    <row r="93" spans="2:14" ht="25.5" hidden="1" customHeight="1">
      <c r="B93" s="212"/>
      <c r="C93" s="37" t="s">
        <v>3399</v>
      </c>
      <c r="D93" s="216"/>
      <c r="E93" s="216"/>
      <c r="F93" s="216"/>
      <c r="G93" s="46">
        <f t="shared" si="7"/>
        <v>0</v>
      </c>
      <c r="H93" s="212"/>
      <c r="I93" s="212"/>
      <c r="J93" s="212"/>
      <c r="K93" s="212"/>
      <c r="L93" s="212"/>
      <c r="M93" s="212"/>
      <c r="N93" s="212"/>
    </row>
    <row r="94" spans="2:14" hidden="1">
      <c r="B94" s="213"/>
      <c r="C94" s="37" t="s">
        <v>3400</v>
      </c>
      <c r="D94" s="216"/>
      <c r="E94" s="216"/>
      <c r="F94" s="216"/>
      <c r="G94" s="46">
        <f t="shared" si="7"/>
        <v>0</v>
      </c>
      <c r="H94" s="212"/>
      <c r="I94" s="212"/>
      <c r="J94" s="212"/>
      <c r="K94" s="212"/>
      <c r="L94" s="212"/>
      <c r="M94" s="212"/>
      <c r="N94" s="212"/>
    </row>
    <row r="95" spans="2:14" ht="15.75" hidden="1" customHeight="1">
      <c r="B95" s="212"/>
      <c r="C95" s="42" t="s">
        <v>3401</v>
      </c>
      <c r="D95" s="52">
        <f>SUM(D88:D94)</f>
        <v>0</v>
      </c>
      <c r="E95" s="52">
        <f>SUM(E88:E94)</f>
        <v>0</v>
      </c>
      <c r="F95" s="52">
        <f>SUM(F88:F94)</f>
        <v>0</v>
      </c>
      <c r="G95" s="46">
        <f t="shared" si="7"/>
        <v>0</v>
      </c>
      <c r="H95" s="212"/>
      <c r="I95" s="212"/>
      <c r="J95" s="212"/>
      <c r="K95" s="212"/>
      <c r="L95" s="212"/>
      <c r="M95" s="212"/>
      <c r="N95" s="212"/>
    </row>
    <row r="96" spans="2:14" ht="25.5" customHeight="1">
      <c r="B96" s="212"/>
      <c r="C96" s="212"/>
      <c r="D96" s="212"/>
      <c r="E96" s="212"/>
      <c r="F96" s="212"/>
      <c r="G96" s="212"/>
      <c r="H96" s="212"/>
      <c r="I96" s="212"/>
      <c r="J96" s="212"/>
      <c r="K96" s="212"/>
      <c r="L96" s="212"/>
      <c r="M96" s="212"/>
      <c r="N96" s="212"/>
    </row>
    <row r="97" spans="2:14">
      <c r="B97" s="524" t="s">
        <v>3407</v>
      </c>
      <c r="C97" s="525"/>
      <c r="D97" s="525"/>
      <c r="E97" s="525"/>
      <c r="F97" s="525"/>
      <c r="G97" s="526"/>
      <c r="H97" s="212"/>
      <c r="I97" s="212"/>
      <c r="J97" s="212"/>
      <c r="K97" s="212"/>
      <c r="L97" s="212"/>
      <c r="M97" s="212"/>
      <c r="N97" s="212"/>
    </row>
    <row r="98" spans="2:14">
      <c r="B98" s="212"/>
      <c r="C98" s="524" t="s">
        <v>197</v>
      </c>
      <c r="D98" s="525"/>
      <c r="E98" s="525"/>
      <c r="F98" s="525"/>
      <c r="G98" s="526"/>
      <c r="H98" s="212"/>
      <c r="I98" s="212"/>
      <c r="J98" s="212"/>
      <c r="K98" s="212"/>
      <c r="L98" s="212"/>
      <c r="M98" s="212"/>
      <c r="N98" s="212"/>
    </row>
    <row r="99" spans="2:14" ht="22.5" customHeight="1" thickBot="1">
      <c r="B99" s="212"/>
      <c r="C99" s="49" t="s">
        <v>3393</v>
      </c>
      <c r="D99" s="50">
        <f>'1) Budget Tables'!D116</f>
        <v>91038</v>
      </c>
      <c r="E99" s="50">
        <f>'1) Budget Tables'!E116</f>
        <v>0</v>
      </c>
      <c r="F99" s="50">
        <f>'1) Budget Tables'!F116</f>
        <v>0</v>
      </c>
      <c r="G99" s="51">
        <f>SUM(D99:F99)</f>
        <v>91038</v>
      </c>
      <c r="H99" s="212"/>
      <c r="I99" s="212"/>
      <c r="J99" s="212"/>
      <c r="K99" s="212"/>
      <c r="L99" s="212"/>
      <c r="M99" s="212"/>
      <c r="N99" s="212"/>
    </row>
    <row r="100" spans="2:14">
      <c r="B100" s="212"/>
      <c r="C100" s="47" t="s">
        <v>3394</v>
      </c>
      <c r="D100" s="214">
        <v>15833.809333333333</v>
      </c>
      <c r="E100" s="215"/>
      <c r="F100" s="215"/>
      <c r="G100" s="48">
        <f t="shared" ref="G100:G107" si="8">SUM(D100:F100)</f>
        <v>15833.809333333333</v>
      </c>
      <c r="H100" s="212"/>
      <c r="I100" s="212"/>
      <c r="J100" s="212"/>
      <c r="K100" s="212"/>
      <c r="L100" s="212"/>
      <c r="M100" s="212"/>
      <c r="N100" s="212"/>
    </row>
    <row r="101" spans="2:14">
      <c r="B101" s="212"/>
      <c r="C101" s="37" t="s">
        <v>3395</v>
      </c>
      <c r="D101" s="216"/>
      <c r="E101" s="188"/>
      <c r="F101" s="188"/>
      <c r="G101" s="46">
        <f t="shared" si="8"/>
        <v>0</v>
      </c>
      <c r="H101" s="212"/>
      <c r="I101" s="212"/>
      <c r="J101" s="212"/>
      <c r="K101" s="212"/>
      <c r="L101" s="212"/>
      <c r="M101" s="212"/>
      <c r="N101" s="212"/>
    </row>
    <row r="102" spans="2:14" ht="15.75" customHeight="1">
      <c r="B102" s="212"/>
      <c r="C102" s="37" t="s">
        <v>3396</v>
      </c>
      <c r="D102" s="216"/>
      <c r="E102" s="216"/>
      <c r="F102" s="216"/>
      <c r="G102" s="46">
        <f t="shared" si="8"/>
        <v>0</v>
      </c>
      <c r="H102" s="212"/>
      <c r="I102" s="212"/>
      <c r="J102" s="212"/>
      <c r="K102" s="212"/>
      <c r="L102" s="212"/>
      <c r="M102" s="212"/>
      <c r="N102" s="212"/>
    </row>
    <row r="103" spans="2:14">
      <c r="B103" s="212"/>
      <c r="C103" s="38" t="s">
        <v>3397</v>
      </c>
      <c r="D103" s="216"/>
      <c r="E103" s="216"/>
      <c r="F103" s="216"/>
      <c r="G103" s="46">
        <f t="shared" si="8"/>
        <v>0</v>
      </c>
      <c r="H103" s="212"/>
      <c r="I103" s="212"/>
      <c r="J103" s="212"/>
      <c r="K103" s="212"/>
      <c r="L103" s="212"/>
      <c r="M103" s="212"/>
      <c r="N103" s="212"/>
    </row>
    <row r="104" spans="2:14">
      <c r="B104" s="212"/>
      <c r="C104" s="37" t="s">
        <v>3398</v>
      </c>
      <c r="D104" s="216"/>
      <c r="E104" s="216"/>
      <c r="F104" s="216"/>
      <c r="G104" s="46">
        <f t="shared" si="8"/>
        <v>0</v>
      </c>
      <c r="H104" s="212"/>
      <c r="I104" s="212"/>
      <c r="J104" s="212"/>
      <c r="K104" s="212"/>
      <c r="L104" s="212"/>
      <c r="M104" s="212"/>
      <c r="N104" s="212"/>
    </row>
    <row r="105" spans="2:14">
      <c r="B105" s="212"/>
      <c r="C105" s="37" t="s">
        <v>3399</v>
      </c>
      <c r="D105" s="216"/>
      <c r="E105" s="216"/>
      <c r="F105" s="216"/>
      <c r="G105" s="46">
        <f t="shared" si="8"/>
        <v>0</v>
      </c>
      <c r="H105" s="212"/>
      <c r="I105" s="212"/>
      <c r="J105" s="212"/>
      <c r="K105" s="212"/>
      <c r="L105" s="212"/>
      <c r="M105" s="212"/>
      <c r="N105" s="212"/>
    </row>
    <row r="106" spans="2:14">
      <c r="B106" s="212"/>
      <c r="C106" s="37" t="s">
        <v>3400</v>
      </c>
      <c r="D106" s="216">
        <v>75204.190666666662</v>
      </c>
      <c r="E106" s="216"/>
      <c r="F106" s="216"/>
      <c r="G106" s="46">
        <f t="shared" si="8"/>
        <v>75204.190666666662</v>
      </c>
      <c r="H106" s="212"/>
      <c r="I106" s="212"/>
      <c r="J106" s="212"/>
      <c r="K106" s="212"/>
      <c r="L106" s="212"/>
      <c r="M106" s="212"/>
      <c r="N106" s="212"/>
    </row>
    <row r="107" spans="2:14">
      <c r="B107" s="212"/>
      <c r="C107" s="42" t="s">
        <v>3401</v>
      </c>
      <c r="D107" s="52">
        <f>SUM(D100:D106)</f>
        <v>91038</v>
      </c>
      <c r="E107" s="52">
        <f>SUM(E100:E106)</f>
        <v>0</v>
      </c>
      <c r="F107" s="52">
        <f>SUM(F100:F106)</f>
        <v>0</v>
      </c>
      <c r="G107" s="46">
        <f t="shared" si="8"/>
        <v>91038</v>
      </c>
      <c r="H107" s="212"/>
      <c r="I107" s="212"/>
      <c r="J107" s="212"/>
      <c r="K107" s="212"/>
      <c r="L107" s="212"/>
      <c r="M107" s="212"/>
      <c r="N107" s="212"/>
    </row>
    <row r="108" spans="2:14" s="41" customFormat="1">
      <c r="B108" s="213"/>
      <c r="C108" s="53"/>
      <c r="D108" s="54"/>
      <c r="E108" s="54"/>
      <c r="F108" s="54"/>
      <c r="G108" s="55"/>
      <c r="H108" s="213"/>
      <c r="I108" s="213"/>
      <c r="J108" s="213"/>
      <c r="K108" s="213"/>
      <c r="L108" s="213"/>
      <c r="M108" s="213"/>
      <c r="N108" s="213"/>
    </row>
    <row r="109" spans="2:14" ht="15.75" customHeight="1">
      <c r="B109" s="212"/>
      <c r="C109" s="524" t="s">
        <v>3408</v>
      </c>
      <c r="D109" s="525"/>
      <c r="E109" s="525"/>
      <c r="F109" s="525"/>
      <c r="G109" s="526"/>
      <c r="H109" s="212"/>
      <c r="I109" s="212"/>
      <c r="J109" s="212"/>
      <c r="K109" s="212"/>
      <c r="L109" s="212"/>
      <c r="M109" s="212"/>
      <c r="N109" s="212"/>
    </row>
    <row r="110" spans="2:14" ht="21.75" customHeight="1" thickBot="1">
      <c r="B110" s="212"/>
      <c r="C110" s="49" t="s">
        <v>3393</v>
      </c>
      <c r="D110" s="50">
        <f>'1) Budget Tables'!D126</f>
        <v>80863</v>
      </c>
      <c r="E110" s="50">
        <f>'1) Budget Tables'!E126</f>
        <v>0</v>
      </c>
      <c r="F110" s="50">
        <f>'1) Budget Tables'!F126</f>
        <v>0</v>
      </c>
      <c r="G110" s="51">
        <f t="shared" ref="G110:G118" si="9">SUM(D110:F110)</f>
        <v>80863</v>
      </c>
      <c r="H110" s="212"/>
      <c r="I110" s="212"/>
      <c r="J110" s="212"/>
      <c r="K110" s="212"/>
      <c r="L110" s="212"/>
      <c r="M110" s="212"/>
      <c r="N110" s="212"/>
    </row>
    <row r="111" spans="2:14">
      <c r="B111" s="212"/>
      <c r="C111" s="47" t="s">
        <v>3394</v>
      </c>
      <c r="D111" s="214">
        <v>15833.809333333333</v>
      </c>
      <c r="E111" s="215"/>
      <c r="F111" s="215"/>
      <c r="G111" s="48">
        <f t="shared" si="9"/>
        <v>15833.809333333333</v>
      </c>
      <c r="H111" s="212"/>
      <c r="I111" s="212"/>
      <c r="J111" s="212"/>
      <c r="K111" s="212"/>
      <c r="L111" s="212"/>
      <c r="M111" s="212"/>
      <c r="N111" s="212"/>
    </row>
    <row r="112" spans="2:14">
      <c r="B112" s="212"/>
      <c r="C112" s="37" t="s">
        <v>3395</v>
      </c>
      <c r="D112" s="216"/>
      <c r="E112" s="188"/>
      <c r="F112" s="188"/>
      <c r="G112" s="46">
        <f t="shared" si="9"/>
        <v>0</v>
      </c>
      <c r="H112" s="212"/>
      <c r="I112" s="212"/>
      <c r="J112" s="212"/>
      <c r="K112" s="212"/>
      <c r="L112" s="212"/>
      <c r="M112" s="212"/>
      <c r="N112" s="212"/>
    </row>
    <row r="113" spans="3:14" ht="31.5">
      <c r="C113" s="37" t="s">
        <v>3396</v>
      </c>
      <c r="D113" s="216"/>
      <c r="E113" s="216"/>
      <c r="F113" s="216"/>
      <c r="G113" s="46">
        <f t="shared" si="9"/>
        <v>0</v>
      </c>
      <c r="H113" s="212"/>
      <c r="I113" s="212"/>
      <c r="J113" s="212"/>
      <c r="K113" s="212"/>
      <c r="L113" s="212"/>
      <c r="M113" s="212"/>
      <c r="N113" s="212"/>
    </row>
    <row r="114" spans="3:14">
      <c r="C114" s="38" t="s">
        <v>3397</v>
      </c>
      <c r="D114" s="216"/>
      <c r="E114" s="216"/>
      <c r="F114" s="216"/>
      <c r="G114" s="46">
        <f t="shared" si="9"/>
        <v>0</v>
      </c>
      <c r="H114" s="212"/>
      <c r="I114" s="212"/>
      <c r="J114" s="212"/>
      <c r="K114" s="212"/>
      <c r="L114" s="212"/>
      <c r="M114" s="212"/>
      <c r="N114" s="212"/>
    </row>
    <row r="115" spans="3:14">
      <c r="C115" s="37" t="s">
        <v>3398</v>
      </c>
      <c r="D115" s="216"/>
      <c r="E115" s="216"/>
      <c r="F115" s="216"/>
      <c r="G115" s="46">
        <f t="shared" si="9"/>
        <v>0</v>
      </c>
      <c r="H115" s="212"/>
      <c r="I115" s="212"/>
      <c r="J115" s="212"/>
      <c r="K115" s="212"/>
      <c r="L115" s="212"/>
      <c r="M115" s="212"/>
      <c r="N115" s="212"/>
    </row>
    <row r="116" spans="3:14">
      <c r="C116" s="37" t="s">
        <v>3399</v>
      </c>
      <c r="D116" s="216"/>
      <c r="E116" s="216"/>
      <c r="F116" s="216"/>
      <c r="G116" s="46">
        <f t="shared" si="9"/>
        <v>0</v>
      </c>
      <c r="H116" s="212"/>
      <c r="I116" s="212"/>
      <c r="J116" s="212"/>
      <c r="K116" s="212"/>
      <c r="L116" s="212"/>
      <c r="M116" s="212"/>
      <c r="N116" s="212"/>
    </row>
    <row r="117" spans="3:14">
      <c r="C117" s="37" t="s">
        <v>3400</v>
      </c>
      <c r="D117" s="216">
        <v>65029.190666666669</v>
      </c>
      <c r="E117" s="216"/>
      <c r="F117" s="216"/>
      <c r="G117" s="46">
        <f t="shared" si="9"/>
        <v>65029.190666666669</v>
      </c>
      <c r="H117" s="212"/>
      <c r="I117" s="212"/>
      <c r="J117" s="212"/>
      <c r="K117" s="212"/>
      <c r="L117" s="212"/>
      <c r="M117" s="212"/>
      <c r="N117" s="212"/>
    </row>
    <row r="118" spans="3:14">
      <c r="C118" s="42" t="s">
        <v>3401</v>
      </c>
      <c r="D118" s="52">
        <f>SUM(D111:D117)</f>
        <v>80863</v>
      </c>
      <c r="E118" s="52">
        <f>SUM(E111:E117)</f>
        <v>0</v>
      </c>
      <c r="F118" s="52">
        <f>SUM(F111:F117)</f>
        <v>0</v>
      </c>
      <c r="G118" s="46">
        <f t="shared" si="9"/>
        <v>80863</v>
      </c>
      <c r="H118" s="212"/>
      <c r="I118" s="212"/>
      <c r="J118" s="212"/>
      <c r="K118" s="212"/>
      <c r="L118" s="212"/>
      <c r="M118" s="212"/>
      <c r="N118" s="212"/>
    </row>
    <row r="119" spans="3:14" s="41" customFormat="1">
      <c r="C119" s="53"/>
      <c r="D119" s="54"/>
      <c r="E119" s="54"/>
      <c r="F119" s="54"/>
      <c r="G119" s="55"/>
      <c r="H119" s="213"/>
      <c r="I119" s="213"/>
      <c r="J119" s="213"/>
      <c r="K119" s="213"/>
      <c r="L119" s="213"/>
      <c r="M119" s="213"/>
      <c r="N119" s="213"/>
    </row>
    <row r="120" spans="3:14">
      <c r="C120" s="524" t="s">
        <v>250</v>
      </c>
      <c r="D120" s="525"/>
      <c r="E120" s="525"/>
      <c r="F120" s="525"/>
      <c r="G120" s="526"/>
      <c r="H120" s="212"/>
      <c r="I120" s="212"/>
      <c r="J120" s="212"/>
      <c r="K120" s="212"/>
      <c r="L120" s="212"/>
      <c r="M120" s="212"/>
      <c r="N120" s="212"/>
    </row>
    <row r="121" spans="3:14" ht="21" customHeight="1" thickBot="1">
      <c r="C121" s="49" t="s">
        <v>3393</v>
      </c>
      <c r="D121" s="50">
        <f>'1) Budget Tables'!D136</f>
        <v>68099</v>
      </c>
      <c r="E121" s="50">
        <f>'1) Budget Tables'!E136</f>
        <v>0</v>
      </c>
      <c r="F121" s="50">
        <f>'1) Budget Tables'!F136</f>
        <v>0</v>
      </c>
      <c r="G121" s="51">
        <f t="shared" ref="G121:G129" si="10">SUM(D121:F121)</f>
        <v>68099</v>
      </c>
      <c r="H121" s="212"/>
      <c r="I121" s="212"/>
      <c r="J121" s="212"/>
      <c r="K121" s="212"/>
      <c r="L121" s="212"/>
      <c r="M121" s="212"/>
      <c r="N121" s="212"/>
    </row>
    <row r="122" spans="3:14">
      <c r="C122" s="47" t="s">
        <v>3394</v>
      </c>
      <c r="D122" s="214">
        <v>15833.809333333333</v>
      </c>
      <c r="E122" s="215"/>
      <c r="F122" s="215"/>
      <c r="G122" s="48">
        <f t="shared" si="10"/>
        <v>15833.809333333333</v>
      </c>
      <c r="H122" s="212"/>
      <c r="I122" s="212"/>
      <c r="J122" s="212"/>
      <c r="K122" s="212"/>
      <c r="L122" s="212"/>
      <c r="M122" s="212"/>
      <c r="N122" s="212"/>
    </row>
    <row r="123" spans="3:14">
      <c r="C123" s="37" t="s">
        <v>3395</v>
      </c>
      <c r="D123" s="216"/>
      <c r="E123" s="188"/>
      <c r="F123" s="188"/>
      <c r="G123" s="46">
        <f t="shared" si="10"/>
        <v>0</v>
      </c>
      <c r="H123" s="212"/>
      <c r="I123" s="212"/>
      <c r="J123" s="212"/>
      <c r="K123" s="212"/>
      <c r="L123" s="212"/>
      <c r="M123" s="212"/>
      <c r="N123" s="212"/>
    </row>
    <row r="124" spans="3:14" ht="31.5">
      <c r="C124" s="37" t="s">
        <v>3396</v>
      </c>
      <c r="D124" s="216"/>
      <c r="E124" s="216"/>
      <c r="F124" s="216"/>
      <c r="G124" s="46">
        <f t="shared" si="10"/>
        <v>0</v>
      </c>
      <c r="H124" s="212"/>
      <c r="I124" s="212"/>
      <c r="J124" s="212"/>
      <c r="K124" s="212"/>
      <c r="L124" s="212"/>
      <c r="M124" s="212"/>
      <c r="N124" s="212"/>
    </row>
    <row r="125" spans="3:14">
      <c r="C125" s="38" t="s">
        <v>3397</v>
      </c>
      <c r="D125" s="216"/>
      <c r="E125" s="216"/>
      <c r="F125" s="216"/>
      <c r="G125" s="46">
        <f t="shared" si="10"/>
        <v>0</v>
      </c>
      <c r="H125" s="212"/>
      <c r="I125" s="212"/>
      <c r="J125" s="212"/>
      <c r="K125" s="212"/>
      <c r="L125" s="212"/>
      <c r="M125" s="212"/>
      <c r="N125" s="212"/>
    </row>
    <row r="126" spans="3:14">
      <c r="C126" s="37" t="s">
        <v>3398</v>
      </c>
      <c r="D126" s="216"/>
      <c r="E126" s="216"/>
      <c r="F126" s="216"/>
      <c r="G126" s="46">
        <f t="shared" si="10"/>
        <v>0</v>
      </c>
      <c r="H126" s="212"/>
      <c r="I126" s="212"/>
      <c r="J126" s="212"/>
      <c r="K126" s="212"/>
      <c r="L126" s="212"/>
      <c r="M126" s="212"/>
      <c r="N126" s="212"/>
    </row>
    <row r="127" spans="3:14">
      <c r="C127" s="37" t="s">
        <v>3399</v>
      </c>
      <c r="D127" s="216"/>
      <c r="E127" s="216"/>
      <c r="F127" s="216"/>
      <c r="G127" s="46">
        <f t="shared" si="10"/>
        <v>0</v>
      </c>
      <c r="H127" s="212"/>
      <c r="I127" s="212"/>
      <c r="J127" s="212"/>
      <c r="K127" s="212"/>
      <c r="L127" s="212"/>
      <c r="M127" s="212"/>
      <c r="N127" s="212"/>
    </row>
    <row r="128" spans="3:14">
      <c r="C128" s="37" t="s">
        <v>3400</v>
      </c>
      <c r="D128" s="216">
        <v>52265.190666666669</v>
      </c>
      <c r="E128" s="216"/>
      <c r="F128" s="216"/>
      <c r="G128" s="46">
        <f t="shared" si="10"/>
        <v>52265.190666666669</v>
      </c>
      <c r="H128" s="212"/>
      <c r="I128" s="212"/>
      <c r="J128" s="212"/>
      <c r="K128" s="212"/>
      <c r="L128" s="212"/>
      <c r="M128" s="212"/>
      <c r="N128" s="212"/>
    </row>
    <row r="129" spans="2:14">
      <c r="B129" s="212"/>
      <c r="C129" s="42" t="s">
        <v>3401</v>
      </c>
      <c r="D129" s="52">
        <f>SUM(D122:D128)</f>
        <v>68099</v>
      </c>
      <c r="E129" s="52">
        <f>SUM(E122:E128)</f>
        <v>0</v>
      </c>
      <c r="F129" s="52">
        <f>SUM(F122:F128)</f>
        <v>0</v>
      </c>
      <c r="G129" s="46">
        <f t="shared" si="10"/>
        <v>68099</v>
      </c>
      <c r="H129" s="212"/>
      <c r="I129" s="212"/>
      <c r="J129" s="212"/>
      <c r="K129" s="212"/>
      <c r="L129" s="212"/>
      <c r="M129" s="212"/>
      <c r="N129" s="212"/>
    </row>
    <row r="130" spans="2:14" s="41" customFormat="1" hidden="1">
      <c r="B130" s="213"/>
      <c r="C130" s="53"/>
      <c r="D130" s="54"/>
      <c r="E130" s="54"/>
      <c r="F130" s="54"/>
      <c r="G130" s="55"/>
      <c r="H130" s="213"/>
      <c r="I130" s="213"/>
      <c r="J130" s="213"/>
      <c r="K130" s="213"/>
      <c r="L130" s="213"/>
      <c r="M130" s="213"/>
      <c r="N130" s="213"/>
    </row>
    <row r="131" spans="2:14" hidden="1">
      <c r="B131" s="212"/>
      <c r="C131" s="524" t="s">
        <v>275</v>
      </c>
      <c r="D131" s="525"/>
      <c r="E131" s="525"/>
      <c r="F131" s="525"/>
      <c r="G131" s="526"/>
      <c r="H131" s="212"/>
      <c r="I131" s="212"/>
      <c r="J131" s="212"/>
      <c r="K131" s="212"/>
      <c r="L131" s="212"/>
      <c r="M131" s="212"/>
      <c r="N131" s="212"/>
    </row>
    <row r="132" spans="2:14" ht="24" hidden="1" customHeight="1" thickBot="1">
      <c r="B132" s="212"/>
      <c r="C132" s="49" t="s">
        <v>3393</v>
      </c>
      <c r="D132" s="50">
        <f>'1) Budget Tables'!D146</f>
        <v>0</v>
      </c>
      <c r="E132" s="50">
        <f>'1) Budget Tables'!E146</f>
        <v>0</v>
      </c>
      <c r="F132" s="50">
        <f>'1) Budget Tables'!F146</f>
        <v>0</v>
      </c>
      <c r="G132" s="51">
        <f t="shared" ref="G132:G140" si="11">SUM(D132:F132)</f>
        <v>0</v>
      </c>
      <c r="H132" s="212"/>
      <c r="I132" s="212"/>
      <c r="J132" s="212"/>
      <c r="K132" s="212"/>
      <c r="L132" s="212"/>
      <c r="M132" s="212"/>
      <c r="N132" s="212"/>
    </row>
    <row r="133" spans="2:14" ht="15.75" hidden="1" customHeight="1">
      <c r="B133" s="212"/>
      <c r="C133" s="47" t="s">
        <v>3394</v>
      </c>
      <c r="D133" s="214"/>
      <c r="E133" s="215"/>
      <c r="F133" s="215"/>
      <c r="G133" s="48">
        <f t="shared" si="11"/>
        <v>0</v>
      </c>
      <c r="H133" s="212"/>
      <c r="I133" s="212"/>
      <c r="J133" s="212"/>
      <c r="K133" s="212"/>
      <c r="L133" s="212"/>
      <c r="M133" s="212"/>
      <c r="N133" s="212"/>
    </row>
    <row r="134" spans="2:14" hidden="1">
      <c r="B134" s="212"/>
      <c r="C134" s="37" t="s">
        <v>3395</v>
      </c>
      <c r="D134" s="216"/>
      <c r="E134" s="188"/>
      <c r="F134" s="188"/>
      <c r="G134" s="46">
        <f t="shared" si="11"/>
        <v>0</v>
      </c>
      <c r="H134" s="212"/>
      <c r="I134" s="212"/>
      <c r="J134" s="212"/>
      <c r="K134" s="212"/>
      <c r="L134" s="212"/>
      <c r="M134" s="212"/>
      <c r="N134" s="212"/>
    </row>
    <row r="135" spans="2:14" ht="15.75" hidden="1" customHeight="1">
      <c r="B135" s="212"/>
      <c r="C135" s="37" t="s">
        <v>3396</v>
      </c>
      <c r="D135" s="216"/>
      <c r="E135" s="216"/>
      <c r="F135" s="216"/>
      <c r="G135" s="46">
        <f t="shared" si="11"/>
        <v>0</v>
      </c>
      <c r="H135" s="212"/>
      <c r="I135" s="212"/>
      <c r="J135" s="212"/>
      <c r="K135" s="212"/>
      <c r="L135" s="212"/>
      <c r="M135" s="212"/>
      <c r="N135" s="212"/>
    </row>
    <row r="136" spans="2:14" hidden="1">
      <c r="B136" s="212"/>
      <c r="C136" s="38" t="s">
        <v>3397</v>
      </c>
      <c r="D136" s="216"/>
      <c r="E136" s="216"/>
      <c r="F136" s="216"/>
      <c r="G136" s="46">
        <f t="shared" si="11"/>
        <v>0</v>
      </c>
      <c r="H136" s="212"/>
      <c r="I136" s="212"/>
      <c r="J136" s="212"/>
      <c r="K136" s="212"/>
      <c r="L136" s="212"/>
      <c r="M136" s="212"/>
      <c r="N136" s="212"/>
    </row>
    <row r="137" spans="2:14" hidden="1">
      <c r="B137" s="212"/>
      <c r="C137" s="37" t="s">
        <v>3398</v>
      </c>
      <c r="D137" s="216"/>
      <c r="E137" s="216"/>
      <c r="F137" s="216"/>
      <c r="G137" s="46">
        <f t="shared" si="11"/>
        <v>0</v>
      </c>
      <c r="H137" s="212"/>
      <c r="I137" s="212"/>
      <c r="J137" s="212"/>
      <c r="K137" s="212"/>
      <c r="L137" s="212"/>
      <c r="M137" s="212"/>
      <c r="N137" s="212"/>
    </row>
    <row r="138" spans="2:14" ht="15.75" hidden="1" customHeight="1">
      <c r="B138" s="212"/>
      <c r="C138" s="37" t="s">
        <v>3399</v>
      </c>
      <c r="D138" s="216"/>
      <c r="E138" s="216"/>
      <c r="F138" s="216"/>
      <c r="G138" s="46">
        <f t="shared" si="11"/>
        <v>0</v>
      </c>
      <c r="H138" s="212"/>
      <c r="I138" s="212"/>
      <c r="J138" s="212"/>
      <c r="K138" s="212"/>
      <c r="L138" s="212"/>
      <c r="M138" s="212"/>
      <c r="N138" s="212"/>
    </row>
    <row r="139" spans="2:14" hidden="1">
      <c r="B139" s="212"/>
      <c r="C139" s="37" t="s">
        <v>3400</v>
      </c>
      <c r="D139" s="216"/>
      <c r="E139" s="216"/>
      <c r="F139" s="216"/>
      <c r="G139" s="46">
        <f t="shared" si="11"/>
        <v>0</v>
      </c>
      <c r="H139" s="212"/>
      <c r="I139" s="212"/>
      <c r="J139" s="212"/>
      <c r="K139" s="212"/>
      <c r="L139" s="212"/>
      <c r="M139" s="212"/>
      <c r="N139" s="212"/>
    </row>
    <row r="140" spans="2:14" hidden="1">
      <c r="B140" s="212"/>
      <c r="C140" s="42" t="s">
        <v>3401</v>
      </c>
      <c r="D140" s="52">
        <f>SUM(D133:D139)</f>
        <v>0</v>
      </c>
      <c r="E140" s="52">
        <f>SUM(E133:E139)</f>
        <v>0</v>
      </c>
      <c r="F140" s="52">
        <f>SUM(F133:F139)</f>
        <v>0</v>
      </c>
      <c r="G140" s="46">
        <f t="shared" si="11"/>
        <v>0</v>
      </c>
      <c r="H140" s="212"/>
      <c r="I140" s="212"/>
      <c r="J140" s="212"/>
      <c r="K140" s="212"/>
      <c r="L140" s="212"/>
      <c r="M140" s="212"/>
      <c r="N140" s="212"/>
    </row>
    <row r="141" spans="2:14" hidden="1">
      <c r="B141" s="212"/>
      <c r="C141" s="212"/>
      <c r="D141" s="213"/>
      <c r="E141" s="213"/>
      <c r="F141" s="213"/>
      <c r="G141" s="212"/>
      <c r="H141" s="212"/>
      <c r="I141" s="212"/>
      <c r="J141" s="212"/>
      <c r="K141" s="212"/>
      <c r="L141" s="212"/>
      <c r="M141" s="212"/>
      <c r="N141" s="212"/>
    </row>
    <row r="142" spans="2:14" hidden="1">
      <c r="B142" s="524" t="s">
        <v>3409</v>
      </c>
      <c r="C142" s="525"/>
      <c r="D142" s="525"/>
      <c r="E142" s="525"/>
      <c r="F142" s="525"/>
      <c r="G142" s="526"/>
      <c r="H142" s="212"/>
      <c r="I142" s="212"/>
      <c r="J142" s="212"/>
      <c r="K142" s="212"/>
      <c r="L142" s="212"/>
      <c r="M142" s="212"/>
      <c r="N142" s="212"/>
    </row>
    <row r="143" spans="2:14" hidden="1">
      <c r="B143" s="212"/>
      <c r="C143" s="524" t="s">
        <v>285</v>
      </c>
      <c r="D143" s="525"/>
      <c r="E143" s="525"/>
      <c r="F143" s="525"/>
      <c r="G143" s="526"/>
      <c r="H143" s="212"/>
      <c r="I143" s="212"/>
      <c r="J143" s="212"/>
      <c r="K143" s="212"/>
      <c r="L143" s="212"/>
      <c r="M143" s="212"/>
      <c r="N143" s="212"/>
    </row>
    <row r="144" spans="2:14" ht="24" hidden="1" customHeight="1" thickBot="1">
      <c r="B144" s="212"/>
      <c r="C144" s="49" t="s">
        <v>3393</v>
      </c>
      <c r="D144" s="50">
        <f>'1) Budget Tables'!D158</f>
        <v>0</v>
      </c>
      <c r="E144" s="50">
        <f>'1) Budget Tables'!E158</f>
        <v>0</v>
      </c>
      <c r="F144" s="50">
        <f>'1) Budget Tables'!F158</f>
        <v>0</v>
      </c>
      <c r="G144" s="51">
        <f>SUM(D144:F144)</f>
        <v>0</v>
      </c>
      <c r="H144" s="212"/>
      <c r="I144" s="212"/>
      <c r="J144" s="212"/>
      <c r="K144" s="212"/>
      <c r="L144" s="212"/>
      <c r="M144" s="212"/>
      <c r="N144" s="212"/>
    </row>
    <row r="145" spans="2:7" ht="24.75" hidden="1" customHeight="1">
      <c r="B145" s="212"/>
      <c r="C145" s="47" t="s">
        <v>3394</v>
      </c>
      <c r="D145" s="214"/>
      <c r="E145" s="215"/>
      <c r="F145" s="215"/>
      <c r="G145" s="48">
        <f t="shared" ref="G145:G152" si="12">SUM(D145:F145)</f>
        <v>0</v>
      </c>
    </row>
    <row r="146" spans="2:7" ht="15.75" hidden="1" customHeight="1">
      <c r="B146" s="212"/>
      <c r="C146" s="37" t="s">
        <v>3395</v>
      </c>
      <c r="D146" s="216"/>
      <c r="E146" s="188"/>
      <c r="F146" s="188"/>
      <c r="G146" s="46">
        <f t="shared" si="12"/>
        <v>0</v>
      </c>
    </row>
    <row r="147" spans="2:7" ht="15.75" hidden="1" customHeight="1">
      <c r="B147" s="212"/>
      <c r="C147" s="37" t="s">
        <v>3396</v>
      </c>
      <c r="D147" s="216"/>
      <c r="E147" s="216"/>
      <c r="F147" s="216"/>
      <c r="G147" s="46">
        <f t="shared" si="12"/>
        <v>0</v>
      </c>
    </row>
    <row r="148" spans="2:7" ht="15.75" hidden="1" customHeight="1">
      <c r="B148" s="212"/>
      <c r="C148" s="38" t="s">
        <v>3397</v>
      </c>
      <c r="D148" s="216"/>
      <c r="E148" s="216"/>
      <c r="F148" s="216"/>
      <c r="G148" s="46">
        <f t="shared" si="12"/>
        <v>0</v>
      </c>
    </row>
    <row r="149" spans="2:7" ht="15.75" hidden="1" customHeight="1">
      <c r="B149" s="212"/>
      <c r="C149" s="37" t="s">
        <v>3398</v>
      </c>
      <c r="D149" s="216"/>
      <c r="E149" s="216"/>
      <c r="F149" s="216"/>
      <c r="G149" s="46">
        <f t="shared" si="12"/>
        <v>0</v>
      </c>
    </row>
    <row r="150" spans="2:7" ht="15.75" hidden="1" customHeight="1">
      <c r="B150" s="212"/>
      <c r="C150" s="37" t="s">
        <v>3399</v>
      </c>
      <c r="D150" s="216"/>
      <c r="E150" s="216"/>
      <c r="F150" s="216"/>
      <c r="G150" s="46">
        <f t="shared" si="12"/>
        <v>0</v>
      </c>
    </row>
    <row r="151" spans="2:7" ht="15.75" hidden="1" customHeight="1">
      <c r="B151" s="212"/>
      <c r="C151" s="37" t="s">
        <v>3400</v>
      </c>
      <c r="D151" s="216"/>
      <c r="E151" s="216"/>
      <c r="F151" s="216"/>
      <c r="G151" s="46">
        <f t="shared" si="12"/>
        <v>0</v>
      </c>
    </row>
    <row r="152" spans="2:7" ht="15.75" hidden="1" customHeight="1">
      <c r="B152" s="212"/>
      <c r="C152" s="42" t="s">
        <v>3401</v>
      </c>
      <c r="D152" s="52">
        <f>SUM(D145:D151)</f>
        <v>0</v>
      </c>
      <c r="E152" s="52">
        <f>SUM(E145:E151)</f>
        <v>0</v>
      </c>
      <c r="F152" s="52">
        <f>SUM(F145:F151)</f>
        <v>0</v>
      </c>
      <c r="G152" s="46">
        <f t="shared" si="12"/>
        <v>0</v>
      </c>
    </row>
    <row r="153" spans="2:7" s="41" customFormat="1" ht="15.75" hidden="1" customHeight="1">
      <c r="B153" s="213"/>
      <c r="C153" s="53"/>
      <c r="D153" s="54"/>
      <c r="E153" s="54"/>
      <c r="F153" s="54"/>
      <c r="G153" s="55"/>
    </row>
    <row r="154" spans="2:7" ht="15.75" hidden="1" customHeight="1">
      <c r="B154" s="212"/>
      <c r="C154" s="524" t="s">
        <v>294</v>
      </c>
      <c r="D154" s="525"/>
      <c r="E154" s="525"/>
      <c r="F154" s="525"/>
      <c r="G154" s="526"/>
    </row>
    <row r="155" spans="2:7" ht="21" hidden="1" customHeight="1" thickBot="1">
      <c r="B155" s="212"/>
      <c r="C155" s="49" t="s">
        <v>3393</v>
      </c>
      <c r="D155" s="50">
        <f>'1) Budget Tables'!D168</f>
        <v>0</v>
      </c>
      <c r="E155" s="50">
        <f>'1) Budget Tables'!E168</f>
        <v>0</v>
      </c>
      <c r="F155" s="50">
        <f>'1) Budget Tables'!F168</f>
        <v>0</v>
      </c>
      <c r="G155" s="51">
        <f t="shared" ref="G155:G163" si="13">SUM(D155:F155)</f>
        <v>0</v>
      </c>
    </row>
    <row r="156" spans="2:7" ht="15.75" hidden="1" customHeight="1">
      <c r="B156" s="212"/>
      <c r="C156" s="47" t="s">
        <v>3394</v>
      </c>
      <c r="D156" s="214"/>
      <c r="E156" s="215"/>
      <c r="F156" s="215"/>
      <c r="G156" s="48">
        <f t="shared" si="13"/>
        <v>0</v>
      </c>
    </row>
    <row r="157" spans="2:7" ht="15.75" hidden="1" customHeight="1">
      <c r="B157" s="212"/>
      <c r="C157" s="37" t="s">
        <v>3395</v>
      </c>
      <c r="D157" s="216"/>
      <c r="E157" s="188"/>
      <c r="F157" s="188"/>
      <c r="G157" s="46">
        <f t="shared" si="13"/>
        <v>0</v>
      </c>
    </row>
    <row r="158" spans="2:7" ht="15.75" hidden="1" customHeight="1">
      <c r="B158" s="212"/>
      <c r="C158" s="37" t="s">
        <v>3396</v>
      </c>
      <c r="D158" s="216"/>
      <c r="E158" s="216"/>
      <c r="F158" s="216"/>
      <c r="G158" s="46">
        <f t="shared" si="13"/>
        <v>0</v>
      </c>
    </row>
    <row r="159" spans="2:7" ht="15.75" hidden="1" customHeight="1">
      <c r="B159" s="212"/>
      <c r="C159" s="38" t="s">
        <v>3397</v>
      </c>
      <c r="D159" s="216"/>
      <c r="E159" s="216"/>
      <c r="F159" s="216"/>
      <c r="G159" s="46">
        <f t="shared" si="13"/>
        <v>0</v>
      </c>
    </row>
    <row r="160" spans="2:7" ht="15.75" hidden="1" customHeight="1">
      <c r="B160" s="212"/>
      <c r="C160" s="37" t="s">
        <v>3398</v>
      </c>
      <c r="D160" s="216"/>
      <c r="E160" s="216"/>
      <c r="F160" s="216"/>
      <c r="G160" s="46">
        <f t="shared" si="13"/>
        <v>0</v>
      </c>
    </row>
    <row r="161" spans="3:7" ht="15.75" hidden="1" customHeight="1">
      <c r="C161" s="37" t="s">
        <v>3399</v>
      </c>
      <c r="D161" s="216"/>
      <c r="E161" s="216"/>
      <c r="F161" s="216"/>
      <c r="G161" s="46">
        <f t="shared" si="13"/>
        <v>0</v>
      </c>
    </row>
    <row r="162" spans="3:7" ht="15.75" hidden="1" customHeight="1">
      <c r="C162" s="37" t="s">
        <v>3400</v>
      </c>
      <c r="D162" s="216"/>
      <c r="E162" s="216"/>
      <c r="F162" s="216"/>
      <c r="G162" s="46">
        <f t="shared" si="13"/>
        <v>0</v>
      </c>
    </row>
    <row r="163" spans="3:7" ht="15.75" hidden="1" customHeight="1">
      <c r="C163" s="42" t="s">
        <v>3401</v>
      </c>
      <c r="D163" s="52">
        <f>SUM(D156:D162)</f>
        <v>0</v>
      </c>
      <c r="E163" s="52">
        <f>SUM(E156:E162)</f>
        <v>0</v>
      </c>
      <c r="F163" s="52">
        <f>SUM(F156:F162)</f>
        <v>0</v>
      </c>
      <c r="G163" s="46">
        <f t="shared" si="13"/>
        <v>0</v>
      </c>
    </row>
    <row r="164" spans="3:7" s="41" customFormat="1" ht="15.75" hidden="1" customHeight="1">
      <c r="C164" s="53"/>
      <c r="D164" s="54"/>
      <c r="E164" s="54"/>
      <c r="F164" s="54"/>
      <c r="G164" s="55"/>
    </row>
    <row r="165" spans="3:7" ht="15.75" hidden="1" customHeight="1">
      <c r="C165" s="524" t="s">
        <v>303</v>
      </c>
      <c r="D165" s="525"/>
      <c r="E165" s="525"/>
      <c r="F165" s="525"/>
      <c r="G165" s="526"/>
    </row>
    <row r="166" spans="3:7" ht="19.5" hidden="1" customHeight="1" thickBot="1">
      <c r="C166" s="49" t="s">
        <v>3393</v>
      </c>
      <c r="D166" s="50">
        <f>'1) Budget Tables'!D178</f>
        <v>0</v>
      </c>
      <c r="E166" s="50">
        <f>'1) Budget Tables'!E178</f>
        <v>0</v>
      </c>
      <c r="F166" s="50">
        <f>'1) Budget Tables'!F178</f>
        <v>0</v>
      </c>
      <c r="G166" s="51">
        <f t="shared" ref="G166:G174" si="14">SUM(D166:F166)</f>
        <v>0</v>
      </c>
    </row>
    <row r="167" spans="3:7" ht="15.75" hidden="1" customHeight="1">
      <c r="C167" s="47" t="s">
        <v>3394</v>
      </c>
      <c r="D167" s="214"/>
      <c r="E167" s="215"/>
      <c r="F167" s="215"/>
      <c r="G167" s="48">
        <f t="shared" si="14"/>
        <v>0</v>
      </c>
    </row>
    <row r="168" spans="3:7" ht="15.75" hidden="1" customHeight="1">
      <c r="C168" s="37" t="s">
        <v>3395</v>
      </c>
      <c r="D168" s="216"/>
      <c r="E168" s="188"/>
      <c r="F168" s="188"/>
      <c r="G168" s="46">
        <f t="shared" si="14"/>
        <v>0</v>
      </c>
    </row>
    <row r="169" spans="3:7" ht="15.75" hidden="1" customHeight="1">
      <c r="C169" s="37" t="s">
        <v>3396</v>
      </c>
      <c r="D169" s="216"/>
      <c r="E169" s="216"/>
      <c r="F169" s="216"/>
      <c r="G169" s="46">
        <f t="shared" si="14"/>
        <v>0</v>
      </c>
    </row>
    <row r="170" spans="3:7" ht="15.75" hidden="1" customHeight="1">
      <c r="C170" s="38" t="s">
        <v>3397</v>
      </c>
      <c r="D170" s="216"/>
      <c r="E170" s="216"/>
      <c r="F170" s="216"/>
      <c r="G170" s="46">
        <f t="shared" si="14"/>
        <v>0</v>
      </c>
    </row>
    <row r="171" spans="3:7" ht="15.75" hidden="1" customHeight="1">
      <c r="C171" s="37" t="s">
        <v>3398</v>
      </c>
      <c r="D171" s="216"/>
      <c r="E171" s="216"/>
      <c r="F171" s="216"/>
      <c r="G171" s="46">
        <f t="shared" si="14"/>
        <v>0</v>
      </c>
    </row>
    <row r="172" spans="3:7" ht="15.75" hidden="1" customHeight="1">
      <c r="C172" s="37" t="s">
        <v>3399</v>
      </c>
      <c r="D172" s="216"/>
      <c r="E172" s="216"/>
      <c r="F172" s="216"/>
      <c r="G172" s="46">
        <f t="shared" si="14"/>
        <v>0</v>
      </c>
    </row>
    <row r="173" spans="3:7" ht="15.75" hidden="1" customHeight="1">
      <c r="C173" s="37" t="s">
        <v>3400</v>
      </c>
      <c r="D173" s="216"/>
      <c r="E173" s="216"/>
      <c r="F173" s="216"/>
      <c r="G173" s="46">
        <f t="shared" si="14"/>
        <v>0</v>
      </c>
    </row>
    <row r="174" spans="3:7" ht="15.75" hidden="1" customHeight="1">
      <c r="C174" s="42" t="s">
        <v>3401</v>
      </c>
      <c r="D174" s="52">
        <f>SUM(D167:D173)</f>
        <v>0</v>
      </c>
      <c r="E174" s="52">
        <f>SUM(E167:E173)</f>
        <v>0</v>
      </c>
      <c r="F174" s="52">
        <f>SUM(F167:F173)</f>
        <v>0</v>
      </c>
      <c r="G174" s="46">
        <f t="shared" si="14"/>
        <v>0</v>
      </c>
    </row>
    <row r="175" spans="3:7" s="41" customFormat="1" ht="15.75" hidden="1" customHeight="1">
      <c r="C175" s="53"/>
      <c r="D175" s="54"/>
      <c r="E175" s="54"/>
      <c r="F175" s="54"/>
      <c r="G175" s="55"/>
    </row>
    <row r="176" spans="3:7" ht="15.75" hidden="1" customHeight="1">
      <c r="C176" s="524" t="s">
        <v>312</v>
      </c>
      <c r="D176" s="525"/>
      <c r="E176" s="525"/>
      <c r="F176" s="525"/>
      <c r="G176" s="526"/>
    </row>
    <row r="177" spans="3:7" ht="22.5" hidden="1" customHeight="1" thickBot="1">
      <c r="C177" s="49" t="s">
        <v>3393</v>
      </c>
      <c r="D177" s="50">
        <f>'1) Budget Tables'!D188</f>
        <v>0</v>
      </c>
      <c r="E177" s="50">
        <f>'1) Budget Tables'!E188</f>
        <v>0</v>
      </c>
      <c r="F177" s="50">
        <f>'1) Budget Tables'!F188</f>
        <v>0</v>
      </c>
      <c r="G177" s="51">
        <f t="shared" ref="G177:G185" si="15">SUM(D177:F177)</f>
        <v>0</v>
      </c>
    </row>
    <row r="178" spans="3:7" ht="15.75" hidden="1" customHeight="1">
      <c r="C178" s="47" t="s">
        <v>3394</v>
      </c>
      <c r="D178" s="214"/>
      <c r="E178" s="215"/>
      <c r="F178" s="215"/>
      <c r="G178" s="48">
        <f t="shared" si="15"/>
        <v>0</v>
      </c>
    </row>
    <row r="179" spans="3:7" ht="15.75" hidden="1" customHeight="1">
      <c r="C179" s="37" t="s">
        <v>3395</v>
      </c>
      <c r="D179" s="216"/>
      <c r="E179" s="188"/>
      <c r="F179" s="188"/>
      <c r="G179" s="46">
        <f t="shared" si="15"/>
        <v>0</v>
      </c>
    </row>
    <row r="180" spans="3:7" ht="15.75" hidden="1" customHeight="1">
      <c r="C180" s="37" t="s">
        <v>3396</v>
      </c>
      <c r="D180" s="216"/>
      <c r="E180" s="216"/>
      <c r="F180" s="216"/>
      <c r="G180" s="46">
        <f t="shared" si="15"/>
        <v>0</v>
      </c>
    </row>
    <row r="181" spans="3:7" ht="15.75" hidden="1" customHeight="1">
      <c r="C181" s="38" t="s">
        <v>3397</v>
      </c>
      <c r="D181" s="216"/>
      <c r="E181" s="216"/>
      <c r="F181" s="216"/>
      <c r="G181" s="46">
        <f t="shared" si="15"/>
        <v>0</v>
      </c>
    </row>
    <row r="182" spans="3:7" ht="15.75" hidden="1" customHeight="1">
      <c r="C182" s="37" t="s">
        <v>3398</v>
      </c>
      <c r="D182" s="216"/>
      <c r="E182" s="216"/>
      <c r="F182" s="216"/>
      <c r="G182" s="46">
        <f t="shared" si="15"/>
        <v>0</v>
      </c>
    </row>
    <row r="183" spans="3:7" ht="15.75" hidden="1" customHeight="1">
      <c r="C183" s="37" t="s">
        <v>3399</v>
      </c>
      <c r="D183" s="216"/>
      <c r="E183" s="216"/>
      <c r="F183" s="216"/>
      <c r="G183" s="46">
        <f t="shared" si="15"/>
        <v>0</v>
      </c>
    </row>
    <row r="184" spans="3:7" ht="15.75" hidden="1" customHeight="1">
      <c r="C184" s="37" t="s">
        <v>3400</v>
      </c>
      <c r="D184" s="216"/>
      <c r="E184" s="216"/>
      <c r="F184" s="216"/>
      <c r="G184" s="46">
        <f t="shared" si="15"/>
        <v>0</v>
      </c>
    </row>
    <row r="185" spans="3:7" ht="15.75" hidden="1" customHeight="1">
      <c r="C185" s="42" t="s">
        <v>3401</v>
      </c>
      <c r="D185" s="52">
        <f>SUM(D178:D184)</f>
        <v>0</v>
      </c>
      <c r="E185" s="52">
        <f>SUM(E178:E184)</f>
        <v>0</v>
      </c>
      <c r="F185" s="52">
        <f>SUM(F178:F184)</f>
        <v>0</v>
      </c>
      <c r="G185" s="46">
        <f t="shared" si="15"/>
        <v>0</v>
      </c>
    </row>
    <row r="186" spans="3:7" ht="15.75" customHeight="1">
      <c r="C186" s="212"/>
      <c r="D186" s="213"/>
      <c r="E186" s="213"/>
      <c r="F186" s="213"/>
      <c r="G186" s="212"/>
    </row>
    <row r="187" spans="3:7" ht="15.75" customHeight="1">
      <c r="C187" s="524" t="s">
        <v>3410</v>
      </c>
      <c r="D187" s="525"/>
      <c r="E187" s="525"/>
      <c r="F187" s="525"/>
      <c r="G187" s="526"/>
    </row>
    <row r="188" spans="3:7" ht="19.5" customHeight="1" thickBot="1">
      <c r="C188" s="49" t="s">
        <v>3411</v>
      </c>
      <c r="D188" s="50">
        <f>'1) Budget Tables'!D196</f>
        <v>375685.83100000001</v>
      </c>
      <c r="E188" s="50">
        <f>'1) Budget Tables'!E196</f>
        <v>0</v>
      </c>
      <c r="F188" s="50">
        <f>'1) Budget Tables'!F196</f>
        <v>0</v>
      </c>
      <c r="G188" s="51">
        <f t="shared" ref="G188:G196" si="16">SUM(D188:F188)</f>
        <v>375685.83100000001</v>
      </c>
    </row>
    <row r="189" spans="3:7" ht="15.75" customHeight="1">
      <c r="C189" s="47" t="s">
        <v>3394</v>
      </c>
      <c r="D189" s="214">
        <f>188297.322-26312</f>
        <v>161985.32199999999</v>
      </c>
      <c r="E189" s="215"/>
      <c r="F189" s="215"/>
      <c r="G189" s="48">
        <f t="shared" si="16"/>
        <v>161985.32199999999</v>
      </c>
    </row>
    <row r="190" spans="3:7" ht="15.75" customHeight="1">
      <c r="C190" s="37" t="s">
        <v>3395</v>
      </c>
      <c r="D190" s="216"/>
      <c r="E190" s="188"/>
      <c r="F190" s="188"/>
      <c r="G190" s="46">
        <f t="shared" si="16"/>
        <v>0</v>
      </c>
    </row>
    <row r="191" spans="3:7" ht="15.75" customHeight="1">
      <c r="C191" s="37" t="s">
        <v>3396</v>
      </c>
      <c r="D191" s="216">
        <v>17936.473999999998</v>
      </c>
      <c r="E191" s="216"/>
      <c r="F191" s="216"/>
      <c r="G191" s="46">
        <f t="shared" si="16"/>
        <v>17936.473999999998</v>
      </c>
    </row>
    <row r="192" spans="3:7" ht="15.75" customHeight="1">
      <c r="C192" s="38" t="s">
        <v>3397</v>
      </c>
      <c r="D192" s="216"/>
      <c r="E192" s="216"/>
      <c r="F192" s="216"/>
      <c r="G192" s="46">
        <f t="shared" si="16"/>
        <v>0</v>
      </c>
    </row>
    <row r="193" spans="3:13" ht="15.75" customHeight="1">
      <c r="C193" s="37" t="s">
        <v>3398</v>
      </c>
      <c r="D193" s="216">
        <v>16713.45</v>
      </c>
      <c r="E193" s="216"/>
      <c r="F193" s="216"/>
      <c r="G193" s="46">
        <f t="shared" si="16"/>
        <v>16713.45</v>
      </c>
      <c r="H193" s="212"/>
      <c r="I193" s="212"/>
      <c r="J193" s="212"/>
      <c r="K193" s="212"/>
      <c r="L193" s="212"/>
      <c r="M193" s="212"/>
    </row>
    <row r="194" spans="3:13" ht="15.75" customHeight="1">
      <c r="C194" s="37" t="s">
        <v>3399</v>
      </c>
      <c r="D194" s="216"/>
      <c r="E194" s="216"/>
      <c r="F194" s="216"/>
      <c r="G194" s="46">
        <f t="shared" si="16"/>
        <v>0</v>
      </c>
      <c r="H194" s="212"/>
      <c r="I194" s="212"/>
      <c r="J194" s="212"/>
      <c r="K194" s="212"/>
      <c r="L194" s="212"/>
      <c r="M194" s="212"/>
    </row>
    <row r="195" spans="3:13" ht="15.75" customHeight="1">
      <c r="C195" s="37" t="s">
        <v>3400</v>
      </c>
      <c r="D195" s="216">
        <f>152738.585+26312</f>
        <v>179050.58499999999</v>
      </c>
      <c r="E195" s="216"/>
      <c r="F195" s="216"/>
      <c r="G195" s="46">
        <f t="shared" si="16"/>
        <v>179050.58499999999</v>
      </c>
      <c r="H195" s="212"/>
      <c r="I195" s="212"/>
      <c r="J195" s="212"/>
      <c r="K195" s="212"/>
      <c r="L195" s="212"/>
      <c r="M195" s="212"/>
    </row>
    <row r="196" spans="3:13" ht="15.75" customHeight="1">
      <c r="C196" s="42" t="s">
        <v>3401</v>
      </c>
      <c r="D196" s="52">
        <f>SUM(D189:D195)</f>
        <v>375685.83100000001</v>
      </c>
      <c r="E196" s="52">
        <f>SUM(E189:E195)</f>
        <v>0</v>
      </c>
      <c r="F196" s="52">
        <f>SUM(F189:F195)</f>
        <v>0</v>
      </c>
      <c r="G196" s="46">
        <f t="shared" si="16"/>
        <v>375685.83100000001</v>
      </c>
      <c r="H196" s="217"/>
      <c r="I196" s="212"/>
      <c r="J196" s="212"/>
      <c r="K196" s="212"/>
      <c r="L196" s="212"/>
      <c r="M196" s="212"/>
    </row>
    <row r="197" spans="3:13" ht="15.75" customHeight="1" thickBot="1">
      <c r="C197" s="212"/>
      <c r="D197" s="213"/>
      <c r="E197" s="213"/>
      <c r="F197" s="213"/>
      <c r="G197" s="212"/>
      <c r="H197" s="212"/>
      <c r="I197" s="212"/>
      <c r="J197" s="212"/>
      <c r="K197" s="212"/>
      <c r="L197" s="212"/>
      <c r="M197" s="212"/>
    </row>
    <row r="198" spans="3:13" ht="19.5" customHeight="1" thickBot="1">
      <c r="C198" s="529" t="s">
        <v>333</v>
      </c>
      <c r="D198" s="530"/>
      <c r="E198" s="530"/>
      <c r="F198" s="530"/>
      <c r="G198" s="531"/>
      <c r="H198" s="212"/>
      <c r="I198" s="212"/>
      <c r="J198" s="212"/>
      <c r="K198" s="212"/>
      <c r="L198" s="212"/>
      <c r="M198" s="212"/>
    </row>
    <row r="199" spans="3:13" ht="19.5" customHeight="1">
      <c r="C199" s="60"/>
      <c r="D199" s="523" t="str">
        <f>'1) Budget Tables'!D5</f>
        <v>Recipient Organization</v>
      </c>
      <c r="E199" s="45" t="s">
        <v>334</v>
      </c>
      <c r="F199" s="45" t="s">
        <v>335</v>
      </c>
      <c r="G199" s="528" t="s">
        <v>333</v>
      </c>
      <c r="H199" s="212"/>
      <c r="I199" s="212"/>
      <c r="J199" s="212"/>
      <c r="K199" s="212"/>
      <c r="L199" s="212"/>
      <c r="M199" s="212"/>
    </row>
    <row r="200" spans="3:13" ht="19.5" customHeight="1">
      <c r="C200" s="60"/>
      <c r="D200" s="503"/>
      <c r="E200" s="40"/>
      <c r="F200" s="40"/>
      <c r="G200" s="505"/>
      <c r="H200" s="212"/>
      <c r="I200" s="212"/>
      <c r="J200" s="212"/>
      <c r="K200" s="212"/>
      <c r="L200" s="212"/>
      <c r="M200" s="212"/>
    </row>
    <row r="201" spans="3:13" ht="19.5" customHeight="1">
      <c r="C201" s="15" t="s">
        <v>3394</v>
      </c>
      <c r="D201" s="218">
        <f t="shared" ref="D201:D207" si="17">SUM(D178,D167,D156,D145,D133,D122,D111,D100,D88,D77,D66,D55,D43,D32,D21,D10,D189)</f>
        <v>318997.07392523356</v>
      </c>
      <c r="E201" s="219">
        <f t="shared" ref="E201:F207" si="18">SUM(E178,E167,E156,E145,E133,E122,E111,E100,E88,E77,E66,E55,E43,E32,E21,E10)</f>
        <v>0</v>
      </c>
      <c r="F201" s="219">
        <f t="shared" si="18"/>
        <v>0</v>
      </c>
      <c r="G201" s="57">
        <f t="shared" ref="G201:G208" si="19">SUM(D201:F201)</f>
        <v>318997.07392523356</v>
      </c>
      <c r="H201" s="212"/>
      <c r="I201" s="212"/>
      <c r="J201" s="212"/>
      <c r="K201" s="212"/>
      <c r="L201" s="212"/>
      <c r="M201" s="212"/>
    </row>
    <row r="202" spans="3:13" ht="34.5" customHeight="1">
      <c r="C202" s="15" t="s">
        <v>3395</v>
      </c>
      <c r="D202" s="218">
        <f t="shared" si="17"/>
        <v>0</v>
      </c>
      <c r="E202" s="219">
        <f t="shared" si="18"/>
        <v>0</v>
      </c>
      <c r="F202" s="219">
        <f t="shared" si="18"/>
        <v>0</v>
      </c>
      <c r="G202" s="58">
        <f t="shared" si="19"/>
        <v>0</v>
      </c>
      <c r="H202" s="212"/>
      <c r="I202" s="212"/>
      <c r="J202" s="212"/>
      <c r="K202" s="212"/>
      <c r="L202" s="212"/>
      <c r="M202" s="212"/>
    </row>
    <row r="203" spans="3:13" ht="48" customHeight="1">
      <c r="C203" s="15" t="s">
        <v>3396</v>
      </c>
      <c r="D203" s="218">
        <f t="shared" si="17"/>
        <v>17936.473999999998</v>
      </c>
      <c r="E203" s="219">
        <f t="shared" si="18"/>
        <v>0</v>
      </c>
      <c r="F203" s="219">
        <f t="shared" si="18"/>
        <v>0</v>
      </c>
      <c r="G203" s="58">
        <f t="shared" si="19"/>
        <v>17936.473999999998</v>
      </c>
      <c r="H203" s="212"/>
      <c r="I203" s="212"/>
      <c r="J203" s="212"/>
      <c r="K203" s="212"/>
      <c r="L203" s="212"/>
      <c r="M203" s="212"/>
    </row>
    <row r="204" spans="3:13" ht="33" customHeight="1">
      <c r="C204" s="24" t="s">
        <v>3397</v>
      </c>
      <c r="D204" s="218">
        <f t="shared" si="17"/>
        <v>0</v>
      </c>
      <c r="E204" s="219">
        <f t="shared" si="18"/>
        <v>0</v>
      </c>
      <c r="F204" s="219">
        <f t="shared" si="18"/>
        <v>0</v>
      </c>
      <c r="G204" s="58">
        <f t="shared" si="19"/>
        <v>0</v>
      </c>
      <c r="H204" s="212"/>
      <c r="I204" s="212"/>
      <c r="J204" s="212"/>
      <c r="K204" s="212"/>
      <c r="L204" s="212"/>
      <c r="M204" s="212"/>
    </row>
    <row r="205" spans="3:13" ht="21" customHeight="1">
      <c r="C205" s="107" t="s">
        <v>3398</v>
      </c>
      <c r="D205" s="220">
        <f t="shared" si="17"/>
        <v>16713.45</v>
      </c>
      <c r="E205" s="219">
        <f t="shared" si="18"/>
        <v>0</v>
      </c>
      <c r="F205" s="219">
        <f t="shared" si="18"/>
        <v>0</v>
      </c>
      <c r="G205" s="58">
        <f t="shared" si="19"/>
        <v>16713.45</v>
      </c>
      <c r="H205" s="194"/>
      <c r="I205" s="194"/>
      <c r="J205" s="194"/>
      <c r="K205" s="194"/>
      <c r="L205" s="194"/>
      <c r="M205" s="221"/>
    </row>
    <row r="206" spans="3:13" ht="39.75" customHeight="1">
      <c r="C206" s="15" t="s">
        <v>3399</v>
      </c>
      <c r="D206" s="222">
        <f t="shared" si="17"/>
        <v>0</v>
      </c>
      <c r="E206" s="223">
        <f t="shared" si="18"/>
        <v>0</v>
      </c>
      <c r="F206" s="219">
        <f t="shared" si="18"/>
        <v>0</v>
      </c>
      <c r="G206" s="58">
        <f t="shared" si="19"/>
        <v>0</v>
      </c>
      <c r="H206" s="194"/>
      <c r="I206" s="194"/>
      <c r="J206" s="194"/>
      <c r="K206" s="194"/>
      <c r="L206" s="194"/>
      <c r="M206" s="221"/>
    </row>
    <row r="207" spans="3:13" ht="23.25" customHeight="1" thickBot="1">
      <c r="C207" s="15" t="s">
        <v>3400</v>
      </c>
      <c r="D207" s="222">
        <f t="shared" si="17"/>
        <v>1048221.777</v>
      </c>
      <c r="E207" s="224">
        <f t="shared" si="18"/>
        <v>0</v>
      </c>
      <c r="F207" s="225">
        <f t="shared" si="18"/>
        <v>0</v>
      </c>
      <c r="G207" s="59">
        <f t="shared" si="19"/>
        <v>1048221.777</v>
      </c>
      <c r="H207" s="194"/>
      <c r="I207" s="194"/>
      <c r="J207" s="194"/>
      <c r="K207" s="194"/>
      <c r="L207" s="194"/>
      <c r="M207" s="221"/>
    </row>
    <row r="208" spans="3:13" ht="22.5" customHeight="1" thickBot="1">
      <c r="C208" s="226" t="s">
        <v>3412</v>
      </c>
      <c r="D208" s="227">
        <f>SUM(D201:D207)</f>
        <v>1401868.7749252336</v>
      </c>
      <c r="E208" s="106">
        <f>SUM(E201:E207)</f>
        <v>0</v>
      </c>
      <c r="F208" s="61">
        <f>SUM(F201:F207)</f>
        <v>0</v>
      </c>
      <c r="G208" s="62">
        <f t="shared" si="19"/>
        <v>1401868.7749252336</v>
      </c>
      <c r="H208" s="194"/>
      <c r="I208" s="194"/>
      <c r="J208" s="194"/>
      <c r="K208" s="194"/>
      <c r="L208" s="194"/>
      <c r="M208" s="221"/>
    </row>
    <row r="209" spans="3:14" ht="22.5" customHeight="1">
      <c r="C209" s="226" t="s">
        <v>3413</v>
      </c>
      <c r="D209" s="227">
        <f>D208*0.07</f>
        <v>98130.814244766356</v>
      </c>
      <c r="E209" s="105"/>
      <c r="F209" s="105"/>
      <c r="G209" s="108"/>
      <c r="H209" s="194"/>
      <c r="I209" s="194"/>
      <c r="J209" s="194"/>
      <c r="K209" s="194"/>
      <c r="L209" s="194"/>
      <c r="M209" s="221"/>
      <c r="N209" s="212"/>
    </row>
    <row r="210" spans="3:14" ht="22.5" customHeight="1" thickBot="1">
      <c r="C210" s="109" t="s">
        <v>3414</v>
      </c>
      <c r="D210" s="143">
        <f>SUM(D208:D209)</f>
        <v>1499999.5891699998</v>
      </c>
      <c r="E210" s="110"/>
      <c r="F210" s="110"/>
      <c r="G210" s="111"/>
      <c r="H210" s="194"/>
      <c r="I210" s="194"/>
      <c r="J210" s="194"/>
      <c r="K210" s="194"/>
      <c r="L210" s="194"/>
      <c r="M210" s="221"/>
      <c r="N210" s="212"/>
    </row>
    <row r="211" spans="3:14" ht="15.75" customHeight="1">
      <c r="C211" s="212"/>
      <c r="D211" s="213"/>
      <c r="E211" s="213"/>
      <c r="F211" s="213"/>
      <c r="G211" s="212"/>
      <c r="H211" s="25"/>
      <c r="I211" s="25"/>
      <c r="J211" s="25"/>
      <c r="K211" s="25"/>
      <c r="L211" s="228"/>
      <c r="M211" s="213"/>
      <c r="N211" s="212"/>
    </row>
    <row r="212" spans="3:14" ht="15.75" customHeight="1">
      <c r="C212" s="212"/>
      <c r="D212" s="213"/>
      <c r="E212" s="213"/>
      <c r="F212" s="213"/>
      <c r="G212" s="212"/>
      <c r="H212" s="25"/>
      <c r="I212" s="25"/>
      <c r="J212" s="25"/>
      <c r="K212" s="25"/>
      <c r="L212" s="228"/>
      <c r="M212" s="213"/>
      <c r="N212" s="212"/>
    </row>
    <row r="213" spans="3:14" ht="15.75" customHeight="1">
      <c r="C213" s="212"/>
      <c r="D213" s="213"/>
      <c r="E213" s="213"/>
      <c r="F213" s="213"/>
      <c r="G213" s="212"/>
      <c r="H213" s="212"/>
      <c r="I213" s="212"/>
      <c r="J213" s="212"/>
      <c r="K213" s="212"/>
      <c r="L213" s="43"/>
      <c r="M213" s="212"/>
      <c r="N213" s="212"/>
    </row>
    <row r="214" spans="3:14" ht="15.75" customHeight="1">
      <c r="C214" s="212"/>
      <c r="D214" s="213"/>
      <c r="E214" s="213"/>
      <c r="F214" s="213"/>
      <c r="G214" s="212"/>
      <c r="H214" s="245"/>
      <c r="I214" s="245"/>
      <c r="J214" s="212"/>
      <c r="K214" s="212"/>
      <c r="L214" s="43"/>
      <c r="M214" s="212"/>
      <c r="N214" s="212"/>
    </row>
    <row r="215" spans="3:14" ht="15.75" customHeight="1">
      <c r="C215" s="212"/>
      <c r="D215" s="213"/>
      <c r="E215" s="213"/>
      <c r="F215" s="213"/>
      <c r="G215" s="212"/>
      <c r="H215" s="245"/>
      <c r="I215" s="245"/>
      <c r="J215" s="212"/>
      <c r="K215" s="212"/>
      <c r="L215" s="212"/>
      <c r="M215" s="212"/>
      <c r="N215" s="212"/>
    </row>
    <row r="216" spans="3:14" ht="40.5" customHeight="1">
      <c r="C216" s="212"/>
      <c r="D216" s="213"/>
      <c r="E216" s="213"/>
      <c r="F216" s="213"/>
      <c r="G216" s="212"/>
      <c r="H216" s="245"/>
      <c r="I216" s="245"/>
      <c r="J216" s="212"/>
      <c r="K216" s="212"/>
      <c r="L216" s="44"/>
      <c r="M216" s="212"/>
      <c r="N216" s="212"/>
    </row>
    <row r="217" spans="3:14" ht="24.75" customHeight="1">
      <c r="C217" s="212"/>
      <c r="D217" s="213"/>
      <c r="E217" s="213"/>
      <c r="F217" s="213"/>
      <c r="G217" s="212"/>
      <c r="H217" s="245"/>
      <c r="I217" s="245"/>
      <c r="J217" s="212"/>
      <c r="K217" s="212"/>
      <c r="L217" s="44"/>
      <c r="M217" s="212"/>
      <c r="N217" s="212"/>
    </row>
    <row r="218" spans="3:14" ht="41.25" customHeight="1">
      <c r="C218" s="212"/>
      <c r="D218" s="213"/>
      <c r="E218" s="213"/>
      <c r="F218" s="213"/>
      <c r="G218" s="212"/>
      <c r="H218" s="229"/>
      <c r="I218" s="245"/>
      <c r="J218" s="212"/>
      <c r="K218" s="212"/>
      <c r="L218" s="44"/>
      <c r="M218" s="212"/>
      <c r="N218" s="212"/>
    </row>
    <row r="219" spans="3:14" ht="51.75" customHeight="1">
      <c r="C219" s="212"/>
      <c r="D219" s="213"/>
      <c r="E219" s="213"/>
      <c r="F219" s="213"/>
      <c r="G219" s="212"/>
      <c r="H219" s="229"/>
      <c r="I219" s="245"/>
      <c r="J219" s="212"/>
      <c r="K219" s="212"/>
      <c r="L219" s="44"/>
      <c r="M219" s="212"/>
      <c r="N219" s="212"/>
    </row>
    <row r="220" spans="3:14" ht="42" customHeight="1">
      <c r="C220" s="212"/>
      <c r="D220" s="213"/>
      <c r="E220" s="213"/>
      <c r="F220" s="213"/>
      <c r="G220" s="212"/>
      <c r="H220" s="245"/>
      <c r="I220" s="245"/>
      <c r="J220" s="212"/>
      <c r="K220" s="212"/>
      <c r="L220" s="44"/>
      <c r="M220" s="212"/>
      <c r="N220" s="212"/>
    </row>
    <row r="221" spans="3:14" s="41" customFormat="1" ht="42" customHeight="1">
      <c r="C221" s="212"/>
      <c r="D221" s="213"/>
      <c r="E221" s="213"/>
      <c r="F221" s="213"/>
      <c r="G221" s="212"/>
      <c r="H221" s="212"/>
      <c r="I221" s="245"/>
      <c r="J221" s="212"/>
      <c r="K221" s="212"/>
      <c r="L221" s="44"/>
      <c r="M221" s="212"/>
      <c r="N221" s="213"/>
    </row>
    <row r="222" spans="3:14" s="41" customFormat="1" ht="42" customHeight="1">
      <c r="C222" s="212"/>
      <c r="D222" s="213"/>
      <c r="E222" s="213"/>
      <c r="F222" s="213"/>
      <c r="G222" s="212"/>
      <c r="H222" s="212"/>
      <c r="I222" s="245"/>
      <c r="J222" s="212"/>
      <c r="K222" s="212"/>
      <c r="L222" s="212"/>
      <c r="M222" s="212"/>
      <c r="N222" s="213"/>
    </row>
    <row r="223" spans="3:14" s="41" customFormat="1" ht="63.75" customHeight="1">
      <c r="C223" s="212"/>
      <c r="D223" s="213"/>
      <c r="E223" s="213"/>
      <c r="F223" s="213"/>
      <c r="G223" s="212"/>
      <c r="H223" s="212"/>
      <c r="I223" s="43"/>
      <c r="J223" s="212"/>
      <c r="K223" s="212"/>
      <c r="L223" s="212"/>
      <c r="M223" s="212"/>
      <c r="N223" s="213"/>
    </row>
    <row r="224" spans="3:14" s="41" customFormat="1" ht="42" customHeight="1">
      <c r="C224" s="212"/>
      <c r="D224" s="213"/>
      <c r="E224" s="213"/>
      <c r="F224" s="213"/>
      <c r="G224" s="212"/>
      <c r="H224" s="212"/>
      <c r="I224" s="212"/>
      <c r="J224" s="212"/>
      <c r="K224" s="212"/>
      <c r="L224" s="212"/>
      <c r="M224" s="43"/>
      <c r="N224" s="213"/>
    </row>
    <row r="225" spans="3:14" ht="23.25" customHeight="1">
      <c r="C225" s="212"/>
      <c r="D225" s="213"/>
      <c r="E225" s="213"/>
      <c r="F225" s="213"/>
      <c r="G225" s="212"/>
      <c r="H225" s="212"/>
      <c r="I225" s="212"/>
      <c r="J225" s="212"/>
      <c r="K225" s="212"/>
      <c r="L225" s="212"/>
      <c r="M225" s="212"/>
      <c r="N225" s="212"/>
    </row>
    <row r="226" spans="3:14" ht="27.75" customHeight="1">
      <c r="C226" s="212"/>
      <c r="D226" s="213"/>
      <c r="E226" s="213"/>
      <c r="F226" s="213"/>
      <c r="G226" s="212"/>
      <c r="H226" s="212"/>
      <c r="I226" s="212"/>
      <c r="J226" s="212"/>
      <c r="K226" s="212"/>
      <c r="L226" s="212"/>
      <c r="M226" s="212"/>
      <c r="N226" s="212"/>
    </row>
    <row r="227" spans="3:14" ht="55.5" customHeight="1">
      <c r="C227" s="212"/>
      <c r="D227" s="213"/>
      <c r="E227" s="213"/>
      <c r="F227" s="213"/>
      <c r="G227" s="212"/>
      <c r="H227" s="212"/>
      <c r="I227" s="212"/>
      <c r="J227" s="212"/>
      <c r="K227" s="212"/>
      <c r="L227" s="212"/>
      <c r="M227" s="212"/>
      <c r="N227" s="212"/>
    </row>
    <row r="228" spans="3:14" ht="57.75" customHeight="1">
      <c r="C228" s="212"/>
      <c r="D228" s="213"/>
      <c r="E228" s="213"/>
      <c r="F228" s="213"/>
      <c r="G228" s="212"/>
      <c r="H228" s="212"/>
      <c r="I228" s="212"/>
      <c r="J228" s="212"/>
      <c r="K228" s="212"/>
      <c r="L228" s="212"/>
      <c r="M228" s="212"/>
      <c r="N228" s="212"/>
    </row>
    <row r="229" spans="3:14" ht="21.75" customHeight="1">
      <c r="C229" s="212"/>
      <c r="D229" s="213"/>
      <c r="E229" s="213"/>
      <c r="F229" s="213"/>
      <c r="G229" s="212"/>
      <c r="H229" s="212"/>
      <c r="I229" s="212"/>
      <c r="J229" s="212"/>
      <c r="K229" s="212"/>
      <c r="L229" s="212"/>
      <c r="M229" s="212"/>
      <c r="N229" s="212"/>
    </row>
    <row r="230" spans="3:14" ht="49.5" customHeight="1">
      <c r="C230" s="212"/>
      <c r="D230" s="213"/>
      <c r="E230" s="213"/>
      <c r="F230" s="213"/>
      <c r="G230" s="212"/>
      <c r="H230" s="212"/>
      <c r="I230" s="212"/>
      <c r="J230" s="212"/>
      <c r="K230" s="212"/>
      <c r="L230" s="212"/>
      <c r="M230" s="212"/>
      <c r="N230" s="212"/>
    </row>
    <row r="231" spans="3:14" ht="28.5" customHeight="1">
      <c r="C231" s="212"/>
      <c r="D231" s="213"/>
      <c r="E231" s="213"/>
      <c r="F231" s="213"/>
      <c r="G231" s="212"/>
      <c r="H231" s="212"/>
      <c r="I231" s="212"/>
      <c r="J231" s="212"/>
      <c r="K231" s="212"/>
      <c r="L231" s="212"/>
      <c r="M231" s="212"/>
      <c r="N231" s="212"/>
    </row>
    <row r="232" spans="3:14" ht="28.5" customHeight="1">
      <c r="C232" s="212"/>
      <c r="D232" s="213"/>
      <c r="E232" s="213"/>
      <c r="F232" s="213"/>
      <c r="G232" s="212"/>
      <c r="H232" s="212"/>
      <c r="I232" s="212"/>
      <c r="J232" s="212"/>
      <c r="K232" s="212"/>
      <c r="L232" s="212"/>
      <c r="M232" s="212"/>
      <c r="N232" s="212"/>
    </row>
    <row r="233" spans="3:14" ht="28.5" customHeight="1">
      <c r="C233" s="212"/>
      <c r="D233" s="213"/>
      <c r="E233" s="213"/>
      <c r="F233" s="213"/>
      <c r="G233" s="212"/>
      <c r="H233" s="212"/>
      <c r="I233" s="212"/>
      <c r="J233" s="212"/>
      <c r="K233" s="212"/>
      <c r="L233" s="212"/>
      <c r="M233" s="212"/>
      <c r="N233" s="212"/>
    </row>
    <row r="234" spans="3:14" ht="23.25" customHeight="1">
      <c r="C234" s="212"/>
      <c r="D234" s="213"/>
      <c r="E234" s="213"/>
      <c r="F234" s="213"/>
      <c r="G234" s="212"/>
      <c r="H234" s="212"/>
      <c r="I234" s="212"/>
      <c r="J234" s="212"/>
      <c r="K234" s="212"/>
      <c r="L234" s="212"/>
      <c r="M234" s="212"/>
      <c r="N234" s="43"/>
    </row>
    <row r="235" spans="3:14" ht="43.5" customHeight="1">
      <c r="C235" s="212"/>
      <c r="D235" s="213"/>
      <c r="E235" s="213"/>
      <c r="F235" s="213"/>
      <c r="G235" s="212"/>
      <c r="H235" s="212"/>
      <c r="I235" s="212"/>
      <c r="J235" s="212"/>
      <c r="K235" s="212"/>
      <c r="L235" s="212"/>
      <c r="M235" s="212"/>
      <c r="N235" s="43"/>
    </row>
    <row r="236" spans="3:14" ht="55.5" customHeight="1">
      <c r="C236" s="212"/>
      <c r="D236" s="213"/>
      <c r="E236" s="213"/>
      <c r="F236" s="213"/>
      <c r="G236" s="212"/>
      <c r="H236" s="212"/>
      <c r="I236" s="212"/>
      <c r="J236" s="212"/>
      <c r="K236" s="212"/>
      <c r="L236" s="212"/>
      <c r="M236" s="212"/>
      <c r="N236" s="212"/>
    </row>
    <row r="237" spans="3:14" ht="42.75" customHeight="1">
      <c r="C237" s="212"/>
      <c r="D237" s="213"/>
      <c r="E237" s="213"/>
      <c r="F237" s="213"/>
      <c r="G237" s="212"/>
      <c r="H237" s="212"/>
      <c r="I237" s="212"/>
      <c r="J237" s="212"/>
      <c r="K237" s="212"/>
      <c r="L237" s="212"/>
      <c r="M237" s="212"/>
      <c r="N237" s="43"/>
    </row>
    <row r="238" spans="3:14" ht="21.75" customHeight="1">
      <c r="C238" s="212"/>
      <c r="D238" s="213"/>
      <c r="E238" s="213"/>
      <c r="F238" s="213"/>
      <c r="G238" s="212"/>
      <c r="H238" s="212"/>
      <c r="I238" s="212"/>
      <c r="J238" s="212"/>
      <c r="K238" s="212"/>
      <c r="L238" s="212"/>
      <c r="M238" s="212"/>
      <c r="N238" s="43"/>
    </row>
    <row r="239" spans="3:14" ht="21.75" customHeight="1">
      <c r="C239" s="212"/>
      <c r="D239" s="213"/>
      <c r="E239" s="213"/>
      <c r="F239" s="213"/>
      <c r="G239" s="212"/>
      <c r="H239" s="212"/>
      <c r="I239" s="212"/>
      <c r="J239" s="212"/>
      <c r="K239" s="212"/>
      <c r="L239" s="212"/>
      <c r="M239" s="212"/>
      <c r="N239" s="43"/>
    </row>
    <row r="240" spans="3:14" ht="23.25" customHeight="1">
      <c r="C240" s="212"/>
      <c r="D240" s="213"/>
      <c r="E240" s="213"/>
      <c r="F240" s="213"/>
      <c r="G240" s="212"/>
      <c r="H240" s="212"/>
      <c r="I240" s="212"/>
      <c r="J240" s="212"/>
      <c r="K240" s="212"/>
      <c r="L240" s="212"/>
      <c r="M240" s="212"/>
      <c r="N240" s="212"/>
    </row>
    <row r="241" ht="23.25" customHeight="1"/>
    <row r="242" ht="21.75" customHeight="1"/>
    <row r="243" ht="16.5" customHeight="1"/>
    <row r="244" ht="29.25" customHeight="1"/>
    <row r="245" ht="24.75" customHeight="1"/>
    <row r="246" ht="33" customHeight="1"/>
    <row r="248" ht="15" customHeight="1"/>
    <row r="249" ht="25.5" customHeight="1"/>
  </sheetData>
  <sheetProtection formatCells="0" formatColumns="0" formatRows="0"/>
  <mergeCells count="26">
    <mergeCell ref="C53:G53"/>
    <mergeCell ref="C98:G98"/>
    <mergeCell ref="C109:G109"/>
    <mergeCell ref="C120:G120"/>
    <mergeCell ref="C198:G198"/>
    <mergeCell ref="C131:G131"/>
    <mergeCell ref="B142:G142"/>
    <mergeCell ref="C143:G143"/>
    <mergeCell ref="C64:G64"/>
    <mergeCell ref="C75:G75"/>
    <mergeCell ref="D199:D200"/>
    <mergeCell ref="C4:E4"/>
    <mergeCell ref="C86:G86"/>
    <mergeCell ref="B97:G97"/>
    <mergeCell ref="C2:F2"/>
    <mergeCell ref="B7:G7"/>
    <mergeCell ref="C8:G8"/>
    <mergeCell ref="B52:G52"/>
    <mergeCell ref="C19:G19"/>
    <mergeCell ref="C30:G30"/>
    <mergeCell ref="C41:G41"/>
    <mergeCell ref="C187:G187"/>
    <mergeCell ref="G199:G200"/>
    <mergeCell ref="C165:G165"/>
    <mergeCell ref="C176:G176"/>
    <mergeCell ref="C154:G154"/>
  </mergeCells>
  <conditionalFormatting sqref="G17">
    <cfRule type="cellIs" dxfId="42" priority="34" operator="notEqual">
      <formula>$G$9</formula>
    </cfRule>
  </conditionalFormatting>
  <conditionalFormatting sqref="G28">
    <cfRule type="cellIs" dxfId="41" priority="33" operator="notEqual">
      <formula>$G$20</formula>
    </cfRule>
  </conditionalFormatting>
  <conditionalFormatting sqref="G39:G40">
    <cfRule type="cellIs" dxfId="40" priority="32" operator="notEqual">
      <formula>$G$31</formula>
    </cfRule>
  </conditionalFormatting>
  <conditionalFormatting sqref="G50">
    <cfRule type="cellIs" dxfId="39" priority="31" operator="notEqual">
      <formula>$G$42</formula>
    </cfRule>
  </conditionalFormatting>
  <conditionalFormatting sqref="G62">
    <cfRule type="cellIs" dxfId="38" priority="30" operator="notEqual">
      <formula>$G$54</formula>
    </cfRule>
  </conditionalFormatting>
  <conditionalFormatting sqref="G73">
    <cfRule type="cellIs" dxfId="37" priority="29" operator="notEqual">
      <formula>$G$65</formula>
    </cfRule>
  </conditionalFormatting>
  <conditionalFormatting sqref="G84">
    <cfRule type="cellIs" dxfId="36" priority="28" operator="notEqual">
      <formula>$G$76</formula>
    </cfRule>
  </conditionalFormatting>
  <conditionalFormatting sqref="G95">
    <cfRule type="cellIs" dxfId="35" priority="27" operator="notEqual">
      <formula>$G$87</formula>
    </cfRule>
  </conditionalFormatting>
  <conditionalFormatting sqref="G107">
    <cfRule type="cellIs" dxfId="34" priority="26" operator="notEqual">
      <formula>$G$99</formula>
    </cfRule>
  </conditionalFormatting>
  <conditionalFormatting sqref="G118">
    <cfRule type="cellIs" dxfId="33" priority="25" operator="notEqual">
      <formula>$G$110</formula>
    </cfRule>
  </conditionalFormatting>
  <conditionalFormatting sqref="G129">
    <cfRule type="cellIs" dxfId="32" priority="24" operator="notEqual">
      <formula>$G$121</formula>
    </cfRule>
  </conditionalFormatting>
  <conditionalFormatting sqref="G140">
    <cfRule type="cellIs" dxfId="31" priority="23" operator="notEqual">
      <formula>$G$132</formula>
    </cfRule>
  </conditionalFormatting>
  <conditionalFormatting sqref="G152">
    <cfRule type="cellIs" dxfId="30" priority="22" operator="notEqual">
      <formula>$G$144</formula>
    </cfRule>
  </conditionalFormatting>
  <conditionalFormatting sqref="G163">
    <cfRule type="cellIs" dxfId="29" priority="21" operator="notEqual">
      <formula>$G$155</formula>
    </cfRule>
  </conditionalFormatting>
  <conditionalFormatting sqref="G174">
    <cfRule type="cellIs" dxfId="28" priority="20" operator="notEqual">
      <formula>$G$155</formula>
    </cfRule>
  </conditionalFormatting>
  <conditionalFormatting sqref="G185">
    <cfRule type="cellIs" dxfId="27" priority="19" operator="notEqual">
      <formula>$G$177</formula>
    </cfRule>
  </conditionalFormatting>
  <conditionalFormatting sqref="G196">
    <cfRule type="cellIs" dxfId="26" priority="18" operator="notEqual">
      <formula>$G$188</formula>
    </cfRule>
  </conditionalFormatting>
  <conditionalFormatting sqref="D17">
    <cfRule type="cellIs" dxfId="25" priority="17" operator="notEqual">
      <formula>$D$9</formula>
    </cfRule>
  </conditionalFormatting>
  <conditionalFormatting sqref="D28">
    <cfRule type="cellIs" dxfId="24" priority="16" operator="notEqual">
      <formula>$D$20</formula>
    </cfRule>
  </conditionalFormatting>
  <conditionalFormatting sqref="D39">
    <cfRule type="cellIs" dxfId="23" priority="15" operator="notEqual">
      <formula>$D$31</formula>
    </cfRule>
  </conditionalFormatting>
  <conditionalFormatting sqref="D50">
    <cfRule type="cellIs" dxfId="22" priority="14" operator="notEqual">
      <formula>$D$42</formula>
    </cfRule>
  </conditionalFormatting>
  <conditionalFormatting sqref="D62">
    <cfRule type="cellIs" dxfId="21" priority="13" operator="notEqual">
      <formula>$D$54</formula>
    </cfRule>
  </conditionalFormatting>
  <conditionalFormatting sqref="D73">
    <cfRule type="cellIs" dxfId="20" priority="12" operator="notEqual">
      <formula>$D$65</formula>
    </cfRule>
  </conditionalFormatting>
  <conditionalFormatting sqref="D84">
    <cfRule type="cellIs" dxfId="19" priority="11" operator="notEqual">
      <formula>$D$76</formula>
    </cfRule>
  </conditionalFormatting>
  <conditionalFormatting sqref="D95">
    <cfRule type="cellIs" dxfId="18" priority="10" operator="notEqual">
      <formula>$D$87</formula>
    </cfRule>
  </conditionalFormatting>
  <conditionalFormatting sqref="D107">
    <cfRule type="cellIs" dxfId="17" priority="9" operator="notEqual">
      <formula>$D$99</formula>
    </cfRule>
  </conditionalFormatting>
  <conditionalFormatting sqref="D118">
    <cfRule type="cellIs" dxfId="16" priority="8" operator="notEqual">
      <formula>$D$110</formula>
    </cfRule>
  </conditionalFormatting>
  <conditionalFormatting sqref="D129">
    <cfRule type="cellIs" dxfId="15" priority="7" operator="notEqual">
      <formula>$D$121</formula>
    </cfRule>
  </conditionalFormatting>
  <conditionalFormatting sqref="D140">
    <cfRule type="cellIs" dxfId="14" priority="6" operator="notEqual">
      <formula>$D$132</formula>
    </cfRule>
  </conditionalFormatting>
  <conditionalFormatting sqref="D152">
    <cfRule type="cellIs" dxfId="13" priority="5" operator="notEqual">
      <formula>$D$144</formula>
    </cfRule>
  </conditionalFormatting>
  <conditionalFormatting sqref="D163">
    <cfRule type="cellIs" dxfId="12" priority="4" operator="notEqual">
      <formula>$D$155</formula>
    </cfRule>
  </conditionalFormatting>
  <conditionalFormatting sqref="D174">
    <cfRule type="cellIs" dxfId="11" priority="3" operator="notEqual">
      <formula>$D$166</formula>
    </cfRule>
  </conditionalFormatting>
  <conditionalFormatting sqref="D185">
    <cfRule type="cellIs" dxfId="10" priority="2" operator="notEqual">
      <formula>$D$177</formula>
    </cfRule>
  </conditionalFormatting>
  <conditionalFormatting sqref="D196">
    <cfRule type="cellIs" dxfId="9" priority="1" operator="notEqual">
      <formula>$D$188</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6 C27 C38 C49 C61 C72 C83 C94 C106 C117 C128 C139 C151 C162 C173 C184 C207 C195"/>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5 C26 C37 C48 C60 C71 C82 C93 C105 C116 C127 C138 C150 C161 C172 C183 C206 C194"/>
    <dataValidation allowBlank="1" showInputMessage="1" showErrorMessage="1" prompt="Services contracted by an organization which follow the normal procurement processes." sqref="C13 C24 C35 C46 C58 C69 C80 C91 C103 C114 C125 C136 C148 C159 C170 C181 C204 C192"/>
    <dataValidation allowBlank="1" showInputMessage="1" showErrorMessage="1" prompt="Includes staff and non-staff travel paid for by the organization directly related to a project." sqref="C14 C25 C36 C47 C59 C70 C81 C92 C104 C115 C126 C137 C149 C160 C171 C182 C205 C193"/>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2 C23 C34 C45 C57 C68 C79 C90 C102 C113 C124 C135 C147 C158 C169 C180 C203 C191"/>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1 C22 C33 C44 C56 C67 C78 C89 C101 C112 C123 C134 C146 C157 C168 C179 C202 C190"/>
    <dataValidation allowBlank="1" showInputMessage="1" showErrorMessage="1" prompt="Includes all related staff and temporary staff costs including base salary, post adjustment and all staff entitlements." sqref="C10 C21 C32 C43 C55 C66 C77 C88 C100 C111 C122 C133 C145 C156 C167 C178 C201 C189"/>
    <dataValidation allowBlank="1" showInputMessage="1" showErrorMessage="1" prompt="Output totals must match the original total from Table 1, and will show as red if not. " sqref="G17"/>
  </dataValidations>
  <pageMargins left="0.7" right="0.7" top="0.75" bottom="0.75" header="0.3" footer="0.3"/>
  <pageSetup scale="74" orientation="landscape" r:id="rId1"/>
  <rowBreaks count="1" manualBreakCount="1">
    <brk id="6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1:B16"/>
  <sheetViews>
    <sheetView showGridLines="0" workbookViewId="0">
      <selection activeCell="E14" sqref="E14"/>
    </sheetView>
  </sheetViews>
  <sheetFormatPr baseColWidth="10" defaultColWidth="8.7109375" defaultRowHeight="15"/>
  <cols>
    <col min="2" max="2" width="73.28515625" customWidth="1"/>
  </cols>
  <sheetData>
    <row r="1" spans="2:2" ht="15.75" thickBot="1"/>
    <row r="2" spans="2:2" ht="15.75" thickBot="1">
      <c r="B2" s="8" t="s">
        <v>3415</v>
      </c>
    </row>
    <row r="3" spans="2:2">
      <c r="B3" s="5"/>
    </row>
    <row r="4" spans="2:2" ht="30.75" customHeight="1">
      <c r="B4" s="6" t="s">
        <v>3416</v>
      </c>
    </row>
    <row r="5" spans="2:2" ht="30.75" customHeight="1">
      <c r="B5" s="6"/>
    </row>
    <row r="6" spans="2:2" ht="60">
      <c r="B6" s="6" t="s">
        <v>3417</v>
      </c>
    </row>
    <row r="7" spans="2:2">
      <c r="B7" s="6"/>
    </row>
    <row r="8" spans="2:2" ht="60">
      <c r="B8" s="6" t="s">
        <v>3418</v>
      </c>
    </row>
    <row r="9" spans="2:2">
      <c r="B9" s="6"/>
    </row>
    <row r="10" spans="2:2" ht="60">
      <c r="B10" s="6" t="s">
        <v>3419</v>
      </c>
    </row>
    <row r="11" spans="2:2">
      <c r="B11" s="6"/>
    </row>
    <row r="12" spans="2:2" ht="30">
      <c r="B12" s="6" t="s">
        <v>3420</v>
      </c>
    </row>
    <row r="13" spans="2:2">
      <c r="B13" s="6"/>
    </row>
    <row r="14" spans="2:2" ht="60">
      <c r="B14" s="6" t="s">
        <v>3421</v>
      </c>
    </row>
    <row r="15" spans="2:2">
      <c r="B15" s="6"/>
    </row>
    <row r="16" spans="2:2" ht="45.75" thickBot="1">
      <c r="B16" s="7" t="s">
        <v>3422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1:D47"/>
  <sheetViews>
    <sheetView showGridLines="0" showZeros="0" zoomScale="80" zoomScaleNormal="80" zoomScaleSheetLayoutView="70" workbookViewId="0"/>
  </sheetViews>
  <sheetFormatPr baseColWidth="10" defaultColWidth="8.7109375" defaultRowHeight="15"/>
  <cols>
    <col min="2" max="2" width="61.7109375" customWidth="1"/>
    <col min="4" max="4" width="17.7109375" customWidth="1"/>
  </cols>
  <sheetData>
    <row r="1" spans="2:4" ht="15.75" thickBot="1"/>
    <row r="2" spans="2:4">
      <c r="B2" s="545" t="s">
        <v>3423</v>
      </c>
      <c r="C2" s="546"/>
      <c r="D2" s="547"/>
    </row>
    <row r="3" spans="2:4" ht="15.75" thickBot="1">
      <c r="B3" s="548"/>
      <c r="C3" s="549"/>
      <c r="D3" s="550"/>
    </row>
    <row r="4" spans="2:4" ht="15.75" thickBot="1"/>
    <row r="5" spans="2:4">
      <c r="B5" s="536" t="s">
        <v>3424</v>
      </c>
      <c r="C5" s="537"/>
      <c r="D5" s="538"/>
    </row>
    <row r="6" spans="2:4" ht="15.75" thickBot="1">
      <c r="B6" s="539"/>
      <c r="C6" s="540"/>
      <c r="D6" s="541"/>
    </row>
    <row r="7" spans="2:4">
      <c r="B7" s="69" t="s">
        <v>3425</v>
      </c>
      <c r="C7" s="534">
        <f>SUM('1) Budget Tables'!D16:F16,'1) Budget Tables'!D26:F26,'1) Budget Tables'!D36:F36,'1) Budget Tables'!D46:F46)</f>
        <v>426182.94392523356</v>
      </c>
      <c r="D7" s="535"/>
    </row>
    <row r="8" spans="2:4">
      <c r="B8" s="69" t="s">
        <v>3426</v>
      </c>
      <c r="C8" s="532">
        <f>SUM(D10:D14)</f>
        <v>0</v>
      </c>
      <c r="D8" s="533"/>
    </row>
    <row r="9" spans="2:4">
      <c r="B9" s="70" t="s">
        <v>3427</v>
      </c>
      <c r="C9" s="71" t="s">
        <v>3428</v>
      </c>
      <c r="D9" s="72" t="s">
        <v>3429</v>
      </c>
    </row>
    <row r="10" spans="2:4" ht="35.1" customHeight="1">
      <c r="B10" s="90"/>
      <c r="C10" s="74"/>
      <c r="D10" s="75">
        <f>$C$7*C10</f>
        <v>0</v>
      </c>
    </row>
    <row r="11" spans="2:4" ht="35.1" customHeight="1">
      <c r="B11" s="90"/>
      <c r="C11" s="74"/>
      <c r="D11" s="75">
        <f>C7*C11</f>
        <v>0</v>
      </c>
    </row>
    <row r="12" spans="2:4" ht="35.1" customHeight="1">
      <c r="B12" s="91"/>
      <c r="C12" s="74"/>
      <c r="D12" s="75">
        <f>C7*C12</f>
        <v>0</v>
      </c>
    </row>
    <row r="13" spans="2:4" ht="35.1" customHeight="1">
      <c r="B13" s="91"/>
      <c r="C13" s="74"/>
      <c r="D13" s="75">
        <f>C7*C13</f>
        <v>0</v>
      </c>
    </row>
    <row r="14" spans="2:4" ht="35.1" customHeight="1" thickBot="1">
      <c r="B14" s="92"/>
      <c r="C14" s="79"/>
      <c r="D14" s="80">
        <f>C7*C14</f>
        <v>0</v>
      </c>
    </row>
    <row r="15" spans="2:4" ht="15.75" thickBot="1"/>
    <row r="16" spans="2:4">
      <c r="B16" s="536" t="s">
        <v>3430</v>
      </c>
      <c r="C16" s="537"/>
      <c r="D16" s="538"/>
    </row>
    <row r="17" spans="2:4" ht="15.75" thickBot="1">
      <c r="B17" s="542"/>
      <c r="C17" s="543"/>
      <c r="D17" s="544"/>
    </row>
    <row r="18" spans="2:4">
      <c r="B18" s="69" t="s">
        <v>3425</v>
      </c>
      <c r="C18" s="534">
        <f>SUM('1) Budget Tables'!D58:F58,'1) Budget Tables'!D81:F81,'1) Budget Tables'!D94:F94,'1) Budget Tables'!D104:F104)</f>
        <v>360000</v>
      </c>
      <c r="D18" s="535"/>
    </row>
    <row r="19" spans="2:4">
      <c r="B19" s="69" t="s">
        <v>3426</v>
      </c>
      <c r="C19" s="532">
        <f>SUM(D21:D25)</f>
        <v>0</v>
      </c>
      <c r="D19" s="533"/>
    </row>
    <row r="20" spans="2:4">
      <c r="B20" s="70" t="s">
        <v>3427</v>
      </c>
      <c r="C20" s="71" t="s">
        <v>3428</v>
      </c>
      <c r="D20" s="72" t="s">
        <v>3429</v>
      </c>
    </row>
    <row r="21" spans="2:4" ht="35.1" customHeight="1">
      <c r="B21" s="73"/>
      <c r="C21" s="74"/>
      <c r="D21" s="75">
        <f>$C$18*C21</f>
        <v>0</v>
      </c>
    </row>
    <row r="22" spans="2:4" ht="35.1" customHeight="1">
      <c r="B22" s="76"/>
      <c r="C22" s="74"/>
      <c r="D22" s="75">
        <f>$C$18*C22</f>
        <v>0</v>
      </c>
    </row>
    <row r="23" spans="2:4" ht="35.1" customHeight="1">
      <c r="B23" s="77"/>
      <c r="C23" s="74"/>
      <c r="D23" s="75">
        <f>$C$18*C23</f>
        <v>0</v>
      </c>
    </row>
    <row r="24" spans="2:4" ht="35.1" customHeight="1">
      <c r="B24" s="77"/>
      <c r="C24" s="74"/>
      <c r="D24" s="75">
        <f>$C$18*C24</f>
        <v>0</v>
      </c>
    </row>
    <row r="25" spans="2:4" ht="35.1" customHeight="1" thickBot="1">
      <c r="B25" s="78"/>
      <c r="C25" s="79"/>
      <c r="D25" s="75">
        <f>$C$18*C25</f>
        <v>0</v>
      </c>
    </row>
    <row r="26" spans="2:4" ht="15.75" thickBot="1"/>
    <row r="27" spans="2:4">
      <c r="B27" s="536" t="s">
        <v>3431</v>
      </c>
      <c r="C27" s="537"/>
      <c r="D27" s="538"/>
    </row>
    <row r="28" spans="2:4" ht="15.75" thickBot="1">
      <c r="B28" s="539"/>
      <c r="C28" s="540"/>
      <c r="D28" s="541"/>
    </row>
    <row r="29" spans="2:4">
      <c r="B29" s="69" t="s">
        <v>3425</v>
      </c>
      <c r="C29" s="534">
        <f>SUM('1) Budget Tables'!D116:F116,'1) Budget Tables'!D126:F126,'1) Budget Tables'!D136:F136,'1) Budget Tables'!D146:F146)</f>
        <v>240000</v>
      </c>
      <c r="D29" s="535"/>
    </row>
    <row r="30" spans="2:4">
      <c r="B30" s="69" t="s">
        <v>3426</v>
      </c>
      <c r="C30" s="532">
        <f>SUM(D32:D36)</f>
        <v>0</v>
      </c>
      <c r="D30" s="533"/>
    </row>
    <row r="31" spans="2:4">
      <c r="B31" s="70" t="s">
        <v>3427</v>
      </c>
      <c r="C31" s="71" t="s">
        <v>3428</v>
      </c>
      <c r="D31" s="72" t="s">
        <v>3429</v>
      </c>
    </row>
    <row r="32" spans="2:4" ht="35.1" customHeight="1">
      <c r="B32" s="73"/>
      <c r="C32" s="74"/>
      <c r="D32" s="75">
        <f>$C$29*C32</f>
        <v>0</v>
      </c>
    </row>
    <row r="33" spans="2:4" ht="35.1" customHeight="1">
      <c r="B33" s="76"/>
      <c r="C33" s="74"/>
      <c r="D33" s="75">
        <f>$C$29*C33</f>
        <v>0</v>
      </c>
    </row>
    <row r="34" spans="2:4" ht="35.1" customHeight="1">
      <c r="B34" s="77"/>
      <c r="C34" s="74"/>
      <c r="D34" s="75">
        <f>$C$29*C34</f>
        <v>0</v>
      </c>
    </row>
    <row r="35" spans="2:4" ht="35.1" customHeight="1">
      <c r="B35" s="77"/>
      <c r="C35" s="74"/>
      <c r="D35" s="75">
        <f>$C$29*C35</f>
        <v>0</v>
      </c>
    </row>
    <row r="36" spans="2:4" ht="35.1" customHeight="1" thickBot="1">
      <c r="B36" s="78"/>
      <c r="C36" s="79"/>
      <c r="D36" s="75">
        <f>$C$29*C36</f>
        <v>0</v>
      </c>
    </row>
    <row r="37" spans="2:4" ht="15.75" thickBot="1"/>
    <row r="38" spans="2:4">
      <c r="B38" s="536" t="s">
        <v>3432</v>
      </c>
      <c r="C38" s="537"/>
      <c r="D38" s="538"/>
    </row>
    <row r="39" spans="2:4" ht="15.75" thickBot="1">
      <c r="B39" s="539"/>
      <c r="C39" s="540"/>
      <c r="D39" s="541"/>
    </row>
    <row r="40" spans="2:4">
      <c r="B40" s="69" t="s">
        <v>3425</v>
      </c>
      <c r="C40" s="534">
        <f>SUM('1) Budget Tables'!D158:F158,'1) Budget Tables'!D168:F168,'1) Budget Tables'!D178:F178,'1) Budget Tables'!D188:F188)</f>
        <v>0</v>
      </c>
      <c r="D40" s="535"/>
    </row>
    <row r="41" spans="2:4">
      <c r="B41" s="69" t="s">
        <v>3426</v>
      </c>
      <c r="C41" s="532">
        <f>SUM(D43:D47)</f>
        <v>0</v>
      </c>
      <c r="D41" s="533"/>
    </row>
    <row r="42" spans="2:4">
      <c r="B42" s="70" t="s">
        <v>3427</v>
      </c>
      <c r="C42" s="71" t="s">
        <v>3428</v>
      </c>
      <c r="D42" s="72" t="s">
        <v>3429</v>
      </c>
    </row>
    <row r="43" spans="2:4" ht="35.1" customHeight="1">
      <c r="B43" s="73"/>
      <c r="C43" s="74"/>
      <c r="D43" s="75">
        <f>$C$40*C43</f>
        <v>0</v>
      </c>
    </row>
    <row r="44" spans="2:4" ht="35.1" customHeight="1">
      <c r="B44" s="76"/>
      <c r="C44" s="74"/>
      <c r="D44" s="75">
        <f>$C$40*C44</f>
        <v>0</v>
      </c>
    </row>
    <row r="45" spans="2:4" ht="35.1" customHeight="1">
      <c r="B45" s="77"/>
      <c r="C45" s="74"/>
      <c r="D45" s="75">
        <f>$C$40*C45</f>
        <v>0</v>
      </c>
    </row>
    <row r="46" spans="2:4" ht="35.1" customHeight="1">
      <c r="B46" s="77"/>
      <c r="C46" s="74"/>
      <c r="D46" s="75">
        <f>$C$40*C46</f>
        <v>0</v>
      </c>
    </row>
    <row r="47" spans="2:4" ht="35.1" customHeight="1" thickBot="1">
      <c r="B47" s="78"/>
      <c r="C47" s="79"/>
      <c r="D47" s="80">
        <f>$C$40*C47</f>
        <v>0</v>
      </c>
    </row>
  </sheetData>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8" priority="2" operator="greaterThan">
      <formula>$C$29</formula>
    </cfRule>
    <cfRule type="cellIs" dxfId="7" priority="5" operator="greaterThan">
      <formula>$C$29</formula>
    </cfRule>
  </conditionalFormatting>
  <conditionalFormatting sqref="C8:D8">
    <cfRule type="cellIs" dxfId="6" priority="4" operator="greaterThan">
      <formula>$C$7</formula>
    </cfRule>
  </conditionalFormatting>
  <conditionalFormatting sqref="C19:D19">
    <cfRule type="cellIs" dxfId="5" priority="3" operator="greaterThan">
      <formula>$C$18</formula>
    </cfRule>
  </conditionalFormatting>
  <conditionalFormatting sqref="C41:D41">
    <cfRule type="cellIs" dxfId="4"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Sheet2!$A$1:$A$170</xm:f>
          </x14:formula1>
          <xm:sqref>B10:B14 B21:B25 B32:B36 B43:B47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G25"/>
  <sheetViews>
    <sheetView showGridLines="0" showZeros="0" zoomScale="80" zoomScaleNormal="80" workbookViewId="0">
      <selection activeCell="G23" sqref="G23"/>
    </sheetView>
  </sheetViews>
  <sheetFormatPr baseColWidth="10" defaultColWidth="8.7109375" defaultRowHeight="15"/>
  <cols>
    <col min="1" max="1" width="12.42578125" style="480" customWidth="1"/>
    <col min="2" max="2" width="20.42578125" customWidth="1"/>
    <col min="3" max="5" width="25.42578125" customWidth="1"/>
    <col min="6" max="6" width="24.42578125" customWidth="1"/>
    <col min="7" max="7" width="18.42578125" customWidth="1"/>
    <col min="8" max="8" width="21.7109375" customWidth="1"/>
    <col min="9" max="10" width="15.7109375" bestFit="1" customWidth="1"/>
    <col min="11" max="11" width="11.28515625" bestFit="1" customWidth="1"/>
  </cols>
  <sheetData>
    <row r="1" spans="1:7" ht="15.75" thickBot="1"/>
    <row r="2" spans="1:7" s="63" customFormat="1" ht="15.75">
      <c r="A2" s="481"/>
      <c r="B2" s="551" t="s">
        <v>3433</v>
      </c>
      <c r="C2" s="552"/>
      <c r="D2" s="552"/>
      <c r="E2" s="552"/>
      <c r="F2" s="553"/>
      <c r="G2" s="230"/>
    </row>
    <row r="3" spans="1:7" s="63" customFormat="1" ht="16.5" thickBot="1">
      <c r="A3" s="481"/>
      <c r="B3" s="554"/>
      <c r="C3" s="555"/>
      <c r="D3" s="555"/>
      <c r="E3" s="555"/>
      <c r="F3" s="556"/>
      <c r="G3" s="230"/>
    </row>
    <row r="4" spans="1:7" s="63" customFormat="1" ht="16.5" thickBot="1">
      <c r="A4" s="481"/>
      <c r="B4" s="230"/>
      <c r="C4" s="230"/>
      <c r="D4" s="230"/>
      <c r="E4" s="230"/>
      <c r="F4" s="230"/>
      <c r="G4" s="230"/>
    </row>
    <row r="5" spans="1:7" s="63" customFormat="1" ht="16.5" thickBot="1">
      <c r="A5" s="481"/>
      <c r="B5" s="529" t="s">
        <v>333</v>
      </c>
      <c r="C5" s="531"/>
      <c r="D5" s="112"/>
      <c r="E5" s="112"/>
      <c r="F5" s="230"/>
      <c r="G5" s="230"/>
    </row>
    <row r="6" spans="1:7" s="63" customFormat="1" ht="15.75">
      <c r="A6" s="481"/>
      <c r="B6" s="60"/>
      <c r="C6" s="557" t="str">
        <f>'1) Budget Tables'!D5</f>
        <v>Recipient Organization</v>
      </c>
      <c r="D6" s="113" t="s">
        <v>3389</v>
      </c>
      <c r="E6" s="45" t="s">
        <v>3390</v>
      </c>
      <c r="F6" s="557" t="s">
        <v>4099</v>
      </c>
      <c r="G6" s="230"/>
    </row>
    <row r="7" spans="1:7" s="63" customFormat="1" ht="15.75">
      <c r="A7" s="481"/>
      <c r="B7" s="60"/>
      <c r="C7" s="505"/>
      <c r="D7" s="114"/>
      <c r="E7" s="40"/>
      <c r="F7" s="505"/>
      <c r="G7" s="230"/>
    </row>
    <row r="8" spans="1:7" s="63" customFormat="1" ht="31.5">
      <c r="A8" s="481">
        <v>1</v>
      </c>
      <c r="B8" s="15" t="s">
        <v>3394</v>
      </c>
      <c r="C8" s="231">
        <f>'2) By Category'!D201</f>
        <v>318997.07392523356</v>
      </c>
      <c r="D8" s="223">
        <f>'2) By Category'!E201</f>
        <v>0</v>
      </c>
      <c r="E8" s="219">
        <f>'2) By Category'!F201</f>
        <v>0</v>
      </c>
      <c r="F8" s="231">
        <f>+SUMIFS('Expenses MPTF'!$D:$D,'Expenses MPTF'!$C:$C,'5) For MPTF Use'!A8)</f>
        <v>139114.57999999999</v>
      </c>
      <c r="G8" s="230"/>
    </row>
    <row r="9" spans="1:7" s="63" customFormat="1" ht="47.25">
      <c r="A9" s="481">
        <v>2</v>
      </c>
      <c r="B9" s="15" t="s">
        <v>3395</v>
      </c>
      <c r="C9" s="231">
        <f>'2) By Category'!D202</f>
        <v>0</v>
      </c>
      <c r="D9" s="223">
        <f>'2) By Category'!E202</f>
        <v>0</v>
      </c>
      <c r="E9" s="219">
        <f>'2) By Category'!F202</f>
        <v>0</v>
      </c>
      <c r="F9" s="231"/>
      <c r="G9" s="230"/>
    </row>
    <row r="10" spans="1:7" s="63" customFormat="1" ht="78.75">
      <c r="A10" s="481">
        <v>3</v>
      </c>
      <c r="B10" s="15" t="s">
        <v>3396</v>
      </c>
      <c r="C10" s="231">
        <f>'2) By Category'!D203</f>
        <v>17936.473999999998</v>
      </c>
      <c r="D10" s="223">
        <f>'2) By Category'!E203</f>
        <v>0</v>
      </c>
      <c r="E10" s="219">
        <f>'2) By Category'!F203</f>
        <v>0</v>
      </c>
      <c r="F10" s="231">
        <f>+SUMIFS('Expenses MPTF'!$D:$D,'Expenses MPTF'!$C:$C,'5) For MPTF Use'!A10)</f>
        <v>16271.179999999989</v>
      </c>
      <c r="G10" s="230"/>
    </row>
    <row r="11" spans="1:7" s="63" customFormat="1" ht="31.5">
      <c r="A11" s="481">
        <v>4</v>
      </c>
      <c r="B11" s="24" t="s">
        <v>3397</v>
      </c>
      <c r="C11" s="231">
        <f>'2) By Category'!D204</f>
        <v>0</v>
      </c>
      <c r="D11" s="223">
        <f>'2) By Category'!E204</f>
        <v>0</v>
      </c>
      <c r="E11" s="219">
        <f>'2) By Category'!F204</f>
        <v>0</v>
      </c>
      <c r="F11" s="231"/>
      <c r="G11" s="230"/>
    </row>
    <row r="12" spans="1:7" s="63" customFormat="1" ht="15.75">
      <c r="A12" s="481">
        <v>5</v>
      </c>
      <c r="B12" s="15" t="s">
        <v>3398</v>
      </c>
      <c r="C12" s="231">
        <f>'2) By Category'!D205</f>
        <v>16713.45</v>
      </c>
      <c r="D12" s="223">
        <f>'2) By Category'!E205</f>
        <v>0</v>
      </c>
      <c r="E12" s="219">
        <f>'2) By Category'!F205</f>
        <v>0</v>
      </c>
      <c r="F12" s="231">
        <f>+SUMIFS('Expenses MPTF'!$D:$D,'Expenses MPTF'!$C:$C,'5) For MPTF Use'!A12)</f>
        <v>23131.110000000015</v>
      </c>
      <c r="G12" s="230"/>
    </row>
    <row r="13" spans="1:7" s="63" customFormat="1" ht="47.25">
      <c r="A13" s="481">
        <v>6</v>
      </c>
      <c r="B13" s="15" t="s">
        <v>3399</v>
      </c>
      <c r="C13" s="231">
        <f>'2) By Category'!D206</f>
        <v>0</v>
      </c>
      <c r="D13" s="223">
        <f>'2) By Category'!E206</f>
        <v>0</v>
      </c>
      <c r="E13" s="219">
        <f>'2) By Category'!F206</f>
        <v>0</v>
      </c>
      <c r="F13" s="231"/>
      <c r="G13" s="230"/>
    </row>
    <row r="14" spans="1:7" s="63" customFormat="1" ht="48" thickBot="1">
      <c r="A14" s="481">
        <v>7</v>
      </c>
      <c r="B14" s="23" t="s">
        <v>3400</v>
      </c>
      <c r="C14" s="232">
        <f>'2) By Category'!D207</f>
        <v>1048221.777</v>
      </c>
      <c r="D14" s="224">
        <f>'2) By Category'!E207</f>
        <v>0</v>
      </c>
      <c r="E14" s="225">
        <f>'2) By Category'!F207</f>
        <v>0</v>
      </c>
      <c r="F14" s="231">
        <v>456290.56000000017</v>
      </c>
      <c r="G14" s="230"/>
    </row>
    <row r="15" spans="1:7" s="63" customFormat="1" ht="30" customHeight="1" thickBot="1">
      <c r="A15" s="481"/>
      <c r="B15" s="233" t="s">
        <v>3434</v>
      </c>
      <c r="C15" s="234">
        <f>SUM(C8:C14)</f>
        <v>1401868.7749252336</v>
      </c>
      <c r="D15" s="106">
        <f>SUM(D8:D14)</f>
        <v>0</v>
      </c>
      <c r="E15" s="61">
        <f>SUM(E8:E14)</f>
        <v>0</v>
      </c>
      <c r="F15" s="234">
        <f>SUM(F8:F14)</f>
        <v>634807.43000000017</v>
      </c>
      <c r="G15" s="235"/>
    </row>
    <row r="16" spans="1:7" s="63" customFormat="1" ht="30" customHeight="1">
      <c r="A16" s="481">
        <v>8</v>
      </c>
      <c r="B16" s="226" t="s">
        <v>3413</v>
      </c>
      <c r="C16" s="236">
        <f>C15*0.07</f>
        <v>98130.814244766356</v>
      </c>
      <c r="D16" s="105"/>
      <c r="E16" s="105"/>
      <c r="F16" s="236">
        <f>+SUMIFS([3]expenses!$D$1:$D$65536,[3]expenses!$C$1:$C$65536,'[3]For MPTF Use'!A16)</f>
        <v>33943.19</v>
      </c>
      <c r="G16" s="230"/>
    </row>
    <row r="17" spans="1:6" s="63" customFormat="1" ht="30" customHeight="1" thickBot="1">
      <c r="A17" s="481"/>
      <c r="B17" s="109" t="s">
        <v>10</v>
      </c>
      <c r="C17" s="144">
        <f>SUM(C15:C16)</f>
        <v>1499999.5891699998</v>
      </c>
      <c r="D17" s="238">
        <f>+C8/C15</f>
        <v>0.22755130838993598</v>
      </c>
      <c r="E17" s="105"/>
      <c r="F17" s="144">
        <f>+F15+F16</f>
        <v>668750.62000000011</v>
      </c>
    </row>
    <row r="18" spans="1:6" s="63" customFormat="1" ht="16.5" thickBot="1">
      <c r="A18" s="481"/>
      <c r="B18" s="230"/>
      <c r="C18" s="230"/>
      <c r="D18" s="230"/>
      <c r="E18" s="230"/>
      <c r="F18" s="230"/>
    </row>
    <row r="19" spans="1:6" s="63" customFormat="1" ht="15.75">
      <c r="A19" s="481"/>
      <c r="B19" s="509" t="s">
        <v>338</v>
      </c>
      <c r="C19" s="510"/>
      <c r="D19" s="510"/>
      <c r="E19" s="510"/>
      <c r="F19" s="512"/>
    </row>
    <row r="20" spans="1:6" ht="15.75">
      <c r="B20" s="21"/>
      <c r="C20" s="502" t="str">
        <f>'1) Budget Tables'!D5</f>
        <v>Recipient Organization</v>
      </c>
      <c r="D20" s="19" t="s">
        <v>3435</v>
      </c>
      <c r="E20" s="19" t="s">
        <v>3436</v>
      </c>
      <c r="F20" s="22" t="s">
        <v>339</v>
      </c>
    </row>
    <row r="21" spans="1:6" ht="15.75">
      <c r="B21" s="21"/>
      <c r="C21" s="503"/>
      <c r="D21" s="19"/>
      <c r="E21" s="19"/>
      <c r="F21" s="22"/>
    </row>
    <row r="22" spans="1:6" ht="23.25" customHeight="1">
      <c r="B22" s="20" t="s">
        <v>340</v>
      </c>
      <c r="C22" s="237">
        <f>'1) Budget Tables'!D215</f>
        <v>524999.85620949999</v>
      </c>
      <c r="D22" s="18">
        <f>'1) Budget Tables'!E215</f>
        <v>0</v>
      </c>
      <c r="E22" s="18">
        <f>'1) Budget Tables'!F215</f>
        <v>0</v>
      </c>
      <c r="F22" s="10">
        <f>'1) Budget Tables'!H215</f>
        <v>0.35</v>
      </c>
    </row>
    <row r="23" spans="1:6" ht="24.75" customHeight="1">
      <c r="B23" s="20" t="s">
        <v>341</v>
      </c>
      <c r="C23" s="237">
        <f>'1) Budget Tables'!D216</f>
        <v>524999.85620949999</v>
      </c>
      <c r="D23" s="18">
        <f>'1) Budget Tables'!E216</f>
        <v>0</v>
      </c>
      <c r="E23" s="18">
        <f>'1) Budget Tables'!F216</f>
        <v>0</v>
      </c>
      <c r="F23" s="10">
        <f>'1) Budget Tables'!H216</f>
        <v>0.35</v>
      </c>
    </row>
    <row r="24" spans="1:6" ht="24.75" customHeight="1">
      <c r="B24" s="20" t="s">
        <v>3437</v>
      </c>
      <c r="C24" s="237">
        <f>'1) Budget Tables'!D217</f>
        <v>449999.876751</v>
      </c>
      <c r="D24" s="18"/>
      <c r="E24" s="18"/>
      <c r="F24" s="10">
        <f>'1) Budget Tables'!H217</f>
        <v>0.3</v>
      </c>
    </row>
    <row r="25" spans="1:6" ht="16.5" thickBot="1">
      <c r="B25" s="11" t="s">
        <v>3414</v>
      </c>
      <c r="C25" s="179">
        <f>'1) Budget Tables'!D218</f>
        <v>1499999.5891700001</v>
      </c>
      <c r="D25" s="128"/>
      <c r="E25" s="128"/>
      <c r="F25" s="129"/>
    </row>
  </sheetData>
  <sheetProtection formatCells="0" formatColumns="0" formatRows="0"/>
  <mergeCells count="6">
    <mergeCell ref="B19:F19"/>
    <mergeCell ref="B2:F3"/>
    <mergeCell ref="B5:C5"/>
    <mergeCell ref="C6:C7"/>
    <mergeCell ref="C20:C21"/>
    <mergeCell ref="F6:F7"/>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8E87DE7-D65B-4E43-8816-A3CBF3DF7635}">
            <xm:f>'1) Budget Tables'!$D$209</xm:f>
            <x14:dxf>
              <font>
                <color rgb="FF9C0006"/>
              </font>
              <fill>
                <patternFill>
                  <bgColor rgb="FFFFC7CE"/>
                </patternFill>
              </fill>
            </x14:dxf>
          </x14:cfRule>
          <xm:sqref>C17</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BF4094DFC25114BA98D8ABEB263519A" ma:contentTypeVersion="16" ma:contentTypeDescription="Crear nuevo documento." ma:contentTypeScope="" ma:versionID="bf727f48a351cff7d2e315054e26e376">
  <xsd:schema xmlns:xsd="http://www.w3.org/2001/XMLSchema" xmlns:xs="http://www.w3.org/2001/XMLSchema" xmlns:p="http://schemas.microsoft.com/office/2006/metadata/properties" xmlns:ns2="8315e492-ce1f-45aa-ab83-d0a1d077d827" xmlns:ns3="5bbe472c-b467-463e-b963-66c0881b33a2" targetNamespace="http://schemas.microsoft.com/office/2006/metadata/properties" ma:root="true" ma:fieldsID="689079946c9bb02e86ea42144335e15a" ns2:_="" ns3:_="">
    <xsd:import namespace="8315e492-ce1f-45aa-ab83-d0a1d077d827"/>
    <xsd:import namespace="5bbe472c-b467-463e-b963-66c0881b33a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15e492-ce1f-45aa-ab83-d0a1d077d8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be472c-b467-463e-b963-66c0881b33a2"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56951aa3-56c9-4a6e-9deb-b32717a9ce09}" ma:internalName="TaxCatchAll" ma:showField="CatchAllData" ma:web="5bbe472c-b467-463e-b963-66c0881b33a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bbe472c-b467-463e-b963-66c0881b33a2" xsi:nil="true"/>
    <lcf76f155ced4ddcb4097134ff3c332f xmlns="8315e492-ce1f-45aa-ab83-d0a1d077d82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8D2AE27-346B-4D4E-BC3D-49023466867A}">
  <ds:schemaRefs>
    <ds:schemaRef ds:uri="http://schemas.microsoft.com/sharepoint/v3/contenttype/forms"/>
  </ds:schemaRefs>
</ds:datastoreItem>
</file>

<file path=customXml/itemProps2.xml><?xml version="1.0" encoding="utf-8"?>
<ds:datastoreItem xmlns:ds="http://schemas.openxmlformats.org/officeDocument/2006/customXml" ds:itemID="{CD72F3F2-BC5D-4354-92F4-413885FBDB6D}"/>
</file>

<file path=customXml/itemProps3.xml><?xml version="1.0" encoding="utf-8"?>
<ds:datastoreItem xmlns:ds="http://schemas.openxmlformats.org/officeDocument/2006/customXml" ds:itemID="{8F654EB7-5DB4-40A6-AEE8-186D72BF95CC}">
  <ds:schemaRefs>
    <ds:schemaRef ds:uri="http://purl.org/dc/dcmitype/"/>
    <ds:schemaRef ds:uri="http://schemas.microsoft.com/office/2006/documentManagement/types"/>
    <ds:schemaRef ds:uri="http://purl.org/dc/elements/1.1/"/>
    <ds:schemaRef ds:uri="http://schemas.openxmlformats.org/package/2006/metadata/core-properties"/>
    <ds:schemaRef ds:uri="http://purl.org/dc/terms/"/>
    <ds:schemaRef ds:uri="http://schemas.microsoft.com/office/2006/metadata/properties"/>
    <ds:schemaRef ds:uri="http://www.w3.org/XML/1998/namespace"/>
    <ds:schemaRef ds:uri="http://schemas.microsoft.com/office/infopath/2007/PartnerControls"/>
    <ds:schemaRef ds:uri="0c747369-06c1-46d5-8991-c2955fe00629"/>
    <ds:schemaRef ds:uri="6a519c99-8b07-4629-936f-f182874eee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Instructions</vt:lpstr>
      <vt:lpstr>1) Budget Tables</vt:lpstr>
      <vt:lpstr>GL NRC</vt:lpstr>
      <vt:lpstr>ACONC </vt:lpstr>
      <vt:lpstr>PACIFISTA</vt:lpstr>
      <vt:lpstr>2) By Category</vt:lpstr>
      <vt:lpstr>3) Explanatory Notes</vt:lpstr>
      <vt:lpstr>4) For PBSO Use</vt:lpstr>
      <vt:lpstr>5) For MPTF Use</vt:lpstr>
      <vt:lpstr>DRAFT</vt:lpstr>
      <vt:lpstr>Expenses MPTF</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Mateo Osorio</cp:lastModifiedBy>
  <cp:revision/>
  <dcterms:created xsi:type="dcterms:W3CDTF">2017-11-15T21:17:43Z</dcterms:created>
  <dcterms:modified xsi:type="dcterms:W3CDTF">2022-06-07T19:44:58Z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0x0101000BF4094DFC25114BA98D8ABEB263519A</vt:lpwstr>
  </property>
  <property fmtid="{D5CDD505-2E9C-101B-9397-08002B2CF9AE}" pid="3" name="MediaServiceImageTags">
    <vt:lpwstr/>
  </property>
</Properties>
</file>