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zebulon.takwa\Documents\PBF Zimbabwe\Final Reports\"/>
    </mc:Choice>
  </mc:AlternateContent>
  <xr:revisionPtr revIDLastSave="0" documentId="8_{754C764D-C383-445A-B63C-3AE9E04C5DDD}" xr6:coauthVersionLast="47" xr6:coauthVersionMax="47" xr10:uidLastSave="{00000000-0000-0000-0000-000000000000}"/>
  <bookViews>
    <workbookView xWindow="-120" yWindow="-120" windowWidth="25440" windowHeight="15390" activeTab="2" xr2:uid="{00000000-000D-0000-FFFF-FFFF00000000}"/>
  </bookViews>
  <sheets>
    <sheet name="Annex D-PBF Budget" sheetId="1" r:id="rId1"/>
    <sheet name="Table 2-Project Budget - UN Cat" sheetId="2" r:id="rId2"/>
    <sheet name="PBF Summarized Financials" sheetId="5" r:id="rId3"/>
    <sheet name="Summary" sheetId="4" r:id="rId4"/>
  </sheets>
  <definedNames>
    <definedName name="_xlnm.Print_Area" localSheetId="0">'Annex D-PBF Budget'!$A$1:$I$54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5" l="1"/>
  <c r="C27" i="5"/>
  <c r="C26" i="5"/>
  <c r="AB11" i="2"/>
  <c r="F6" i="5"/>
  <c r="L15" i="2"/>
  <c r="L16" i="2"/>
  <c r="H19" i="5"/>
  <c r="G19" i="5"/>
  <c r="D15" i="5"/>
  <c r="D16" i="5"/>
  <c r="D17" i="5"/>
  <c r="D18" i="5"/>
  <c r="D19" i="5"/>
  <c r="D20" i="5"/>
  <c r="D14" i="5"/>
  <c r="U15" i="2"/>
  <c r="U16" i="2"/>
  <c r="U17" i="2"/>
  <c r="G15" i="5"/>
  <c r="G16" i="5"/>
  <c r="G17" i="5"/>
  <c r="G18" i="5"/>
  <c r="G20" i="5"/>
  <c r="G14" i="5"/>
  <c r="C29" i="5"/>
  <c r="AE9" i="2"/>
  <c r="AE10" i="2"/>
  <c r="AE11" i="2"/>
  <c r="AE12" i="2"/>
  <c r="AE13" i="2"/>
  <c r="AE14" i="2"/>
  <c r="AE8" i="2"/>
  <c r="AC9" i="2"/>
  <c r="AC10" i="2"/>
  <c r="AC11" i="2"/>
  <c r="AC12" i="2"/>
  <c r="AC13" i="2"/>
  <c r="AC14" i="2"/>
  <c r="L17" i="2"/>
  <c r="AE15" i="2"/>
  <c r="D21" i="5"/>
  <c r="G21" i="5"/>
  <c r="G22" i="5"/>
  <c r="G23" i="5"/>
  <c r="D22" i="5"/>
  <c r="D23" i="5"/>
  <c r="F20" i="5"/>
  <c r="F19" i="5"/>
  <c r="F18" i="5"/>
  <c r="F17" i="5"/>
  <c r="F16" i="5"/>
  <c r="F15" i="5"/>
  <c r="F14" i="5"/>
  <c r="C20" i="5"/>
  <c r="C19" i="5"/>
  <c r="C18" i="5"/>
  <c r="C17" i="5"/>
  <c r="C16" i="5"/>
  <c r="C15" i="5"/>
  <c r="E9" i="5"/>
  <c r="D9" i="5"/>
  <c r="C9" i="5"/>
  <c r="H8" i="5"/>
  <c r="F7" i="5"/>
  <c r="G7" i="5"/>
  <c r="AH9" i="2"/>
  <c r="K15" i="5"/>
  <c r="AH8" i="2"/>
  <c r="K14" i="5"/>
  <c r="F9" i="5"/>
  <c r="H9" i="5"/>
  <c r="H7" i="5"/>
  <c r="F21" i="5"/>
  <c r="F22" i="5"/>
  <c r="H6" i="5"/>
  <c r="G6" i="5"/>
  <c r="AB15" i="2"/>
  <c r="J15" i="5"/>
  <c r="M15" i="5"/>
  <c r="AA10" i="2"/>
  <c r="J16" i="5"/>
  <c r="M16" i="5"/>
  <c r="J17" i="5"/>
  <c r="M17" i="5"/>
  <c r="J18" i="5"/>
  <c r="M18" i="5"/>
  <c r="J19" i="5"/>
  <c r="M19" i="5"/>
  <c r="J20" i="5"/>
  <c r="M20" i="5"/>
  <c r="J14" i="5"/>
  <c r="AA15" i="2"/>
  <c r="J21" i="5"/>
  <c r="J22" i="5"/>
  <c r="J23" i="5"/>
  <c r="M14" i="5"/>
  <c r="M21" i="5"/>
  <c r="M22" i="5"/>
  <c r="M23" i="5"/>
  <c r="AB16" i="2"/>
  <c r="AB17" i="2"/>
  <c r="G9" i="5"/>
  <c r="F23" i="5"/>
  <c r="AH14" i="2"/>
  <c r="K20" i="5"/>
  <c r="AH13" i="2"/>
  <c r="K19" i="5"/>
  <c r="AH12" i="2"/>
  <c r="K18" i="5"/>
  <c r="AH11" i="2"/>
  <c r="K17" i="5"/>
  <c r="AH10" i="2"/>
  <c r="K16" i="5"/>
  <c r="S15" i="2"/>
  <c r="R15" i="2"/>
  <c r="J15" i="2"/>
  <c r="J16" i="2"/>
  <c r="J17" i="2"/>
  <c r="AH17" i="2"/>
  <c r="AA16" i="2"/>
  <c r="AA17" i="2"/>
  <c r="K21" i="5"/>
  <c r="K22" i="5"/>
  <c r="K23" i="5"/>
  <c r="AH15" i="2"/>
  <c r="AH16" i="2"/>
  <c r="S16" i="2"/>
  <c r="S17" i="2"/>
  <c r="R16" i="2"/>
  <c r="R17" i="2"/>
  <c r="I15" i="2"/>
  <c r="I16" i="2"/>
  <c r="I17" i="2"/>
  <c r="AF10" i="2"/>
  <c r="H16" i="5"/>
  <c r="O15" i="2"/>
  <c r="X15" i="2"/>
  <c r="X16" i="2"/>
  <c r="Z15" i="2"/>
  <c r="AF9" i="2"/>
  <c r="AF11" i="2"/>
  <c r="AF12" i="2"/>
  <c r="AF13" i="2"/>
  <c r="AF14" i="2"/>
  <c r="AF8" i="2"/>
  <c r="H20" i="5"/>
  <c r="H18" i="5"/>
  <c r="H17" i="5"/>
  <c r="H15" i="5"/>
  <c r="H14" i="5"/>
  <c r="X17" i="2"/>
  <c r="AD8" i="2"/>
  <c r="E14" i="5"/>
  <c r="AC8" i="2"/>
  <c r="C14" i="5"/>
  <c r="C21" i="5"/>
  <c r="C22" i="5"/>
  <c r="C23" i="5"/>
  <c r="Y15" i="2"/>
  <c r="Y16" i="2"/>
  <c r="Y17" i="2"/>
  <c r="W15" i="2"/>
  <c r="AJ8" i="2"/>
  <c r="H21" i="5"/>
  <c r="H22" i="5"/>
  <c r="H23" i="5"/>
  <c r="N14" i="5"/>
  <c r="P15" i="2"/>
  <c r="O16" i="2"/>
  <c r="O17" i="2"/>
  <c r="F15" i="2"/>
  <c r="F16" i="2"/>
  <c r="F17" i="2"/>
  <c r="P16" i="2"/>
  <c r="P17" i="2"/>
  <c r="G15" i="2"/>
  <c r="G16" i="2"/>
  <c r="AF15" i="2"/>
  <c r="M15" i="2"/>
  <c r="M16" i="2"/>
  <c r="AF16" i="2"/>
  <c r="M17" i="2"/>
  <c r="AF17" i="2"/>
  <c r="C15" i="2"/>
  <c r="V15" i="2"/>
  <c r="V16" i="2"/>
  <c r="V17" i="2"/>
  <c r="C16" i="2"/>
  <c r="AD9" i="2"/>
  <c r="AD10" i="2"/>
  <c r="AD11" i="2"/>
  <c r="AD12" i="2"/>
  <c r="AD13" i="2"/>
  <c r="AD14" i="2"/>
  <c r="E20" i="5"/>
  <c r="N20" i="5"/>
  <c r="AJ14" i="2"/>
  <c r="E18" i="5"/>
  <c r="AJ12" i="2"/>
  <c r="E17" i="5"/>
  <c r="N17" i="5"/>
  <c r="AJ11" i="2"/>
  <c r="E15" i="5"/>
  <c r="AJ9" i="2"/>
  <c r="E19" i="5"/>
  <c r="AJ13" i="2"/>
  <c r="E16" i="5"/>
  <c r="N16" i="5"/>
  <c r="AJ10" i="2"/>
  <c r="C17" i="2"/>
  <c r="AD15" i="2"/>
  <c r="AJ15" i="2"/>
  <c r="D15" i="2"/>
  <c r="D16" i="2"/>
  <c r="AJ16" i="2"/>
  <c r="AJ17" i="2"/>
  <c r="N18" i="5"/>
  <c r="E21" i="5"/>
  <c r="N15" i="5"/>
  <c r="N19" i="5"/>
  <c r="AD16" i="2"/>
  <c r="D17" i="2"/>
  <c r="N21" i="5"/>
  <c r="N22" i="5"/>
  <c r="N23" i="5"/>
  <c r="E22" i="5"/>
  <c r="E23" i="5"/>
  <c r="AD17" i="2"/>
  <c r="AG14" i="2"/>
  <c r="I20" i="5"/>
  <c r="L20" i="5"/>
  <c r="AG13" i="2"/>
  <c r="I19" i="5"/>
  <c r="L19" i="5"/>
  <c r="AG12" i="2"/>
  <c r="I18" i="5"/>
  <c r="L18" i="5"/>
  <c r="AG11" i="2"/>
  <c r="I17" i="5"/>
  <c r="L17" i="5"/>
  <c r="AG10" i="2"/>
  <c r="I16" i="5"/>
  <c r="L16" i="5"/>
  <c r="AG9" i="2"/>
  <c r="I15" i="5"/>
  <c r="L15" i="5"/>
  <c r="AG8" i="2"/>
  <c r="T15" i="2"/>
  <c r="T16" i="2"/>
  <c r="T17" i="2"/>
  <c r="Q15" i="2"/>
  <c r="Q16" i="2"/>
  <c r="Q17" i="2"/>
  <c r="N15" i="2"/>
  <c r="K15" i="2"/>
  <c r="H15" i="2"/>
  <c r="E15" i="2"/>
  <c r="B15" i="2"/>
  <c r="G17" i="2"/>
  <c r="E16" i="2"/>
  <c r="E17" i="2"/>
  <c r="AI8" i="2"/>
  <c r="I14" i="5"/>
  <c r="AC15" i="2"/>
  <c r="H16" i="2"/>
  <c r="H17" i="2"/>
  <c r="AG15" i="2"/>
  <c r="AG16" i="2"/>
  <c r="AI12" i="2"/>
  <c r="AI9" i="2"/>
  <c r="AI13" i="2"/>
  <c r="AI10" i="2"/>
  <c r="AI14" i="2"/>
  <c r="AI11" i="2"/>
  <c r="K16" i="2"/>
  <c r="W16" i="2"/>
  <c r="W17" i="2"/>
  <c r="AE16" i="2"/>
  <c r="AE17" i="2"/>
  <c r="B16" i="2"/>
  <c r="B17" i="2"/>
  <c r="N16" i="2"/>
  <c r="N17" i="2"/>
  <c r="Z16" i="2"/>
  <c r="A34" i="4"/>
  <c r="B34" i="4"/>
  <c r="I21" i="5"/>
  <c r="I22" i="5"/>
  <c r="I23" i="5"/>
  <c r="L14" i="5"/>
  <c r="L21" i="5"/>
  <c r="L22" i="5"/>
  <c r="L23" i="5"/>
  <c r="K17" i="2"/>
  <c r="AC16" i="2"/>
  <c r="AI15" i="2"/>
  <c r="AI16" i="2"/>
  <c r="Z17" i="2"/>
  <c r="AG17" i="2"/>
  <c r="C33" i="4"/>
  <c r="C32" i="4"/>
  <c r="C31" i="4"/>
  <c r="B26" i="4"/>
  <c r="B25" i="4"/>
  <c r="B24" i="4"/>
  <c r="B27" i="4"/>
  <c r="B23" i="4"/>
  <c r="B19" i="4"/>
  <c r="B6" i="4"/>
  <c r="B10" i="4"/>
  <c r="B12" i="4"/>
  <c r="AC17" i="2"/>
  <c r="AI17" i="2"/>
  <c r="C34" i="4"/>
  <c r="D41" i="1"/>
  <c r="E41" i="1"/>
  <c r="F41" i="1"/>
  <c r="D28" i="1"/>
  <c r="E28" i="1"/>
  <c r="F28" i="1"/>
  <c r="G28" i="1"/>
  <c r="D17" i="1"/>
  <c r="E17" i="1"/>
  <c r="F17" i="1"/>
  <c r="F42" i="1"/>
  <c r="D42" i="1"/>
  <c r="E42" i="1"/>
  <c r="H48" i="1"/>
  <c r="H50" i="1"/>
  <c r="H51" i="1"/>
  <c r="H52" i="1"/>
  <c r="G48" i="1"/>
  <c r="G50" i="1"/>
  <c r="G51" i="1"/>
  <c r="G52" i="1"/>
  <c r="D44" i="1"/>
  <c r="C44" i="1"/>
  <c r="C41" i="1"/>
  <c r="D43" i="1"/>
  <c r="D48" i="1"/>
  <c r="D50" i="1"/>
  <c r="D51" i="1"/>
  <c r="D52" i="1"/>
  <c r="D53" i="1"/>
  <c r="C43" i="1"/>
  <c r="C45" i="1"/>
  <c r="E45" i="1"/>
  <c r="E48" i="1"/>
  <c r="C46" i="1"/>
  <c r="F46" i="1"/>
  <c r="C47" i="1"/>
  <c r="F47" i="1"/>
  <c r="F48" i="1"/>
  <c r="C48" i="1"/>
  <c r="E50" i="1"/>
  <c r="E51" i="1"/>
  <c r="E52" i="1"/>
  <c r="E53" i="1"/>
  <c r="F50" i="1"/>
  <c r="F51" i="1"/>
  <c r="F52" i="1"/>
  <c r="F53" i="1"/>
  <c r="C28" i="1"/>
  <c r="C17" i="1"/>
  <c r="C42" i="1"/>
  <c r="C50" i="1"/>
  <c r="C51" i="1"/>
  <c r="C52" i="1"/>
  <c r="C53" i="1"/>
</calcChain>
</file>

<file path=xl/sharedStrings.xml><?xml version="1.0" encoding="utf-8"?>
<sst xmlns="http://schemas.openxmlformats.org/spreadsheetml/2006/main" count="431" uniqueCount="184">
  <si>
    <t>Annex D - PBF project budget</t>
  </si>
  <si>
    <t>Note: If this is a budget revision, insert extra columns to show budget changes.</t>
  </si>
  <si>
    <t>Table 1 - PBF project budget by Outcome, output and activity</t>
  </si>
  <si>
    <t>Outcome/ Output number</t>
  </si>
  <si>
    <t>Outcome/ output/ activity formulation:</t>
  </si>
  <si>
    <t>Budget at per activity at Output Level</t>
  </si>
  <si>
    <t>Budget by recipient organisation in USD - UNDP</t>
  </si>
  <si>
    <t>Budget by recipient organisation in USD - UN Women</t>
  </si>
  <si>
    <t>Budget by recipient organisation in  USD - UNICEF</t>
  </si>
  <si>
    <t>Percent of budget for each output reserved for direct action on gender eqaulity (if any):</t>
  </si>
  <si>
    <t>Level of expenditure/ commitments in USD (to provide at time of project progress reporting):</t>
  </si>
  <si>
    <t>Any remarks (e.g. on types of inputs provided or budget justification, for example if high TA or travel costs)</t>
  </si>
  <si>
    <t xml:space="preserve">OUTCOME 1: Improved national capacities for dialogue, consensus-building and reconciliation, with participation marginalized and at-risk groups </t>
  </si>
  <si>
    <t>Output 1:</t>
  </si>
  <si>
    <t>Meaningful citizen engagement on the monitoring and review of the implementation of the TSP</t>
  </si>
  <si>
    <t>Training targeted state entities with planning, service delivery and oversight mandates in collaborative leadership, Dialogue facilitation, participatory planning, gender and conflict sensitive development, strategic foresight, risk assessment, scenario planning with emphasis on promoting women’s leadership and participation</t>
  </si>
  <si>
    <t>Technical Support, Consultancy Services, Workshop Costs, DSA,Travel Costs, Materials</t>
  </si>
  <si>
    <t>Support key state entities to develop strategies for engaging with citizens in the process of implementing specific TSP reform areas</t>
  </si>
  <si>
    <t>Technical Support, Training Costs, Materials, Consultancy Services, Printing</t>
  </si>
  <si>
    <t>Support CSOs to convene outreach campaigns to raise awareness among citizens on the TSP and convene feedback sessions with the Government on emerging issues</t>
  </si>
  <si>
    <t>Technical Support, Grants, Travel, DSA</t>
  </si>
  <si>
    <t>Convene quarterly multi-stakeholder consensus building forums in selected provinces (5) and District Level (in the 5 provinces) to assess and review progress made in the implementation of each of the 7 thematic reform areas indentified in the TSP.</t>
  </si>
  <si>
    <t>Travel, Consultancy Services, Workshop Costs, DSA, Materials</t>
  </si>
  <si>
    <t>Convene monthly national TSP Technical Committee Review Meetings to consolidate issues emerging from the Provincial level engagements (chaired by Ministry of Finance and responsible line ministries)</t>
  </si>
  <si>
    <t>Technical Support, Consultancy Services, Workshop Costs, DSA, Travel Costs, Materials</t>
  </si>
  <si>
    <t>Convene 2 national level, high-level quarterly multi-stakeholder meetings to review progress and identify strategies for addressing bottlenecks in the implementation of each of the 7 thematic reform areas indentified in the TSP.</t>
  </si>
  <si>
    <t>Consultancy Services, Workshop Costs, DSA, Travel Costs, Materials</t>
  </si>
  <si>
    <t>Documentation and periodic  dissemination of key outcomes to the public through multi-media channels</t>
  </si>
  <si>
    <t>Materials, Consultancy Services, Printing Costs, Communication Costs</t>
  </si>
  <si>
    <t>Total Budget: Output 1</t>
  </si>
  <si>
    <t>Output 2:</t>
  </si>
  <si>
    <t>Marginalized and at risk-communities access social protection service and dispute resolution services</t>
  </si>
  <si>
    <t>Conduct an assessment of existing conflict prevention initiatives, (including governance, delivery systems and targeting of safety nets and their contribution to peacebuilding) among key sectors at national and sub-national levels</t>
  </si>
  <si>
    <t>Technical Services, Consultancy Services, Travel, DSA, Workshop Costs, Materials</t>
  </si>
  <si>
    <t xml:space="preserve">Develop a capacity enhancement plan to be presented to key stakeholders including Government and development partners </t>
  </si>
  <si>
    <t>Technical Support, Materials, Consultancy Services, Printing</t>
  </si>
  <si>
    <t>Develop a handbook and manual for policy makers and practitioners on how to deliver development services in a gender and conflict-sensitive manner</t>
  </si>
  <si>
    <t>Materials, Consultancy Services, Printing Costs, Workshop Costs, DSA</t>
  </si>
  <si>
    <t xml:space="preserve">Train and support a network of facilitators to assist stakeholders in collaboratively finding peaceful solutions to conflictual situations - including promoting gender and conflict-sensitive development practices; </t>
  </si>
  <si>
    <t>Workshop Costs, Travel Costs, DSA, Consultancy Services, Materials</t>
  </si>
  <si>
    <t>Develop capacities of relevant academic and training institutions to integrate conflict transformation skills and commission relevant policy-relevant research and analysis to support conflict prevention and protection efforts</t>
  </si>
  <si>
    <t>Technical Services, Consultancy Services, Grant</t>
  </si>
  <si>
    <t>Provide a platform for young male and female University students to apply acquired skills in conflict transformation, peacebuilding and social protection through practical placement opportunities</t>
  </si>
  <si>
    <t>Technical Services, Consultancy Services, small Grants</t>
  </si>
  <si>
    <t>Convene quarterly social protection sector coordination meetings to assess progress made in ensuring gender and conflict-sensitive delivery of services to at-risk communities</t>
  </si>
  <si>
    <t>Travel Costs, Consultancy Services, DSA, Materials, Workshop Costs</t>
  </si>
  <si>
    <t xml:space="preserve">Develop and operationalise an integrated mechanism for early detection of areas of potential conflicts and disputes as a basis for informing appropriate prevention measures </t>
  </si>
  <si>
    <t xml:space="preserve">Technical Support, Consultancy Services, Travel Costs, DSA, Workshop Costs, Materials </t>
  </si>
  <si>
    <t>Support women’s and Youth organizations in rural and peri-urban areas to form networks as accountability platforms for promotion of peace in key social, economic and political processes</t>
  </si>
  <si>
    <t>Total Budget: Output 2</t>
  </si>
  <si>
    <t>Output 3:</t>
  </si>
  <si>
    <t>NPRC has in partnership with State institutions, CSOs, FBOs, Women and Youth Organisations designed and initiated the implementation of its 5-year strategic plan</t>
  </si>
  <si>
    <t>Provide support towards enhancing institutional and human capacities of the NPRC Commissioners, Secretariat, Key Government Ministries, CSOs and FBOs including the promotion of regional exchanges of knowledge and experience</t>
  </si>
  <si>
    <t>Equipment, Vehicles, Training, DSA, Consultancy Services, Technical Support</t>
  </si>
  <si>
    <t>Develop a public engagement, communication strategy to guide NPRC's outreach and stakeholder engagement processes</t>
  </si>
  <si>
    <t>Technical Support, Consultancy Services, Workshop Costs, DSA, Printing, Materials</t>
  </si>
  <si>
    <t>Convene public outreach campaigns, one in pilot districts (those significantly affected by historical conficts) toincrease awareness by citizens and promote ownership of the NPRC Strategic priorities</t>
  </si>
  <si>
    <t>Convene high-level confidence building sessions with key state institutions on the NPRC Strategic Plan</t>
  </si>
  <si>
    <t>Consultancy Costs, Travel Costs, DSA, Workshop Costs, Materials</t>
  </si>
  <si>
    <t>Support the development of an NPRC Operational Plan and Stakeholder engagement procedures as an outcome of the outreach and consensus building sessions</t>
  </si>
  <si>
    <t>Technical support, Workshop Costs, DSA, Printing, Materials, Travel</t>
  </si>
  <si>
    <t>Induction and orientation of multi-stakeholder national, provincial and distric peace and reconcilian committees</t>
  </si>
  <si>
    <t xml:space="preserve">Technical Support, Workshop Costs, DSA, Printing, Materials, Travel </t>
  </si>
  <si>
    <t>Design and test run of national truth telling programme as a baseline for initiating a national healing proces as per Output 1.1.1 of the NPRC Strategic Plan</t>
  </si>
  <si>
    <t xml:space="preserve">Technical Support, Workshop Costs, DSA, Printing, Materials, Travel Costs </t>
  </si>
  <si>
    <t>Provide seed funding to the Government and NPRC to kickstart healing and reconciliation initatives as per the NPRC's Operational plan including the truth telling programme</t>
  </si>
  <si>
    <t>Technical Support; Small Grants, Travel Costs, DSA, Materials</t>
  </si>
  <si>
    <t>Convene quarterly National and Provincial level peace and reconciliation committee meetings co-chaired by the NPRC and Provincial State Ministers to address issues emerging from district level consultations</t>
  </si>
  <si>
    <t>Technical Support, Travel Costs, Consultancy Services, DSA, Materials, Workshop Costs</t>
  </si>
  <si>
    <t>Support to Zimbabwe Human Rights Commission; Gender Commission to initiate strategies in accordance to their mandates that contribute to promotion of peace in the country</t>
  </si>
  <si>
    <t>Support CSOs, FBOs, Youth Organisations to implement community-based peacebuilding programmes and contribute to a conducive environment for reconciliation in communities</t>
  </si>
  <si>
    <t>Technical Support, Travel, Consultancy Services, Small Grants</t>
  </si>
  <si>
    <t>Total Budget: Output 3</t>
  </si>
  <si>
    <t xml:space="preserve">Grand Total (Excluding Personnel Costs) </t>
  </si>
  <si>
    <t>Project personnel costs if not included in activities above</t>
  </si>
  <si>
    <t>Peacebuilding Officer (National UNV) (100%)</t>
  </si>
  <si>
    <t>Risk Analyst (Int'l UNV) (100%)</t>
  </si>
  <si>
    <t>UN Women Gender, Peace and Security Specialist (NOC) (10%)</t>
  </si>
  <si>
    <t>UNICEF Children Protection Specialist (NOB) 10%</t>
  </si>
  <si>
    <t>WFP Programmes and Policy Officer (NOB) 10%</t>
  </si>
  <si>
    <t>Sub-total personnel costs</t>
  </si>
  <si>
    <t>Project operational costs if not included in activities above</t>
  </si>
  <si>
    <t>Project M&amp;E budget including End of Project Evaluation 7%</t>
  </si>
  <si>
    <t>SUB TOTAL PROJECT BUDGET</t>
  </si>
  <si>
    <t>Indirect support costs (7%):</t>
  </si>
  <si>
    <t>TOTAL PROJECT BUDGET:</t>
  </si>
  <si>
    <t xml:space="preserve"> </t>
  </si>
  <si>
    <t>Table 2 - PBF project budget by UN cost category</t>
  </si>
  <si>
    <t>CATEGORIES</t>
  </si>
  <si>
    <t>Amount Recipient  Agency UNDP</t>
  </si>
  <si>
    <t xml:space="preserve">Amount Recipient  UN Women </t>
  </si>
  <si>
    <t>Amount Recipient  UNICEF</t>
  </si>
  <si>
    <t>Total Tranche 1</t>
  </si>
  <si>
    <t>Total Tranche 1 Exp</t>
  </si>
  <si>
    <t>Total Tranche 2</t>
  </si>
  <si>
    <t>Tranch 2 Exp</t>
  </si>
  <si>
    <t>Total Tranche 3</t>
  </si>
  <si>
    <t>Tranch 3 Exp</t>
  </si>
  <si>
    <t>PROJECT TOTAL</t>
  </si>
  <si>
    <t>Tranche 1 (30%)</t>
  </si>
  <si>
    <t>Tranche 1 Budget Changes</t>
  </si>
  <si>
    <t>Tranche 1 Exp</t>
  </si>
  <si>
    <t>Tranche 2 (30%)</t>
  </si>
  <si>
    <t>Tranch 2 Budget Changes</t>
  </si>
  <si>
    <t>Tranche 2  Exp.</t>
  </si>
  <si>
    <t>Tranche 3 (40%)</t>
  </si>
  <si>
    <t>Tranch 3 Budget Changes</t>
  </si>
  <si>
    <t xml:space="preserve">Tranche 3  Exp. </t>
  </si>
  <si>
    <t>Tranche 2 Budget Change</t>
  </si>
  <si>
    <t>Tranche 3 Budget Change</t>
  </si>
  <si>
    <t>Tranche 3 Exp</t>
  </si>
  <si>
    <t>1. Staff and other personnel</t>
  </si>
  <si>
    <t>2. Supplies, Commodities, Materials</t>
  </si>
  <si>
    <t>3. Equipment, Vehicles, and Furniture (including Depreciation)</t>
  </si>
  <si>
    <t>4. Contractual services</t>
  </si>
  <si>
    <t>5.Travel (includes DSA &amp; Workshops)</t>
  </si>
  <si>
    <t>6. Transfers and Grants to Counterparts</t>
  </si>
  <si>
    <t>7. General Operating and other Direct Costs (incl. M&amp;E)</t>
  </si>
  <si>
    <t>Sub-Total Project Costs</t>
  </si>
  <si>
    <t>8. Indirect Support Costs (must be 7%)</t>
  </si>
  <si>
    <t>TOTAL</t>
  </si>
  <si>
    <t>Total</t>
  </si>
  <si>
    <t xml:space="preserve">  </t>
  </si>
  <si>
    <t>Budget Summary</t>
  </si>
  <si>
    <t>Total Programme Output 1</t>
  </si>
  <si>
    <t>Total Programme Output 2</t>
  </si>
  <si>
    <t>Total Programme Output 3</t>
  </si>
  <si>
    <t>Total Programme Budget (Output 1+2+3)</t>
  </si>
  <si>
    <t xml:space="preserve">Project Personnel </t>
  </si>
  <si>
    <t>Project General Operation Cost</t>
  </si>
  <si>
    <t>Monitoring and Evaluation Cost</t>
  </si>
  <si>
    <t>SUB-TOTAL PROJECT BUDGET</t>
  </si>
  <si>
    <t>Indirect support costs (7%)</t>
  </si>
  <si>
    <t>TOTAL PROJECT BUDGET</t>
  </si>
  <si>
    <t>Programme Allocation per UN Agency</t>
  </si>
  <si>
    <t>UN Agency</t>
  </si>
  <si>
    <t>Allocation</t>
  </si>
  <si>
    <t xml:space="preserve">UNDP </t>
  </si>
  <si>
    <t xml:space="preserve">UNWOMEN </t>
  </si>
  <si>
    <t>UNICEF</t>
  </si>
  <si>
    <t xml:space="preserve">Total Grant - Programmable amount </t>
  </si>
  <si>
    <t>UNDP GMS</t>
  </si>
  <si>
    <t>UNWOMEN GMS</t>
  </si>
  <si>
    <t xml:space="preserve">UNICEF GMS </t>
  </si>
  <si>
    <t xml:space="preserve">TOTAL GMS </t>
  </si>
  <si>
    <t>UNDP (including Staff &amp;GMS)</t>
  </si>
  <si>
    <t>UNWOMEN (including Staff &amp; GMS)</t>
  </si>
  <si>
    <t>UNICEF (including Staff &amp; GMS)</t>
  </si>
  <si>
    <t>TOTAL MPTFO</t>
  </si>
  <si>
    <t>Gender Contribution</t>
  </si>
  <si>
    <t>Total output</t>
  </si>
  <si>
    <t>Amount (USD)</t>
  </si>
  <si>
    <t>% Contribution to Gender</t>
  </si>
  <si>
    <t>Total Project Exp</t>
  </si>
  <si>
    <t xml:space="preserve">Tranche 2 Exp. </t>
  </si>
  <si>
    <t>PBF SUMMARISED FINANCIALS</t>
  </si>
  <si>
    <t>Budget</t>
  </si>
  <si>
    <t>Exp.</t>
  </si>
  <si>
    <t>Commitments</t>
  </si>
  <si>
    <t>Total Exp Incl Commitments</t>
  </si>
  <si>
    <t>Balance</t>
  </si>
  <si>
    <t>Delivery %</t>
  </si>
  <si>
    <t>UNDP</t>
  </si>
  <si>
    <t>UNWomen</t>
  </si>
  <si>
    <t>Grand Totals</t>
  </si>
  <si>
    <t xml:space="preserve">    Total       Tranche 1</t>
  </si>
  <si>
    <t>Total    Tranche 1        Exp.</t>
  </si>
  <si>
    <t xml:space="preserve">      Total    Tranche 2</t>
  </si>
  <si>
    <t>Total         Tranche 2 Exp</t>
  </si>
  <si>
    <t>Total Tranche 3Exp</t>
  </si>
  <si>
    <t>Project Total Budget</t>
  </si>
  <si>
    <t>Project Total Exp.</t>
  </si>
  <si>
    <t xml:space="preserve">Total Commitments </t>
  </si>
  <si>
    <t>Total Tranche 1 Budget change</t>
  </si>
  <si>
    <t>Total   Tranche 2 Budget change</t>
  </si>
  <si>
    <t>Total      Tranche 3  Budget   change</t>
  </si>
  <si>
    <t>Total      Tranches 1, 2 &amp; 3  Budget   change</t>
  </si>
  <si>
    <t>Tranche 1 Budget Change</t>
  </si>
  <si>
    <t xml:space="preserve">Tranche 2 Exp.   </t>
  </si>
  <si>
    <t>PBF Project Draft Financial Report: Country - Zimbabwe</t>
  </si>
  <si>
    <t>Project Title:  Building Trust and Confidence in Zimbabwe's Transition</t>
  </si>
  <si>
    <t>Project Number from MPTF-O Gateway: 00114706</t>
  </si>
  <si>
    <t>Unspent Balance</t>
  </si>
  <si>
    <r>
      <rPr>
        <b/>
        <i/>
        <u/>
        <sz val="11"/>
        <color theme="1"/>
        <rFont val="Calibri"/>
        <family val="2"/>
        <scheme val="minor"/>
      </rPr>
      <t>Note</t>
    </r>
    <r>
      <rPr>
        <b/>
        <i/>
        <sz val="11"/>
        <color theme="1"/>
        <rFont val="Calibri"/>
        <family val="2"/>
        <scheme val="minor"/>
      </rPr>
      <t xml:space="preserve">:   The unspent balance of $146,521.87 (on UNDP) and the Funding Resource Overview ($146,518) differ by $3.87 due to rounding off on some figures.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</si>
</sst>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409]#,##0_ ;\-[$$-409]#,##0\ "/>
    <numFmt numFmtId="165" formatCode="_-* #,##0_-;\-* #,##0_-;_-* &quot;-&quot;??_-;_-@_-"/>
    <numFmt numFmtId="166" formatCode="[$$-409]#,##0.00_ ;\-[$$-409]#,##0.00\ "/>
    <numFmt numFmtId="167" formatCode="0.0"/>
    <numFmt numFmtId="168" formatCode="#,##0.0"/>
    <numFmt numFmtId="169" formatCode="#,##0.00000000000"/>
    <numFmt numFmtId="170" formatCode="&quot;US$&quot;#,##0.00"/>
    <numFmt numFmtId="171" formatCode="#,##0.000000000000"/>
  </numFmts>
  <fonts count="17"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0"/>
      <color rgb="FF000000"/>
      <name val="Arial"/>
      <family val="2"/>
    </font>
    <font>
      <sz val="11"/>
      <color theme="1"/>
      <name val="Calibri"/>
      <family val="2"/>
      <scheme val="minor"/>
    </font>
    <font>
      <sz val="11"/>
      <color rgb="FFFF0000"/>
      <name val="Calibri"/>
      <family val="2"/>
      <scheme val="minor"/>
    </font>
    <font>
      <sz val="11"/>
      <color rgb="FF0070C0"/>
      <name val="Calibri"/>
      <family val="2"/>
      <scheme val="minor"/>
    </font>
    <font>
      <sz val="11"/>
      <color rgb="FFC00000"/>
      <name val="Calibri"/>
      <family val="2"/>
      <scheme val="minor"/>
    </font>
    <font>
      <b/>
      <i/>
      <sz val="11"/>
      <color theme="1"/>
      <name val="Calibri"/>
      <family val="2"/>
      <scheme val="minor"/>
    </font>
    <font>
      <b/>
      <i/>
      <u/>
      <sz val="11"/>
      <color theme="1"/>
      <name val="Calibri"/>
      <family val="2"/>
      <scheme val="minor"/>
    </font>
    <font>
      <sz val="11"/>
      <color rgb="FF7030A0"/>
      <name val="Calibri"/>
      <family val="2"/>
      <scheme val="minor"/>
    </font>
    <font>
      <b/>
      <sz val="8"/>
      <color theme="1"/>
      <name val="Calibri"/>
      <family val="2"/>
      <scheme val="minor"/>
    </font>
    <font>
      <sz val="8"/>
      <color theme="1"/>
      <name val="Calibri"/>
      <family val="2"/>
      <scheme val="minor"/>
    </font>
    <font>
      <sz val="11"/>
      <color theme="4"/>
      <name val="Calibri"/>
      <family val="2"/>
      <scheme val="minor"/>
    </font>
    <font>
      <b/>
      <sz val="11"/>
      <color rgb="FFC00000"/>
      <name val="Calibri"/>
      <family val="2"/>
      <scheme val="minor"/>
    </font>
  </fonts>
  <fills count="1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4.9989318521683403E-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20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0" borderId="1" xfId="0" applyFont="1" applyBorder="1" applyAlignment="1">
      <alignment vertical="center" wrapText="1"/>
    </xf>
    <xf numFmtId="0" fontId="3" fillId="0" borderId="3"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3" fillId="0" borderId="1" xfId="0" applyFont="1" applyBorder="1" applyAlignment="1">
      <alignment vertical="center" wrapText="1"/>
    </xf>
    <xf numFmtId="0" fontId="3" fillId="2" borderId="3" xfId="0" applyFont="1" applyFill="1" applyBorder="1" applyAlignment="1">
      <alignment vertical="center" wrapText="1"/>
    </xf>
    <xf numFmtId="0" fontId="3" fillId="3" borderId="3" xfId="0" applyFont="1" applyFill="1" applyBorder="1" applyAlignment="1">
      <alignment vertical="center" wrapText="1"/>
    </xf>
    <xf numFmtId="0" fontId="3" fillId="4" borderId="3" xfId="0" applyFont="1" applyFill="1" applyBorder="1" applyAlignment="1">
      <alignment vertical="center" wrapText="1"/>
    </xf>
    <xf numFmtId="3" fontId="4" fillId="0" borderId="4" xfId="0" applyNumberFormat="1"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7" xfId="0" applyFont="1" applyBorder="1" applyAlignment="1">
      <alignment vertical="center" wrapText="1"/>
    </xf>
    <xf numFmtId="0" fontId="5" fillId="0" borderId="12" xfId="0" applyFont="1" applyBorder="1" applyAlignment="1">
      <alignment horizontal="left" vertical="center" wrapText="1" indent="1"/>
    </xf>
    <xf numFmtId="0" fontId="5" fillId="0" borderId="7" xfId="0" applyFont="1" applyBorder="1" applyAlignment="1">
      <alignment horizontal="left" vertical="center" wrapText="1" indent="1"/>
    </xf>
    <xf numFmtId="0" fontId="4" fillId="3" borderId="4" xfId="0" applyFont="1" applyFill="1" applyBorder="1" applyAlignment="1">
      <alignment vertical="center" wrapText="1"/>
    </xf>
    <xf numFmtId="0" fontId="4" fillId="4" borderId="4" xfId="0" applyFont="1" applyFill="1" applyBorder="1" applyAlignment="1">
      <alignment vertical="center" wrapText="1"/>
    </xf>
    <xf numFmtId="3" fontId="4" fillId="4" borderId="4" xfId="0" applyNumberFormat="1" applyFont="1" applyFill="1" applyBorder="1" applyAlignment="1">
      <alignment vertical="center" wrapText="1"/>
    </xf>
    <xf numFmtId="0" fontId="3" fillId="6" borderId="3" xfId="0" applyFont="1" applyFill="1" applyBorder="1" applyAlignment="1">
      <alignment vertical="center" wrapText="1"/>
    </xf>
    <xf numFmtId="0" fontId="3" fillId="6" borderId="10" xfId="0" applyFont="1" applyFill="1" applyBorder="1" applyAlignment="1">
      <alignment vertical="center" wrapText="1"/>
    </xf>
    <xf numFmtId="3" fontId="3" fillId="6" borderId="4" xfId="0" applyNumberFormat="1" applyFont="1" applyFill="1" applyBorder="1" applyAlignment="1">
      <alignment vertical="center" wrapText="1"/>
    </xf>
    <xf numFmtId="0" fontId="3" fillId="6" borderId="4" xfId="0" applyFont="1" applyFill="1" applyBorder="1" applyAlignment="1">
      <alignment vertical="center" wrapText="1"/>
    </xf>
    <xf numFmtId="0" fontId="3" fillId="3" borderId="4" xfId="0" applyFont="1" applyFill="1" applyBorder="1" applyAlignment="1">
      <alignment vertical="center" wrapText="1"/>
    </xf>
    <xf numFmtId="3" fontId="3" fillId="3" borderId="4" xfId="0" applyNumberFormat="1" applyFont="1" applyFill="1" applyBorder="1" applyAlignment="1">
      <alignment vertical="center" wrapText="1"/>
    </xf>
    <xf numFmtId="0" fontId="4" fillId="0" borderId="13"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7" borderId="7" xfId="0" applyFont="1" applyFill="1" applyBorder="1" applyAlignment="1">
      <alignment vertical="center" wrapText="1"/>
    </xf>
    <xf numFmtId="3" fontId="3" fillId="7" borderId="7" xfId="0" applyNumberFormat="1" applyFont="1" applyFill="1" applyBorder="1" applyAlignment="1">
      <alignment vertical="center" wrapText="1"/>
    </xf>
    <xf numFmtId="9" fontId="4" fillId="0" borderId="4" xfId="0" applyNumberFormat="1" applyFont="1" applyBorder="1" applyAlignment="1">
      <alignment vertical="center" wrapText="1"/>
    </xf>
    <xf numFmtId="0" fontId="3" fillId="8" borderId="7" xfId="0" applyFont="1" applyFill="1" applyBorder="1" applyAlignment="1">
      <alignment vertical="center" wrapText="1"/>
    </xf>
    <xf numFmtId="3" fontId="3" fillId="8" borderId="7" xfId="0" applyNumberFormat="1" applyFont="1" applyFill="1" applyBorder="1"/>
    <xf numFmtId="43" fontId="0" fillId="0" borderId="0" xfId="0" applyNumberFormat="1"/>
    <xf numFmtId="3" fontId="3" fillId="0" borderId="1" xfId="0" applyNumberFormat="1" applyFont="1" applyBorder="1" applyAlignment="1">
      <alignment vertical="center" wrapText="1"/>
    </xf>
    <xf numFmtId="3" fontId="4" fillId="0" borderId="9" xfId="0" applyNumberFormat="1" applyFont="1" applyBorder="1" applyAlignment="1">
      <alignment vertical="center" wrapText="1"/>
    </xf>
    <xf numFmtId="3" fontId="4" fillId="0" borderId="7" xfId="0" applyNumberFormat="1" applyFont="1" applyBorder="1" applyAlignment="1">
      <alignment vertical="center" wrapText="1"/>
    </xf>
    <xf numFmtId="3" fontId="3" fillId="0" borderId="0" xfId="0" applyNumberFormat="1" applyFont="1"/>
    <xf numFmtId="3" fontId="4" fillId="0" borderId="1" xfId="0" applyNumberFormat="1" applyFont="1" applyBorder="1" applyAlignment="1">
      <alignment vertical="center" wrapText="1"/>
    </xf>
    <xf numFmtId="0" fontId="3" fillId="5" borderId="0" xfId="0" applyFont="1" applyFill="1"/>
    <xf numFmtId="0" fontId="4" fillId="5" borderId="0" xfId="0" applyFont="1" applyFill="1"/>
    <xf numFmtId="0" fontId="3" fillId="5" borderId="2" xfId="0" applyFont="1" applyFill="1" applyBorder="1" applyAlignment="1">
      <alignmen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3" fontId="3" fillId="5" borderId="1" xfId="0" applyNumberFormat="1" applyFont="1" applyFill="1" applyBorder="1" applyAlignment="1">
      <alignment vertical="center" wrapText="1"/>
    </xf>
    <xf numFmtId="3" fontId="4" fillId="5" borderId="7" xfId="0" applyNumberFormat="1" applyFont="1" applyFill="1" applyBorder="1" applyAlignment="1">
      <alignment vertical="center" wrapText="1"/>
    </xf>
    <xf numFmtId="3" fontId="3" fillId="5" borderId="0" xfId="0" applyNumberFormat="1" applyFont="1" applyFill="1"/>
    <xf numFmtId="0" fontId="3" fillId="4" borderId="0" xfId="0" applyFont="1" applyFill="1"/>
    <xf numFmtId="0" fontId="4" fillId="4" borderId="0" xfId="0" applyFont="1" applyFill="1"/>
    <xf numFmtId="0" fontId="3" fillId="4" borderId="2" xfId="0" applyFont="1" applyFill="1" applyBorder="1" applyAlignment="1">
      <alignment vertical="center" wrapText="1"/>
    </xf>
    <xf numFmtId="3" fontId="4" fillId="4" borderId="1" xfId="0" applyNumberFormat="1" applyFont="1" applyFill="1" applyBorder="1" applyAlignment="1">
      <alignment vertical="center" wrapText="1"/>
    </xf>
    <xf numFmtId="3" fontId="3" fillId="4" borderId="1" xfId="0" applyNumberFormat="1" applyFont="1" applyFill="1" applyBorder="1" applyAlignment="1">
      <alignment vertical="center" wrapText="1"/>
    </xf>
    <xf numFmtId="3" fontId="4" fillId="4" borderId="7" xfId="0" applyNumberFormat="1" applyFont="1" applyFill="1" applyBorder="1" applyAlignment="1">
      <alignment vertical="center" wrapText="1"/>
    </xf>
    <xf numFmtId="3" fontId="3" fillId="4" borderId="0" xfId="0" applyNumberFormat="1" applyFont="1" applyFill="1"/>
    <xf numFmtId="0" fontId="3" fillId="9" borderId="0" xfId="0" applyFont="1" applyFill="1"/>
    <xf numFmtId="0" fontId="4" fillId="9" borderId="0" xfId="0" applyFont="1" applyFill="1"/>
    <xf numFmtId="0" fontId="3" fillId="9" borderId="2" xfId="0" applyFont="1" applyFill="1" applyBorder="1" applyAlignment="1">
      <alignment vertical="center" wrapText="1"/>
    </xf>
    <xf numFmtId="3" fontId="4" fillId="9" borderId="4" xfId="0" applyNumberFormat="1" applyFont="1" applyFill="1" applyBorder="1" applyAlignment="1">
      <alignment vertical="center" wrapText="1"/>
    </xf>
    <xf numFmtId="3" fontId="4" fillId="9" borderId="1" xfId="0" applyNumberFormat="1" applyFont="1" applyFill="1" applyBorder="1" applyAlignment="1">
      <alignment vertical="center" wrapText="1"/>
    </xf>
    <xf numFmtId="3" fontId="3" fillId="9" borderId="1" xfId="0" applyNumberFormat="1" applyFont="1" applyFill="1" applyBorder="1" applyAlignment="1">
      <alignment vertical="center" wrapText="1"/>
    </xf>
    <xf numFmtId="3" fontId="4" fillId="9" borderId="7" xfId="0" applyNumberFormat="1" applyFont="1" applyFill="1" applyBorder="1" applyAlignment="1">
      <alignment vertical="center" wrapText="1"/>
    </xf>
    <xf numFmtId="3" fontId="3" fillId="9" borderId="0" xfId="0" applyNumberFormat="1" applyFont="1" applyFill="1"/>
    <xf numFmtId="3" fontId="4" fillId="9" borderId="0" xfId="0" applyNumberFormat="1" applyFont="1" applyFill="1"/>
    <xf numFmtId="3" fontId="4" fillId="4" borderId="0" xfId="0" applyNumberFormat="1" applyFont="1" applyFill="1"/>
    <xf numFmtId="0" fontId="4" fillId="3" borderId="0" xfId="0" applyFont="1" applyFill="1"/>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0" fontId="3" fillId="3" borderId="9" xfId="0" applyFont="1" applyFill="1" applyBorder="1" applyAlignment="1">
      <alignment vertical="center" wrapText="1"/>
    </xf>
    <xf numFmtId="0" fontId="3" fillId="3" borderId="7" xfId="0" applyFont="1" applyFill="1" applyBorder="1" applyAlignment="1">
      <alignment vertical="center" wrapText="1"/>
    </xf>
    <xf numFmtId="3" fontId="3" fillId="10" borderId="4" xfId="0" applyNumberFormat="1" applyFont="1" applyFill="1" applyBorder="1" applyAlignment="1">
      <alignment vertical="center" wrapText="1"/>
    </xf>
    <xf numFmtId="0" fontId="3" fillId="10" borderId="4" xfId="0" applyFont="1" applyFill="1" applyBorder="1" applyAlignment="1">
      <alignment vertical="center" wrapText="1"/>
    </xf>
    <xf numFmtId="0" fontId="3" fillId="10" borderId="3" xfId="0" applyFont="1" applyFill="1" applyBorder="1" applyAlignment="1">
      <alignment vertical="center" wrapText="1"/>
    </xf>
    <xf numFmtId="0" fontId="4" fillId="0" borderId="14" xfId="0" applyFont="1" applyBorder="1"/>
    <xf numFmtId="164" fontId="4" fillId="0" borderId="14" xfId="1" applyNumberFormat="1" applyFont="1" applyBorder="1"/>
    <xf numFmtId="164" fontId="3" fillId="0" borderId="14" xfId="1" applyNumberFormat="1" applyFont="1" applyBorder="1"/>
    <xf numFmtId="164" fontId="4" fillId="0" borderId="0" xfId="0" applyNumberFormat="1" applyFont="1"/>
    <xf numFmtId="9" fontId="4" fillId="0" borderId="14" xfId="2" applyFont="1" applyBorder="1"/>
    <xf numFmtId="9" fontId="3" fillId="0" borderId="14" xfId="2" applyFont="1" applyBorder="1"/>
    <xf numFmtId="0" fontId="3" fillId="3" borderId="14" xfId="0" applyFont="1" applyFill="1" applyBorder="1"/>
    <xf numFmtId="164" fontId="3" fillId="3" borderId="14" xfId="1" applyNumberFormat="1" applyFont="1" applyFill="1" applyBorder="1"/>
    <xf numFmtId="164" fontId="4" fillId="3" borderId="14" xfId="1" applyNumberFormat="1" applyFont="1" applyFill="1" applyBorder="1"/>
    <xf numFmtId="0" fontId="2" fillId="7" borderId="14" xfId="0" applyFont="1" applyFill="1" applyBorder="1"/>
    <xf numFmtId="0" fontId="2" fillId="7" borderId="14" xfId="0" applyFont="1" applyFill="1" applyBorder="1" applyAlignment="1">
      <alignment horizontal="right"/>
    </xf>
    <xf numFmtId="0" fontId="3" fillId="7" borderId="14" xfId="0" applyFont="1" applyFill="1" applyBorder="1"/>
    <xf numFmtId="0" fontId="4" fillId="0" borderId="11" xfId="0" applyFont="1" applyBorder="1" applyAlignment="1">
      <alignment horizontal="right" vertical="center" wrapText="1"/>
    </xf>
    <xf numFmtId="165" fontId="0" fillId="0" borderId="0" xfId="0" applyNumberFormat="1"/>
    <xf numFmtId="166" fontId="4" fillId="0" borderId="0" xfId="0" applyNumberFormat="1" applyFont="1"/>
    <xf numFmtId="9" fontId="0" fillId="0" borderId="0" xfId="2" applyFont="1"/>
    <xf numFmtId="3" fontId="0" fillId="11" borderId="14" xfId="0" applyNumberFormat="1" applyFill="1" applyBorder="1"/>
    <xf numFmtId="3" fontId="0" fillId="0" borderId="14" xfId="0" applyNumberFormat="1" applyBorder="1"/>
    <xf numFmtId="3" fontId="0" fillId="0" borderId="0" xfId="0" applyNumberFormat="1"/>
    <xf numFmtId="3" fontId="7" fillId="11" borderId="14" xfId="0" applyNumberFormat="1" applyFont="1" applyFill="1" applyBorder="1"/>
    <xf numFmtId="3" fontId="7" fillId="0" borderId="14" xfId="0" applyNumberFormat="1" applyFont="1" applyBorder="1"/>
    <xf numFmtId="3" fontId="8" fillId="0" borderId="14" xfId="0" applyNumberFormat="1" applyFont="1" applyBorder="1"/>
    <xf numFmtId="3" fontId="8" fillId="11" borderId="14" xfId="0" applyNumberFormat="1" applyFont="1" applyFill="1" applyBorder="1"/>
    <xf numFmtId="3" fontId="9" fillId="11" borderId="14" xfId="0" applyNumberFormat="1" applyFont="1" applyFill="1" applyBorder="1" applyAlignment="1">
      <alignment wrapText="1"/>
    </xf>
    <xf numFmtId="3" fontId="9" fillId="0" borderId="14" xfId="0" applyNumberFormat="1" applyFont="1" applyBorder="1"/>
    <xf numFmtId="3" fontId="0" fillId="11" borderId="14" xfId="0" applyNumberFormat="1" applyFont="1" applyFill="1" applyBorder="1"/>
    <xf numFmtId="3" fontId="0" fillId="0" borderId="14" xfId="0" applyNumberFormat="1" applyFont="1" applyBorder="1"/>
    <xf numFmtId="0" fontId="10" fillId="0" borderId="0" xfId="0" applyFont="1"/>
    <xf numFmtId="4" fontId="0" fillId="0" borderId="0" xfId="0" applyNumberFormat="1"/>
    <xf numFmtId="0" fontId="11" fillId="0" borderId="0" xfId="0" applyFont="1"/>
    <xf numFmtId="3" fontId="0" fillId="11" borderId="14" xfId="0" applyNumberFormat="1" applyFill="1" applyBorder="1" applyAlignment="1">
      <alignment wrapText="1"/>
    </xf>
    <xf numFmtId="3" fontId="12" fillId="0" borderId="14" xfId="0" applyNumberFormat="1" applyFont="1" applyBorder="1"/>
    <xf numFmtId="3" fontId="12" fillId="11" borderId="14" xfId="0" applyNumberFormat="1" applyFont="1" applyFill="1" applyBorder="1"/>
    <xf numFmtId="3" fontId="7" fillId="11" borderId="14" xfId="0" applyNumberFormat="1" applyFont="1" applyFill="1" applyBorder="1" applyAlignment="1">
      <alignment wrapText="1"/>
    </xf>
    <xf numFmtId="43" fontId="2" fillId="0" borderId="0" xfId="1" applyFont="1" applyBorder="1"/>
    <xf numFmtId="0" fontId="10" fillId="0" borderId="0" xfId="0" applyFont="1" applyAlignment="1">
      <alignment vertical="center"/>
    </xf>
    <xf numFmtId="0" fontId="0" fillId="0" borderId="0" xfId="0" applyAlignment="1"/>
    <xf numFmtId="0" fontId="0" fillId="0" borderId="0" xfId="0" applyFill="1"/>
    <xf numFmtId="3" fontId="0" fillId="0" borderId="0" xfId="0" applyNumberFormat="1" applyFill="1"/>
    <xf numFmtId="0" fontId="13" fillId="0" borderId="0" xfId="0" applyFont="1" applyFill="1" applyAlignment="1"/>
    <xf numFmtId="0" fontId="14" fillId="0" borderId="0" xfId="0" applyFont="1" applyFill="1" applyAlignment="1"/>
    <xf numFmtId="3" fontId="0" fillId="11" borderId="14" xfId="0" applyNumberFormat="1" applyFill="1" applyBorder="1" applyAlignment="1">
      <alignment vertical="top"/>
    </xf>
    <xf numFmtId="3" fontId="10" fillId="0" borderId="0" xfId="0" applyNumberFormat="1" applyFont="1"/>
    <xf numFmtId="0" fontId="11" fillId="0" borderId="0" xfId="0" applyFont="1" applyBorder="1"/>
    <xf numFmtId="4" fontId="0" fillId="0" borderId="0" xfId="0" applyNumberFormat="1" applyBorder="1"/>
    <xf numFmtId="43" fontId="2" fillId="0" borderId="0" xfId="1" applyFont="1" applyBorder="1" applyAlignment="1">
      <alignment wrapText="1"/>
    </xf>
    <xf numFmtId="0" fontId="0" fillId="0" borderId="0" xfId="0" applyBorder="1"/>
    <xf numFmtId="0" fontId="2" fillId="0" borderId="0" xfId="0" applyFont="1" applyBorder="1"/>
    <xf numFmtId="0" fontId="2" fillId="0" borderId="0" xfId="0" applyFont="1" applyBorder="1" applyAlignment="1">
      <alignment wrapText="1"/>
    </xf>
    <xf numFmtId="3" fontId="7" fillId="0" borderId="0" xfId="0" applyNumberFormat="1" applyFont="1"/>
    <xf numFmtId="3" fontId="15" fillId="0" borderId="14" xfId="0" applyNumberFormat="1" applyFont="1" applyBorder="1"/>
    <xf numFmtId="3" fontId="15" fillId="11" borderId="14" xfId="0" applyNumberFormat="1" applyFont="1" applyFill="1" applyBorder="1"/>
    <xf numFmtId="3" fontId="15" fillId="0" borderId="0" xfId="0" applyNumberFormat="1" applyFont="1"/>
    <xf numFmtId="3" fontId="0" fillId="12" borderId="14" xfId="0" applyNumberFormat="1" applyFill="1" applyBorder="1"/>
    <xf numFmtId="43" fontId="7" fillId="0" borderId="0" xfId="0" applyNumberFormat="1" applyFont="1"/>
    <xf numFmtId="43" fontId="0" fillId="0" borderId="0" xfId="1" applyFont="1" applyBorder="1"/>
    <xf numFmtId="43" fontId="0" fillId="0" borderId="0" xfId="0" applyNumberFormat="1" applyFill="1"/>
    <xf numFmtId="0" fontId="14" fillId="0" borderId="0" xfId="0" applyFont="1" applyFill="1" applyAlignment="1"/>
    <xf numFmtId="3" fontId="0" fillId="0" borderId="0" xfId="0" applyNumberFormat="1" applyFill="1" applyBorder="1"/>
    <xf numFmtId="0" fontId="13" fillId="0" borderId="0" xfId="0" applyFont="1" applyAlignment="1"/>
    <xf numFmtId="0" fontId="0" fillId="13" borderId="14" xfId="0" applyFill="1" applyBorder="1"/>
    <xf numFmtId="0" fontId="0" fillId="13" borderId="14" xfId="0" applyFill="1" applyBorder="1" applyAlignment="1">
      <alignment wrapText="1"/>
    </xf>
    <xf numFmtId="0" fontId="0" fillId="0" borderId="14" xfId="0" applyBorder="1"/>
    <xf numFmtId="4" fontId="0" fillId="0" borderId="14" xfId="0" applyNumberFormat="1" applyBorder="1"/>
    <xf numFmtId="167" fontId="0" fillId="0" borderId="14" xfId="0" applyNumberFormat="1" applyBorder="1"/>
    <xf numFmtId="4" fontId="0" fillId="0" borderId="17" xfId="0" applyNumberFormat="1" applyBorder="1"/>
    <xf numFmtId="0" fontId="0" fillId="12" borderId="18" xfId="0" applyFill="1" applyBorder="1"/>
    <xf numFmtId="4" fontId="0" fillId="12" borderId="18" xfId="0" applyNumberFormat="1" applyFill="1" applyBorder="1"/>
    <xf numFmtId="4" fontId="0" fillId="12" borderId="19" xfId="0" applyNumberFormat="1" applyFill="1" applyBorder="1"/>
    <xf numFmtId="167" fontId="0" fillId="12" borderId="20" xfId="0" applyNumberFormat="1" applyFill="1" applyBorder="1"/>
    <xf numFmtId="0" fontId="0" fillId="11" borderId="14" xfId="0" applyFill="1" applyBorder="1" applyAlignment="1">
      <alignment wrapText="1"/>
    </xf>
    <xf numFmtId="0" fontId="0" fillId="11" borderId="14" xfId="0" applyFill="1" applyBorder="1"/>
    <xf numFmtId="4" fontId="0" fillId="11" borderId="14" xfId="0" applyNumberFormat="1" applyFill="1" applyBorder="1"/>
    <xf numFmtId="3" fontId="0" fillId="0" borderId="14" xfId="0" applyNumberFormat="1" applyFill="1" applyBorder="1"/>
    <xf numFmtId="0" fontId="12" fillId="11" borderId="14" xfId="0" applyFont="1" applyFill="1" applyBorder="1" applyAlignment="1">
      <alignment wrapText="1"/>
    </xf>
    <xf numFmtId="4" fontId="12" fillId="11" borderId="14" xfId="0" applyNumberFormat="1" applyFont="1" applyFill="1" applyBorder="1"/>
    <xf numFmtId="4" fontId="12" fillId="0" borderId="14" xfId="0" applyNumberFormat="1" applyFont="1" applyBorder="1"/>
    <xf numFmtId="0" fontId="12" fillId="11" borderId="14" xfId="0" applyFont="1" applyFill="1" applyBorder="1"/>
    <xf numFmtId="0" fontId="2" fillId="0" borderId="21" xfId="0" applyFont="1" applyBorder="1"/>
    <xf numFmtId="0" fontId="2" fillId="14" borderId="15" xfId="0" applyFont="1" applyFill="1" applyBorder="1"/>
    <xf numFmtId="0" fontId="2" fillId="12" borderId="22" xfId="0" applyFont="1" applyFill="1" applyBorder="1"/>
    <xf numFmtId="43" fontId="0" fillId="0" borderId="23" xfId="0" applyNumberFormat="1" applyBorder="1"/>
    <xf numFmtId="4" fontId="0" fillId="12" borderId="24" xfId="0" applyNumberFormat="1" applyFill="1" applyBorder="1"/>
    <xf numFmtId="4" fontId="0" fillId="0" borderId="14" xfId="0" applyNumberFormat="1" applyFill="1" applyBorder="1"/>
    <xf numFmtId="4" fontId="12" fillId="0" borderId="14" xfId="0" applyNumberFormat="1" applyFont="1" applyFill="1" applyBorder="1"/>
    <xf numFmtId="0" fontId="16" fillId="11" borderId="14" xfId="0" applyFont="1" applyFill="1" applyBorder="1"/>
    <xf numFmtId="4" fontId="16" fillId="0" borderId="14" xfId="0" applyNumberFormat="1" applyFont="1" applyBorder="1"/>
    <xf numFmtId="4" fontId="16" fillId="11" borderId="14" xfId="0" applyNumberFormat="1" applyFont="1" applyFill="1" applyBorder="1"/>
    <xf numFmtId="3" fontId="12" fillId="0" borderId="14" xfId="0" applyNumberFormat="1" applyFont="1" applyFill="1" applyBorder="1"/>
    <xf numFmtId="0" fontId="16" fillId="11" borderId="14" xfId="0" applyFont="1" applyFill="1" applyBorder="1" applyAlignment="1">
      <alignment horizontal="center" wrapText="1"/>
    </xf>
    <xf numFmtId="4" fontId="9" fillId="11" borderId="14" xfId="0" applyNumberFormat="1" applyFont="1" applyFill="1" applyBorder="1"/>
    <xf numFmtId="4" fontId="9" fillId="0" borderId="14" xfId="0" applyNumberFormat="1" applyFont="1" applyBorder="1"/>
    <xf numFmtId="168" fontId="0" fillId="0" borderId="0" xfId="0" applyNumberFormat="1"/>
    <xf numFmtId="169" fontId="0" fillId="0" borderId="0" xfId="0" applyNumberFormat="1"/>
    <xf numFmtId="170" fontId="0" fillId="0" borderId="0" xfId="0" applyNumberFormat="1"/>
    <xf numFmtId="4" fontId="16" fillId="0" borderId="14" xfId="0" applyNumberFormat="1" applyFont="1" applyFill="1" applyBorder="1"/>
    <xf numFmtId="3" fontId="9" fillId="0" borderId="14" xfId="0" applyNumberFormat="1" applyFont="1" applyFill="1" applyBorder="1"/>
    <xf numFmtId="4" fontId="0" fillId="0" borderId="0" xfId="0" applyNumberFormat="1" applyFill="1"/>
    <xf numFmtId="3" fontId="7" fillId="0" borderId="14" xfId="0" applyNumberFormat="1" applyFont="1" applyFill="1" applyBorder="1"/>
    <xf numFmtId="4" fontId="0" fillId="0" borderId="14" xfId="0" applyNumberFormat="1" applyFont="1" applyFill="1" applyBorder="1"/>
    <xf numFmtId="0" fontId="2" fillId="15" borderId="0" xfId="0" applyFont="1" applyFill="1"/>
    <xf numFmtId="0" fontId="0" fillId="15" borderId="0" xfId="0" applyFill="1"/>
    <xf numFmtId="168" fontId="7" fillId="0" borderId="0" xfId="0" applyNumberFormat="1" applyFont="1"/>
    <xf numFmtId="171" fontId="0" fillId="0" borderId="0" xfId="0" applyNumberFormat="1"/>
    <xf numFmtId="3" fontId="0" fillId="0" borderId="0" xfId="0" applyNumberFormat="1" applyAlignment="1"/>
    <xf numFmtId="4" fontId="0" fillId="0" borderId="0" xfId="0" applyNumberFormat="1" applyAlignment="1"/>
    <xf numFmtId="4" fontId="2" fillId="0" borderId="0" xfId="0" applyNumberFormat="1" applyFont="1" applyBorder="1"/>
    <xf numFmtId="3" fontId="11" fillId="0" borderId="0" xfId="0" applyNumberFormat="1" applyFont="1" applyBorder="1"/>
    <xf numFmtId="0" fontId="0" fillId="14" borderId="25" xfId="0" applyFill="1" applyBorder="1"/>
    <xf numFmtId="43" fontId="0" fillId="0" borderId="26" xfId="0" applyNumberFormat="1" applyBorder="1"/>
    <xf numFmtId="3" fontId="0" fillId="8" borderId="14" xfId="0" applyNumberFormat="1" applyFill="1" applyBorder="1"/>
    <xf numFmtId="3" fontId="9" fillId="8" borderId="14" xfId="0" applyNumberFormat="1" applyFont="1" applyFill="1" applyBorder="1"/>
    <xf numFmtId="3" fontId="8" fillId="8" borderId="14" xfId="0" applyNumberFormat="1" applyFont="1" applyFill="1" applyBorder="1"/>
    <xf numFmtId="3" fontId="7" fillId="8" borderId="14" xfId="0" applyNumberFormat="1" applyFont="1" applyFill="1" applyBorder="1"/>
    <xf numFmtId="3" fontId="12" fillId="8" borderId="14" xfId="0" applyNumberFormat="1" applyFont="1" applyFill="1" applyBorder="1"/>
    <xf numFmtId="3" fontId="15" fillId="8" borderId="14" xfId="0" applyNumberFormat="1" applyFont="1" applyFill="1" applyBorder="1"/>
    <xf numFmtId="0" fontId="0" fillId="8" borderId="0" xfId="0" applyFill="1"/>
    <xf numFmtId="3" fontId="0" fillId="0" borderId="0" xfId="0" applyNumberFormat="1" applyBorder="1"/>
    <xf numFmtId="0" fontId="3" fillId="0" borderId="5" xfId="0" applyFont="1" applyBorder="1" applyAlignment="1">
      <alignment vertical="center" wrapText="1"/>
    </xf>
    <xf numFmtId="0" fontId="3" fillId="0" borderId="6" xfId="0" applyFont="1" applyBorder="1" applyAlignment="1">
      <alignmen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13" fillId="0" borderId="0" xfId="0" applyFont="1" applyFill="1" applyAlignment="1"/>
    <xf numFmtId="0" fontId="14" fillId="0" borderId="0" xfId="0" applyFont="1" applyFill="1" applyAlignment="1"/>
    <xf numFmtId="0" fontId="2" fillId="0" borderId="16" xfId="0" applyFont="1" applyBorder="1" applyAlignment="1">
      <alignment horizontal="center"/>
    </xf>
    <xf numFmtId="0" fontId="3" fillId="0" borderId="14" xfId="0" applyFont="1" applyBorder="1" applyAlignment="1">
      <alignment horizont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
  <sheetViews>
    <sheetView view="pageBreakPreview" topLeftCell="D4" zoomScaleNormal="100" zoomScaleSheetLayoutView="100" workbookViewId="0">
      <selection activeCell="D5" sqref="D5"/>
    </sheetView>
  </sheetViews>
  <sheetFormatPr defaultColWidth="8.85546875" defaultRowHeight="12.75" x14ac:dyDescent="0.2"/>
  <cols>
    <col min="1" max="1" width="24" style="4" customWidth="1"/>
    <col min="2" max="2" width="24.7109375" style="4" customWidth="1"/>
    <col min="3" max="3" width="28.42578125" style="4" customWidth="1"/>
    <col min="4" max="4" width="28.42578125" style="44" customWidth="1"/>
    <col min="5" max="5" width="31.140625" style="52" customWidth="1"/>
    <col min="6" max="6" width="28.42578125" style="59" customWidth="1"/>
    <col min="7" max="7" width="24.7109375" style="4" customWidth="1"/>
    <col min="8" max="8" width="25.42578125" style="4" customWidth="1"/>
    <col min="9" max="9" width="22.42578125" style="68" customWidth="1"/>
    <col min="10" max="10" width="22.7109375" style="4" customWidth="1"/>
    <col min="11" max="13" width="28.7109375" style="4" customWidth="1"/>
    <col min="14" max="14" width="34.140625" style="4" customWidth="1"/>
    <col min="15" max="16384" width="8.85546875" style="4"/>
  </cols>
  <sheetData>
    <row r="1" spans="1:9" x14ac:dyDescent="0.2">
      <c r="A1" s="3" t="s">
        <v>0</v>
      </c>
      <c r="B1" s="3"/>
      <c r="C1" s="3"/>
      <c r="D1" s="43"/>
      <c r="E1" s="51"/>
      <c r="F1" s="58"/>
      <c r="G1" s="3"/>
    </row>
    <row r="2" spans="1:9" x14ac:dyDescent="0.2">
      <c r="A2" s="3"/>
      <c r="B2" s="3"/>
      <c r="C2" s="3"/>
      <c r="D2" s="43"/>
      <c r="E2" s="51"/>
      <c r="F2" s="58"/>
      <c r="G2" s="3"/>
    </row>
    <row r="3" spans="1:9" x14ac:dyDescent="0.2">
      <c r="A3" s="3" t="s">
        <v>1</v>
      </c>
      <c r="B3" s="3"/>
      <c r="C3" s="3"/>
      <c r="D3" s="43"/>
      <c r="E3" s="51"/>
      <c r="F3" s="58"/>
      <c r="G3" s="3"/>
    </row>
    <row r="5" spans="1:9" x14ac:dyDescent="0.2">
      <c r="A5" s="3" t="s">
        <v>2</v>
      </c>
    </row>
    <row r="6" spans="1:9" ht="13.5" thickBot="1" x14ac:dyDescent="0.25"/>
    <row r="7" spans="1:9" ht="138.75" customHeight="1" thickBot="1" x14ac:dyDescent="0.25">
      <c r="A7" s="9" t="s">
        <v>3</v>
      </c>
      <c r="B7" s="31" t="s">
        <v>4</v>
      </c>
      <c r="C7" s="31" t="s">
        <v>5</v>
      </c>
      <c r="D7" s="45" t="s">
        <v>6</v>
      </c>
      <c r="E7" s="53" t="s">
        <v>7</v>
      </c>
      <c r="F7" s="60" t="s">
        <v>8</v>
      </c>
      <c r="G7" s="31" t="s">
        <v>9</v>
      </c>
      <c r="H7" s="31" t="s">
        <v>10</v>
      </c>
      <c r="I7" s="69" t="s">
        <v>11</v>
      </c>
    </row>
    <row r="8" spans="1:9" ht="13.5" thickBot="1" x14ac:dyDescent="0.25">
      <c r="A8" s="194" t="s">
        <v>12</v>
      </c>
      <c r="B8" s="195"/>
      <c r="C8" s="195"/>
      <c r="D8" s="195"/>
      <c r="E8" s="195"/>
      <c r="F8" s="195"/>
      <c r="G8" s="195"/>
      <c r="H8" s="195"/>
      <c r="I8" s="195"/>
    </row>
    <row r="9" spans="1:9" ht="15.95" customHeight="1" thickBot="1" x14ac:dyDescent="0.25">
      <c r="A9" s="10" t="s">
        <v>13</v>
      </c>
      <c r="B9" s="196" t="s">
        <v>14</v>
      </c>
      <c r="C9" s="197"/>
      <c r="D9" s="197"/>
      <c r="E9" s="197"/>
      <c r="F9" s="197"/>
      <c r="G9" s="197"/>
      <c r="H9" s="197"/>
      <c r="I9" s="197"/>
    </row>
    <row r="10" spans="1:9" ht="179.25" thickBot="1" x14ac:dyDescent="0.25">
      <c r="A10" s="88">
        <v>1.1000000000000001</v>
      </c>
      <c r="B10" s="15" t="s">
        <v>15</v>
      </c>
      <c r="C10" s="13">
        <v>80000</v>
      </c>
      <c r="D10" s="46">
        <v>40000</v>
      </c>
      <c r="E10" s="21">
        <v>20000</v>
      </c>
      <c r="F10" s="61">
        <v>20000</v>
      </c>
      <c r="G10" s="34">
        <v>0.2</v>
      </c>
      <c r="H10" s="7"/>
      <c r="I10" s="19" t="s">
        <v>16</v>
      </c>
    </row>
    <row r="11" spans="1:9" ht="65.25" thickTop="1" thickBot="1" x14ac:dyDescent="0.25">
      <c r="A11" s="14">
        <v>1.2</v>
      </c>
      <c r="B11" s="16" t="s">
        <v>17</v>
      </c>
      <c r="C11" s="13">
        <v>80000</v>
      </c>
      <c r="D11" s="46">
        <v>30000</v>
      </c>
      <c r="E11" s="21">
        <v>25000</v>
      </c>
      <c r="F11" s="61">
        <v>25000</v>
      </c>
      <c r="G11" s="34">
        <v>0.15</v>
      </c>
      <c r="H11" s="7"/>
      <c r="I11" s="19" t="s">
        <v>18</v>
      </c>
    </row>
    <row r="12" spans="1:9" ht="90" thickBot="1" x14ac:dyDescent="0.25">
      <c r="A12" s="8">
        <v>1.3</v>
      </c>
      <c r="B12" s="7" t="s">
        <v>19</v>
      </c>
      <c r="C12" s="13">
        <v>190000</v>
      </c>
      <c r="D12" s="46">
        <v>40000</v>
      </c>
      <c r="E12" s="21">
        <v>70000</v>
      </c>
      <c r="F12" s="61">
        <v>80000</v>
      </c>
      <c r="G12" s="34">
        <v>0.1</v>
      </c>
      <c r="H12" s="7"/>
      <c r="I12" s="19" t="s">
        <v>20</v>
      </c>
    </row>
    <row r="13" spans="1:9" ht="149.1" customHeight="1" thickBot="1" x14ac:dyDescent="0.25">
      <c r="A13" s="8">
        <v>1.4</v>
      </c>
      <c r="B13" s="7" t="s">
        <v>21</v>
      </c>
      <c r="C13" s="13">
        <v>180000</v>
      </c>
      <c r="D13" s="46">
        <v>60000</v>
      </c>
      <c r="E13" s="21">
        <v>60000</v>
      </c>
      <c r="F13" s="61">
        <v>60000</v>
      </c>
      <c r="G13" s="34">
        <v>0.1</v>
      </c>
      <c r="H13" s="7"/>
      <c r="I13" s="19" t="s">
        <v>22</v>
      </c>
    </row>
    <row r="14" spans="1:9" ht="102.75" thickBot="1" x14ac:dyDescent="0.25">
      <c r="A14" s="8">
        <v>1.5</v>
      </c>
      <c r="B14" s="7" t="s">
        <v>23</v>
      </c>
      <c r="C14" s="13">
        <v>80000</v>
      </c>
      <c r="D14" s="46">
        <v>40000</v>
      </c>
      <c r="E14" s="21">
        <v>20000</v>
      </c>
      <c r="F14" s="61">
        <v>20000</v>
      </c>
      <c r="G14" s="7"/>
      <c r="H14" s="7"/>
      <c r="I14" s="19" t="s">
        <v>24</v>
      </c>
    </row>
    <row r="15" spans="1:9" ht="129.94999999999999" customHeight="1" thickBot="1" x14ac:dyDescent="0.25">
      <c r="A15" s="8">
        <v>1.6</v>
      </c>
      <c r="B15" s="7" t="s">
        <v>25</v>
      </c>
      <c r="C15" s="13">
        <v>80000</v>
      </c>
      <c r="D15" s="46">
        <v>30000</v>
      </c>
      <c r="E15" s="21">
        <v>20000</v>
      </c>
      <c r="F15" s="61">
        <v>30000</v>
      </c>
      <c r="G15" s="7"/>
      <c r="H15" s="7"/>
      <c r="I15" s="19" t="s">
        <v>26</v>
      </c>
    </row>
    <row r="16" spans="1:9" ht="84" customHeight="1" thickBot="1" x14ac:dyDescent="0.25">
      <c r="A16" s="8">
        <v>1.7</v>
      </c>
      <c r="B16" s="7" t="s">
        <v>27</v>
      </c>
      <c r="C16" s="13">
        <v>30000</v>
      </c>
      <c r="D16" s="46">
        <v>0</v>
      </c>
      <c r="E16" s="21">
        <v>0</v>
      </c>
      <c r="F16" s="61">
        <v>30000</v>
      </c>
      <c r="G16" s="7"/>
      <c r="H16" s="7"/>
      <c r="I16" s="19" t="s">
        <v>28</v>
      </c>
    </row>
    <row r="17" spans="1:9" ht="21" customHeight="1" thickBot="1" x14ac:dyDescent="0.25">
      <c r="A17" s="75" t="s">
        <v>29</v>
      </c>
      <c r="B17" s="74"/>
      <c r="C17" s="73">
        <f>C16+C15+C14+C13+C12+C11+C10</f>
        <v>720000</v>
      </c>
      <c r="D17" s="73">
        <f t="shared" ref="D17:F17" si="0">D16+D15+D14+D13+D12+D11+D10</f>
        <v>240000</v>
      </c>
      <c r="E17" s="73">
        <f t="shared" si="0"/>
        <v>215000</v>
      </c>
      <c r="F17" s="73">
        <f t="shared" si="0"/>
        <v>265000</v>
      </c>
      <c r="G17" s="74"/>
      <c r="H17" s="74"/>
      <c r="I17" s="74"/>
    </row>
    <row r="18" spans="1:9" ht="15.95" customHeight="1" thickBot="1" x14ac:dyDescent="0.25">
      <c r="A18" s="11" t="s">
        <v>30</v>
      </c>
      <c r="B18" s="198" t="s">
        <v>31</v>
      </c>
      <c r="C18" s="199"/>
      <c r="D18" s="199"/>
      <c r="E18" s="199"/>
      <c r="F18" s="199"/>
      <c r="G18" s="199"/>
      <c r="H18" s="199"/>
      <c r="I18" s="199"/>
    </row>
    <row r="19" spans="1:9" ht="128.25" thickBot="1" x14ac:dyDescent="0.25">
      <c r="A19" s="8">
        <v>2.1</v>
      </c>
      <c r="B19" s="15" t="s">
        <v>32</v>
      </c>
      <c r="C19" s="13">
        <v>80000</v>
      </c>
      <c r="D19" s="46">
        <v>30000</v>
      </c>
      <c r="E19" s="21">
        <v>0</v>
      </c>
      <c r="F19" s="61">
        <v>50000</v>
      </c>
      <c r="G19" s="34">
        <v>0.2</v>
      </c>
      <c r="H19" s="7"/>
      <c r="I19" s="19" t="s">
        <v>33</v>
      </c>
    </row>
    <row r="20" spans="1:9" ht="83.1" customHeight="1" thickTop="1" thickBot="1" x14ac:dyDescent="0.25">
      <c r="A20" s="14">
        <v>2.2000000000000002</v>
      </c>
      <c r="B20" s="16" t="s">
        <v>34</v>
      </c>
      <c r="C20" s="13">
        <v>30000</v>
      </c>
      <c r="D20" s="46">
        <v>0</v>
      </c>
      <c r="E20" s="21">
        <v>0</v>
      </c>
      <c r="F20" s="61">
        <v>30000</v>
      </c>
      <c r="G20" s="7"/>
      <c r="H20" s="7"/>
      <c r="I20" s="19" t="s">
        <v>35</v>
      </c>
    </row>
    <row r="21" spans="1:9" ht="86.1" customHeight="1" thickTop="1" thickBot="1" x14ac:dyDescent="0.25">
      <c r="A21" s="14">
        <v>2.2999999999999998</v>
      </c>
      <c r="B21" s="16" t="s">
        <v>36</v>
      </c>
      <c r="C21" s="13">
        <v>35000</v>
      </c>
      <c r="D21" s="46">
        <v>0</v>
      </c>
      <c r="E21" s="21">
        <v>0</v>
      </c>
      <c r="F21" s="61">
        <v>35000</v>
      </c>
      <c r="G21" s="7"/>
      <c r="H21" s="7"/>
      <c r="I21" s="19" t="s">
        <v>37</v>
      </c>
    </row>
    <row r="22" spans="1:9" ht="141.94999999999999" customHeight="1" thickTop="1" thickBot="1" x14ac:dyDescent="0.25">
      <c r="A22" s="14">
        <v>2.4</v>
      </c>
      <c r="B22" s="16" t="s">
        <v>38</v>
      </c>
      <c r="C22" s="13">
        <v>90000</v>
      </c>
      <c r="D22" s="46">
        <v>30000</v>
      </c>
      <c r="E22" s="21">
        <v>30000</v>
      </c>
      <c r="F22" s="61">
        <v>30000</v>
      </c>
      <c r="G22" s="34">
        <v>0.2</v>
      </c>
      <c r="H22" s="7"/>
      <c r="I22" s="19" t="s">
        <v>39</v>
      </c>
    </row>
    <row r="23" spans="1:9" ht="126" customHeight="1" thickTop="1" thickBot="1" x14ac:dyDescent="0.25">
      <c r="A23" s="14">
        <v>2.5</v>
      </c>
      <c r="B23" s="16" t="s">
        <v>40</v>
      </c>
      <c r="C23" s="13">
        <v>80000</v>
      </c>
      <c r="D23" s="46">
        <v>30000</v>
      </c>
      <c r="E23" s="21">
        <v>20000</v>
      </c>
      <c r="F23" s="61">
        <v>30000</v>
      </c>
      <c r="G23" s="34">
        <v>0.2</v>
      </c>
      <c r="H23" s="7"/>
      <c r="I23" s="19" t="s">
        <v>41</v>
      </c>
    </row>
    <row r="24" spans="1:9" ht="140.1" customHeight="1" thickTop="1" thickBot="1" x14ac:dyDescent="0.25">
      <c r="A24" s="14">
        <v>2.6</v>
      </c>
      <c r="B24" s="16" t="s">
        <v>42</v>
      </c>
      <c r="C24" s="13">
        <v>70000</v>
      </c>
      <c r="D24" s="46">
        <v>30000</v>
      </c>
      <c r="E24" s="21">
        <v>20000</v>
      </c>
      <c r="F24" s="61">
        <v>20000</v>
      </c>
      <c r="G24" s="34">
        <v>0.2</v>
      </c>
      <c r="H24" s="7"/>
      <c r="I24" s="19" t="s">
        <v>43</v>
      </c>
    </row>
    <row r="25" spans="1:9" ht="147" customHeight="1" thickTop="1" thickBot="1" x14ac:dyDescent="0.25">
      <c r="A25" s="14">
        <v>2.7</v>
      </c>
      <c r="B25" s="16" t="s">
        <v>44</v>
      </c>
      <c r="C25" s="13">
        <v>90000</v>
      </c>
      <c r="D25" s="46">
        <v>0</v>
      </c>
      <c r="E25" s="21">
        <v>0</v>
      </c>
      <c r="F25" s="61">
        <v>90000</v>
      </c>
      <c r="G25" s="34">
        <v>0.2</v>
      </c>
      <c r="H25" s="7"/>
      <c r="I25" s="19" t="s">
        <v>45</v>
      </c>
    </row>
    <row r="26" spans="1:9" ht="90" thickBot="1" x14ac:dyDescent="0.25">
      <c r="A26" s="8">
        <v>2.8</v>
      </c>
      <c r="B26" s="17" t="s">
        <v>46</v>
      </c>
      <c r="C26" s="13">
        <v>90000</v>
      </c>
      <c r="D26" s="46">
        <v>60000</v>
      </c>
      <c r="E26" s="21">
        <v>0</v>
      </c>
      <c r="F26" s="61">
        <v>30000</v>
      </c>
      <c r="G26" s="34">
        <v>0.3</v>
      </c>
      <c r="H26" s="7"/>
      <c r="I26" s="19" t="s">
        <v>47</v>
      </c>
    </row>
    <row r="27" spans="1:9" ht="103.5" thickTop="1" thickBot="1" x14ac:dyDescent="0.25">
      <c r="A27" s="14">
        <v>2.9</v>
      </c>
      <c r="B27" s="18" t="s">
        <v>48</v>
      </c>
      <c r="C27" s="13">
        <v>120000</v>
      </c>
      <c r="D27" s="46">
        <v>40000</v>
      </c>
      <c r="E27" s="21">
        <v>40000</v>
      </c>
      <c r="F27" s="61">
        <v>40000</v>
      </c>
      <c r="G27" s="34">
        <v>0.5</v>
      </c>
      <c r="H27" s="7"/>
      <c r="I27" s="19" t="s">
        <v>43</v>
      </c>
    </row>
    <row r="28" spans="1:9" ht="13.5" thickBot="1" x14ac:dyDescent="0.25">
      <c r="A28" s="11" t="s">
        <v>49</v>
      </c>
      <c r="B28" s="26"/>
      <c r="C28" s="27">
        <f>C27+C26+C25+C24+C23+C22+C21+C20+C19</f>
        <v>685000</v>
      </c>
      <c r="D28" s="27">
        <f t="shared" ref="D28:G28" si="1">D27+D26+D25+D24+D23+D22+D21+D20+D19</f>
        <v>220000</v>
      </c>
      <c r="E28" s="27">
        <f t="shared" si="1"/>
        <v>110000</v>
      </c>
      <c r="F28" s="27">
        <f t="shared" si="1"/>
        <v>355000</v>
      </c>
      <c r="G28" s="27">
        <f t="shared" si="1"/>
        <v>1.7999999999999998</v>
      </c>
      <c r="H28" s="19"/>
      <c r="I28" s="19"/>
    </row>
    <row r="29" spans="1:9" ht="15.95" customHeight="1" thickBot="1" x14ac:dyDescent="0.25">
      <c r="A29" s="12" t="s">
        <v>50</v>
      </c>
      <c r="B29" s="200" t="s">
        <v>51</v>
      </c>
      <c r="C29" s="201"/>
      <c r="D29" s="201"/>
      <c r="E29" s="201"/>
      <c r="F29" s="201"/>
      <c r="G29" s="201"/>
      <c r="H29" s="201"/>
      <c r="I29" s="201"/>
    </row>
    <row r="30" spans="1:9" ht="128.25" thickBot="1" x14ac:dyDescent="0.25">
      <c r="A30" s="8">
        <v>3.1</v>
      </c>
      <c r="B30" s="7" t="s">
        <v>52</v>
      </c>
      <c r="C30" s="13">
        <v>150000</v>
      </c>
      <c r="D30" s="46">
        <v>120000</v>
      </c>
      <c r="E30" s="21">
        <v>30000</v>
      </c>
      <c r="F30" s="61">
        <v>0</v>
      </c>
      <c r="G30" s="34">
        <v>0.5</v>
      </c>
      <c r="H30" s="7"/>
      <c r="I30" s="19" t="s">
        <v>53</v>
      </c>
    </row>
    <row r="31" spans="1:9" ht="77.25" thickBot="1" x14ac:dyDescent="0.25">
      <c r="A31" s="8">
        <v>3.2</v>
      </c>
      <c r="B31" s="7" t="s">
        <v>54</v>
      </c>
      <c r="C31" s="13">
        <v>40000</v>
      </c>
      <c r="D31" s="46">
        <v>40000</v>
      </c>
      <c r="E31" s="21">
        <v>0</v>
      </c>
      <c r="F31" s="61">
        <v>0</v>
      </c>
      <c r="G31" s="34">
        <v>0.15</v>
      </c>
      <c r="H31" s="7"/>
      <c r="I31" s="19" t="s">
        <v>55</v>
      </c>
    </row>
    <row r="32" spans="1:9" ht="102.75" thickBot="1" x14ac:dyDescent="0.25">
      <c r="A32" s="8">
        <v>3.3</v>
      </c>
      <c r="B32" s="7" t="s">
        <v>56</v>
      </c>
      <c r="C32" s="13">
        <v>100000</v>
      </c>
      <c r="D32" s="46">
        <v>100000</v>
      </c>
      <c r="E32" s="21">
        <v>0</v>
      </c>
      <c r="F32" s="61">
        <v>0</v>
      </c>
      <c r="G32" s="34">
        <v>0.5</v>
      </c>
      <c r="H32" s="7"/>
      <c r="I32" s="19" t="s">
        <v>26</v>
      </c>
    </row>
    <row r="33" spans="1:9" ht="64.5" thickBot="1" x14ac:dyDescent="0.25">
      <c r="A33" s="8">
        <v>3.4</v>
      </c>
      <c r="B33" s="7" t="s">
        <v>57</v>
      </c>
      <c r="C33" s="13">
        <v>80000</v>
      </c>
      <c r="D33" s="46">
        <v>80000</v>
      </c>
      <c r="E33" s="21">
        <v>0</v>
      </c>
      <c r="F33" s="61">
        <v>0</v>
      </c>
      <c r="G33" s="34">
        <v>0.2</v>
      </c>
      <c r="H33" s="7"/>
      <c r="I33" s="19" t="s">
        <v>58</v>
      </c>
    </row>
    <row r="34" spans="1:9" ht="90" thickBot="1" x14ac:dyDescent="0.25">
      <c r="A34" s="8">
        <v>3.5</v>
      </c>
      <c r="B34" s="7" t="s">
        <v>59</v>
      </c>
      <c r="C34" s="13">
        <v>40000</v>
      </c>
      <c r="D34" s="46">
        <v>40000</v>
      </c>
      <c r="E34" s="21">
        <v>0</v>
      </c>
      <c r="F34" s="61">
        <v>0</v>
      </c>
      <c r="G34" s="34">
        <v>0.5</v>
      </c>
      <c r="H34" s="7"/>
      <c r="I34" s="19" t="s">
        <v>60</v>
      </c>
    </row>
    <row r="35" spans="1:9" ht="78" customHeight="1" thickBot="1" x14ac:dyDescent="0.25">
      <c r="A35" s="8">
        <v>3.6</v>
      </c>
      <c r="B35" s="7" t="s">
        <v>61</v>
      </c>
      <c r="C35" s="13">
        <v>40000</v>
      </c>
      <c r="D35" s="46">
        <v>40000</v>
      </c>
      <c r="E35" s="21">
        <v>0</v>
      </c>
      <c r="F35" s="61">
        <v>0</v>
      </c>
      <c r="G35" s="34">
        <v>0.5</v>
      </c>
      <c r="H35" s="7"/>
      <c r="I35" s="19" t="s">
        <v>62</v>
      </c>
    </row>
    <row r="36" spans="1:9" ht="77.25" thickBot="1" x14ac:dyDescent="0.25">
      <c r="A36" s="8">
        <v>3.7</v>
      </c>
      <c r="B36" s="7" t="s">
        <v>63</v>
      </c>
      <c r="C36" s="13">
        <v>40000</v>
      </c>
      <c r="D36" s="46">
        <v>40000</v>
      </c>
      <c r="E36" s="21">
        <v>0</v>
      </c>
      <c r="F36" s="61">
        <v>0</v>
      </c>
      <c r="G36" s="34">
        <v>0.5</v>
      </c>
      <c r="H36" s="7"/>
      <c r="I36" s="19" t="s">
        <v>64</v>
      </c>
    </row>
    <row r="37" spans="1:9" ht="90" thickBot="1" x14ac:dyDescent="0.25">
      <c r="A37" s="8">
        <v>3.8</v>
      </c>
      <c r="B37" s="7" t="s">
        <v>65</v>
      </c>
      <c r="C37" s="13">
        <v>200000</v>
      </c>
      <c r="D37" s="46">
        <v>200000</v>
      </c>
      <c r="E37" s="21">
        <v>0</v>
      </c>
      <c r="F37" s="61">
        <v>0</v>
      </c>
      <c r="G37" s="34">
        <v>0.3</v>
      </c>
      <c r="H37" s="7"/>
      <c r="I37" s="19" t="s">
        <v>66</v>
      </c>
    </row>
    <row r="38" spans="1:9" ht="113.1" customHeight="1" thickBot="1" x14ac:dyDescent="0.25">
      <c r="A38" s="8">
        <v>3.9</v>
      </c>
      <c r="B38" s="7" t="s">
        <v>67</v>
      </c>
      <c r="C38" s="13">
        <v>100000</v>
      </c>
      <c r="D38" s="46">
        <v>100000</v>
      </c>
      <c r="E38" s="21">
        <v>0</v>
      </c>
      <c r="F38" s="61"/>
      <c r="G38" s="34">
        <v>0.5</v>
      </c>
      <c r="H38" s="7"/>
      <c r="I38" s="19" t="s">
        <v>68</v>
      </c>
    </row>
    <row r="39" spans="1:9" ht="113.1" customHeight="1" thickBot="1" x14ac:dyDescent="0.25">
      <c r="A39" s="8">
        <v>4</v>
      </c>
      <c r="B39" s="7" t="s">
        <v>69</v>
      </c>
      <c r="C39" s="13">
        <v>130000</v>
      </c>
      <c r="D39" s="46">
        <v>65000</v>
      </c>
      <c r="E39" s="21">
        <v>65000</v>
      </c>
      <c r="F39" s="61">
        <v>0</v>
      </c>
      <c r="G39" s="34"/>
      <c r="H39" s="7"/>
      <c r="I39" s="19" t="s">
        <v>45</v>
      </c>
    </row>
    <row r="40" spans="1:9" ht="126.95" customHeight="1" thickBot="1" x14ac:dyDescent="0.25">
      <c r="A40" s="8">
        <v>4.0999999999999996</v>
      </c>
      <c r="B40" s="7" t="s">
        <v>70</v>
      </c>
      <c r="C40" s="13">
        <v>270000</v>
      </c>
      <c r="D40" s="46">
        <v>170000</v>
      </c>
      <c r="E40" s="21">
        <v>70000</v>
      </c>
      <c r="F40" s="61">
        <v>30000</v>
      </c>
      <c r="G40" s="34">
        <v>0.5</v>
      </c>
      <c r="H40" s="7"/>
      <c r="I40" s="19" t="s">
        <v>71</v>
      </c>
    </row>
    <row r="41" spans="1:9" ht="23.1" customHeight="1" thickBot="1" x14ac:dyDescent="0.25">
      <c r="A41" s="12" t="s">
        <v>72</v>
      </c>
      <c r="B41" s="20"/>
      <c r="C41" s="21">
        <f>C40+C39+C38+C37+C36+C35+C34+C33+C32+C31+C30</f>
        <v>1190000</v>
      </c>
      <c r="D41" s="21">
        <f t="shared" ref="D41:F41" si="2">D40+D39+D38+D37+D36+D35+D34+D33+D32+D31+D30</f>
        <v>995000</v>
      </c>
      <c r="E41" s="21">
        <f t="shared" si="2"/>
        <v>165000</v>
      </c>
      <c r="F41" s="21">
        <f t="shared" si="2"/>
        <v>30000</v>
      </c>
      <c r="G41" s="21"/>
      <c r="H41" s="20"/>
      <c r="I41" s="19"/>
    </row>
    <row r="42" spans="1:9" ht="26.25" thickBot="1" x14ac:dyDescent="0.25">
      <c r="A42" s="22" t="s">
        <v>73</v>
      </c>
      <c r="B42" s="23"/>
      <c r="C42" s="24">
        <f>C41+C28+C17</f>
        <v>2595000</v>
      </c>
      <c r="D42" s="24">
        <f t="shared" ref="D42:F42" si="3">D41+D28+D17</f>
        <v>1455000</v>
      </c>
      <c r="E42" s="24">
        <f t="shared" si="3"/>
        <v>490000</v>
      </c>
      <c r="F42" s="24">
        <f t="shared" si="3"/>
        <v>650000</v>
      </c>
      <c r="G42" s="25"/>
      <c r="H42" s="25"/>
      <c r="I42" s="26"/>
    </row>
    <row r="43" spans="1:9" ht="41.1" customHeight="1" thickBot="1" x14ac:dyDescent="0.25">
      <c r="A43" s="5" t="s">
        <v>74</v>
      </c>
      <c r="B43" s="8" t="s">
        <v>75</v>
      </c>
      <c r="C43" s="42" t="e">
        <f>#REF!+(#REF!/2)</f>
        <v>#REF!</v>
      </c>
      <c r="D43" s="47" t="e">
        <f>#REF!+(#REF!/2)</f>
        <v>#REF!</v>
      </c>
      <c r="E43" s="54"/>
      <c r="F43" s="62"/>
      <c r="G43" s="9"/>
      <c r="H43" s="9"/>
      <c r="I43" s="70"/>
    </row>
    <row r="44" spans="1:9" ht="41.1" customHeight="1" thickBot="1" x14ac:dyDescent="0.25">
      <c r="A44" s="5"/>
      <c r="B44" s="8" t="s">
        <v>76</v>
      </c>
      <c r="C44" s="42">
        <f>3786.5*12+4165.15*6</f>
        <v>70428.899999999994</v>
      </c>
      <c r="D44" s="47">
        <f>3786.5*12+4165.15*6</f>
        <v>70428.899999999994</v>
      </c>
      <c r="E44" s="54"/>
      <c r="F44" s="62"/>
      <c r="G44" s="9"/>
      <c r="H44" s="9"/>
      <c r="I44" s="70"/>
    </row>
    <row r="45" spans="1:9" ht="41.1" customHeight="1" thickBot="1" x14ac:dyDescent="0.25">
      <c r="A45" s="5"/>
      <c r="B45" s="8" t="s">
        <v>77</v>
      </c>
      <c r="C45" s="42" t="e">
        <f>(#REF!+(#REF!/2))*0.1</f>
        <v>#REF!</v>
      </c>
      <c r="D45" s="47"/>
      <c r="E45" s="54" t="e">
        <f>(#REF!+(#REF!/2))*0.1</f>
        <v>#REF!</v>
      </c>
      <c r="F45" s="62"/>
      <c r="G45" s="9"/>
      <c r="H45" s="9"/>
      <c r="I45" s="70"/>
    </row>
    <row r="46" spans="1:9" ht="41.1" customHeight="1" thickBot="1" x14ac:dyDescent="0.25">
      <c r="A46" s="5"/>
      <c r="B46" s="8" t="s">
        <v>78</v>
      </c>
      <c r="C46" s="42" t="e">
        <f>(#REF!+(#REF!/ 2))*0.1</f>
        <v>#REF!</v>
      </c>
      <c r="D46" s="47"/>
      <c r="E46" s="54"/>
      <c r="F46" s="62" t="e">
        <f>(#REF!+(#REF!/ 2))*0.1</f>
        <v>#REF!</v>
      </c>
      <c r="G46" s="9"/>
      <c r="H46" s="9"/>
      <c r="I46" s="70"/>
    </row>
    <row r="47" spans="1:9" ht="41.1" customHeight="1" thickBot="1" x14ac:dyDescent="0.25">
      <c r="A47" s="5"/>
      <c r="B47" s="8" t="s">
        <v>79</v>
      </c>
      <c r="C47" s="42" t="e">
        <f>(#REF!+(#REF!/ 2))*0.1</f>
        <v>#REF!</v>
      </c>
      <c r="D47" s="47"/>
      <c r="E47" s="54"/>
      <c r="F47" s="62" t="e">
        <f>+C47</f>
        <v>#REF!</v>
      </c>
      <c r="G47" s="9"/>
      <c r="H47" s="9"/>
      <c r="I47" s="70"/>
    </row>
    <row r="48" spans="1:9" ht="41.1" customHeight="1" thickBot="1" x14ac:dyDescent="0.25">
      <c r="A48" s="9" t="s">
        <v>80</v>
      </c>
      <c r="B48" s="6"/>
      <c r="C48" s="38" t="e">
        <f>C43+C44+C45+C46+C47</f>
        <v>#REF!</v>
      </c>
      <c r="D48" s="48" t="e">
        <f t="shared" ref="D48:H48" si="4">D43+D44+D45+D46+D47</f>
        <v>#REF!</v>
      </c>
      <c r="E48" s="55" t="e">
        <f t="shared" si="4"/>
        <v>#REF!</v>
      </c>
      <c r="F48" s="63" t="e">
        <f t="shared" si="4"/>
        <v>#REF!</v>
      </c>
      <c r="G48" s="9">
        <f t="shared" si="4"/>
        <v>0</v>
      </c>
      <c r="H48" s="9">
        <f t="shared" si="4"/>
        <v>0</v>
      </c>
      <c r="I48" s="70"/>
    </row>
    <row r="49" spans="1:9" ht="57" customHeight="1" thickBot="1" x14ac:dyDescent="0.25">
      <c r="A49" s="5" t="s">
        <v>81</v>
      </c>
      <c r="B49" s="9"/>
      <c r="C49" s="38">
        <v>0</v>
      </c>
      <c r="D49" s="48"/>
      <c r="E49" s="55"/>
      <c r="F49" s="63"/>
      <c r="G49" s="9"/>
      <c r="H49" s="9"/>
      <c r="I49" s="70"/>
    </row>
    <row r="50" spans="1:9" ht="44.1" customHeight="1" thickBot="1" x14ac:dyDescent="0.25">
      <c r="A50" s="28" t="s">
        <v>82</v>
      </c>
      <c r="B50" s="29"/>
      <c r="C50" s="39" t="e">
        <f>(C42+C48)*0.07</f>
        <v>#REF!</v>
      </c>
      <c r="D50" s="39" t="e">
        <f t="shared" ref="D50:H50" si="5">(D42+D48)*0.07</f>
        <v>#REF!</v>
      </c>
      <c r="E50" s="39" t="e">
        <f t="shared" si="5"/>
        <v>#REF!</v>
      </c>
      <c r="F50" s="39" t="e">
        <f t="shared" si="5"/>
        <v>#REF!</v>
      </c>
      <c r="G50" s="39">
        <f t="shared" si="5"/>
        <v>0</v>
      </c>
      <c r="H50" s="39">
        <f t="shared" si="5"/>
        <v>0</v>
      </c>
      <c r="I50" s="71"/>
    </row>
    <row r="51" spans="1:9" ht="33.950000000000003" customHeight="1" thickTop="1" thickBot="1" x14ac:dyDescent="0.25">
      <c r="A51" s="32" t="s">
        <v>83</v>
      </c>
      <c r="B51" s="32"/>
      <c r="C51" s="33" t="e">
        <f>C42+C48+C50</f>
        <v>#REF!</v>
      </c>
      <c r="D51" s="33" t="e">
        <f t="shared" ref="D51:H51" si="6">D42+D48+D50</f>
        <v>#REF!</v>
      </c>
      <c r="E51" s="33" t="e">
        <f t="shared" si="6"/>
        <v>#REF!</v>
      </c>
      <c r="F51" s="33" t="e">
        <f t="shared" si="6"/>
        <v>#REF!</v>
      </c>
      <c r="G51" s="33">
        <f t="shared" si="6"/>
        <v>0</v>
      </c>
      <c r="H51" s="33">
        <f t="shared" si="6"/>
        <v>0</v>
      </c>
      <c r="I51" s="72"/>
    </row>
    <row r="52" spans="1:9" ht="32.1" customHeight="1" thickTop="1" thickBot="1" x14ac:dyDescent="0.25">
      <c r="A52" s="16" t="s">
        <v>84</v>
      </c>
      <c r="B52" s="30"/>
      <c r="C52" s="40" t="e">
        <f>C51*0.07</f>
        <v>#REF!</v>
      </c>
      <c r="D52" s="49" t="e">
        <f>D51*0.07</f>
        <v>#REF!</v>
      </c>
      <c r="E52" s="56" t="e">
        <f>E51*0.07</f>
        <v>#REF!</v>
      </c>
      <c r="F52" s="64" t="e">
        <f>F51*0.07</f>
        <v>#REF!</v>
      </c>
      <c r="G52" s="29">
        <f t="shared" ref="G52:H52" si="7">G51*0.07</f>
        <v>0</v>
      </c>
      <c r="H52" s="29">
        <f t="shared" si="7"/>
        <v>0</v>
      </c>
      <c r="I52" s="72"/>
    </row>
    <row r="53" spans="1:9" ht="26.1" customHeight="1" thickTop="1" thickBot="1" x14ac:dyDescent="0.25">
      <c r="A53" s="35" t="s">
        <v>85</v>
      </c>
      <c r="B53" s="35" t="s">
        <v>86</v>
      </c>
      <c r="C53" s="36" t="e">
        <f>C51+C52</f>
        <v>#REF!</v>
      </c>
      <c r="D53" s="36" t="e">
        <f>D51+D52</f>
        <v>#REF!</v>
      </c>
      <c r="E53" s="36" t="e">
        <f>E51+E52</f>
        <v>#REF!</v>
      </c>
      <c r="F53" s="36" t="e">
        <f>F51+F52</f>
        <v>#REF!</v>
      </c>
      <c r="G53" s="35"/>
      <c r="H53" s="35"/>
      <c r="I53" s="35"/>
    </row>
    <row r="54" spans="1:9" ht="13.5" thickTop="1" x14ac:dyDescent="0.2">
      <c r="C54" s="41"/>
      <c r="D54" s="50"/>
      <c r="E54" s="57"/>
      <c r="F54" s="65"/>
    </row>
    <row r="55" spans="1:9" x14ac:dyDescent="0.2">
      <c r="C55" s="41"/>
      <c r="D55" s="50"/>
      <c r="E55" s="57"/>
      <c r="F55" s="65"/>
    </row>
    <row r="56" spans="1:9" x14ac:dyDescent="0.2">
      <c r="F56" s="66"/>
    </row>
    <row r="59" spans="1:9" x14ac:dyDescent="0.2">
      <c r="E59" s="67"/>
    </row>
    <row r="60" spans="1:9" ht="25.5" customHeight="1" x14ac:dyDescent="0.2"/>
  </sheetData>
  <mergeCells count="4">
    <mergeCell ref="A8:I8"/>
    <mergeCell ref="B9:I9"/>
    <mergeCell ref="B18:I18"/>
    <mergeCell ref="B29:I29"/>
  </mergeCells>
  <pageMargins left="0.7" right="0.7" top="0.75" bottom="0.75" header="0.3" footer="0.3"/>
  <pageSetup paperSize="8" scale="51" orientation="landscape" r:id="rId1"/>
  <rowBreaks count="3" manualBreakCount="3">
    <brk id="21" max="8" man="1"/>
    <brk id="34" max="8" man="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35"/>
  <sheetViews>
    <sheetView topLeftCell="A10" zoomScaleNormal="100" workbookViewId="0">
      <pane xSplit="1" topLeftCell="B1" activePane="topRight" state="frozen"/>
      <selection activeCell="A4" sqref="A4"/>
      <selection pane="topRight" activeCell="F35" sqref="F35"/>
    </sheetView>
  </sheetViews>
  <sheetFormatPr defaultColWidth="8.85546875" defaultRowHeight="15" x14ac:dyDescent="0.25"/>
  <cols>
    <col min="1" max="1" width="35.42578125" customWidth="1"/>
    <col min="2" max="4" width="14.85546875" customWidth="1"/>
    <col min="5" max="9" width="15.7109375" customWidth="1"/>
    <col min="10" max="10" width="18" customWidth="1"/>
    <col min="11" max="11" width="17.140625" customWidth="1"/>
    <col min="12" max="12" width="15.85546875" customWidth="1"/>
    <col min="13" max="13" width="17.42578125" customWidth="1"/>
    <col min="14" max="19" width="16.42578125" customWidth="1"/>
    <col min="20" max="20" width="14.5703125" customWidth="1"/>
    <col min="21" max="21" width="12.7109375" customWidth="1"/>
    <col min="22" max="22" width="13" customWidth="1"/>
    <col min="23" max="27" width="17" customWidth="1"/>
    <col min="28" max="28" width="15.140625" customWidth="1"/>
    <col min="29" max="29" width="17" customWidth="1"/>
    <col min="30" max="31" width="14.7109375" customWidth="1"/>
    <col min="32" max="32" width="14.28515625" customWidth="1"/>
    <col min="33" max="33" width="13.5703125" customWidth="1"/>
    <col min="34" max="34" width="11.85546875" customWidth="1"/>
    <col min="35" max="35" width="14.85546875" customWidth="1"/>
    <col min="36" max="36" width="16.28515625" customWidth="1"/>
  </cols>
  <sheetData>
    <row r="1" spans="1:46" ht="15.75" x14ac:dyDescent="0.25">
      <c r="A1" s="1" t="s">
        <v>87</v>
      </c>
      <c r="B1" s="1"/>
      <c r="C1" s="1"/>
      <c r="D1" s="1"/>
      <c r="E1" s="1"/>
      <c r="F1" s="1"/>
      <c r="G1" s="1"/>
      <c r="H1" s="1"/>
      <c r="I1" s="1"/>
      <c r="J1" s="1"/>
      <c r="K1" s="1"/>
      <c r="L1" s="1"/>
      <c r="M1" s="1"/>
      <c r="AE1" s="113"/>
      <c r="AF1" s="113"/>
    </row>
    <row r="2" spans="1:46" x14ac:dyDescent="0.25">
      <c r="A2" s="2"/>
      <c r="B2" s="2"/>
      <c r="C2" s="2"/>
      <c r="D2" s="2"/>
      <c r="E2" s="2"/>
      <c r="F2" s="2"/>
      <c r="G2" s="2"/>
      <c r="H2" s="2"/>
      <c r="I2" s="2"/>
      <c r="J2" s="2"/>
      <c r="K2" s="2"/>
      <c r="L2" s="2"/>
      <c r="M2" s="2"/>
    </row>
    <row r="3" spans="1:46" x14ac:dyDescent="0.25">
      <c r="A3" s="3" t="s">
        <v>1</v>
      </c>
      <c r="B3" s="3"/>
      <c r="C3" s="3"/>
      <c r="D3" s="3"/>
      <c r="E3" s="3"/>
      <c r="F3" s="3"/>
      <c r="G3" s="3"/>
      <c r="H3" s="3"/>
      <c r="I3" s="3"/>
      <c r="J3" s="3"/>
      <c r="K3" s="3"/>
      <c r="L3" s="3"/>
      <c r="M3" s="3"/>
      <c r="N3" s="4"/>
      <c r="O3" s="4"/>
      <c r="P3" s="4"/>
      <c r="Q3" s="4"/>
      <c r="R3" s="4"/>
      <c r="S3" s="4"/>
      <c r="T3" s="4"/>
      <c r="U3" s="4"/>
      <c r="V3" s="4"/>
      <c r="W3" s="4"/>
      <c r="X3" s="4"/>
      <c r="Y3" s="4"/>
      <c r="Z3" s="4"/>
      <c r="AA3" s="4"/>
      <c r="AB3" s="4"/>
      <c r="AC3" s="4"/>
      <c r="AD3" s="4"/>
      <c r="AE3" s="4"/>
      <c r="AF3" s="4"/>
      <c r="AG3" s="4"/>
      <c r="AH3" s="4"/>
    </row>
    <row r="4" spans="1:46"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46" x14ac:dyDescent="0.25">
      <c r="E5" s="37"/>
      <c r="F5" s="37"/>
      <c r="G5" s="37"/>
      <c r="H5" s="37"/>
      <c r="I5" s="37"/>
      <c r="J5" s="37"/>
      <c r="AB5" s="91"/>
      <c r="AC5" s="91"/>
      <c r="AD5" s="134"/>
      <c r="AE5" s="91"/>
      <c r="AF5" s="91"/>
      <c r="AG5" s="91"/>
      <c r="AH5" s="89"/>
    </row>
    <row r="6" spans="1:46" ht="15.75" customHeight="1" x14ac:dyDescent="0.25">
      <c r="A6" s="92" t="s">
        <v>88</v>
      </c>
      <c r="B6" s="92" t="s">
        <v>89</v>
      </c>
      <c r="C6" s="92"/>
      <c r="D6" s="92"/>
      <c r="E6" s="92"/>
      <c r="F6" s="92"/>
      <c r="G6" s="92"/>
      <c r="H6" s="92"/>
      <c r="I6" s="92"/>
      <c r="J6" s="92"/>
      <c r="K6" s="92" t="s">
        <v>90</v>
      </c>
      <c r="L6" s="92"/>
      <c r="M6" s="92"/>
      <c r="N6" s="92"/>
      <c r="O6" s="92"/>
      <c r="P6" s="92"/>
      <c r="Q6" s="92"/>
      <c r="R6" s="92"/>
      <c r="S6" s="92"/>
      <c r="T6" s="92" t="s">
        <v>91</v>
      </c>
      <c r="U6" s="92"/>
      <c r="V6" s="92"/>
      <c r="W6" s="92"/>
      <c r="X6" s="92"/>
      <c r="Y6" s="92"/>
      <c r="Z6" s="92"/>
      <c r="AA6" s="92"/>
      <c r="AB6" s="92"/>
      <c r="AC6" s="92" t="s">
        <v>92</v>
      </c>
      <c r="AD6" s="92" t="s">
        <v>93</v>
      </c>
      <c r="AE6" s="92" t="s">
        <v>94</v>
      </c>
      <c r="AF6" s="92" t="s">
        <v>95</v>
      </c>
      <c r="AG6" s="92" t="s">
        <v>96</v>
      </c>
      <c r="AH6" s="92" t="s">
        <v>97</v>
      </c>
      <c r="AI6" s="92" t="s">
        <v>98</v>
      </c>
      <c r="AJ6" s="92" t="s">
        <v>153</v>
      </c>
    </row>
    <row r="7" spans="1:46" ht="45" x14ac:dyDescent="0.25">
      <c r="A7" s="92"/>
      <c r="B7" s="92" t="s">
        <v>99</v>
      </c>
      <c r="C7" s="99" t="s">
        <v>100</v>
      </c>
      <c r="D7" s="92" t="s">
        <v>101</v>
      </c>
      <c r="E7" s="92" t="s">
        <v>102</v>
      </c>
      <c r="F7" s="109" t="s">
        <v>103</v>
      </c>
      <c r="G7" s="106" t="s">
        <v>104</v>
      </c>
      <c r="H7" s="92" t="s">
        <v>105</v>
      </c>
      <c r="I7" s="109" t="s">
        <v>106</v>
      </c>
      <c r="J7" s="106" t="s">
        <v>107</v>
      </c>
      <c r="K7" s="92" t="s">
        <v>99</v>
      </c>
      <c r="L7" s="109" t="s">
        <v>108</v>
      </c>
      <c r="M7" s="92" t="s">
        <v>101</v>
      </c>
      <c r="N7" s="92" t="s">
        <v>102</v>
      </c>
      <c r="O7" s="109" t="s">
        <v>108</v>
      </c>
      <c r="P7" s="106" t="s">
        <v>154</v>
      </c>
      <c r="Q7" s="92" t="s">
        <v>105</v>
      </c>
      <c r="R7" s="109" t="s">
        <v>109</v>
      </c>
      <c r="S7" s="92" t="s">
        <v>110</v>
      </c>
      <c r="T7" s="92" t="s">
        <v>99</v>
      </c>
      <c r="U7" s="109" t="s">
        <v>177</v>
      </c>
      <c r="V7" s="92" t="s">
        <v>101</v>
      </c>
      <c r="W7" s="92" t="s">
        <v>102</v>
      </c>
      <c r="X7" s="109" t="s">
        <v>108</v>
      </c>
      <c r="Y7" s="106" t="s">
        <v>178</v>
      </c>
      <c r="Z7" s="92" t="s">
        <v>105</v>
      </c>
      <c r="AA7" s="109" t="s">
        <v>109</v>
      </c>
      <c r="AB7" s="117" t="s">
        <v>110</v>
      </c>
      <c r="AC7" s="92"/>
      <c r="AD7" s="92"/>
      <c r="AE7" s="92"/>
      <c r="AF7" s="92"/>
      <c r="AG7" s="92"/>
      <c r="AH7" s="92"/>
      <c r="AI7" s="92"/>
      <c r="AJ7" s="92"/>
      <c r="AR7" t="s">
        <v>86</v>
      </c>
      <c r="AS7" t="s">
        <v>86</v>
      </c>
      <c r="AT7" t="s">
        <v>86</v>
      </c>
    </row>
    <row r="8" spans="1:46" x14ac:dyDescent="0.25">
      <c r="A8" s="93" t="s">
        <v>111</v>
      </c>
      <c r="B8" s="93">
        <v>31948.537904999997</v>
      </c>
      <c r="C8" s="100">
        <v>44000</v>
      </c>
      <c r="D8" s="97">
        <v>43839.1</v>
      </c>
      <c r="E8" s="93">
        <v>31948.537904999997</v>
      </c>
      <c r="F8" s="96">
        <v>14000</v>
      </c>
      <c r="G8" s="107">
        <v>13381.5</v>
      </c>
      <c r="H8" s="93">
        <v>42598.050539999997</v>
      </c>
      <c r="I8" s="96">
        <v>7000</v>
      </c>
      <c r="J8" s="96">
        <v>0</v>
      </c>
      <c r="K8" s="93">
        <v>5278.3120675351502</v>
      </c>
      <c r="L8" s="96">
        <v>4398</v>
      </c>
      <c r="M8" s="97">
        <v>4398</v>
      </c>
      <c r="N8" s="93">
        <v>5278.3120675351502</v>
      </c>
      <c r="O8" s="96">
        <v>5278</v>
      </c>
      <c r="P8" s="107">
        <v>4224</v>
      </c>
      <c r="Q8" s="93">
        <v>7037.7494233802008</v>
      </c>
      <c r="R8" s="96">
        <v>7330</v>
      </c>
      <c r="S8" s="93">
        <v>7323</v>
      </c>
      <c r="T8" s="93">
        <v>8064.1117200273002</v>
      </c>
      <c r="U8" s="96">
        <v>0</v>
      </c>
      <c r="V8" s="97">
        <v>0</v>
      </c>
      <c r="W8" s="93">
        <v>8064.1117200273002</v>
      </c>
      <c r="X8" s="96">
        <v>0</v>
      </c>
      <c r="Y8" s="107">
        <v>0</v>
      </c>
      <c r="Z8" s="93">
        <v>10752.1489600364</v>
      </c>
      <c r="AA8" s="96">
        <v>0</v>
      </c>
      <c r="AB8" s="126">
        <v>0</v>
      </c>
      <c r="AC8" s="93">
        <f t="shared" ref="AC8:AC14" si="0">B8+K8+T8</f>
        <v>45290.96169256245</v>
      </c>
      <c r="AD8" s="97">
        <f t="shared" ref="AD8:AE14" si="1">D8+M8+V8</f>
        <v>48237.1</v>
      </c>
      <c r="AE8" s="93">
        <f t="shared" si="1"/>
        <v>45290.96169256245</v>
      </c>
      <c r="AF8" s="126">
        <f t="shared" ref="AF8:AG15" si="2">G8+P8+Y8</f>
        <v>17605.5</v>
      </c>
      <c r="AG8" s="93">
        <f t="shared" si="2"/>
        <v>60387.948923416596</v>
      </c>
      <c r="AH8" s="126">
        <f t="shared" ref="AH8:AH14" si="3">J8+S8+AB8</f>
        <v>7323</v>
      </c>
      <c r="AI8" s="93">
        <f>AC8+AE8+AG8</f>
        <v>150969.8723085415</v>
      </c>
      <c r="AJ8" s="129">
        <f>AD8+AF8+AH8</f>
        <v>73165.600000000006</v>
      </c>
      <c r="AS8" t="s">
        <v>86</v>
      </c>
    </row>
    <row r="9" spans="1:46" x14ac:dyDescent="0.25">
      <c r="A9" s="93" t="s">
        <v>112</v>
      </c>
      <c r="B9" s="93">
        <v>40000</v>
      </c>
      <c r="C9" s="100">
        <v>6000</v>
      </c>
      <c r="D9" s="97">
        <v>5973.36</v>
      </c>
      <c r="E9" s="93">
        <v>50000</v>
      </c>
      <c r="F9" s="96">
        <v>19000</v>
      </c>
      <c r="G9" s="107">
        <v>18774</v>
      </c>
      <c r="H9" s="93">
        <v>60000</v>
      </c>
      <c r="I9" s="96">
        <v>38000</v>
      </c>
      <c r="J9" s="96">
        <v>0</v>
      </c>
      <c r="K9" s="93">
        <v>10000</v>
      </c>
      <c r="L9" s="96">
        <v>843</v>
      </c>
      <c r="M9" s="97">
        <v>843.48</v>
      </c>
      <c r="N9" s="93">
        <v>10000</v>
      </c>
      <c r="O9" s="96">
        <v>12000</v>
      </c>
      <c r="P9" s="107">
        <v>11394</v>
      </c>
      <c r="Q9" s="93">
        <v>5000</v>
      </c>
      <c r="R9" s="96">
        <v>0</v>
      </c>
      <c r="S9" s="93">
        <v>0</v>
      </c>
      <c r="T9" s="93">
        <v>20000</v>
      </c>
      <c r="U9" s="96">
        <v>0</v>
      </c>
      <c r="V9" s="97">
        <v>0</v>
      </c>
      <c r="W9" s="93">
        <v>20000</v>
      </c>
      <c r="X9" s="96">
        <v>0</v>
      </c>
      <c r="Y9" s="107">
        <v>0</v>
      </c>
      <c r="Z9" s="93">
        <v>40000</v>
      </c>
      <c r="AA9" s="96">
        <v>0</v>
      </c>
      <c r="AB9" s="126">
        <v>0</v>
      </c>
      <c r="AC9" s="93">
        <f t="shared" si="0"/>
        <v>70000</v>
      </c>
      <c r="AD9" s="97">
        <f t="shared" si="1"/>
        <v>6816.84</v>
      </c>
      <c r="AE9" s="93">
        <f t="shared" si="1"/>
        <v>80000</v>
      </c>
      <c r="AF9" s="126">
        <f t="shared" si="2"/>
        <v>30168</v>
      </c>
      <c r="AG9" s="93">
        <f t="shared" si="2"/>
        <v>105000</v>
      </c>
      <c r="AH9" s="126">
        <f t="shared" si="3"/>
        <v>0</v>
      </c>
      <c r="AI9" s="93">
        <f t="shared" ref="AI9:AI17" si="4">AC9+AE9+AG9</f>
        <v>255000</v>
      </c>
      <c r="AJ9" s="129">
        <f t="shared" ref="AJ9:AJ14" si="5">AD9+AF9+AH9</f>
        <v>36984.839999999997</v>
      </c>
    </row>
    <row r="10" spans="1:46" x14ac:dyDescent="0.25">
      <c r="A10" s="93" t="s">
        <v>113</v>
      </c>
      <c r="B10" s="93">
        <v>120000</v>
      </c>
      <c r="C10" s="100">
        <v>40000</v>
      </c>
      <c r="D10" s="97">
        <v>39495.65</v>
      </c>
      <c r="E10" s="93">
        <v>20000</v>
      </c>
      <c r="F10" s="96">
        <v>10000</v>
      </c>
      <c r="G10" s="107">
        <v>9997</v>
      </c>
      <c r="H10" s="93"/>
      <c r="I10" s="96">
        <v>78700</v>
      </c>
      <c r="J10" s="96">
        <v>76758.95</v>
      </c>
      <c r="K10" s="93">
        <v>20000</v>
      </c>
      <c r="L10" s="96">
        <v>0</v>
      </c>
      <c r="M10" s="97">
        <v>0</v>
      </c>
      <c r="N10" s="93">
        <v>10000</v>
      </c>
      <c r="O10" s="96">
        <v>0</v>
      </c>
      <c r="P10" s="107">
        <v>0</v>
      </c>
      <c r="Q10" s="93"/>
      <c r="R10" s="96">
        <v>0</v>
      </c>
      <c r="S10" s="93">
        <v>0</v>
      </c>
      <c r="T10" s="93">
        <v>0</v>
      </c>
      <c r="U10" s="96"/>
      <c r="V10" s="97"/>
      <c r="W10" s="93"/>
      <c r="X10" s="96"/>
      <c r="Y10" s="107"/>
      <c r="Z10" s="93"/>
      <c r="AA10" s="96">
        <f t="shared" ref="AA10" si="6">Z10+Y10</f>
        <v>0</v>
      </c>
      <c r="AB10" s="126">
        <v>0</v>
      </c>
      <c r="AC10" s="93">
        <f t="shared" si="0"/>
        <v>140000</v>
      </c>
      <c r="AD10" s="97">
        <f t="shared" si="1"/>
        <v>39495.65</v>
      </c>
      <c r="AE10" s="93">
        <f t="shared" si="1"/>
        <v>30000</v>
      </c>
      <c r="AF10" s="126">
        <f t="shared" si="2"/>
        <v>9997</v>
      </c>
      <c r="AG10" s="93">
        <f t="shared" si="2"/>
        <v>0</v>
      </c>
      <c r="AH10" s="126">
        <f t="shared" si="3"/>
        <v>76758.95</v>
      </c>
      <c r="AI10" s="93">
        <f t="shared" si="4"/>
        <v>170000</v>
      </c>
      <c r="AJ10" s="129">
        <f t="shared" si="5"/>
        <v>126251.6</v>
      </c>
      <c r="AL10" s="94" t="s">
        <v>86</v>
      </c>
    </row>
    <row r="11" spans="1:46" s="192" customFormat="1" x14ac:dyDescent="0.25">
      <c r="A11" s="186" t="s">
        <v>114</v>
      </c>
      <c r="B11" s="186">
        <v>80000</v>
      </c>
      <c r="C11" s="187">
        <v>91000</v>
      </c>
      <c r="D11" s="188">
        <v>90548.44</v>
      </c>
      <c r="E11" s="186">
        <v>100000</v>
      </c>
      <c r="F11" s="189">
        <v>64011</v>
      </c>
      <c r="G11" s="190">
        <v>64010.64</v>
      </c>
      <c r="H11" s="186">
        <v>100000</v>
      </c>
      <c r="I11" s="189">
        <v>85013</v>
      </c>
      <c r="J11" s="189">
        <v>83015.89</v>
      </c>
      <c r="K11" s="186">
        <v>10000</v>
      </c>
      <c r="L11" s="189">
        <v>10000</v>
      </c>
      <c r="M11" s="188">
        <v>10000</v>
      </c>
      <c r="N11" s="186">
        <v>10000</v>
      </c>
      <c r="O11" s="189">
        <v>21000</v>
      </c>
      <c r="P11" s="190">
        <v>19921</v>
      </c>
      <c r="Q11" s="186">
        <v>20000</v>
      </c>
      <c r="R11" s="189">
        <v>84500</v>
      </c>
      <c r="S11" s="186">
        <v>84425</v>
      </c>
      <c r="T11" s="186">
        <v>30000</v>
      </c>
      <c r="U11" s="189">
        <v>7050</v>
      </c>
      <c r="V11" s="188">
        <v>7050</v>
      </c>
      <c r="W11" s="186">
        <v>30000</v>
      </c>
      <c r="X11" s="189">
        <v>30000</v>
      </c>
      <c r="Y11" s="190">
        <v>10000</v>
      </c>
      <c r="Z11" s="186">
        <v>40000</v>
      </c>
      <c r="AA11" s="189">
        <v>297489.86</v>
      </c>
      <c r="AB11" s="191">
        <f>228248+100016.99</f>
        <v>328264.99</v>
      </c>
      <c r="AC11" s="186">
        <f t="shared" si="0"/>
        <v>120000</v>
      </c>
      <c r="AD11" s="188">
        <f t="shared" si="1"/>
        <v>107598.44</v>
      </c>
      <c r="AE11" s="186">
        <f t="shared" si="1"/>
        <v>140000</v>
      </c>
      <c r="AF11" s="191">
        <f t="shared" si="2"/>
        <v>93931.64</v>
      </c>
      <c r="AG11" s="186">
        <f t="shared" si="2"/>
        <v>160000</v>
      </c>
      <c r="AH11" s="191">
        <f t="shared" si="3"/>
        <v>495705.88</v>
      </c>
      <c r="AI11" s="186">
        <f t="shared" si="4"/>
        <v>420000</v>
      </c>
      <c r="AJ11" s="186">
        <f t="shared" si="5"/>
        <v>697235.96</v>
      </c>
    </row>
    <row r="12" spans="1:46" x14ac:dyDescent="0.25">
      <c r="A12" s="93" t="s">
        <v>115</v>
      </c>
      <c r="B12" s="93">
        <v>60000</v>
      </c>
      <c r="C12" s="100">
        <v>268285</v>
      </c>
      <c r="D12" s="97">
        <v>266861.93</v>
      </c>
      <c r="E12" s="93">
        <v>70000</v>
      </c>
      <c r="F12" s="96">
        <v>360024</v>
      </c>
      <c r="G12" s="107">
        <v>360000</v>
      </c>
      <c r="H12" s="93">
        <v>80000</v>
      </c>
      <c r="I12" s="96">
        <v>253107</v>
      </c>
      <c r="J12" s="96">
        <v>182485.74</v>
      </c>
      <c r="K12" s="93">
        <v>20000</v>
      </c>
      <c r="L12" s="96">
        <v>15377</v>
      </c>
      <c r="M12" s="97">
        <v>15376.52</v>
      </c>
      <c r="N12" s="93">
        <v>35000</v>
      </c>
      <c r="O12" s="96">
        <v>63000</v>
      </c>
      <c r="P12" s="107">
        <v>62985.46</v>
      </c>
      <c r="Q12" s="93">
        <v>60000</v>
      </c>
      <c r="R12" s="96">
        <v>4800</v>
      </c>
      <c r="S12" s="93">
        <v>4714</v>
      </c>
      <c r="T12" s="93">
        <v>50000</v>
      </c>
      <c r="U12" s="96">
        <v>5000</v>
      </c>
      <c r="V12" s="97">
        <v>2414</v>
      </c>
      <c r="W12" s="93">
        <v>50000</v>
      </c>
      <c r="X12" s="96">
        <v>47584</v>
      </c>
      <c r="Y12" s="107">
        <v>10847</v>
      </c>
      <c r="Z12" s="93">
        <v>150000</v>
      </c>
      <c r="AA12" s="96">
        <v>0</v>
      </c>
      <c r="AB12" s="126">
        <v>0.29000000000087311</v>
      </c>
      <c r="AC12" s="93">
        <f t="shared" si="0"/>
        <v>130000</v>
      </c>
      <c r="AD12" s="97">
        <f t="shared" si="1"/>
        <v>284652.45</v>
      </c>
      <c r="AE12" s="93">
        <f t="shared" si="1"/>
        <v>155000</v>
      </c>
      <c r="AF12" s="126">
        <f t="shared" si="2"/>
        <v>433832.46</v>
      </c>
      <c r="AG12" s="93">
        <f t="shared" si="2"/>
        <v>290000</v>
      </c>
      <c r="AH12" s="126">
        <f t="shared" si="3"/>
        <v>187200.03</v>
      </c>
      <c r="AI12" s="93">
        <f t="shared" si="4"/>
        <v>575000</v>
      </c>
      <c r="AJ12" s="129">
        <f t="shared" si="5"/>
        <v>905684.94000000006</v>
      </c>
    </row>
    <row r="13" spans="1:46" x14ac:dyDescent="0.25">
      <c r="A13" s="93" t="s">
        <v>116</v>
      </c>
      <c r="B13" s="93">
        <v>130000</v>
      </c>
      <c r="C13" s="100">
        <v>0</v>
      </c>
      <c r="D13" s="97">
        <v>0</v>
      </c>
      <c r="E13" s="93">
        <v>195000</v>
      </c>
      <c r="F13" s="96">
        <v>0</v>
      </c>
      <c r="G13" s="107">
        <v>0</v>
      </c>
      <c r="H13" s="93">
        <v>350000</v>
      </c>
      <c r="I13" s="96">
        <v>10000</v>
      </c>
      <c r="J13" s="96">
        <v>0</v>
      </c>
      <c r="K13" s="93">
        <v>100000</v>
      </c>
      <c r="L13" s="96">
        <v>88185</v>
      </c>
      <c r="M13" s="97">
        <v>88185.44</v>
      </c>
      <c r="N13" s="93">
        <v>100000</v>
      </c>
      <c r="O13" s="96">
        <v>63079</v>
      </c>
      <c r="P13" s="107">
        <v>62600</v>
      </c>
      <c r="Q13" s="93">
        <v>80000</v>
      </c>
      <c r="R13" s="96">
        <v>67920</v>
      </c>
      <c r="S13" s="93">
        <v>67907</v>
      </c>
      <c r="T13" s="93">
        <v>90000</v>
      </c>
      <c r="U13" s="96">
        <v>151014</v>
      </c>
      <c r="V13" s="97">
        <v>150236</v>
      </c>
      <c r="W13" s="93">
        <v>80000</v>
      </c>
      <c r="X13" s="96">
        <v>158844</v>
      </c>
      <c r="Y13" s="107">
        <v>155738</v>
      </c>
      <c r="Z13" s="93">
        <v>50000</v>
      </c>
      <c r="AA13" s="96">
        <v>54107.54</v>
      </c>
      <c r="AB13" s="126">
        <v>53911</v>
      </c>
      <c r="AC13" s="93">
        <f t="shared" si="0"/>
        <v>320000</v>
      </c>
      <c r="AD13" s="97">
        <f t="shared" si="1"/>
        <v>238421.44</v>
      </c>
      <c r="AE13" s="93">
        <f t="shared" si="1"/>
        <v>375000</v>
      </c>
      <c r="AF13" s="126">
        <f t="shared" si="2"/>
        <v>218338</v>
      </c>
      <c r="AG13" s="93">
        <f t="shared" si="2"/>
        <v>480000</v>
      </c>
      <c r="AH13" s="126">
        <f t="shared" si="3"/>
        <v>121818</v>
      </c>
      <c r="AI13" s="93">
        <f t="shared" si="4"/>
        <v>1175000</v>
      </c>
      <c r="AJ13" s="129">
        <f t="shared" si="5"/>
        <v>578577.43999999994</v>
      </c>
      <c r="AL13" s="94" t="s">
        <v>86</v>
      </c>
    </row>
    <row r="14" spans="1:46" x14ac:dyDescent="0.25">
      <c r="A14" s="93" t="s">
        <v>117</v>
      </c>
      <c r="B14" s="93">
        <v>32336.397653350006</v>
      </c>
      <c r="C14" s="100">
        <v>45000</v>
      </c>
      <c r="D14" s="97">
        <v>42316.82</v>
      </c>
      <c r="E14" s="93">
        <v>32686.397653350006</v>
      </c>
      <c r="F14" s="96">
        <v>32600</v>
      </c>
      <c r="G14" s="107">
        <v>32000</v>
      </c>
      <c r="H14" s="93">
        <v>44281.863537800004</v>
      </c>
      <c r="I14" s="96">
        <v>205060</v>
      </c>
      <c r="J14" s="96">
        <v>204404.05</v>
      </c>
      <c r="K14" s="93">
        <v>11569.481844727461</v>
      </c>
      <c r="L14" s="96">
        <v>50</v>
      </c>
      <c r="M14" s="97">
        <v>24</v>
      </c>
      <c r="N14" s="93">
        <v>11919.481844727461</v>
      </c>
      <c r="O14" s="96">
        <v>16884</v>
      </c>
      <c r="P14" s="107">
        <v>16515.759999999998</v>
      </c>
      <c r="Q14" s="93">
        <v>12042.642459636614</v>
      </c>
      <c r="R14" s="174">
        <v>81528</v>
      </c>
      <c r="S14" s="149">
        <v>81527</v>
      </c>
      <c r="T14" s="93">
        <v>13864.487820401911</v>
      </c>
      <c r="U14" s="96">
        <v>3864</v>
      </c>
      <c r="V14" s="97">
        <v>0</v>
      </c>
      <c r="W14" s="93">
        <v>13164.487820401911</v>
      </c>
      <c r="X14" s="96">
        <v>17029</v>
      </c>
      <c r="Y14" s="107">
        <v>765</v>
      </c>
      <c r="Z14" s="93">
        <v>20352.650427202549</v>
      </c>
      <c r="AA14" s="96">
        <v>35616.410000000003</v>
      </c>
      <c r="AB14" s="126">
        <v>137</v>
      </c>
      <c r="AC14" s="93">
        <f t="shared" si="0"/>
        <v>57770.367318479381</v>
      </c>
      <c r="AD14" s="97">
        <f t="shared" si="1"/>
        <v>42340.82</v>
      </c>
      <c r="AE14" s="93">
        <f t="shared" si="1"/>
        <v>57770.367318479381</v>
      </c>
      <c r="AF14" s="126">
        <f t="shared" si="2"/>
        <v>49280.759999999995</v>
      </c>
      <c r="AG14" s="93">
        <f t="shared" si="2"/>
        <v>76677.156424639164</v>
      </c>
      <c r="AH14" s="126">
        <f t="shared" si="3"/>
        <v>286068.05</v>
      </c>
      <c r="AI14" s="93">
        <f t="shared" si="4"/>
        <v>192217.89106159791</v>
      </c>
      <c r="AJ14" s="129">
        <f t="shared" si="5"/>
        <v>377689.63</v>
      </c>
      <c r="AL14" s="94" t="s">
        <v>86</v>
      </c>
      <c r="AM14" t="s">
        <v>86</v>
      </c>
    </row>
    <row r="15" spans="1:46" x14ac:dyDescent="0.25">
      <c r="A15" s="92" t="s">
        <v>118</v>
      </c>
      <c r="B15" s="92">
        <f>SUM(B8:B14)</f>
        <v>494284.93555835006</v>
      </c>
      <c r="C15" s="101">
        <f>SUM(C8:C14)</f>
        <v>494285</v>
      </c>
      <c r="D15" s="98">
        <f>SUM(D8:D14)</f>
        <v>489035.3</v>
      </c>
      <c r="E15" s="92">
        <f t="shared" ref="E15:U15" si="7">SUM(E8:E14)</f>
        <v>499634.93555835006</v>
      </c>
      <c r="F15" s="95">
        <f>SUM(F8:F14)</f>
        <v>499635</v>
      </c>
      <c r="G15" s="108">
        <f t="shared" si="7"/>
        <v>498163.14</v>
      </c>
      <c r="H15" s="92">
        <f>SUM(H8:H14)</f>
        <v>676879.9140778</v>
      </c>
      <c r="I15" s="95">
        <f>SUM(I8:I14)</f>
        <v>676880</v>
      </c>
      <c r="J15" s="95">
        <f>SUM(J8:J14)</f>
        <v>546664.62999999989</v>
      </c>
      <c r="K15" s="92">
        <f t="shared" si="7"/>
        <v>176847.79391226263</v>
      </c>
      <c r="L15" s="95">
        <f t="shared" si="7"/>
        <v>118853</v>
      </c>
      <c r="M15" s="98">
        <f t="shared" si="7"/>
        <v>118827.44</v>
      </c>
      <c r="N15" s="92">
        <f t="shared" si="7"/>
        <v>182197.79391226263</v>
      </c>
      <c r="O15" s="95">
        <f>SUM(O8:O14)</f>
        <v>181241</v>
      </c>
      <c r="P15" s="108">
        <f>SUM(P8:P14)</f>
        <v>177640.22</v>
      </c>
      <c r="Q15" s="92">
        <f t="shared" si="7"/>
        <v>184080.3918830168</v>
      </c>
      <c r="R15" s="95">
        <f t="shared" si="7"/>
        <v>246078</v>
      </c>
      <c r="S15" s="92">
        <f t="shared" si="7"/>
        <v>245896</v>
      </c>
      <c r="T15" s="92">
        <f t="shared" si="7"/>
        <v>211928.59954042919</v>
      </c>
      <c r="U15" s="95">
        <f t="shared" si="7"/>
        <v>166928</v>
      </c>
      <c r="V15" s="98">
        <f t="shared" ref="V15:AD15" si="8">SUM(V8:V14)</f>
        <v>159700</v>
      </c>
      <c r="W15" s="92">
        <f t="shared" si="8"/>
        <v>201228.59954042919</v>
      </c>
      <c r="X15" s="95">
        <f t="shared" si="8"/>
        <v>253457</v>
      </c>
      <c r="Y15" s="108">
        <f t="shared" si="8"/>
        <v>177350</v>
      </c>
      <c r="Z15" s="92">
        <f t="shared" si="8"/>
        <v>311104.79938723892</v>
      </c>
      <c r="AA15" s="95">
        <f>SUM(AA8:AA14)</f>
        <v>387213.80999999994</v>
      </c>
      <c r="AB15" s="127">
        <f>SUM(AB8:AB14)</f>
        <v>382313.27999999997</v>
      </c>
      <c r="AC15" s="92">
        <f t="shared" si="8"/>
        <v>883061.32901104179</v>
      </c>
      <c r="AD15" s="98">
        <f t="shared" si="8"/>
        <v>767562.73999999987</v>
      </c>
      <c r="AE15" s="92">
        <f>SUM(AE8:AE14)</f>
        <v>883061.32901104179</v>
      </c>
      <c r="AF15" s="127">
        <f t="shared" si="2"/>
        <v>853153.36</v>
      </c>
      <c r="AG15" s="92">
        <f t="shared" si="2"/>
        <v>1172065.1053480557</v>
      </c>
      <c r="AH15" s="127">
        <f>SUM(J15,S15,AB15)</f>
        <v>1174873.9099999999</v>
      </c>
      <c r="AI15" s="92">
        <f t="shared" si="4"/>
        <v>2938187.7633701395</v>
      </c>
      <c r="AJ15" s="92">
        <f>SUM(AD15+AF15+AH15)</f>
        <v>2795590.01</v>
      </c>
      <c r="AL15" s="94" t="s">
        <v>86</v>
      </c>
    </row>
    <row r="16" spans="1:46" x14ac:dyDescent="0.25">
      <c r="A16" s="93" t="s">
        <v>119</v>
      </c>
      <c r="B16" s="93">
        <f t="shared" ref="B16:G16" si="9">B15*0.07</f>
        <v>34599.945489084508</v>
      </c>
      <c r="C16" s="102">
        <f t="shared" si="9"/>
        <v>34599.950000000004</v>
      </c>
      <c r="D16" s="102">
        <f t="shared" si="9"/>
        <v>34232.471000000005</v>
      </c>
      <c r="E16" s="102">
        <f t="shared" si="9"/>
        <v>34974.445489084508</v>
      </c>
      <c r="F16" s="102">
        <f t="shared" si="9"/>
        <v>34974.450000000004</v>
      </c>
      <c r="G16" s="107">
        <f t="shared" si="9"/>
        <v>34871.419800000003</v>
      </c>
      <c r="H16" s="96">
        <f>H15*0.07</f>
        <v>47381.593985446001</v>
      </c>
      <c r="I16" s="96">
        <f>I15*0.07</f>
        <v>47381.600000000006</v>
      </c>
      <c r="J16" s="96">
        <f>J15*0.07</f>
        <v>38266.524099999995</v>
      </c>
      <c r="K16" s="93">
        <f t="shared" ref="K16:AJ16" si="10">K15*0.07</f>
        <v>12379.345573858385</v>
      </c>
      <c r="L16" s="96">
        <f t="shared" si="10"/>
        <v>8319.7100000000009</v>
      </c>
      <c r="M16" s="97">
        <f t="shared" si="10"/>
        <v>8317.9208000000017</v>
      </c>
      <c r="N16" s="93">
        <f t="shared" si="10"/>
        <v>12753.845573858385</v>
      </c>
      <c r="O16" s="96">
        <f t="shared" si="10"/>
        <v>12686.87</v>
      </c>
      <c r="P16" s="107">
        <f t="shared" si="10"/>
        <v>12434.815400000001</v>
      </c>
      <c r="Q16" s="93">
        <f t="shared" si="10"/>
        <v>12885.627431811177</v>
      </c>
      <c r="R16" s="96">
        <f t="shared" si="10"/>
        <v>17225.460000000003</v>
      </c>
      <c r="S16" s="93">
        <f t="shared" si="10"/>
        <v>17212.72</v>
      </c>
      <c r="T16" s="93">
        <f t="shared" si="10"/>
        <v>14835.001967830045</v>
      </c>
      <c r="U16" s="96">
        <f t="shared" si="10"/>
        <v>11684.960000000001</v>
      </c>
      <c r="V16" s="97">
        <f t="shared" si="10"/>
        <v>11179.000000000002</v>
      </c>
      <c r="W16" s="93">
        <f t="shared" si="10"/>
        <v>14086.001967830045</v>
      </c>
      <c r="X16" s="96">
        <f t="shared" si="10"/>
        <v>17741.990000000002</v>
      </c>
      <c r="Y16" s="107">
        <f t="shared" si="10"/>
        <v>12414.500000000002</v>
      </c>
      <c r="Z16" s="96">
        <f t="shared" si="10"/>
        <v>21777.335957106727</v>
      </c>
      <c r="AA16" s="96">
        <f>AA15*0.07</f>
        <v>27104.966699999997</v>
      </c>
      <c r="AB16" s="126">
        <f>AB15*0.07</f>
        <v>26761.929599999999</v>
      </c>
      <c r="AC16" s="96">
        <f t="shared" si="10"/>
        <v>61814.293030772933</v>
      </c>
      <c r="AD16" s="97">
        <f t="shared" si="10"/>
        <v>53729.391799999998</v>
      </c>
      <c r="AE16" s="93">
        <f t="shared" si="10"/>
        <v>61814.293030772933</v>
      </c>
      <c r="AF16" s="126">
        <f t="shared" si="10"/>
        <v>59720.735200000003</v>
      </c>
      <c r="AG16" s="107">
        <f t="shared" si="10"/>
        <v>82044.557374363911</v>
      </c>
      <c r="AH16" s="126">
        <f t="shared" si="10"/>
        <v>82241.173699999999</v>
      </c>
      <c r="AI16" s="107">
        <f t="shared" si="10"/>
        <v>205673.14343590979</v>
      </c>
      <c r="AJ16" s="107">
        <f t="shared" si="10"/>
        <v>195691.30069999999</v>
      </c>
    </row>
    <row r="17" spans="1:40" x14ac:dyDescent="0.25">
      <c r="A17" s="92" t="s">
        <v>120</v>
      </c>
      <c r="B17" s="92">
        <f>SUM(B15:B16)</f>
        <v>528884.88104743452</v>
      </c>
      <c r="C17" s="101">
        <f>SUM(C15:C16)</f>
        <v>528884.94999999995</v>
      </c>
      <c r="D17" s="98">
        <f>SUM(D15:D16)</f>
        <v>523267.77100000001</v>
      </c>
      <c r="E17" s="92">
        <f t="shared" ref="E17:Z17" si="11">SUM(E15:E16)</f>
        <v>534609.38104743452</v>
      </c>
      <c r="F17" s="95">
        <f t="shared" si="11"/>
        <v>534609.44999999995</v>
      </c>
      <c r="G17" s="108">
        <f>SUM(G15:G16)</f>
        <v>533034.55980000005</v>
      </c>
      <c r="H17" s="95">
        <f>SUM(H15:H16)</f>
        <v>724261.50806324603</v>
      </c>
      <c r="I17" s="95">
        <f>SUM(I15:I16)</f>
        <v>724261.6</v>
      </c>
      <c r="J17" s="95">
        <f>SUM(J15:J16)</f>
        <v>584931.15409999993</v>
      </c>
      <c r="K17" s="92">
        <f t="shared" si="11"/>
        <v>189227.13948612101</v>
      </c>
      <c r="L17" s="95">
        <f t="shared" si="11"/>
        <v>127172.71</v>
      </c>
      <c r="M17" s="98">
        <f t="shared" si="11"/>
        <v>127145.36080000001</v>
      </c>
      <c r="N17" s="92">
        <f t="shared" si="11"/>
        <v>194951.63948612101</v>
      </c>
      <c r="O17" s="95">
        <f>SUM(O15:O16)</f>
        <v>193927.87</v>
      </c>
      <c r="P17" s="108">
        <f t="shared" si="11"/>
        <v>190075.03539999999</v>
      </c>
      <c r="Q17" s="92">
        <f t="shared" si="11"/>
        <v>196966.01931482798</v>
      </c>
      <c r="R17" s="95">
        <f t="shared" si="11"/>
        <v>263303.46000000002</v>
      </c>
      <c r="S17" s="92">
        <f t="shared" si="11"/>
        <v>263108.71999999997</v>
      </c>
      <c r="T17" s="92">
        <f t="shared" si="11"/>
        <v>226763.60150825925</v>
      </c>
      <c r="U17" s="95">
        <f t="shared" si="11"/>
        <v>178612.96</v>
      </c>
      <c r="V17" s="98">
        <f t="shared" si="11"/>
        <v>170879</v>
      </c>
      <c r="W17" s="92">
        <f t="shared" si="11"/>
        <v>215314.60150825925</v>
      </c>
      <c r="X17" s="95">
        <f>SUM(X15:X16)</f>
        <v>271198.99</v>
      </c>
      <c r="Y17" s="108">
        <f t="shared" si="11"/>
        <v>189764.5</v>
      </c>
      <c r="Z17" s="92">
        <f t="shared" si="11"/>
        <v>332882.13534434565</v>
      </c>
      <c r="AA17" s="95">
        <f>SUM(AA15:AA16)</f>
        <v>414318.77669999993</v>
      </c>
      <c r="AB17" s="127">
        <f>SUM(AB15:AB16)</f>
        <v>409075.20959999994</v>
      </c>
      <c r="AC17" s="92">
        <f>B17+K17+T17</f>
        <v>944875.62204181473</v>
      </c>
      <c r="AD17" s="98">
        <f>D17+M17+V17</f>
        <v>821292.13179999997</v>
      </c>
      <c r="AE17" s="92">
        <f>SUM(AE15:AE16)</f>
        <v>944875.62204181473</v>
      </c>
      <c r="AF17" s="127">
        <f>SUM(AF15:AF16)</f>
        <v>912874.09519999998</v>
      </c>
      <c r="AG17" s="92">
        <f>SUM(H17+Q17+Z17)</f>
        <v>1254109.6627224197</v>
      </c>
      <c r="AH17" s="92">
        <f>SUM(J17,S17,AB17)</f>
        <v>1257115.0836999998</v>
      </c>
      <c r="AI17" s="92">
        <f t="shared" si="4"/>
        <v>3143860.9068060489</v>
      </c>
      <c r="AJ17" s="92">
        <f>SUM(AJ15:AJ16)</f>
        <v>2991281.3106999998</v>
      </c>
    </row>
    <row r="18" spans="1:4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128"/>
      <c r="AB18" s="94"/>
      <c r="AC18" s="94"/>
      <c r="AD18" s="94" t="s">
        <v>86</v>
      </c>
      <c r="AE18" s="94" t="s">
        <v>86</v>
      </c>
      <c r="AF18" s="94" t="s">
        <v>86</v>
      </c>
      <c r="AG18" s="94"/>
      <c r="AH18" s="94"/>
      <c r="AI18" s="94"/>
      <c r="AK18" s="94" t="s">
        <v>86</v>
      </c>
    </row>
    <row r="19" spans="1:40" x14ac:dyDescent="0.25">
      <c r="C19" s="134" t="s">
        <v>86</v>
      </c>
      <c r="D19" s="135" t="s">
        <v>86</v>
      </c>
      <c r="E19" s="133"/>
      <c r="F19" s="114" t="s">
        <v>86</v>
      </c>
      <c r="G19" s="94" t="s">
        <v>86</v>
      </c>
      <c r="J19" s="94" t="s">
        <v>86</v>
      </c>
      <c r="K19" s="202" t="s">
        <v>86</v>
      </c>
      <c r="L19" s="202"/>
      <c r="M19" s="203"/>
      <c r="P19" s="114" t="s">
        <v>86</v>
      </c>
      <c r="T19" s="115" t="s">
        <v>86</v>
      </c>
      <c r="U19" s="116"/>
      <c r="W19" s="113"/>
      <c r="X19" s="113"/>
      <c r="Z19" s="94" t="s">
        <v>86</v>
      </c>
      <c r="AD19" s="94" t="s">
        <v>86</v>
      </c>
      <c r="AE19" t="s">
        <v>86</v>
      </c>
      <c r="AI19" s="94"/>
      <c r="AK19" s="94" t="s">
        <v>86</v>
      </c>
    </row>
    <row r="20" spans="1:40" x14ac:dyDescent="0.25">
      <c r="C20" s="94" t="s">
        <v>86</v>
      </c>
      <c r="F20" s="94" t="s">
        <v>86</v>
      </c>
      <c r="G20" s="94" t="s">
        <v>86</v>
      </c>
      <c r="J20" s="94" t="s">
        <v>86</v>
      </c>
      <c r="L20" s="94" t="s">
        <v>86</v>
      </c>
      <c r="M20" s="94" t="s">
        <v>86</v>
      </c>
      <c r="O20" s="94" t="s">
        <v>86</v>
      </c>
      <c r="T20" s="94" t="s">
        <v>86</v>
      </c>
      <c r="U20" s="104"/>
      <c r="V20" s="94"/>
      <c r="W20" s="94"/>
      <c r="AD20" t="s">
        <v>86</v>
      </c>
      <c r="AI20" s="94" t="s">
        <v>86</v>
      </c>
    </row>
    <row r="21" spans="1:40" x14ac:dyDescent="0.25">
      <c r="A21" s="103" t="s">
        <v>86</v>
      </c>
      <c r="B21" s="94" t="s">
        <v>86</v>
      </c>
      <c r="C21" s="94" t="s">
        <v>86</v>
      </c>
      <c r="D21" s="105" t="s">
        <v>86</v>
      </c>
      <c r="E21" s="105"/>
      <c r="F21" s="94" t="s">
        <v>86</v>
      </c>
      <c r="G21" s="94" t="s">
        <v>86</v>
      </c>
      <c r="H21" t="s">
        <v>86</v>
      </c>
      <c r="J21" s="104" t="s">
        <v>86</v>
      </c>
      <c r="K21" s="119"/>
      <c r="L21" s="183"/>
      <c r="M21" s="120" t="s">
        <v>86</v>
      </c>
      <c r="O21" s="94" t="s">
        <v>86</v>
      </c>
      <c r="T21" t="s">
        <v>86</v>
      </c>
      <c r="U21" s="94" t="s">
        <v>86</v>
      </c>
      <c r="V21" s="94"/>
      <c r="W21" s="104"/>
      <c r="Y21" s="94"/>
      <c r="AH21" t="s">
        <v>86</v>
      </c>
      <c r="AI21" s="94"/>
    </row>
    <row r="22" spans="1:40" x14ac:dyDescent="0.25">
      <c r="A22" s="103" t="s">
        <v>86</v>
      </c>
      <c r="B22" s="118" t="s">
        <v>86</v>
      </c>
      <c r="C22" s="94" t="s">
        <v>86</v>
      </c>
      <c r="D22" s="124" t="s">
        <v>86</v>
      </c>
      <c r="E22" s="131" t="s">
        <v>86</v>
      </c>
      <c r="F22" s="94" t="s">
        <v>86</v>
      </c>
      <c r="G22" s="94" t="s">
        <v>86</v>
      </c>
      <c r="H22" s="94" t="s">
        <v>86</v>
      </c>
      <c r="I22" s="94" t="s">
        <v>86</v>
      </c>
      <c r="J22" t="s">
        <v>86</v>
      </c>
      <c r="K22" s="121" t="s">
        <v>86</v>
      </c>
      <c r="L22" s="121" t="s">
        <v>86</v>
      </c>
      <c r="M22" s="121" t="s">
        <v>86</v>
      </c>
      <c r="N22" s="94"/>
      <c r="O22" s="94" t="s">
        <v>86</v>
      </c>
      <c r="T22" t="s">
        <v>86</v>
      </c>
      <c r="U22" s="110" t="s">
        <v>86</v>
      </c>
      <c r="W22" s="94" t="s">
        <v>86</v>
      </c>
      <c r="AH22" t="s">
        <v>86</v>
      </c>
      <c r="AI22" s="94"/>
    </row>
    <row r="23" spans="1:40" x14ac:dyDescent="0.25">
      <c r="A23" s="103" t="s">
        <v>86</v>
      </c>
      <c r="B23" t="s">
        <v>86</v>
      </c>
      <c r="C23" s="94" t="s">
        <v>86</v>
      </c>
      <c r="D23" s="123" t="s">
        <v>86</v>
      </c>
      <c r="E23" s="110" t="s">
        <v>86</v>
      </c>
      <c r="G23" s="94" t="s">
        <v>86</v>
      </c>
      <c r="H23" s="94" t="s">
        <v>86</v>
      </c>
      <c r="I23" s="94" t="s">
        <v>86</v>
      </c>
      <c r="J23" t="s">
        <v>86</v>
      </c>
      <c r="K23" s="120" t="s">
        <v>86</v>
      </c>
      <c r="L23" s="193" t="s">
        <v>86</v>
      </c>
      <c r="M23" s="131" t="s">
        <v>86</v>
      </c>
      <c r="N23" s="94" t="s">
        <v>86</v>
      </c>
      <c r="O23" s="94" t="s">
        <v>86</v>
      </c>
      <c r="P23" t="s">
        <v>86</v>
      </c>
      <c r="T23" t="s">
        <v>86</v>
      </c>
      <c r="U23" s="131"/>
      <c r="V23" t="s">
        <v>86</v>
      </c>
      <c r="W23" s="110" t="s">
        <v>86</v>
      </c>
      <c r="X23" s="94" t="s">
        <v>86</v>
      </c>
      <c r="Y23" t="s">
        <v>86</v>
      </c>
      <c r="Z23" s="94"/>
      <c r="AI23" s="94" t="s">
        <v>86</v>
      </c>
    </row>
    <row r="24" spans="1:40" ht="20.100000000000001" customHeight="1" x14ac:dyDescent="0.25">
      <c r="C24" s="94" t="s">
        <v>86</v>
      </c>
      <c r="G24" s="94" t="s">
        <v>86</v>
      </c>
      <c r="H24" s="94" t="s">
        <v>86</v>
      </c>
      <c r="I24" s="94" t="s">
        <v>86</v>
      </c>
      <c r="J24" s="178" t="s">
        <v>86</v>
      </c>
      <c r="K24" s="193" t="s">
        <v>86</v>
      </c>
      <c r="L24" s="134" t="s">
        <v>86</v>
      </c>
      <c r="M24" s="131" t="s">
        <v>86</v>
      </c>
      <c r="N24" s="94" t="s">
        <v>86</v>
      </c>
      <c r="O24" s="94" t="s">
        <v>86</v>
      </c>
      <c r="T24" s="124" t="s">
        <v>86</v>
      </c>
      <c r="U24" s="110"/>
      <c r="V24" t="s">
        <v>86</v>
      </c>
      <c r="W24" s="131" t="s">
        <v>86</v>
      </c>
      <c r="X24" s="130" t="s">
        <v>86</v>
      </c>
      <c r="Y24" t="s">
        <v>86</v>
      </c>
      <c r="Z24" s="94"/>
      <c r="AF24" t="s">
        <v>86</v>
      </c>
      <c r="AH24" t="s">
        <v>86</v>
      </c>
      <c r="AI24" s="94" t="s">
        <v>86</v>
      </c>
      <c r="AN24" t="s">
        <v>86</v>
      </c>
    </row>
    <row r="25" spans="1:40" x14ac:dyDescent="0.25">
      <c r="B25" t="s">
        <v>86</v>
      </c>
      <c r="C25" s="125" t="s">
        <v>86</v>
      </c>
      <c r="D25" s="94" t="s">
        <v>86</v>
      </c>
      <c r="G25" s="94" t="s">
        <v>86</v>
      </c>
      <c r="H25" s="94" t="s">
        <v>86</v>
      </c>
      <c r="I25" s="94" t="s">
        <v>86</v>
      </c>
      <c r="J25" s="168" t="s">
        <v>86</v>
      </c>
      <c r="K25" s="193" t="s">
        <v>86</v>
      </c>
      <c r="L25" s="122" t="s">
        <v>86</v>
      </c>
      <c r="M25" s="122"/>
      <c r="T25" s="122"/>
      <c r="U25" s="122"/>
      <c r="V25" t="s">
        <v>86</v>
      </c>
      <c r="W25" s="131" t="s">
        <v>86</v>
      </c>
      <c r="Z25" s="94" t="s">
        <v>86</v>
      </c>
      <c r="AF25" t="s">
        <v>86</v>
      </c>
      <c r="AH25" t="s">
        <v>86</v>
      </c>
      <c r="AI25" s="94" t="s">
        <v>86</v>
      </c>
    </row>
    <row r="26" spans="1:40" x14ac:dyDescent="0.25">
      <c r="C26" s="94" t="s">
        <v>86</v>
      </c>
      <c r="D26" s="111" t="s">
        <v>86</v>
      </c>
      <c r="E26" s="112"/>
      <c r="G26" t="s">
        <v>86</v>
      </c>
      <c r="H26" s="94" t="s">
        <v>86</v>
      </c>
      <c r="I26" s="94" t="s">
        <v>86</v>
      </c>
      <c r="J26" s="104" t="s">
        <v>86</v>
      </c>
      <c r="K26" s="182" t="s">
        <v>86</v>
      </c>
      <c r="L26" s="123" t="s">
        <v>86</v>
      </c>
      <c r="M26" s="110" t="s">
        <v>86</v>
      </c>
      <c r="T26" s="122" t="s">
        <v>86</v>
      </c>
      <c r="U26" s="110" t="s">
        <v>86</v>
      </c>
      <c r="W26" s="110"/>
      <c r="X26" s="132" t="s">
        <v>86</v>
      </c>
      <c r="Y26" s="37" t="s">
        <v>86</v>
      </c>
      <c r="Z26" s="94"/>
      <c r="AF26" t="s">
        <v>86</v>
      </c>
      <c r="AH26" t="s">
        <v>86</v>
      </c>
      <c r="AI26" s="94" t="s">
        <v>86</v>
      </c>
    </row>
    <row r="27" spans="1:40" x14ac:dyDescent="0.25">
      <c r="G27" t="s">
        <v>86</v>
      </c>
      <c r="H27" s="94" t="s">
        <v>122</v>
      </c>
      <c r="I27" s="94" t="s">
        <v>86</v>
      </c>
      <c r="J27" s="179" t="s">
        <v>86</v>
      </c>
      <c r="K27" s="104" t="s">
        <v>86</v>
      </c>
      <c r="L27" s="104" t="s">
        <v>86</v>
      </c>
      <c r="Y27" s="37" t="s">
        <v>86</v>
      </c>
      <c r="Z27" s="94"/>
      <c r="AH27" t="s">
        <v>86</v>
      </c>
      <c r="AI27" s="94" t="s">
        <v>86</v>
      </c>
    </row>
    <row r="28" spans="1:40" x14ac:dyDescent="0.25">
      <c r="G28" s="94" t="s">
        <v>86</v>
      </c>
      <c r="H28" s="94" t="s">
        <v>86</v>
      </c>
      <c r="I28" s="94" t="s">
        <v>86</v>
      </c>
      <c r="J28" s="94" t="s">
        <v>86</v>
      </c>
      <c r="K28" s="94" t="s">
        <v>86</v>
      </c>
      <c r="L28" s="94" t="s">
        <v>86</v>
      </c>
      <c r="Z28" s="94"/>
      <c r="AH28" t="s">
        <v>86</v>
      </c>
      <c r="AI28" s="94" t="s">
        <v>86</v>
      </c>
    </row>
    <row r="29" spans="1:40" x14ac:dyDescent="0.25">
      <c r="F29" s="112"/>
      <c r="G29" s="112"/>
      <c r="H29" s="180" t="s">
        <v>86</v>
      </c>
      <c r="I29" s="180" t="s">
        <v>86</v>
      </c>
      <c r="J29" s="181" t="s">
        <v>86</v>
      </c>
      <c r="K29" s="181" t="s">
        <v>86</v>
      </c>
      <c r="L29" s="181" t="s">
        <v>86</v>
      </c>
      <c r="M29" s="112"/>
      <c r="N29" s="112"/>
      <c r="O29" s="112"/>
      <c r="Z29" s="94"/>
    </row>
    <row r="30" spans="1:40" x14ac:dyDescent="0.25">
      <c r="H30" s="94" t="s">
        <v>86</v>
      </c>
      <c r="I30" s="94" t="s">
        <v>86</v>
      </c>
      <c r="J30" t="s">
        <v>86</v>
      </c>
      <c r="Z30" s="94"/>
    </row>
    <row r="31" spans="1:40" x14ac:dyDescent="0.25">
      <c r="G31" t="s">
        <v>86</v>
      </c>
      <c r="H31" s="94" t="s">
        <v>86</v>
      </c>
      <c r="I31" s="94" t="s">
        <v>86</v>
      </c>
      <c r="K31" t="s">
        <v>86</v>
      </c>
      <c r="T31" t="s">
        <v>122</v>
      </c>
      <c r="W31" s="94" t="s">
        <v>86</v>
      </c>
      <c r="Z31" s="94"/>
    </row>
    <row r="32" spans="1:40" x14ac:dyDescent="0.25">
      <c r="H32" s="94" t="s">
        <v>86</v>
      </c>
      <c r="I32" s="94" t="s">
        <v>86</v>
      </c>
      <c r="K32" t="s">
        <v>86</v>
      </c>
      <c r="Y32" s="94"/>
      <c r="Z32" s="94"/>
    </row>
    <row r="33" spans="8:24" x14ac:dyDescent="0.25">
      <c r="H33" s="94" t="s">
        <v>86</v>
      </c>
      <c r="K33" s="94" t="s">
        <v>86</v>
      </c>
      <c r="Q33" t="s">
        <v>86</v>
      </c>
      <c r="T33" t="s">
        <v>86</v>
      </c>
      <c r="X33" t="s">
        <v>86</v>
      </c>
    </row>
    <row r="34" spans="8:24" x14ac:dyDescent="0.25">
      <c r="T34" t="s">
        <v>86</v>
      </c>
    </row>
    <row r="35" spans="8:24" x14ac:dyDescent="0.25">
      <c r="Q35" t="s">
        <v>86</v>
      </c>
      <c r="T35" t="s">
        <v>86</v>
      </c>
      <c r="U35" t="s">
        <v>86</v>
      </c>
    </row>
  </sheetData>
  <mergeCells count="1">
    <mergeCell ref="K19:M19"/>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5EA2F-1DEE-47A5-8C9E-98DB58FDEFEA}">
  <dimension ref="B1:R37"/>
  <sheetViews>
    <sheetView tabSelected="1" zoomScale="118" zoomScaleNormal="118" workbookViewId="0">
      <selection activeCell="F29" sqref="F29"/>
    </sheetView>
  </sheetViews>
  <sheetFormatPr defaultRowHeight="15" x14ac:dyDescent="0.25"/>
  <cols>
    <col min="2" max="2" width="32.7109375" customWidth="1"/>
    <col min="3" max="3" width="12.28515625" customWidth="1"/>
    <col min="4" max="4" width="12.140625" customWidth="1"/>
    <col min="5" max="5" width="11.7109375" customWidth="1"/>
    <col min="6" max="6" width="14.28515625" customWidth="1"/>
    <col min="7" max="7" width="13" customWidth="1"/>
    <col min="8" max="8" width="11.85546875" customWidth="1"/>
    <col min="9" max="9" width="12.5703125" customWidth="1"/>
    <col min="10" max="10" width="14" customWidth="1"/>
    <col min="11" max="11" width="12.42578125" customWidth="1"/>
    <col min="12" max="12" width="14.28515625" customWidth="1"/>
    <col min="13" max="13" width="12.42578125" customWidth="1"/>
    <col min="14" max="14" width="14.140625" customWidth="1"/>
    <col min="15" max="15" width="17.42578125" bestFit="1" customWidth="1"/>
  </cols>
  <sheetData>
    <row r="1" spans="2:15" x14ac:dyDescent="0.25">
      <c r="B1" s="176" t="s">
        <v>179</v>
      </c>
      <c r="C1" s="177"/>
      <c r="D1" s="177"/>
      <c r="E1" s="177"/>
    </row>
    <row r="2" spans="2:15" x14ac:dyDescent="0.25">
      <c r="B2" s="176" t="s">
        <v>180</v>
      </c>
      <c r="C2" s="177"/>
      <c r="D2" s="177"/>
      <c r="E2" s="177"/>
      <c r="K2" s="104" t="s">
        <v>86</v>
      </c>
    </row>
    <row r="3" spans="2:15" x14ac:dyDescent="0.25">
      <c r="B3" s="176" t="s">
        <v>181</v>
      </c>
      <c r="C3" s="177"/>
      <c r="D3" s="177"/>
      <c r="E3" s="177"/>
    </row>
    <row r="4" spans="2:15" ht="21" customHeight="1" x14ac:dyDescent="0.25">
      <c r="B4" s="204" t="s">
        <v>155</v>
      </c>
      <c r="C4" s="204"/>
      <c r="D4" s="204"/>
      <c r="E4" s="204"/>
      <c r="F4" s="204"/>
      <c r="G4" s="204"/>
      <c r="H4" s="204"/>
      <c r="L4" s="104" t="s">
        <v>86</v>
      </c>
      <c r="M4" t="s">
        <v>86</v>
      </c>
    </row>
    <row r="5" spans="2:15" ht="30" x14ac:dyDescent="0.25">
      <c r="B5" s="136"/>
      <c r="C5" s="136" t="s">
        <v>156</v>
      </c>
      <c r="D5" s="136" t="s">
        <v>157</v>
      </c>
      <c r="E5" s="136" t="s">
        <v>158</v>
      </c>
      <c r="F5" s="137" t="s">
        <v>159</v>
      </c>
      <c r="G5" s="136" t="s">
        <v>160</v>
      </c>
      <c r="H5" s="136" t="s">
        <v>161</v>
      </c>
      <c r="L5" s="104" t="s">
        <v>86</v>
      </c>
    </row>
    <row r="6" spans="2:15" x14ac:dyDescent="0.25">
      <c r="B6" s="138" t="s">
        <v>162</v>
      </c>
      <c r="C6" s="139">
        <v>1787756</v>
      </c>
      <c r="D6" s="139">
        <v>1641234.13</v>
      </c>
      <c r="E6" s="139">
        <v>0</v>
      </c>
      <c r="F6" s="139">
        <f>D6+E6</f>
        <v>1641234.13</v>
      </c>
      <c r="G6" s="139">
        <f>C6-F6</f>
        <v>146521.87000000011</v>
      </c>
      <c r="H6" s="140">
        <f>F6/C6*100</f>
        <v>91.804146091524785</v>
      </c>
      <c r="L6" s="104" t="s">
        <v>86</v>
      </c>
    </row>
    <row r="7" spans="2:15" x14ac:dyDescent="0.25">
      <c r="B7" s="138" t="s">
        <v>163</v>
      </c>
      <c r="C7" s="139">
        <v>581145</v>
      </c>
      <c r="D7" s="139">
        <v>580329</v>
      </c>
      <c r="E7" s="139">
        <v>0</v>
      </c>
      <c r="F7" s="139">
        <f t="shared" ref="F7" si="0">D7+E7</f>
        <v>580329</v>
      </c>
      <c r="G7" s="139">
        <f t="shared" ref="G7" si="1">C7-F7</f>
        <v>816</v>
      </c>
      <c r="H7" s="140">
        <f t="shared" ref="H7:H9" si="2">F7/C7*100</f>
        <v>99.859587538394038</v>
      </c>
    </row>
    <row r="8" spans="2:15" x14ac:dyDescent="0.25">
      <c r="B8" s="138" t="s">
        <v>139</v>
      </c>
      <c r="C8" s="141">
        <v>774960</v>
      </c>
      <c r="D8" s="141">
        <v>769719.38</v>
      </c>
      <c r="E8" s="141">
        <v>0</v>
      </c>
      <c r="F8" s="141">
        <v>769719.38</v>
      </c>
      <c r="G8" s="141">
        <v>5240.62</v>
      </c>
      <c r="H8" s="140">
        <f t="shared" si="2"/>
        <v>99.323756064829155</v>
      </c>
      <c r="L8" s="104" t="s">
        <v>86</v>
      </c>
      <c r="M8" s="104" t="s">
        <v>86</v>
      </c>
    </row>
    <row r="9" spans="2:15" ht="15.75" thickBot="1" x14ac:dyDescent="0.3">
      <c r="B9" s="142" t="s">
        <v>164</v>
      </c>
      <c r="C9" s="143">
        <f>SUM(C6:C8)</f>
        <v>3143861</v>
      </c>
      <c r="D9" s="143">
        <f t="shared" ref="D9:F9" si="3">SUM(D6:D8)</f>
        <v>2991282.51</v>
      </c>
      <c r="E9" s="143">
        <f t="shared" si="3"/>
        <v>0</v>
      </c>
      <c r="F9" s="143">
        <f t="shared" si="3"/>
        <v>2991282.51</v>
      </c>
      <c r="G9" s="144">
        <f>SUM(G6:G8)</f>
        <v>152578.49000000011</v>
      </c>
      <c r="H9" s="145">
        <f t="shared" si="2"/>
        <v>95.146780026216163</v>
      </c>
    </row>
    <row r="10" spans="2:15" ht="15.75" thickTop="1" x14ac:dyDescent="0.25"/>
    <row r="12" spans="2:15" ht="60" x14ac:dyDescent="0.25">
      <c r="B12" s="92" t="s">
        <v>88</v>
      </c>
      <c r="C12" s="146" t="s">
        <v>165</v>
      </c>
      <c r="D12" s="165" t="s">
        <v>173</v>
      </c>
      <c r="E12" s="150" t="s">
        <v>166</v>
      </c>
      <c r="F12" s="146" t="s">
        <v>167</v>
      </c>
      <c r="G12" s="165" t="s">
        <v>174</v>
      </c>
      <c r="H12" s="150" t="s">
        <v>168</v>
      </c>
      <c r="I12" s="146" t="s">
        <v>96</v>
      </c>
      <c r="J12" s="165" t="s">
        <v>175</v>
      </c>
      <c r="K12" s="150" t="s">
        <v>169</v>
      </c>
      <c r="L12" s="146" t="s">
        <v>170</v>
      </c>
      <c r="M12" s="165" t="s">
        <v>176</v>
      </c>
      <c r="N12" s="146" t="s">
        <v>171</v>
      </c>
    </row>
    <row r="13" spans="2:15" x14ac:dyDescent="0.25">
      <c r="B13" s="92"/>
      <c r="C13" s="147"/>
      <c r="D13" s="161"/>
      <c r="E13" s="153"/>
      <c r="F13" s="147"/>
      <c r="G13" s="147"/>
      <c r="H13" s="151"/>
      <c r="I13" s="147"/>
      <c r="J13" s="147"/>
      <c r="K13" s="153"/>
      <c r="L13" s="147"/>
      <c r="M13" s="153"/>
      <c r="N13" s="147"/>
    </row>
    <row r="14" spans="2:15" x14ac:dyDescent="0.25">
      <c r="B14" s="93" t="s">
        <v>111</v>
      </c>
      <c r="C14" s="139">
        <f>'Table 2-Project Budget - UN Cat'!AC8</f>
        <v>45290.96169256245</v>
      </c>
      <c r="D14" s="162">
        <f>'Table 2-Project Budget - UN Cat'!C8+'Table 2-Project Budget - UN Cat'!K8+'Table 2-Project Budget - UN Cat'!U8</f>
        <v>49278.312067535153</v>
      </c>
      <c r="E14" s="152">
        <f>'Table 2-Project Budget - UN Cat'!AD8</f>
        <v>48237.1</v>
      </c>
      <c r="F14" s="93">
        <f>'Table 2-Project Budget - UN Cat'!AE8</f>
        <v>45290.96169256245</v>
      </c>
      <c r="G14" s="162">
        <f>'Table 2-Project Budget - UN Cat'!F8+'Table 2-Project Budget - UN Cat'!O8+'Table 2-Project Budget - UN Cat'!X8</f>
        <v>19278</v>
      </c>
      <c r="H14" s="107">
        <f>'Table 2-Project Budget - UN Cat'!AF8</f>
        <v>17605.5</v>
      </c>
      <c r="I14" s="93">
        <f>'Table 2-Project Budget - UN Cat'!AG8</f>
        <v>60387.948923416596</v>
      </c>
      <c r="J14" s="100">
        <f>'Table 2-Project Budget - UN Cat'!I8+'Table 2-Project Budget - UN Cat'!R8+'Table 2-Project Budget - UN Cat'!AA8</f>
        <v>14330</v>
      </c>
      <c r="K14" s="107">
        <f>'Table 2-Project Budget - UN Cat'!AH8</f>
        <v>7323</v>
      </c>
      <c r="L14" s="139">
        <f t="shared" ref="L14:N20" si="4">C14+F14+I14</f>
        <v>150969.8723085415</v>
      </c>
      <c r="M14" s="100">
        <f t="shared" si="4"/>
        <v>82886.312067535153</v>
      </c>
      <c r="N14" s="139">
        <f t="shared" si="4"/>
        <v>73165.600000000006</v>
      </c>
      <c r="O14" s="170" t="s">
        <v>86</v>
      </c>
    </row>
    <row r="15" spans="2:15" x14ac:dyDescent="0.25">
      <c r="B15" s="93" t="s">
        <v>112</v>
      </c>
      <c r="C15" s="139">
        <f>'Table 2-Project Budget - UN Cat'!AC9</f>
        <v>70000</v>
      </c>
      <c r="D15" s="162">
        <f>'Table 2-Project Budget - UN Cat'!C9+'Table 2-Project Budget - UN Cat'!K9+'Table 2-Project Budget - UN Cat'!U9</f>
        <v>16000</v>
      </c>
      <c r="E15" s="152">
        <f>'Table 2-Project Budget - UN Cat'!AD9</f>
        <v>6816.84</v>
      </c>
      <c r="F15" s="93">
        <f>'Table 2-Project Budget - UN Cat'!AE9</f>
        <v>80000</v>
      </c>
      <c r="G15" s="162">
        <f>'Table 2-Project Budget - UN Cat'!F9+'Table 2-Project Budget - UN Cat'!O9+'Table 2-Project Budget - UN Cat'!X9</f>
        <v>31000</v>
      </c>
      <c r="H15" s="107">
        <f>'Table 2-Project Budget - UN Cat'!AF9</f>
        <v>30168</v>
      </c>
      <c r="I15" s="93">
        <f>'Table 2-Project Budget - UN Cat'!AG9</f>
        <v>105000</v>
      </c>
      <c r="J15" s="100">
        <f>'Table 2-Project Budget - UN Cat'!I9+'Table 2-Project Budget - UN Cat'!R9+'Table 2-Project Budget - UN Cat'!AA9</f>
        <v>38000</v>
      </c>
      <c r="K15" s="107">
        <f>'Table 2-Project Budget - UN Cat'!AH9</f>
        <v>0</v>
      </c>
      <c r="L15" s="139">
        <f t="shared" si="4"/>
        <v>255000</v>
      </c>
      <c r="M15" s="100">
        <f t="shared" si="4"/>
        <v>85000</v>
      </c>
      <c r="N15" s="139">
        <f t="shared" si="4"/>
        <v>36984.839999999997</v>
      </c>
      <c r="O15" s="170" t="s">
        <v>86</v>
      </c>
    </row>
    <row r="16" spans="2:15" x14ac:dyDescent="0.25">
      <c r="B16" s="93" t="s">
        <v>113</v>
      </c>
      <c r="C16" s="139">
        <f>'Table 2-Project Budget - UN Cat'!AC10</f>
        <v>140000</v>
      </c>
      <c r="D16" s="162">
        <f>'Table 2-Project Budget - UN Cat'!C10+'Table 2-Project Budget - UN Cat'!K10+'Table 2-Project Budget - UN Cat'!U10</f>
        <v>60000</v>
      </c>
      <c r="E16" s="152">
        <f>'Table 2-Project Budget - UN Cat'!AD10</f>
        <v>39495.65</v>
      </c>
      <c r="F16" s="149">
        <f>'Table 2-Project Budget - UN Cat'!AE10</f>
        <v>30000</v>
      </c>
      <c r="G16" s="162">
        <f>'Table 2-Project Budget - UN Cat'!F10+'Table 2-Project Budget - UN Cat'!O10+'Table 2-Project Budget - UN Cat'!X10</f>
        <v>10000</v>
      </c>
      <c r="H16" s="164">
        <f>'Table 2-Project Budget - UN Cat'!AF10</f>
        <v>9997</v>
      </c>
      <c r="I16" s="149">
        <f>'Table 2-Project Budget - UN Cat'!AG10</f>
        <v>0</v>
      </c>
      <c r="J16" s="100">
        <f>'Table 2-Project Budget - UN Cat'!I10+'Table 2-Project Budget - UN Cat'!R10+'Table 2-Project Budget - UN Cat'!AA10</f>
        <v>78700</v>
      </c>
      <c r="K16" s="164">
        <f>'Table 2-Project Budget - UN Cat'!AH10</f>
        <v>76758.95</v>
      </c>
      <c r="L16" s="139">
        <f t="shared" si="4"/>
        <v>170000</v>
      </c>
      <c r="M16" s="100">
        <f t="shared" si="4"/>
        <v>148700</v>
      </c>
      <c r="N16" s="139">
        <f t="shared" si="4"/>
        <v>126251.6</v>
      </c>
      <c r="O16" s="170" t="s">
        <v>86</v>
      </c>
    </row>
    <row r="17" spans="2:18" x14ac:dyDescent="0.25">
      <c r="B17" s="93" t="s">
        <v>114</v>
      </c>
      <c r="C17" s="159">
        <f>'Table 2-Project Budget - UN Cat'!AC11</f>
        <v>120000</v>
      </c>
      <c r="D17" s="162">
        <f>'Table 2-Project Budget - UN Cat'!C11+'Table 2-Project Budget - UN Cat'!K11+'Table 2-Project Budget - UN Cat'!U11</f>
        <v>108050</v>
      </c>
      <c r="E17" s="160">
        <f>'Table 2-Project Budget - UN Cat'!AD11</f>
        <v>107598.44</v>
      </c>
      <c r="F17" s="93">
        <f>'Table 2-Project Budget - UN Cat'!AE11</f>
        <v>140000</v>
      </c>
      <c r="G17" s="162">
        <f>'Table 2-Project Budget - UN Cat'!F11+'Table 2-Project Budget - UN Cat'!O11+'Table 2-Project Budget - UN Cat'!X11</f>
        <v>115011</v>
      </c>
      <c r="H17" s="107">
        <f>'Table 2-Project Budget - UN Cat'!AF11</f>
        <v>93931.64</v>
      </c>
      <c r="I17" s="149">
        <f>'Table 2-Project Budget - UN Cat'!AG11</f>
        <v>160000</v>
      </c>
      <c r="J17" s="172">
        <f>'Table 2-Project Budget - UN Cat'!I11+'Table 2-Project Budget - UN Cat'!R11+'Table 2-Project Budget - UN Cat'!AA11</f>
        <v>467002.86</v>
      </c>
      <c r="K17" s="164">
        <f>'Table 2-Project Budget - UN Cat'!AH11</f>
        <v>495705.88</v>
      </c>
      <c r="L17" s="159">
        <f t="shared" si="4"/>
        <v>420000</v>
      </c>
      <c r="M17" s="172">
        <f t="shared" si="4"/>
        <v>690063.86</v>
      </c>
      <c r="N17" s="159">
        <f t="shared" si="4"/>
        <v>697235.96</v>
      </c>
      <c r="O17" s="170" t="s">
        <v>86</v>
      </c>
      <c r="P17" s="113"/>
      <c r="Q17" s="104" t="s">
        <v>86</v>
      </c>
    </row>
    <row r="18" spans="2:18" x14ac:dyDescent="0.25">
      <c r="B18" s="93" t="s">
        <v>115</v>
      </c>
      <c r="C18" s="159">
        <f>'Table 2-Project Budget - UN Cat'!AC12</f>
        <v>130000</v>
      </c>
      <c r="D18" s="162">
        <f>'Table 2-Project Budget - UN Cat'!C12+'Table 2-Project Budget - UN Cat'!K12+'Table 2-Project Budget - UN Cat'!U12</f>
        <v>293285</v>
      </c>
      <c r="E18" s="160">
        <f>'Table 2-Project Budget - UN Cat'!AD12</f>
        <v>284652.45</v>
      </c>
      <c r="F18" s="149">
        <f>'Table 2-Project Budget - UN Cat'!AE12</f>
        <v>155000</v>
      </c>
      <c r="G18" s="162">
        <f>'Table 2-Project Budget - UN Cat'!F12+'Table 2-Project Budget - UN Cat'!O12+'Table 2-Project Budget - UN Cat'!X12</f>
        <v>470608</v>
      </c>
      <c r="H18" s="164">
        <f>'Table 2-Project Budget - UN Cat'!AF12</f>
        <v>433832.46</v>
      </c>
      <c r="I18" s="93">
        <f>'Table 2-Project Budget - UN Cat'!AG12</f>
        <v>290000</v>
      </c>
      <c r="J18" s="100">
        <f>'Table 2-Project Budget - UN Cat'!I12+'Table 2-Project Budget - UN Cat'!R12+'Table 2-Project Budget - UN Cat'!AA12</f>
        <v>257907</v>
      </c>
      <c r="K18" s="107">
        <f>'Table 2-Project Budget - UN Cat'!AH12</f>
        <v>187200.03</v>
      </c>
      <c r="L18" s="159">
        <f t="shared" si="4"/>
        <v>575000</v>
      </c>
      <c r="M18" s="100">
        <f t="shared" si="4"/>
        <v>1021800</v>
      </c>
      <c r="N18" s="159">
        <f t="shared" si="4"/>
        <v>905684.94000000006</v>
      </c>
      <c r="O18" s="170" t="s">
        <v>86</v>
      </c>
      <c r="P18" s="113"/>
      <c r="Q18" s="104" t="s">
        <v>86</v>
      </c>
    </row>
    <row r="19" spans="2:18" x14ac:dyDescent="0.25">
      <c r="B19" s="93" t="s">
        <v>116</v>
      </c>
      <c r="C19" s="159">
        <f>'Table 2-Project Budget - UN Cat'!AC13</f>
        <v>320000</v>
      </c>
      <c r="D19" s="162">
        <f>'Table 2-Project Budget - UN Cat'!C13+'Table 2-Project Budget - UN Cat'!K13+'Table 2-Project Budget - UN Cat'!U13</f>
        <v>251014</v>
      </c>
      <c r="E19" s="160">
        <f>'Table 2-Project Budget - UN Cat'!AD13</f>
        <v>238421.44</v>
      </c>
      <c r="F19" s="93">
        <f>'Table 2-Project Budget - UN Cat'!AE13</f>
        <v>375000</v>
      </c>
      <c r="G19" s="171">
        <f>'Table 2-Project Budget - UN Cat'!F13+'Table 2-Project Budget - UN Cat'!O13+'Table 2-Project Budget - UN Cat'!X13</f>
        <v>221923</v>
      </c>
      <c r="H19" s="164">
        <f>'Table 2-Project Budget - UN Cat'!G13+'Table 2-Project Budget - UN Cat'!P13+'Table 2-Project Budget - UN Cat'!Y13</f>
        <v>218338</v>
      </c>
      <c r="I19" s="149">
        <f>'Table 2-Project Budget - UN Cat'!AG13</f>
        <v>480000</v>
      </c>
      <c r="J19" s="100">
        <f>'Table 2-Project Budget - UN Cat'!I13+'Table 2-Project Budget - UN Cat'!R13+'Table 2-Project Budget - UN Cat'!AA13</f>
        <v>132027.54</v>
      </c>
      <c r="K19" s="164">
        <f>'Table 2-Project Budget - UN Cat'!AH13</f>
        <v>121818</v>
      </c>
      <c r="L19" s="139">
        <f t="shared" si="4"/>
        <v>1175000</v>
      </c>
      <c r="M19" s="100">
        <f t="shared" si="4"/>
        <v>604964.54</v>
      </c>
      <c r="N19" s="139">
        <f t="shared" si="4"/>
        <v>578577.43999999994</v>
      </c>
      <c r="O19" s="170" t="s">
        <v>86</v>
      </c>
      <c r="P19" s="113"/>
    </row>
    <row r="20" spans="2:18" x14ac:dyDescent="0.25">
      <c r="B20" s="93" t="s">
        <v>117</v>
      </c>
      <c r="C20" s="139">
        <f>'Table 2-Project Budget - UN Cat'!AC14</f>
        <v>57770.367318479381</v>
      </c>
      <c r="D20" s="162">
        <f>'Table 2-Project Budget - UN Cat'!C14+'Table 2-Project Budget - UN Cat'!K14+'Table 2-Project Budget - UN Cat'!U14</f>
        <v>60433.481844727459</v>
      </c>
      <c r="E20" s="152">
        <f>'Table 2-Project Budget - UN Cat'!AD14</f>
        <v>42340.82</v>
      </c>
      <c r="F20" s="93">
        <f>'Table 2-Project Budget - UN Cat'!AE14</f>
        <v>57770.367318479381</v>
      </c>
      <c r="G20" s="162">
        <f>'Table 2-Project Budget - UN Cat'!F14+'Table 2-Project Budget - UN Cat'!O14+'Table 2-Project Budget - UN Cat'!X14</f>
        <v>66513</v>
      </c>
      <c r="H20" s="107">
        <f>'Table 2-Project Budget - UN Cat'!AF14</f>
        <v>49280.759999999995</v>
      </c>
      <c r="I20" s="149">
        <f>'Table 2-Project Budget - UN Cat'!AG14</f>
        <v>76677.156424639164</v>
      </c>
      <c r="J20" s="172">
        <f>'Table 2-Project Budget - UN Cat'!I14+'Table 2-Project Budget - UN Cat'!R14+'Table 2-Project Budget - UN Cat'!AA14</f>
        <v>322204.41000000003</v>
      </c>
      <c r="K20" s="164">
        <f>'Table 2-Project Budget - UN Cat'!AH14</f>
        <v>286068.05</v>
      </c>
      <c r="L20" s="159">
        <f t="shared" si="4"/>
        <v>192217.89106159791</v>
      </c>
      <c r="M20" s="172">
        <f t="shared" si="4"/>
        <v>449150.89184472751</v>
      </c>
      <c r="N20" s="175">
        <f t="shared" si="4"/>
        <v>377689.63</v>
      </c>
      <c r="O20" s="170" t="s">
        <v>86</v>
      </c>
      <c r="P20" s="113"/>
      <c r="Q20" s="173" t="s">
        <v>86</v>
      </c>
    </row>
    <row r="21" spans="2:18" x14ac:dyDescent="0.25">
      <c r="B21" s="92" t="s">
        <v>118</v>
      </c>
      <c r="C21" s="148">
        <f>SUM(C14:C20)</f>
        <v>883061.32901104179</v>
      </c>
      <c r="D21" s="163">
        <f>SUM(D14:D20)</f>
        <v>838060.79391226254</v>
      </c>
      <c r="E21" s="151">
        <f t="shared" ref="E21:K21" si="5">SUM(E14:E20)</f>
        <v>767562.73999999987</v>
      </c>
      <c r="F21" s="148">
        <f t="shared" si="5"/>
        <v>883061.32901104179</v>
      </c>
      <c r="G21" s="163">
        <f t="shared" si="5"/>
        <v>934333</v>
      </c>
      <c r="H21" s="151">
        <f t="shared" si="5"/>
        <v>853153.3600000001</v>
      </c>
      <c r="I21" s="148">
        <f t="shared" si="5"/>
        <v>1172065.1053480557</v>
      </c>
      <c r="J21" s="148">
        <f t="shared" si="5"/>
        <v>1310171.81</v>
      </c>
      <c r="K21" s="151">
        <f t="shared" si="5"/>
        <v>1174873.9099999999</v>
      </c>
      <c r="L21" s="148">
        <f>SUM(L14:L20)</f>
        <v>2938187.7633701395</v>
      </c>
      <c r="M21" s="166">
        <f>SUM(M14:M20)</f>
        <v>3082565.6039122627</v>
      </c>
      <c r="N21" s="148">
        <f>SUM(N14:N20)</f>
        <v>2795590.01</v>
      </c>
      <c r="O21" s="170" t="s">
        <v>86</v>
      </c>
    </row>
    <row r="22" spans="2:18" x14ac:dyDescent="0.25">
      <c r="B22" s="93" t="s">
        <v>119</v>
      </c>
      <c r="C22" s="139">
        <f>C21*7%</f>
        <v>61814.293030772933</v>
      </c>
      <c r="D22" s="162">
        <f>D21*7%</f>
        <v>58664.255573858383</v>
      </c>
      <c r="E22" s="152">
        <f t="shared" ref="E22:K22" si="6">E21*7%</f>
        <v>53729.391799999998</v>
      </c>
      <c r="F22" s="139">
        <f t="shared" si="6"/>
        <v>61814.293030772933</v>
      </c>
      <c r="G22" s="162">
        <f t="shared" si="6"/>
        <v>65403.310000000005</v>
      </c>
      <c r="H22" s="152">
        <f t="shared" si="6"/>
        <v>59720.73520000001</v>
      </c>
      <c r="I22" s="139">
        <f t="shared" si="6"/>
        <v>82044.557374363911</v>
      </c>
      <c r="J22" s="139">
        <f t="shared" si="6"/>
        <v>91712.026700000017</v>
      </c>
      <c r="K22" s="152">
        <f t="shared" si="6"/>
        <v>82241.173699999999</v>
      </c>
      <c r="L22" s="139">
        <f>L21*7%</f>
        <v>205673.14343590979</v>
      </c>
      <c r="M22" s="167">
        <f>M21*7%</f>
        <v>215779.5922738584</v>
      </c>
      <c r="N22" s="139">
        <f>N21*7%</f>
        <v>195691.30069999999</v>
      </c>
      <c r="O22" s="170" t="s">
        <v>86</v>
      </c>
    </row>
    <row r="23" spans="2:18" x14ac:dyDescent="0.25">
      <c r="B23" s="147" t="s">
        <v>121</v>
      </c>
      <c r="C23" s="148">
        <f>SUM(C21:C22)</f>
        <v>944875.62204181473</v>
      </c>
      <c r="D23" s="163">
        <f>SUM(D21:D22)</f>
        <v>896725.04948612093</v>
      </c>
      <c r="E23" s="151">
        <f t="shared" ref="E23:K23" si="7">SUM(E21:E22)</f>
        <v>821292.13179999986</v>
      </c>
      <c r="F23" s="148">
        <f t="shared" si="7"/>
        <v>944875.62204181473</v>
      </c>
      <c r="G23" s="163">
        <f t="shared" si="7"/>
        <v>999736.31</v>
      </c>
      <c r="H23" s="151">
        <f t="shared" si="7"/>
        <v>912874.0952000001</v>
      </c>
      <c r="I23" s="148">
        <f t="shared" si="7"/>
        <v>1254109.6627224197</v>
      </c>
      <c r="J23" s="148">
        <f t="shared" si="7"/>
        <v>1401883.8367000001</v>
      </c>
      <c r="K23" s="151">
        <f t="shared" si="7"/>
        <v>1257115.0836999998</v>
      </c>
      <c r="L23" s="148">
        <f>SUM(L21:L22)</f>
        <v>3143860.9068060494</v>
      </c>
      <c r="M23" s="166">
        <f>SUM(M21:M22)</f>
        <v>3298345.1961861211</v>
      </c>
      <c r="N23" s="148">
        <f>SUM(N21:N22)</f>
        <v>2991281.3106999998</v>
      </c>
      <c r="O23" s="170" t="s">
        <v>86</v>
      </c>
      <c r="R23" s="104" t="s">
        <v>86</v>
      </c>
    </row>
    <row r="24" spans="2:18" ht="15.75" thickBot="1" x14ac:dyDescent="0.3">
      <c r="M24" s="104" t="s">
        <v>86</v>
      </c>
      <c r="O24" s="170" t="s">
        <v>86</v>
      </c>
    </row>
    <row r="25" spans="2:18" x14ac:dyDescent="0.25">
      <c r="B25" s="155" t="s">
        <v>182</v>
      </c>
      <c r="C25" s="184"/>
    </row>
    <row r="26" spans="2:18" x14ac:dyDescent="0.25">
      <c r="B26" s="154" t="s">
        <v>139</v>
      </c>
      <c r="C26" s="185">
        <f>G8</f>
        <v>5240.62</v>
      </c>
      <c r="E26" s="104" t="s">
        <v>86</v>
      </c>
      <c r="O26" s="170" t="s">
        <v>86</v>
      </c>
    </row>
    <row r="27" spans="2:18" x14ac:dyDescent="0.25">
      <c r="B27" s="154" t="s">
        <v>163</v>
      </c>
      <c r="C27" s="185">
        <f>G7</f>
        <v>816</v>
      </c>
      <c r="E27" s="104"/>
      <c r="O27" s="170"/>
    </row>
    <row r="28" spans="2:18" x14ac:dyDescent="0.25">
      <c r="B28" s="154" t="s">
        <v>162</v>
      </c>
      <c r="C28" s="157">
        <f>G6</f>
        <v>146521.87000000011</v>
      </c>
      <c r="E28" s="104" t="s">
        <v>86</v>
      </c>
      <c r="F28" s="104" t="s">
        <v>86</v>
      </c>
      <c r="H28" s="168" t="s">
        <v>86</v>
      </c>
      <c r="M28" s="104" t="s">
        <v>86</v>
      </c>
      <c r="N28" s="104" t="s">
        <v>86</v>
      </c>
    </row>
    <row r="29" spans="2:18" ht="15.75" thickBot="1" x14ac:dyDescent="0.3">
      <c r="B29" s="156" t="s">
        <v>172</v>
      </c>
      <c r="C29" s="158">
        <f>SUM(C26:C28)</f>
        <v>152578.49000000011</v>
      </c>
      <c r="N29" s="104" t="s">
        <v>86</v>
      </c>
    </row>
    <row r="31" spans="2:18" x14ac:dyDescent="0.25">
      <c r="K31" s="94" t="s">
        <v>86</v>
      </c>
    </row>
    <row r="32" spans="2:18" x14ac:dyDescent="0.25">
      <c r="B32" s="103" t="s">
        <v>183</v>
      </c>
      <c r="K32" s="104" t="s">
        <v>86</v>
      </c>
    </row>
    <row r="33" spans="3:11" x14ac:dyDescent="0.25">
      <c r="C33" s="103" t="s">
        <v>86</v>
      </c>
      <c r="K33" s="94" t="s">
        <v>86</v>
      </c>
    </row>
    <row r="35" spans="3:11" x14ac:dyDescent="0.25">
      <c r="K35" s="169" t="s">
        <v>86</v>
      </c>
    </row>
    <row r="37" spans="3:11" x14ac:dyDescent="0.25">
      <c r="H37" s="104" t="s">
        <v>86</v>
      </c>
    </row>
  </sheetData>
  <mergeCells count="1">
    <mergeCell ref="B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24895-60C0-8C40-83E8-32CCB9DBB9BE}">
  <dimension ref="A2:G35"/>
  <sheetViews>
    <sheetView topLeftCell="A31" zoomScale="229" workbookViewId="0">
      <selection activeCell="B38" sqref="B38"/>
    </sheetView>
  </sheetViews>
  <sheetFormatPr defaultColWidth="11.42578125" defaultRowHeight="15" x14ac:dyDescent="0.25"/>
  <cols>
    <col min="1" max="1" width="38.28515625" customWidth="1"/>
    <col min="2" max="2" width="32.140625" customWidth="1"/>
    <col min="3" max="3" width="23.7109375" customWidth="1"/>
  </cols>
  <sheetData>
    <row r="2" spans="1:7" x14ac:dyDescent="0.25">
      <c r="A2" s="205" t="s">
        <v>123</v>
      </c>
      <c r="B2" s="205"/>
      <c r="C2" s="4"/>
      <c r="D2" s="4"/>
      <c r="E2" s="4"/>
      <c r="F2" s="4"/>
    </row>
    <row r="3" spans="1:7" x14ac:dyDescent="0.25">
      <c r="A3" s="76" t="s">
        <v>124</v>
      </c>
      <c r="B3" s="77">
        <v>720000</v>
      </c>
      <c r="C3" s="4"/>
      <c r="D3" s="4"/>
      <c r="E3" s="4"/>
      <c r="F3" s="4"/>
    </row>
    <row r="4" spans="1:7" x14ac:dyDescent="0.25">
      <c r="A4" s="76" t="s">
        <v>125</v>
      </c>
      <c r="B4" s="77">
        <v>685000</v>
      </c>
      <c r="C4" s="4"/>
      <c r="D4" s="4"/>
      <c r="E4" s="4"/>
      <c r="F4" s="4"/>
    </row>
    <row r="5" spans="1:7" x14ac:dyDescent="0.25">
      <c r="A5" s="76" t="s">
        <v>126</v>
      </c>
      <c r="B5" s="77">
        <v>1190000</v>
      </c>
      <c r="C5" s="4"/>
      <c r="D5" s="4"/>
      <c r="E5" s="4"/>
      <c r="F5" s="4"/>
    </row>
    <row r="6" spans="1:7" x14ac:dyDescent="0.25">
      <c r="A6" s="82" t="s">
        <v>127</v>
      </c>
      <c r="B6" s="83">
        <f>SUM(B3:B5)</f>
        <v>2595000</v>
      </c>
      <c r="C6" s="4"/>
      <c r="D6" s="4"/>
      <c r="E6" s="4"/>
      <c r="F6" s="4"/>
    </row>
    <row r="7" spans="1:7" x14ac:dyDescent="0.25">
      <c r="A7" s="76" t="s">
        <v>128</v>
      </c>
      <c r="B7" s="77">
        <v>150970</v>
      </c>
      <c r="C7" s="4"/>
      <c r="D7" s="4"/>
      <c r="E7" s="4"/>
      <c r="F7" s="4"/>
    </row>
    <row r="8" spans="1:7" x14ac:dyDescent="0.25">
      <c r="A8" s="76" t="s">
        <v>129</v>
      </c>
      <c r="B8" s="77">
        <v>0</v>
      </c>
      <c r="C8" s="4"/>
      <c r="D8" s="4"/>
      <c r="E8" s="4"/>
      <c r="F8" s="4"/>
    </row>
    <row r="9" spans="1:7" x14ac:dyDescent="0.25">
      <c r="A9" s="76" t="s">
        <v>130</v>
      </c>
      <c r="B9" s="77">
        <v>192218</v>
      </c>
      <c r="C9" s="4"/>
      <c r="D9" s="4"/>
      <c r="E9" s="4"/>
      <c r="F9" s="4"/>
    </row>
    <row r="10" spans="1:7" x14ac:dyDescent="0.25">
      <c r="A10" s="82" t="s">
        <v>131</v>
      </c>
      <c r="B10" s="83">
        <f>SUM(B6:B9)</f>
        <v>2938188</v>
      </c>
      <c r="C10" s="4"/>
      <c r="D10" s="4"/>
      <c r="E10" s="4"/>
      <c r="F10" s="4"/>
    </row>
    <row r="11" spans="1:7" x14ac:dyDescent="0.25">
      <c r="A11" s="76" t="s">
        <v>132</v>
      </c>
      <c r="B11" s="78">
        <v>205673</v>
      </c>
      <c r="C11" s="4"/>
      <c r="D11" s="4"/>
      <c r="E11" s="4"/>
      <c r="F11" s="4"/>
    </row>
    <row r="12" spans="1:7" x14ac:dyDescent="0.25">
      <c r="A12" s="82" t="s">
        <v>133</v>
      </c>
      <c r="B12" s="83">
        <f>SUM(B10:B11)</f>
        <v>3143861</v>
      </c>
      <c r="C12" s="4"/>
      <c r="D12" s="4"/>
      <c r="E12" s="4"/>
      <c r="F12" s="4"/>
    </row>
    <row r="14" spans="1:7" x14ac:dyDescent="0.25">
      <c r="A14" s="206" t="s">
        <v>134</v>
      </c>
      <c r="B14" s="206"/>
    </row>
    <row r="15" spans="1:7" x14ac:dyDescent="0.25">
      <c r="A15" s="85" t="s">
        <v>135</v>
      </c>
      <c r="B15" s="86" t="s">
        <v>136</v>
      </c>
    </row>
    <row r="16" spans="1:7" x14ac:dyDescent="0.25">
      <c r="A16" s="76" t="s">
        <v>137</v>
      </c>
      <c r="B16" s="77">
        <v>1670800</v>
      </c>
      <c r="C16" s="4"/>
      <c r="D16" s="4"/>
      <c r="E16" s="4"/>
      <c r="F16" s="4"/>
      <c r="G16" s="4"/>
    </row>
    <row r="17" spans="1:7" x14ac:dyDescent="0.25">
      <c r="A17" s="76" t="s">
        <v>138</v>
      </c>
      <c r="B17" s="77">
        <v>543126</v>
      </c>
      <c r="C17" s="4"/>
      <c r="D17" s="4"/>
      <c r="E17" s="4"/>
      <c r="F17" s="4"/>
      <c r="G17" s="4"/>
    </row>
    <row r="18" spans="1:7" x14ac:dyDescent="0.25">
      <c r="A18" s="76" t="s">
        <v>139</v>
      </c>
      <c r="B18" s="77">
        <v>724262</v>
      </c>
      <c r="C18" s="4"/>
      <c r="D18" s="4"/>
      <c r="E18" s="4"/>
      <c r="F18" s="4"/>
      <c r="G18" s="4"/>
    </row>
    <row r="19" spans="1:7" x14ac:dyDescent="0.25">
      <c r="A19" s="82" t="s">
        <v>140</v>
      </c>
      <c r="B19" s="84">
        <f>SUM(B16:B18)</f>
        <v>2938188</v>
      </c>
      <c r="C19" s="4"/>
      <c r="D19" s="4"/>
      <c r="E19" s="4"/>
      <c r="F19" s="4"/>
      <c r="G19" s="4"/>
    </row>
    <row r="20" spans="1:7" x14ac:dyDescent="0.25">
      <c r="A20" s="76" t="s">
        <v>141</v>
      </c>
      <c r="B20" s="77">
        <v>116956</v>
      </c>
      <c r="C20" s="4"/>
      <c r="D20" s="4"/>
      <c r="E20" s="4"/>
      <c r="F20" s="4"/>
      <c r="G20" s="4"/>
    </row>
    <row r="21" spans="1:7" x14ac:dyDescent="0.25">
      <c r="A21" s="76" t="s">
        <v>142</v>
      </c>
      <c r="B21" s="77">
        <v>38019</v>
      </c>
      <c r="C21" s="4"/>
      <c r="D21" s="4"/>
      <c r="E21" s="4"/>
      <c r="F21" s="4"/>
      <c r="G21" s="4"/>
    </row>
    <row r="22" spans="1:7" x14ac:dyDescent="0.25">
      <c r="A22" s="76" t="s">
        <v>143</v>
      </c>
      <c r="B22" s="77">
        <v>50698</v>
      </c>
      <c r="C22" s="4"/>
      <c r="D22" s="4"/>
      <c r="E22" s="4"/>
      <c r="F22" s="4"/>
      <c r="G22" s="4"/>
    </row>
    <row r="23" spans="1:7" x14ac:dyDescent="0.25">
      <c r="A23" s="82" t="s">
        <v>144</v>
      </c>
      <c r="B23" s="84">
        <f>SUM(B20:B22)</f>
        <v>205673</v>
      </c>
      <c r="C23" s="4"/>
      <c r="D23" s="4"/>
      <c r="E23" s="4"/>
      <c r="F23" s="4"/>
      <c r="G23" s="4"/>
    </row>
    <row r="24" spans="1:7" x14ac:dyDescent="0.25">
      <c r="A24" s="76" t="s">
        <v>145</v>
      </c>
      <c r="B24" s="77">
        <f>B16+B20</f>
        <v>1787756</v>
      </c>
      <c r="C24" s="90"/>
      <c r="D24" s="4"/>
      <c r="E24" s="4"/>
      <c r="F24" s="4"/>
      <c r="G24" s="4"/>
    </row>
    <row r="25" spans="1:7" x14ac:dyDescent="0.25">
      <c r="A25" s="76" t="s">
        <v>146</v>
      </c>
      <c r="B25" s="77">
        <f>B17+B21</f>
        <v>581145</v>
      </c>
      <c r="C25" s="90"/>
      <c r="D25" s="4"/>
      <c r="E25" s="4"/>
      <c r="F25" s="4"/>
      <c r="G25" s="4"/>
    </row>
    <row r="26" spans="1:7" x14ac:dyDescent="0.25">
      <c r="A26" s="76" t="s">
        <v>147</v>
      </c>
      <c r="B26" s="77">
        <f>B18+B22</f>
        <v>774960</v>
      </c>
      <c r="C26" s="4"/>
      <c r="D26" s="4"/>
      <c r="E26" s="4"/>
      <c r="F26" s="4"/>
      <c r="G26" s="4"/>
    </row>
    <row r="27" spans="1:7" x14ac:dyDescent="0.25">
      <c r="A27" s="82" t="s">
        <v>148</v>
      </c>
      <c r="B27" s="84">
        <f>SUM(B24,B25,B26)</f>
        <v>3143861</v>
      </c>
      <c r="C27" s="79"/>
      <c r="D27" s="4"/>
      <c r="E27" s="4"/>
      <c r="F27" s="4"/>
      <c r="G27" s="4"/>
    </row>
    <row r="29" spans="1:7" x14ac:dyDescent="0.25">
      <c r="A29" s="207" t="s">
        <v>149</v>
      </c>
      <c r="B29" s="207"/>
    </row>
    <row r="30" spans="1:7" x14ac:dyDescent="0.25">
      <c r="A30" s="87" t="s">
        <v>150</v>
      </c>
      <c r="B30" s="87" t="s">
        <v>151</v>
      </c>
      <c r="C30" s="87" t="s">
        <v>152</v>
      </c>
      <c r="D30" s="4"/>
      <c r="E30" s="4"/>
      <c r="F30" s="4"/>
    </row>
    <row r="31" spans="1:7" x14ac:dyDescent="0.25">
      <c r="A31" s="77">
        <v>720000</v>
      </c>
      <c r="B31" s="77">
        <v>65000</v>
      </c>
      <c r="C31" s="80">
        <f>B31/A31</f>
        <v>9.0277777777777776E-2</v>
      </c>
      <c r="D31" s="4"/>
      <c r="E31" s="4"/>
      <c r="F31" s="4"/>
    </row>
    <row r="32" spans="1:7" x14ac:dyDescent="0.25">
      <c r="A32" s="77">
        <v>685000</v>
      </c>
      <c r="B32" s="77">
        <v>169000</v>
      </c>
      <c r="C32" s="80">
        <f t="shared" ref="C32:C34" si="0">B32/A32</f>
        <v>0.24671532846715327</v>
      </c>
      <c r="D32" s="4"/>
      <c r="E32" s="4"/>
      <c r="F32" s="4"/>
    </row>
    <row r="33" spans="1:6" x14ac:dyDescent="0.25">
      <c r="A33" s="77">
        <v>1190000</v>
      </c>
      <c r="B33" s="77">
        <v>552000</v>
      </c>
      <c r="C33" s="80">
        <f t="shared" si="0"/>
        <v>0.46386554621848741</v>
      </c>
      <c r="D33" s="4"/>
      <c r="E33" s="4"/>
      <c r="F33" s="4"/>
    </row>
    <row r="34" spans="1:6" x14ac:dyDescent="0.25">
      <c r="A34" s="78">
        <f>SUM(A31:A33)</f>
        <v>2595000</v>
      </c>
      <c r="B34" s="78">
        <f>SUM(B31:B33)</f>
        <v>786000</v>
      </c>
      <c r="C34" s="81">
        <f t="shared" si="0"/>
        <v>0.30289017341040464</v>
      </c>
      <c r="D34" s="4"/>
      <c r="E34" s="4"/>
      <c r="F34" s="4"/>
    </row>
    <row r="35" spans="1:6" x14ac:dyDescent="0.25">
      <c r="D35" s="4"/>
      <c r="E35" s="4"/>
      <c r="F35" s="4"/>
    </row>
  </sheetData>
  <mergeCells count="3">
    <mergeCell ref="A2:B2"/>
    <mergeCell ref="A14:B14"/>
    <mergeCell ref="A29:B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A29FEC7855404E8EA01A8972C44AFD" ma:contentTypeVersion="13" ma:contentTypeDescription="Create a new document." ma:contentTypeScope="" ma:versionID="b770236619cfd6cad25ccb9c75e00f53">
  <xsd:schema xmlns:xsd="http://www.w3.org/2001/XMLSchema" xmlns:xs="http://www.w3.org/2001/XMLSchema" xmlns:p="http://schemas.microsoft.com/office/2006/metadata/properties" xmlns:ns3="8c6d3ca7-2d66-4ea4-8abf-fbd015073eaf" xmlns:ns4="00c47382-c5b0-4086-82d9-e69e6dfae392" targetNamespace="http://schemas.microsoft.com/office/2006/metadata/properties" ma:root="true" ma:fieldsID="8165652c86e241e4c7653a9919c16b1b" ns3:_="" ns4:_="">
    <xsd:import namespace="8c6d3ca7-2d66-4ea4-8abf-fbd015073eaf"/>
    <xsd:import namespace="00c47382-c5b0-4086-82d9-e69e6dfae39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6d3ca7-2d66-4ea4-8abf-fbd015073ea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c47382-c5b0-4086-82d9-e69e6dfae39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BD54C6-4B3A-4D14-A4F6-65A55101D05C}">
  <ds:schemaRefs>
    <ds:schemaRef ds:uri="http://schemas.microsoft.com/sharepoint/v3/contenttype/forms"/>
  </ds:schemaRefs>
</ds:datastoreItem>
</file>

<file path=customXml/itemProps2.xml><?xml version="1.0" encoding="utf-8"?>
<ds:datastoreItem xmlns:ds="http://schemas.openxmlformats.org/officeDocument/2006/customXml" ds:itemID="{37C0F819-61C6-4888-BD9E-88C925628A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6d3ca7-2d66-4ea4-8abf-fbd015073eaf"/>
    <ds:schemaRef ds:uri="00c47382-c5b0-4086-82d9-e69e6dfae3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5B3452-D520-40FC-B076-5C918BA7D38D}">
  <ds:schemaRefs>
    <ds:schemaRef ds:uri="http://purl.org/dc/terms/"/>
    <ds:schemaRef ds:uri="8c6d3ca7-2d66-4ea4-8abf-fbd015073eaf"/>
    <ds:schemaRef ds:uri="http://schemas.microsoft.com/office/2006/metadata/properties"/>
    <ds:schemaRef ds:uri="http://schemas.microsoft.com/office/2006/documentManagement/types"/>
    <ds:schemaRef ds:uri="00c47382-c5b0-4086-82d9-e69e6dfae392"/>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Annex D-PBF Budget</vt:lpstr>
      <vt:lpstr>Table 2-Project Budget - UN Cat</vt:lpstr>
      <vt:lpstr>PBF Summarized Financials</vt:lpstr>
      <vt:lpstr>Summary</vt:lpstr>
      <vt:lpstr>'Annex D-PBF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Zebulon Takwa</cp:lastModifiedBy>
  <cp:revision/>
  <dcterms:created xsi:type="dcterms:W3CDTF">2017-11-15T21:17:43Z</dcterms:created>
  <dcterms:modified xsi:type="dcterms:W3CDTF">2022-06-16T05:50:28Z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0x01010061A29FEC7855404E8EA01A8972C44AFD</vt:lpwstr>
  </property>
</Properties>
</file>