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0" windowHeight="0" tabRatio="825" activeTab="3"/>
  </bookViews>
  <sheets>
    <sheet name="Global activities" sheetId="1" r:id="rId1"/>
    <sheet name="Activities Cote D`Ivoire" sheetId="2" r:id="rId2"/>
    <sheet name="Activities Liberia" sheetId="3" r:id="rId3"/>
    <sheet name=" Category Liberia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<sst xmlns="http://schemas.openxmlformats.org/spreadsheetml/2006/main" count="282" uniqueCount="125">
  <si>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</si>
  <si>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</si>
  <si>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</si>
  <si>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</si>
  <si>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</si>
  <si>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</si>
  <si>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</si>
  <si>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</si>
  <si>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</si>
  <si>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</si>
  <si>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</si>
  <si>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</si>
  <si>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</si>
  <si>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</si>
  <si>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</si>
  <si>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</si>
  <si>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</si>
  <si>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</si>
  <si>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</si>
  <si>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</si>
  <si>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TOTAL $ FOR OUTCOME 2:</t>
  </si>
  <si>
    <t xml:space="preserve"> </t>
  </si>
  <si>
    <t>SUB-TOTAL PROJECT BUDGET:</t>
  </si>
  <si>
    <t>Indirect support costs (7%):</t>
  </si>
  <si>
    <t>TOTAL PROJECT BUDGET: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</si>
  <si>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</si>
  <si>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</si>
  <si>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</si>
  <si>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</si>
  <si>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1 - PBF project budget by Outcome, output and activity</t>
  </si>
  <si>
    <t>Activity 1.1.4:</t>
  </si>
  <si>
    <t>Activity 1.1.5:</t>
  </si>
  <si>
    <t>Activity 2.1.4:</t>
  </si>
  <si>
    <t>Facilitate to organize cultural, sport, and economic activities with a view to improving social cohesion.</t>
  </si>
  <si>
    <t xml:space="preserve">Organize sensitization and awareness campaigns related to social cohesion of cross-border areas and elections through the ECOWAS radio broadcasts and IEC materials. </t>
  </si>
  <si>
    <t>Provide and/or reinforce basic community infrastructure.</t>
  </si>
  <si>
    <t xml:space="preserve">Facilitate the organization of CPPCs and CPCs on a quarterly basis. </t>
  </si>
  <si>
    <t xml:space="preserve">Strengthen capacities of CPPCs and CPCs to effectively mitigate disputes and conflicts in their respective communities.  </t>
  </si>
  <si>
    <t xml:space="preserve">Establish or consolidate the community conflict prevention and management mechanisms in the target communities. </t>
  </si>
  <si>
    <t>Activity 1.2.4</t>
  </si>
  <si>
    <t>Activity 1.2.5</t>
  </si>
  <si>
    <t>Activity 1.2.6</t>
  </si>
  <si>
    <t xml:space="preserve">Organize two high-level meetings between relevant authorities of both countries. </t>
  </si>
  <si>
    <t xml:space="preserve">Facilitate the organization and institutionalization of joint and cross-border patrols by the security agencies of both countries at the local level. </t>
  </si>
  <si>
    <t xml:space="preserve">Organize trainings in border management for administrative authorities, security forces/agencies and communities’ leader. </t>
  </si>
  <si>
    <t xml:space="preserve">Provide basic skill trainings to use computers and other electronics to input and manage data.  </t>
  </si>
  <si>
    <t xml:space="preserve">Carry out rehabilitation works in border posts providing the necessary equipment to enhance key actors’ capacities as well as to respond needs of women. 
</t>
  </si>
  <si>
    <t xml:space="preserve">Conduct a capacity assessment. </t>
  </si>
  <si>
    <t>Organize a potential crisis simulation at the border to establish humanitarian corridors and ensure the maintenance of essential economic needs.</t>
  </si>
  <si>
    <t xml:space="preserve">Reinforce the linkage to the existing early warning systems as well as their capacities to report on the issues related to cross-border area to CMCs and CSCs.       </t>
  </si>
  <si>
    <t>Regularize inclusive dialogue sessions of CMCs and CSCs in respective countries and between CMCs and CSCs of mirroring communities in the two countries</t>
  </si>
  <si>
    <t>Establish or reinforce Civil-Military Committees (CMC) for Cote d’Ivoire or County Security Council (CSC) for Liberia;</t>
  </si>
  <si>
    <t>Conduct a baseline study of all targeted communities and security forces on their perceptions/assessments of the levels of border security, cross-border cooperation and social cohesion;</t>
  </si>
  <si>
    <t xml:space="preserve">Reduced tensions and increased promotion of social cohesion through strengthened and institutionalized civil-state collaboration mechanisms  </t>
  </si>
  <si>
    <t xml:space="preserve">OUTCOME 1: Enhanced capacities for conflict prevention and level of trust between state institutions and target communities of the cross-border areas  </t>
  </si>
  <si>
    <t xml:space="preserve">Improved capacities of local authorities, security forces, border management officials and key government actors for border management with a view to preventing conflicts.  </t>
  </si>
  <si>
    <t xml:space="preserve">OUTCOME 2: Improved peaceful co-existence and social cohesion between the target communities of the cross-border areas    </t>
  </si>
  <si>
    <t xml:space="preserve">Strengthened conflict prevention and dispute resolution platforms for dialogue, joint problem-solving and cooperation, including women, youth and refugees, at community level </t>
  </si>
  <si>
    <t xml:space="preserve">Improved social cohesion and stability among cross-border communities through joint social, cultural and economic initiatives </t>
  </si>
  <si>
    <t>Organize Joint Committee meetings between respective mirroring communities.</t>
  </si>
  <si>
    <t xml:space="preserve">Support cross-border women initiative to promote women's rights, fight against SGBV, community development, and social economic exchanges.  </t>
  </si>
  <si>
    <t>Activity 2.2.4:</t>
  </si>
  <si>
    <t>TOTAL OUTCOME 1 &amp; 2</t>
  </si>
  <si>
    <t>Level of expenditure/PO in % to date</t>
  </si>
  <si>
    <t>Level of expenditure in USD (to provide at time of project progress reporting): IOM</t>
  </si>
  <si>
    <t>Commitments/PO in USD - IOM</t>
  </si>
  <si>
    <t>Level of expenditure in USD (to provide at time of project progress reporting): UNDP</t>
  </si>
  <si>
    <t>Commitments/PO in USD - UNDP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</si>
  <si>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Côte d'Ivoire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</si>
  <si>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 Côte d'Ivoire</t>
    </r>
  </si>
  <si>
    <r>
      <t xml:space="preserve">Total per country </t>
    </r>
    <r>
      <rPr>
        <b/>
        <sz val="11"/>
        <color indexed="10"/>
        <rFont val="Calibri"/>
        <family val="2"/>
      </rPr>
      <t xml:space="preserve"> 
 Côte d'Ivoire</t>
    </r>
  </si>
  <si>
    <t>Level of country expenditure/PO in % to date</t>
  </si>
  <si>
    <t>Level of country expenditure and committments in USD (to provide at time of project progress reporting): Côte d'Ivoire</t>
  </si>
  <si>
    <r>
      <t xml:space="preserve">Budget by recipient organization (not including staff, general operating costs and indirect fee) </t>
    </r>
    <r>
      <rPr>
        <b/>
        <sz val="11"/>
        <rFont val="Calibri"/>
        <family val="2"/>
      </rPr>
      <t>- IOM Liberia</t>
    </r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</si>
  <si>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Liberia</t>
    </r>
  </si>
  <si>
    <r>
      <t xml:space="preserve">Total per country </t>
    </r>
    <r>
      <rPr>
        <b/>
        <sz val="11"/>
        <color indexed="10"/>
        <rFont val="Calibri"/>
        <family val="2"/>
      </rPr>
      <t xml:space="preserve"> 
Liberia</t>
    </r>
  </si>
  <si>
    <t>Percent of budget for each output reserved for direct action on gender equality (if any):</t>
  </si>
  <si>
    <t>Any remarks (e.g. on types of inputs provided or budget justification, for example if high TA or travel costs)</t>
  </si>
  <si>
    <t>GEWE Calculation</t>
  </si>
  <si>
    <t>The baseline study has been completed at 100% delivrable</t>
  </si>
  <si>
    <t>Dialogue sessions will focus on issues affecting women as well as ways forward; special measures will be taken to ensure women's participation, including provision of transportation and child care.</t>
  </si>
  <si>
    <t>This includes training on SGBV and gender issues as well as techniques for women to report in safety; special measures will be taken to ensure women's participation, including provision of transportation and child care.</t>
  </si>
  <si>
    <t>There is an ongoing preparation to bring authorities from both countries together for the crisis simulation activities. This will done in 2021</t>
  </si>
  <si>
    <t>This activity has been completed at 100%</t>
  </si>
  <si>
    <t>Committees will comprise leaders of women's associations as well as take into account conflict prevention and management mechanisms driven by women.</t>
  </si>
  <si>
    <t>Trainings will implicate leaders of women's associations and included tailored techniques to women's role in mitigation processes; special measures will be taken to ensure participation, such as child care provision</t>
  </si>
  <si>
    <t>As part of quarterly meetings, a separate meeting held by women for women will be included; special measures will be taken to ensure participation, such as child care provision</t>
  </si>
  <si>
    <t>Meetings will include a focus on issues and challenges specific to women in cross-border communities.</t>
  </si>
  <si>
    <t>Broadcasts will include specific thematics/segments related to women, their role in local societies as well as challenges and ways forward</t>
  </si>
  <si>
    <t>At least half of proposed activities will specifically target women; specific provisions will be made to ensure women's participation (such as provision of transportation and child care).</t>
  </si>
  <si>
    <r>
      <t xml:space="preserve">Budget by recipient organization (not including staff, general operating costs and indirect fee) - </t>
    </r>
    <r>
      <rPr>
        <b/>
        <sz val="11"/>
        <rFont val="Calibri"/>
        <family val="2"/>
      </rPr>
      <t>UNDP Côte d'Ivoire</t>
    </r>
  </si>
  <si>
    <r>
      <t>Total for both countries</t>
    </r>
    <r>
      <rPr>
        <b/>
        <sz val="11"/>
        <color indexed="10"/>
        <rFont val="Calibri"/>
        <family val="2"/>
      </rPr>
      <t xml:space="preserve">
Liberia</t>
    </r>
  </si>
  <si>
    <t>Both countries expenditure and committments in USD (to provide at time of project progress reporting): Côte d'Ivoire &amp; Liberia</t>
  </si>
  <si>
    <t>Both countries expenditure/PO in % to date</t>
  </si>
  <si>
    <t>Constructions are currently ongoing at the the 4 administrative border posts</t>
  </si>
  <si>
    <t xml:space="preserve">Computer training of Joint Security Actors is currently ongoing in Nimba &amp; Grand Gedeh </t>
  </si>
  <si>
    <t xml:space="preserve">Planning meetings between security and relevant authorities of both countries is ongoing for the final preparation of the joint patrol   </t>
  </si>
  <si>
    <t xml:space="preserve">Activity is scheduled for July 2021 at high level meeting of the two authorities of Liberia &amp; Cote d'Ivoire  </t>
  </si>
  <si>
    <t>Constructions are ongoing for the 4 hand pumps to support community engagement scheduled to finished by June 2021</t>
  </si>
  <si>
    <t>Table 2 - PBF project budget by UN cost category</t>
  </si>
  <si>
    <t>CATEGORIES</t>
  </si>
  <si>
    <t>Amount Recipient  Agency IOM Liberia</t>
  </si>
  <si>
    <t>Amount Recipient  Agency UNDP Liberia</t>
  </si>
  <si>
    <t>Total tranche 1 (70%)</t>
  </si>
  <si>
    <t>Total tranche 2 (30%)</t>
  </si>
  <si>
    <t>PROJECT TOTAL</t>
  </si>
  <si>
    <t>Overall Expenses</t>
  </si>
  <si>
    <t>Overall PO</t>
  </si>
  <si>
    <t>Overall Del   (%)</t>
  </si>
  <si>
    <t>Tranche 1 (70%)</t>
  </si>
  <si>
    <t>Tranche 2 (30%)</t>
  </si>
  <si>
    <t>Total</t>
  </si>
  <si>
    <t>Expenses</t>
  </si>
  <si>
    <t>PO</t>
  </si>
  <si>
    <t>Del (%)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</si>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</sst>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;[Red]#,##0.00"/>
    <numFmt numFmtId="175" formatCode="_-* #,##0\ _€_-;\-* #,##0\ _€_-;_-* &quot;-&quot;??\ _€_-;_-@_-"/>
    <numFmt numFmtId="176" formatCode="#,##0.0"/>
    <numFmt numFmtId="177" formatCode="_-* #,##0.00\ _C_F_A_-;\-* #,##0.00\ _C_F_A_-;_-* &quot;-&quot;??\ _C_F_A_-;_-@_-"/>
    <numFmt numFmtId="178" formatCode="_-* #,##0.0\ _€_-;\-* #,##0.0\ _€_-;_-* &quot;-&quot;??\ _€_-;_-@_-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Calibri"/>
      <family val="2"/>
    </font>
    <font>
      <sz val="10"/>
      <color rgb="FF0432FF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173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3" fontId="50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49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wrapText="1"/>
    </xf>
    <xf numFmtId="0" fontId="50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horizontal="justify" vertical="center" wrapText="1"/>
    </xf>
    <xf numFmtId="0" fontId="49" fillId="0" borderId="14" xfId="0" applyFont="1" applyBorder="1" applyAlignment="1">
      <alignment vertical="center" wrapText="1"/>
    </xf>
    <xf numFmtId="0" fontId="51" fillId="0" borderId="10" xfId="0" applyFont="1" applyBorder="1" applyAlignment="1">
      <alignment horizontal="justify" vertical="center"/>
    </xf>
    <xf numFmtId="0" fontId="49" fillId="13" borderId="14" xfId="0" applyFont="1" applyFill="1" applyBorder="1" applyAlignment="1">
      <alignment vertical="center" wrapText="1"/>
    </xf>
    <xf numFmtId="0" fontId="49" fillId="13" borderId="10" xfId="0" applyFont="1" applyFill="1" applyBorder="1" applyAlignment="1">
      <alignment vertical="center" wrapText="1"/>
    </xf>
    <xf numFmtId="173" fontId="49" fillId="13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174" fontId="50" fillId="33" borderId="10" xfId="0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4" fillId="13" borderId="14" xfId="0" applyFont="1" applyFill="1" applyBorder="1" applyAlignment="1">
      <alignment vertical="center" wrapText="1"/>
    </xf>
    <xf numFmtId="0" fontId="54" fillId="13" borderId="10" xfId="0" applyFont="1" applyFill="1" applyBorder="1" applyAlignment="1">
      <alignment vertical="center" wrapText="1"/>
    </xf>
    <xf numFmtId="0" fontId="54" fillId="13" borderId="15" xfId="0" applyFont="1" applyFill="1" applyBorder="1" applyAlignment="1">
      <alignment vertical="center" wrapText="1"/>
    </xf>
    <xf numFmtId="0" fontId="54" fillId="13" borderId="16" xfId="0" applyFont="1" applyFill="1" applyBorder="1" applyAlignment="1">
      <alignment vertical="center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173" fontId="50" fillId="0" borderId="0" xfId="42" applyFont="1" applyAlignment="1">
      <alignment horizontal="right"/>
    </xf>
    <xf numFmtId="0" fontId="50" fillId="0" borderId="10" xfId="0" applyFont="1" applyBorder="1" applyAlignment="1">
      <alignment horizontal="right"/>
    </xf>
    <xf numFmtId="173" fontId="50" fillId="0" borderId="10" xfId="42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173" fontId="50" fillId="0" borderId="11" xfId="42" applyFont="1" applyBorder="1" applyAlignment="1">
      <alignment horizontal="right"/>
    </xf>
    <xf numFmtId="174" fontId="55" fillId="33" borderId="13" xfId="0" applyNumberFormat="1" applyFont="1" applyFill="1" applyBorder="1" applyAlignment="1">
      <alignment horizontal="right" vertical="center" wrapText="1"/>
    </xf>
    <xf numFmtId="174" fontId="55" fillId="5" borderId="13" xfId="0" applyNumberFormat="1" applyFont="1" applyFill="1" applyBorder="1" applyAlignment="1">
      <alignment horizontal="right" vertical="center" wrapText="1"/>
    </xf>
    <xf numFmtId="173" fontId="55" fillId="34" borderId="13" xfId="42" applyFont="1" applyFill="1" applyBorder="1" applyAlignment="1">
      <alignment horizontal="right" vertical="center" wrapText="1"/>
    </xf>
    <xf numFmtId="176" fontId="50" fillId="5" borderId="10" xfId="0" applyNumberFormat="1" applyFont="1" applyFill="1" applyBorder="1" applyAlignment="1">
      <alignment horizontal="right" vertical="center" wrapText="1"/>
    </xf>
    <xf numFmtId="173" fontId="52" fillId="34" borderId="10" xfId="42" applyFont="1" applyFill="1" applyBorder="1" applyAlignment="1">
      <alignment horizontal="right" vertical="center" wrapText="1"/>
    </xf>
    <xf numFmtId="174" fontId="50" fillId="33" borderId="10" xfId="0" applyNumberFormat="1" applyFont="1" applyFill="1" applyBorder="1" applyAlignment="1">
      <alignment horizontal="right" wrapText="1"/>
    </xf>
    <xf numFmtId="173" fontId="50" fillId="5" borderId="10" xfId="42" applyFont="1" applyFill="1" applyBorder="1" applyAlignment="1">
      <alignment horizontal="right" vertical="center" wrapText="1"/>
    </xf>
    <xf numFmtId="173" fontId="50" fillId="34" borderId="10" xfId="42" applyFont="1" applyFill="1" applyBorder="1" applyAlignment="1">
      <alignment horizontal="right" vertical="center" wrapText="1"/>
    </xf>
    <xf numFmtId="174" fontId="56" fillId="33" borderId="10" xfId="0" applyNumberFormat="1" applyFont="1" applyFill="1" applyBorder="1" applyAlignment="1">
      <alignment horizontal="right" vertical="center" wrapText="1"/>
    </xf>
    <xf numFmtId="0" fontId="50" fillId="5" borderId="10" xfId="0" applyFont="1" applyFill="1" applyBorder="1" applyAlignment="1">
      <alignment horizontal="right" vertical="center" wrapText="1"/>
    </xf>
    <xf numFmtId="173" fontId="51" fillId="34" borderId="10" xfId="42" applyFont="1" applyFill="1" applyBorder="1" applyAlignment="1">
      <alignment horizontal="right" vertical="center" wrapText="1"/>
    </xf>
    <xf numFmtId="174" fontId="5" fillId="33" borderId="10" xfId="0" applyNumberFormat="1" applyFont="1" applyFill="1" applyBorder="1" applyAlignment="1">
      <alignment horizontal="right" vertical="center" wrapText="1"/>
    </xf>
    <xf numFmtId="3" fontId="50" fillId="5" borderId="10" xfId="0" applyNumberFormat="1" applyFont="1" applyFill="1" applyBorder="1" applyAlignment="1">
      <alignment horizontal="right" vertical="center" wrapText="1"/>
    </xf>
    <xf numFmtId="174" fontId="55" fillId="33" borderId="10" xfId="0" applyNumberFormat="1" applyFont="1" applyFill="1" applyBorder="1" applyAlignment="1">
      <alignment horizontal="right" vertical="center"/>
    </xf>
    <xf numFmtId="4" fontId="55" fillId="5" borderId="10" xfId="0" applyNumberFormat="1" applyFont="1" applyFill="1" applyBorder="1" applyAlignment="1">
      <alignment horizontal="right" vertical="center"/>
    </xf>
    <xf numFmtId="173" fontId="55" fillId="34" borderId="10" xfId="42" applyFont="1" applyFill="1" applyBorder="1" applyAlignment="1">
      <alignment horizontal="right" vertical="center" wrapText="1"/>
    </xf>
    <xf numFmtId="174" fontId="55" fillId="13" borderId="10" xfId="0" applyNumberFormat="1" applyFont="1" applyFill="1" applyBorder="1" applyAlignment="1">
      <alignment horizontal="right" vertical="center" wrapText="1"/>
    </xf>
    <xf numFmtId="173" fontId="55" fillId="13" borderId="10" xfId="42" applyFont="1" applyFill="1" applyBorder="1" applyAlignment="1">
      <alignment horizontal="right" vertical="center" wrapText="1"/>
    </xf>
    <xf numFmtId="173" fontId="55" fillId="33" borderId="10" xfId="42" applyFont="1" applyFill="1" applyBorder="1" applyAlignment="1">
      <alignment horizontal="right" vertical="center" wrapText="1"/>
    </xf>
    <xf numFmtId="173" fontId="55" fillId="5" borderId="10" xfId="42" applyFont="1" applyFill="1" applyBorder="1" applyAlignment="1">
      <alignment horizontal="right" vertical="center" wrapText="1"/>
    </xf>
    <xf numFmtId="173" fontId="50" fillId="33" borderId="10" xfId="42" applyFont="1" applyFill="1" applyBorder="1" applyAlignment="1">
      <alignment horizontal="right" vertical="center" wrapText="1"/>
    </xf>
    <xf numFmtId="174" fontId="50" fillId="33" borderId="10" xfId="0" applyNumberFormat="1" applyFont="1" applyFill="1" applyBorder="1" applyAlignment="1">
      <alignment horizontal="right" vertical="center"/>
    </xf>
    <xf numFmtId="173" fontId="49" fillId="13" borderId="10" xfId="42" applyFont="1" applyFill="1" applyBorder="1" applyAlignment="1">
      <alignment horizontal="right" vertical="center" wrapText="1"/>
    </xf>
    <xf numFmtId="173" fontId="53" fillId="33" borderId="10" xfId="42" applyFont="1" applyFill="1" applyBorder="1" applyAlignment="1">
      <alignment horizontal="right" vertical="center" wrapText="1"/>
    </xf>
    <xf numFmtId="173" fontId="53" fillId="5" borderId="10" xfId="42" applyFont="1" applyFill="1" applyBorder="1" applyAlignment="1">
      <alignment horizontal="right" vertical="center" wrapText="1"/>
    </xf>
    <xf numFmtId="173" fontId="53" fillId="34" borderId="10" xfId="42" applyFont="1" applyFill="1" applyBorder="1" applyAlignment="1">
      <alignment horizontal="right" vertical="center" wrapText="1"/>
    </xf>
    <xf numFmtId="173" fontId="54" fillId="33" borderId="10" xfId="42" applyFont="1" applyFill="1" applyBorder="1" applyAlignment="1">
      <alignment horizontal="right" vertical="center" wrapText="1"/>
    </xf>
    <xf numFmtId="175" fontId="54" fillId="5" borderId="10" xfId="0" applyNumberFormat="1" applyFont="1" applyFill="1" applyBorder="1" applyAlignment="1">
      <alignment horizontal="right" vertical="center" wrapText="1"/>
    </xf>
    <xf numFmtId="173" fontId="54" fillId="34" borderId="10" xfId="42" applyFont="1" applyFill="1" applyBorder="1" applyAlignment="1">
      <alignment horizontal="right" vertical="center" wrapText="1"/>
    </xf>
    <xf numFmtId="173" fontId="54" fillId="13" borderId="10" xfId="42" applyFont="1" applyFill="1" applyBorder="1" applyAlignment="1">
      <alignment horizontal="right" vertical="center" wrapText="1"/>
    </xf>
    <xf numFmtId="173" fontId="54" fillId="13" borderId="16" xfId="42" applyFont="1" applyFill="1" applyBorder="1" applyAlignment="1">
      <alignment horizontal="right" vertical="center" wrapText="1"/>
    </xf>
    <xf numFmtId="43" fontId="50" fillId="0" borderId="0" xfId="0" applyNumberFormat="1" applyFont="1" applyAlignment="1">
      <alignment horizontal="right"/>
    </xf>
    <xf numFmtId="0" fontId="47" fillId="12" borderId="17" xfId="0" applyFont="1" applyFill="1" applyBorder="1" applyAlignment="1">
      <alignment horizontal="left" vertical="center" wrapText="1"/>
    </xf>
    <xf numFmtId="0" fontId="47" fillId="12" borderId="18" xfId="0" applyFont="1" applyFill="1" applyBorder="1" applyAlignment="1">
      <alignment horizontal="left" vertical="center" wrapText="1"/>
    </xf>
    <xf numFmtId="173" fontId="47" fillId="12" borderId="18" xfId="42" applyFont="1" applyFill="1" applyBorder="1" applyAlignment="1">
      <alignment horizontal="left" vertical="center" wrapText="1"/>
    </xf>
    <xf numFmtId="0" fontId="47" fillId="12" borderId="19" xfId="0" applyFont="1" applyFill="1" applyBorder="1" applyAlignment="1">
      <alignment horizontal="left" vertical="center" wrapText="1"/>
    </xf>
    <xf numFmtId="9" fontId="49" fillId="0" borderId="0" xfId="58" applyFont="1" applyAlignment="1">
      <alignment horizontal="right"/>
    </xf>
    <xf numFmtId="9" fontId="50" fillId="0" borderId="10" xfId="58" applyFont="1" applyBorder="1" applyAlignment="1">
      <alignment horizontal="right"/>
    </xf>
    <xf numFmtId="9" fontId="50" fillId="0" borderId="11" xfId="58" applyFont="1" applyBorder="1" applyAlignment="1">
      <alignment horizontal="right"/>
    </xf>
    <xf numFmtId="9" fontId="50" fillId="33" borderId="10" xfId="58" applyFont="1" applyFill="1" applyBorder="1" applyAlignment="1">
      <alignment horizontal="right" vertical="center" wrapText="1"/>
    </xf>
    <xf numFmtId="9" fontId="50" fillId="33" borderId="10" xfId="58" applyFont="1" applyFill="1" applyBorder="1" applyAlignment="1">
      <alignment horizontal="right" vertical="center"/>
    </xf>
    <xf numFmtId="9" fontId="49" fillId="13" borderId="10" xfId="58" applyFont="1" applyFill="1" applyBorder="1" applyAlignment="1">
      <alignment horizontal="right" vertical="center" wrapText="1"/>
    </xf>
    <xf numFmtId="9" fontId="53" fillId="33" borderId="10" xfId="58" applyFont="1" applyFill="1" applyBorder="1" applyAlignment="1">
      <alignment horizontal="right" vertical="center" wrapText="1"/>
    </xf>
    <xf numFmtId="9" fontId="54" fillId="13" borderId="10" xfId="58" applyFont="1" applyFill="1" applyBorder="1" applyAlignment="1">
      <alignment horizontal="right" vertical="center" wrapText="1"/>
    </xf>
    <xf numFmtId="9" fontId="54" fillId="13" borderId="16" xfId="58" applyFont="1" applyFill="1" applyBorder="1" applyAlignment="1">
      <alignment horizontal="right" vertical="center" wrapText="1"/>
    </xf>
    <xf numFmtId="9" fontId="50" fillId="0" borderId="0" xfId="58" applyFont="1" applyAlignment="1">
      <alignment horizontal="right"/>
    </xf>
    <xf numFmtId="0" fontId="47" fillId="12" borderId="18" xfId="0" applyFont="1" applyFill="1" applyBorder="1" applyAlignment="1">
      <alignment horizontal="center" vertical="center" wrapText="1"/>
    </xf>
    <xf numFmtId="179" fontId="47" fillId="12" borderId="20" xfId="42" applyNumberFormat="1" applyFont="1" applyFill="1" applyBorder="1" applyAlignment="1">
      <alignment horizontal="center" vertical="center" wrapText="1"/>
    </xf>
    <xf numFmtId="9" fontId="47" fillId="12" borderId="18" xfId="58" applyFont="1" applyFill="1" applyBorder="1" applyAlignment="1">
      <alignment horizontal="center" vertical="center" wrapText="1"/>
    </xf>
    <xf numFmtId="9" fontId="53" fillId="5" borderId="10" xfId="58" applyFont="1" applyFill="1" applyBorder="1" applyAlignment="1">
      <alignment horizontal="right" vertical="center" wrapText="1"/>
    </xf>
    <xf numFmtId="9" fontId="49" fillId="33" borderId="13" xfId="58" applyFont="1" applyFill="1" applyBorder="1" applyAlignment="1">
      <alignment horizontal="right" vertical="center" wrapText="1"/>
    </xf>
    <xf numFmtId="9" fontId="49" fillId="33" borderId="10" xfId="58" applyFont="1" applyFill="1" applyBorder="1" applyAlignment="1">
      <alignment horizontal="right" vertical="center" wrapText="1"/>
    </xf>
    <xf numFmtId="9" fontId="49" fillId="5" borderId="13" xfId="58" applyFont="1" applyFill="1" applyBorder="1" applyAlignment="1">
      <alignment horizontal="right" vertical="center" wrapText="1"/>
    </xf>
    <xf numFmtId="9" fontId="49" fillId="5" borderId="10" xfId="58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173" fontId="50" fillId="33" borderId="10" xfId="42" applyFont="1" applyFill="1" applyBorder="1" applyAlignment="1">
      <alignment horizontal="right" vertical="center"/>
    </xf>
    <xf numFmtId="174" fontId="0" fillId="0" borderId="0" xfId="0" applyNumberFormat="1" applyAlignment="1">
      <alignment/>
    </xf>
    <xf numFmtId="9" fontId="55" fillId="33" borderId="10" xfId="58" applyFont="1" applyFill="1" applyBorder="1" applyAlignment="1">
      <alignment horizontal="right" vertical="center" wrapText="1"/>
    </xf>
    <xf numFmtId="9" fontId="55" fillId="33" borderId="13" xfId="58" applyFont="1" applyFill="1" applyBorder="1" applyAlignment="1">
      <alignment horizontal="right" vertical="center" wrapText="1"/>
    </xf>
    <xf numFmtId="9" fontId="50" fillId="33" borderId="13" xfId="58" applyFont="1" applyFill="1" applyBorder="1" applyAlignment="1">
      <alignment horizontal="right" vertical="center" wrapText="1"/>
    </xf>
    <xf numFmtId="174" fontId="50" fillId="34" borderId="13" xfId="0" applyNumberFormat="1" applyFont="1" applyFill="1" applyBorder="1" applyAlignment="1">
      <alignment horizontal="right" vertical="center" wrapText="1"/>
    </xf>
    <xf numFmtId="9" fontId="50" fillId="34" borderId="21" xfId="58" applyFont="1" applyFill="1" applyBorder="1" applyAlignment="1">
      <alignment vertical="center" wrapText="1"/>
    </xf>
    <xf numFmtId="9" fontId="50" fillId="13" borderId="21" xfId="58" applyFont="1" applyFill="1" applyBorder="1" applyAlignment="1">
      <alignment vertical="center" wrapText="1"/>
    </xf>
    <xf numFmtId="173" fontId="50" fillId="34" borderId="10" xfId="0" applyNumberFormat="1" applyFont="1" applyFill="1" applyBorder="1" applyAlignment="1">
      <alignment horizontal="right" vertical="center" wrapText="1"/>
    </xf>
    <xf numFmtId="173" fontId="50" fillId="13" borderId="10" xfId="0" applyNumberFormat="1" applyFont="1" applyFill="1" applyBorder="1" applyAlignment="1">
      <alignment horizontal="right" vertical="center" wrapText="1"/>
    </xf>
    <xf numFmtId="9" fontId="50" fillId="34" borderId="22" xfId="58" applyFont="1" applyFill="1" applyBorder="1" applyAlignment="1">
      <alignment vertical="center" wrapText="1"/>
    </xf>
    <xf numFmtId="9" fontId="49" fillId="13" borderId="22" xfId="58" applyFont="1" applyFill="1" applyBorder="1" applyAlignment="1">
      <alignment vertical="center" wrapText="1"/>
    </xf>
    <xf numFmtId="9" fontId="54" fillId="34" borderId="22" xfId="58" applyFont="1" applyFill="1" applyBorder="1" applyAlignment="1">
      <alignment vertical="center" wrapText="1"/>
    </xf>
    <xf numFmtId="9" fontId="53" fillId="13" borderId="16" xfId="58" applyFont="1" applyFill="1" applyBorder="1" applyAlignment="1">
      <alignment horizontal="right" vertical="center" wrapText="1"/>
    </xf>
    <xf numFmtId="173" fontId="50" fillId="13" borderId="16" xfId="0" applyNumberFormat="1" applyFont="1" applyFill="1" applyBorder="1" applyAlignment="1">
      <alignment horizontal="right" vertical="center" wrapText="1"/>
    </xf>
    <xf numFmtId="9" fontId="54" fillId="13" borderId="22" xfId="58" applyFont="1" applyFill="1" applyBorder="1" applyAlignment="1">
      <alignment vertical="center" wrapText="1"/>
    </xf>
    <xf numFmtId="9" fontId="53" fillId="34" borderId="22" xfId="58" applyFont="1" applyFill="1" applyBorder="1" applyAlignment="1">
      <alignment vertical="center" wrapText="1"/>
    </xf>
    <xf numFmtId="9" fontId="54" fillId="13" borderId="23" xfId="58" applyFont="1" applyFill="1" applyBorder="1" applyAlignment="1">
      <alignment vertical="center" wrapText="1"/>
    </xf>
    <xf numFmtId="174" fontId="50" fillId="13" borderId="13" xfId="0" applyNumberFormat="1" applyFont="1" applyFill="1" applyBorder="1" applyAlignment="1">
      <alignment horizontal="right" vertical="center" wrapText="1"/>
    </xf>
    <xf numFmtId="0" fontId="0" fillId="35" borderId="24" xfId="0" applyFill="1" applyBorder="1" applyAlignment="1">
      <alignment vertical="center" wrapText="1"/>
    </xf>
    <xf numFmtId="0" fontId="50" fillId="35" borderId="0" xfId="0" applyFont="1" applyFill="1" applyAlignment="1">
      <alignment/>
    </xf>
    <xf numFmtId="0" fontId="50" fillId="34" borderId="13" xfId="0" applyFont="1" applyFill="1" applyBorder="1" applyAlignment="1">
      <alignment horizontal="right" vertical="center" wrapText="1"/>
    </xf>
    <xf numFmtId="0" fontId="50" fillId="34" borderId="21" xfId="0" applyFont="1" applyFill="1" applyBorder="1" applyAlignment="1">
      <alignment vertical="center" wrapText="1"/>
    </xf>
    <xf numFmtId="9" fontId="50" fillId="34" borderId="10" xfId="0" applyNumberFormat="1" applyFont="1" applyFill="1" applyBorder="1" applyAlignment="1">
      <alignment horizontal="right" vertical="center" wrapText="1"/>
    </xf>
    <xf numFmtId="0" fontId="50" fillId="34" borderId="22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right" vertical="center" wrapText="1"/>
    </xf>
    <xf numFmtId="173" fontId="49" fillId="13" borderId="10" xfId="0" applyNumberFormat="1" applyFont="1" applyFill="1" applyBorder="1" applyAlignment="1">
      <alignment horizontal="right" vertical="center" wrapText="1"/>
    </xf>
    <xf numFmtId="177" fontId="49" fillId="13" borderId="22" xfId="0" applyNumberFormat="1" applyFont="1" applyFill="1" applyBorder="1" applyAlignment="1">
      <alignment vertical="center" wrapText="1"/>
    </xf>
    <xf numFmtId="0" fontId="49" fillId="13" borderId="22" xfId="0" applyFont="1" applyFill="1" applyBorder="1" applyAlignment="1">
      <alignment vertical="center" wrapText="1"/>
    </xf>
    <xf numFmtId="173" fontId="54" fillId="34" borderId="10" xfId="0" applyNumberFormat="1" applyFont="1" applyFill="1" applyBorder="1" applyAlignment="1">
      <alignment horizontal="right" vertical="center" wrapText="1"/>
    </xf>
    <xf numFmtId="0" fontId="54" fillId="34" borderId="22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right" vertical="center" wrapText="1"/>
    </xf>
    <xf numFmtId="0" fontId="53" fillId="34" borderId="22" xfId="0" applyFont="1" applyFill="1" applyBorder="1" applyAlignment="1">
      <alignment vertical="center" wrapText="1"/>
    </xf>
    <xf numFmtId="0" fontId="54" fillId="13" borderId="10" xfId="0" applyFont="1" applyFill="1" applyBorder="1" applyAlignment="1">
      <alignment horizontal="right" vertical="center" wrapText="1"/>
    </xf>
    <xf numFmtId="0" fontId="54" fillId="13" borderId="22" xfId="0" applyFont="1" applyFill="1" applyBorder="1" applyAlignment="1">
      <alignment vertical="center" wrapText="1"/>
    </xf>
    <xf numFmtId="0" fontId="54" fillId="13" borderId="16" xfId="0" applyFont="1" applyFill="1" applyBorder="1" applyAlignment="1">
      <alignment horizontal="right" vertical="center" wrapText="1"/>
    </xf>
    <xf numFmtId="0" fontId="54" fillId="13" borderId="23" xfId="0" applyFont="1" applyFill="1" applyBorder="1" applyAlignment="1">
      <alignment vertical="center" wrapText="1"/>
    </xf>
    <xf numFmtId="174" fontId="55" fillId="35" borderId="25" xfId="0" applyNumberFormat="1" applyFont="1" applyFill="1" applyBorder="1" applyAlignment="1">
      <alignment horizontal="right" vertical="center" wrapText="1"/>
    </xf>
    <xf numFmtId="174" fontId="55" fillId="35" borderId="26" xfId="0" applyNumberFormat="1" applyFont="1" applyFill="1" applyBorder="1" applyAlignment="1">
      <alignment horizontal="right" vertical="center" wrapText="1"/>
    </xf>
    <xf numFmtId="9" fontId="55" fillId="35" borderId="27" xfId="58" applyFont="1" applyFill="1" applyBorder="1" applyAlignment="1">
      <alignment horizontal="right" vertical="center" wrapText="1"/>
    </xf>
    <xf numFmtId="176" fontId="50" fillId="35" borderId="28" xfId="0" applyNumberFormat="1" applyFont="1" applyFill="1" applyBorder="1" applyAlignment="1">
      <alignment horizontal="right" vertical="center" wrapText="1"/>
    </xf>
    <xf numFmtId="176" fontId="50" fillId="35" borderId="10" xfId="0" applyNumberFormat="1" applyFont="1" applyFill="1" applyBorder="1" applyAlignment="1">
      <alignment horizontal="right" vertical="center" wrapText="1"/>
    </xf>
    <xf numFmtId="9" fontId="49" fillId="35" borderId="21" xfId="58" applyFont="1" applyFill="1" applyBorder="1" applyAlignment="1">
      <alignment horizontal="right" vertical="center" wrapText="1"/>
    </xf>
    <xf numFmtId="173" fontId="30" fillId="34" borderId="13" xfId="42" applyFont="1" applyFill="1" applyBorder="1" applyAlignment="1">
      <alignment horizontal="right" vertical="center" wrapText="1"/>
    </xf>
    <xf numFmtId="173" fontId="50" fillId="35" borderId="28" xfId="42" applyFont="1" applyFill="1" applyBorder="1" applyAlignment="1">
      <alignment horizontal="right" vertical="center" wrapText="1"/>
    </xf>
    <xf numFmtId="173" fontId="50" fillId="35" borderId="10" xfId="42" applyFont="1" applyFill="1" applyBorder="1" applyAlignment="1">
      <alignment horizontal="right" vertical="center" wrapText="1"/>
    </xf>
    <xf numFmtId="0" fontId="50" fillId="35" borderId="28" xfId="0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right" vertical="center" wrapText="1"/>
    </xf>
    <xf numFmtId="3" fontId="50" fillId="35" borderId="28" xfId="0" applyNumberFormat="1" applyFont="1" applyFill="1" applyBorder="1" applyAlignment="1">
      <alignment horizontal="right" vertical="center" wrapText="1"/>
    </xf>
    <xf numFmtId="3" fontId="50" fillId="35" borderId="10" xfId="0" applyNumberFormat="1" applyFont="1" applyFill="1" applyBorder="1" applyAlignment="1">
      <alignment horizontal="right" vertical="center" wrapText="1"/>
    </xf>
    <xf numFmtId="4" fontId="55" fillId="35" borderId="28" xfId="0" applyNumberFormat="1" applyFont="1" applyFill="1" applyBorder="1" applyAlignment="1">
      <alignment horizontal="right" vertical="center"/>
    </xf>
    <xf numFmtId="4" fontId="55" fillId="35" borderId="10" xfId="0" applyNumberFormat="1" applyFont="1" applyFill="1" applyBorder="1" applyAlignment="1">
      <alignment horizontal="right" vertical="center"/>
    </xf>
    <xf numFmtId="9" fontId="55" fillId="35" borderId="21" xfId="58" applyFont="1" applyFill="1" applyBorder="1" applyAlignment="1">
      <alignment horizontal="right" vertical="center" wrapText="1"/>
    </xf>
    <xf numFmtId="174" fontId="55" fillId="13" borderId="29" xfId="0" applyNumberFormat="1" applyFont="1" applyFill="1" applyBorder="1" applyAlignment="1">
      <alignment horizontal="right" vertical="center" wrapText="1"/>
    </xf>
    <xf numFmtId="174" fontId="55" fillId="13" borderId="16" xfId="0" applyNumberFormat="1" applyFont="1" applyFill="1" applyBorder="1" applyAlignment="1">
      <alignment horizontal="right" vertical="center" wrapText="1"/>
    </xf>
    <xf numFmtId="9" fontId="57" fillId="13" borderId="23" xfId="58" applyFont="1" applyFill="1" applyBorder="1" applyAlignment="1">
      <alignment horizontal="right" vertical="center" wrapText="1"/>
    </xf>
    <xf numFmtId="173" fontId="55" fillId="35" borderId="30" xfId="42" applyFont="1" applyFill="1" applyBorder="1" applyAlignment="1">
      <alignment horizontal="right" vertical="center" wrapText="1"/>
    </xf>
    <xf numFmtId="173" fontId="55" fillId="35" borderId="26" xfId="42" applyFont="1" applyFill="1" applyBorder="1" applyAlignment="1">
      <alignment horizontal="right" vertical="center" wrapText="1"/>
    </xf>
    <xf numFmtId="3" fontId="50" fillId="35" borderId="14" xfId="0" applyNumberFormat="1" applyFont="1" applyFill="1" applyBorder="1" applyAlignment="1">
      <alignment horizontal="right" vertical="center" wrapText="1"/>
    </xf>
    <xf numFmtId="9" fontId="49" fillId="35" borderId="22" xfId="58" applyFont="1" applyFill="1" applyBorder="1" applyAlignment="1">
      <alignment horizontal="right" vertical="center" wrapText="1"/>
    </xf>
    <xf numFmtId="173" fontId="55" fillId="35" borderId="14" xfId="42" applyFont="1" applyFill="1" applyBorder="1" applyAlignment="1">
      <alignment horizontal="right" vertical="center" wrapText="1"/>
    </xf>
    <xf numFmtId="173" fontId="55" fillId="35" borderId="10" xfId="42" applyFont="1" applyFill="1" applyBorder="1" applyAlignment="1">
      <alignment horizontal="right" vertical="center" wrapText="1"/>
    </xf>
    <xf numFmtId="9" fontId="55" fillId="35" borderId="22" xfId="58" applyFont="1" applyFill="1" applyBorder="1" applyAlignment="1">
      <alignment horizontal="right" vertical="center" wrapText="1"/>
    </xf>
    <xf numFmtId="174" fontId="55" fillId="13" borderId="14" xfId="0" applyNumberFormat="1" applyFont="1" applyFill="1" applyBorder="1" applyAlignment="1">
      <alignment horizontal="right" vertical="center" wrapText="1"/>
    </xf>
    <xf numFmtId="9" fontId="57" fillId="13" borderId="22" xfId="58" applyFont="1" applyFill="1" applyBorder="1" applyAlignment="1">
      <alignment horizontal="right" vertical="center" wrapText="1"/>
    </xf>
    <xf numFmtId="173" fontId="49" fillId="13" borderId="14" xfId="42" applyFont="1" applyFill="1" applyBorder="1" applyAlignment="1">
      <alignment horizontal="right" vertical="center" wrapText="1"/>
    </xf>
    <xf numFmtId="9" fontId="53" fillId="13" borderId="22" xfId="58" applyFont="1" applyFill="1" applyBorder="1" applyAlignment="1">
      <alignment horizontal="right" vertical="center" wrapText="1"/>
    </xf>
    <xf numFmtId="173" fontId="53" fillId="35" borderId="14" xfId="42" applyFont="1" applyFill="1" applyBorder="1" applyAlignment="1">
      <alignment horizontal="right" vertical="center" wrapText="1"/>
    </xf>
    <xf numFmtId="173" fontId="53" fillId="35" borderId="10" xfId="42" applyFont="1" applyFill="1" applyBorder="1" applyAlignment="1">
      <alignment horizontal="right" vertical="center" wrapText="1"/>
    </xf>
    <xf numFmtId="9" fontId="53" fillId="35" borderId="22" xfId="58" applyFont="1" applyFill="1" applyBorder="1" applyAlignment="1">
      <alignment horizontal="right" vertical="center" wrapText="1"/>
    </xf>
    <xf numFmtId="175" fontId="54" fillId="35" borderId="14" xfId="0" applyNumberFormat="1" applyFont="1" applyFill="1" applyBorder="1" applyAlignment="1">
      <alignment horizontal="right" vertical="center" wrapText="1"/>
    </xf>
    <xf numFmtId="175" fontId="54" fillId="35" borderId="10" xfId="0" applyNumberFormat="1" applyFont="1" applyFill="1" applyBorder="1" applyAlignment="1">
      <alignment horizontal="right" vertical="center" wrapText="1"/>
    </xf>
    <xf numFmtId="173" fontId="54" fillId="13" borderId="14" xfId="42" applyFont="1" applyFill="1" applyBorder="1" applyAlignment="1">
      <alignment horizontal="right" vertical="center" wrapText="1"/>
    </xf>
    <xf numFmtId="9" fontId="54" fillId="13" borderId="22" xfId="58" applyFont="1" applyFill="1" applyBorder="1" applyAlignment="1">
      <alignment horizontal="right" vertical="center" wrapText="1"/>
    </xf>
    <xf numFmtId="9" fontId="54" fillId="13" borderId="23" xfId="58" applyFont="1" applyFill="1" applyBorder="1" applyAlignment="1">
      <alignment horizontal="right" vertical="center" wrapText="1"/>
    </xf>
    <xf numFmtId="173" fontId="54" fillId="13" borderId="15" xfId="42" applyFont="1" applyFill="1" applyBorder="1" applyAlignment="1">
      <alignment horizontal="right" vertical="center" wrapText="1"/>
    </xf>
    <xf numFmtId="173" fontId="50" fillId="0" borderId="0" xfId="0" applyNumberFormat="1" applyFont="1" applyAlignment="1">
      <alignment horizontal="right"/>
    </xf>
    <xf numFmtId="9" fontId="53" fillId="35" borderId="10" xfId="58" applyFont="1" applyFill="1" applyBorder="1" applyAlignment="1">
      <alignment horizontal="right" vertical="center" wrapText="1"/>
    </xf>
    <xf numFmtId="9" fontId="49" fillId="35" borderId="10" xfId="58" applyFont="1" applyFill="1" applyBorder="1" applyAlignment="1">
      <alignment horizontal="right" vertical="center" wrapText="1"/>
    </xf>
    <xf numFmtId="174" fontId="55" fillId="35" borderId="13" xfId="0" applyNumberFormat="1" applyFont="1" applyFill="1" applyBorder="1" applyAlignment="1">
      <alignment horizontal="right" vertical="center" wrapText="1"/>
    </xf>
    <xf numFmtId="9" fontId="49" fillId="35" borderId="13" xfId="58" applyFont="1" applyFill="1" applyBorder="1" applyAlignment="1">
      <alignment horizontal="right" vertical="center" wrapText="1"/>
    </xf>
    <xf numFmtId="174" fontId="55" fillId="34" borderId="10" xfId="0" applyNumberFormat="1" applyFont="1" applyFill="1" applyBorder="1" applyAlignment="1">
      <alignment horizontal="right" vertical="center"/>
    </xf>
    <xf numFmtId="9" fontId="55" fillId="35" borderId="13" xfId="58" applyFont="1" applyFill="1" applyBorder="1" applyAlignment="1">
      <alignment horizontal="right" vertical="center" wrapText="1"/>
    </xf>
    <xf numFmtId="173" fontId="4" fillId="5" borderId="10" xfId="42" applyFont="1" applyFill="1" applyBorder="1" applyAlignment="1">
      <alignment horizontal="right" vertical="center" wrapText="1"/>
    </xf>
    <xf numFmtId="173" fontId="5" fillId="5" borderId="10" xfId="42" applyFont="1" applyFill="1" applyBorder="1" applyAlignment="1">
      <alignment horizontal="right" vertical="center" wrapText="1"/>
    </xf>
    <xf numFmtId="0" fontId="50" fillId="34" borderId="22" xfId="0" applyFont="1" applyFill="1" applyBorder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9" fontId="50" fillId="0" borderId="0" xfId="58" applyFont="1" applyAlignment="1">
      <alignment/>
    </xf>
    <xf numFmtId="173" fontId="50" fillId="0" borderId="0" xfId="42" applyFont="1" applyAlignment="1">
      <alignment/>
    </xf>
    <xf numFmtId="0" fontId="49" fillId="34" borderId="31" xfId="0" applyFont="1" applyFill="1" applyBorder="1" applyAlignment="1">
      <alignment horizontal="center" vertical="center" wrapText="1"/>
    </xf>
    <xf numFmtId="0" fontId="49" fillId="34" borderId="32" xfId="0" applyFont="1" applyFill="1" applyBorder="1" applyAlignment="1">
      <alignment horizontal="center" vertical="center" wrapText="1"/>
    </xf>
    <xf numFmtId="9" fontId="49" fillId="34" borderId="33" xfId="58" applyFont="1" applyFill="1" applyBorder="1" applyAlignment="1">
      <alignment horizontal="center" vertical="center" wrapText="1"/>
    </xf>
    <xf numFmtId="173" fontId="50" fillId="33" borderId="30" xfId="42" applyFont="1" applyFill="1" applyBorder="1" applyAlignment="1">
      <alignment horizontal="right" vertical="center" wrapText="1"/>
    </xf>
    <xf numFmtId="173" fontId="50" fillId="33" borderId="26" xfId="42" applyFont="1" applyFill="1" applyBorder="1" applyAlignment="1">
      <alignment horizontal="right" vertical="center" wrapText="1"/>
    </xf>
    <xf numFmtId="9" fontId="50" fillId="33" borderId="27" xfId="58" applyFont="1" applyFill="1" applyBorder="1" applyAlignment="1">
      <alignment horizontal="right" vertical="center" wrapText="1"/>
    </xf>
    <xf numFmtId="173" fontId="50" fillId="5" borderId="30" xfId="42" applyFont="1" applyFill="1" applyBorder="1" applyAlignment="1">
      <alignment horizontal="right" vertical="center" wrapText="1"/>
    </xf>
    <xf numFmtId="173" fontId="50" fillId="5" borderId="26" xfId="42" applyFont="1" applyFill="1" applyBorder="1" applyAlignment="1">
      <alignment horizontal="right" vertical="center" wrapText="1"/>
    </xf>
    <xf numFmtId="9" fontId="50" fillId="5" borderId="27" xfId="58" applyFont="1" applyFill="1" applyBorder="1" applyAlignment="1">
      <alignment horizontal="right" vertical="center" wrapText="1"/>
    </xf>
    <xf numFmtId="173" fontId="50" fillId="34" borderId="30" xfId="0" applyNumberFormat="1" applyFont="1" applyFill="1" applyBorder="1" applyAlignment="1">
      <alignment horizontal="right" vertical="center" wrapText="1"/>
    </xf>
    <xf numFmtId="173" fontId="50" fillId="34" borderId="26" xfId="0" applyNumberFormat="1" applyFont="1" applyFill="1" applyBorder="1" applyAlignment="1">
      <alignment horizontal="right" vertical="center" wrapText="1"/>
    </xf>
    <xf numFmtId="173" fontId="50" fillId="34" borderId="26" xfId="42" applyFont="1" applyFill="1" applyBorder="1" applyAlignment="1">
      <alignment horizontal="right" vertical="center" wrapText="1"/>
    </xf>
    <xf numFmtId="43" fontId="50" fillId="34" borderId="26" xfId="0" applyNumberFormat="1" applyFont="1" applyFill="1" applyBorder="1" applyAlignment="1">
      <alignment/>
    </xf>
    <xf numFmtId="9" fontId="50" fillId="34" borderId="27" xfId="58" applyFont="1" applyFill="1" applyBorder="1" applyAlignment="1">
      <alignment/>
    </xf>
    <xf numFmtId="173" fontId="50" fillId="0" borderId="34" xfId="0" applyNumberFormat="1" applyFont="1" applyBorder="1" applyAlignment="1">
      <alignment vertical="center" wrapText="1"/>
    </xf>
    <xf numFmtId="173" fontId="50" fillId="33" borderId="14" xfId="42" applyFont="1" applyFill="1" applyBorder="1" applyAlignment="1">
      <alignment horizontal="right" vertical="center" wrapText="1"/>
    </xf>
    <xf numFmtId="173" fontId="50" fillId="33" borderId="10" xfId="42" applyFont="1" applyFill="1" applyBorder="1" applyAlignment="1">
      <alignment horizontal="right" vertical="center" wrapText="1"/>
    </xf>
    <xf numFmtId="9" fontId="50" fillId="33" borderId="22" xfId="58" applyFont="1" applyFill="1" applyBorder="1" applyAlignment="1">
      <alignment horizontal="right" vertical="center" wrapText="1"/>
    </xf>
    <xf numFmtId="173" fontId="50" fillId="5" borderId="14" xfId="42" applyFont="1" applyFill="1" applyBorder="1" applyAlignment="1">
      <alignment horizontal="right" vertical="center" wrapText="1"/>
    </xf>
    <xf numFmtId="173" fontId="50" fillId="5" borderId="10" xfId="42" applyFont="1" applyFill="1" applyBorder="1" applyAlignment="1">
      <alignment horizontal="right" vertical="center" wrapText="1"/>
    </xf>
    <xf numFmtId="173" fontId="50" fillId="34" borderId="14" xfId="0" applyNumberFormat="1" applyFont="1" applyFill="1" applyBorder="1" applyAlignment="1">
      <alignment horizontal="right" vertical="center" wrapText="1"/>
    </xf>
    <xf numFmtId="173" fontId="50" fillId="34" borderId="10" xfId="0" applyNumberFormat="1" applyFont="1" applyFill="1" applyBorder="1" applyAlignment="1">
      <alignment horizontal="right" vertical="center" wrapText="1"/>
    </xf>
    <xf numFmtId="173" fontId="50" fillId="34" borderId="10" xfId="42" applyFont="1" applyFill="1" applyBorder="1" applyAlignment="1">
      <alignment horizontal="right" vertical="center" wrapText="1"/>
    </xf>
    <xf numFmtId="43" fontId="50" fillId="34" borderId="10" xfId="0" applyNumberFormat="1" applyFont="1" applyFill="1" applyBorder="1" applyAlignment="1">
      <alignment/>
    </xf>
    <xf numFmtId="9" fontId="50" fillId="34" borderId="22" xfId="58" applyFont="1" applyFill="1" applyBorder="1" applyAlignment="1">
      <alignment/>
    </xf>
    <xf numFmtId="9" fontId="50" fillId="5" borderId="22" xfId="58" applyFont="1" applyFill="1" applyBorder="1" applyAlignment="1">
      <alignment horizontal="right" vertical="center" wrapText="1"/>
    </xf>
    <xf numFmtId="173" fontId="49" fillId="34" borderId="34" xfId="0" applyNumberFormat="1" applyFont="1" applyFill="1" applyBorder="1" applyAlignment="1">
      <alignment vertical="center" wrapText="1"/>
    </xf>
    <xf numFmtId="173" fontId="50" fillId="34" borderId="14" xfId="42" applyFont="1" applyFill="1" applyBorder="1" applyAlignment="1">
      <alignment horizontal="right" vertical="center" wrapText="1"/>
    </xf>
    <xf numFmtId="9" fontId="50" fillId="34" borderId="22" xfId="58" applyFont="1" applyFill="1" applyBorder="1" applyAlignment="1">
      <alignment horizontal="right" vertical="center" wrapText="1"/>
    </xf>
    <xf numFmtId="173" fontId="50" fillId="34" borderId="10" xfId="0" applyNumberFormat="1" applyFont="1" applyFill="1" applyBorder="1" applyAlignment="1">
      <alignment/>
    </xf>
    <xf numFmtId="173" fontId="49" fillId="34" borderId="35" xfId="0" applyNumberFormat="1" applyFont="1" applyFill="1" applyBorder="1" applyAlignment="1">
      <alignment vertical="center" wrapText="1"/>
    </xf>
    <xf numFmtId="173" fontId="55" fillId="34" borderId="15" xfId="42" applyFont="1" applyFill="1" applyBorder="1" applyAlignment="1">
      <alignment horizontal="right" vertical="center" wrapText="1"/>
    </xf>
    <xf numFmtId="173" fontId="55" fillId="34" borderId="16" xfId="0" applyNumberFormat="1" applyFont="1" applyFill="1" applyBorder="1" applyAlignment="1">
      <alignment horizontal="right" vertical="center" wrapText="1"/>
    </xf>
    <xf numFmtId="9" fontId="55" fillId="34" borderId="23" xfId="58" applyFont="1" applyFill="1" applyBorder="1" applyAlignment="1">
      <alignment horizontal="right" vertical="center" wrapText="1"/>
    </xf>
    <xf numFmtId="173" fontId="55" fillId="34" borderId="15" xfId="0" applyNumberFormat="1" applyFont="1" applyFill="1" applyBorder="1" applyAlignment="1">
      <alignment horizontal="right" vertical="center" wrapText="1"/>
    </xf>
    <xf numFmtId="9" fontId="58" fillId="34" borderId="23" xfId="58" applyFont="1" applyFill="1" applyBorder="1" applyAlignment="1">
      <alignment horizontal="right" vertical="center" wrapText="1"/>
    </xf>
    <xf numFmtId="173" fontId="55" fillId="34" borderId="16" xfId="42" applyFont="1" applyFill="1" applyBorder="1" applyAlignment="1">
      <alignment horizontal="right" vertical="center" wrapText="1"/>
    </xf>
    <xf numFmtId="43" fontId="58" fillId="34" borderId="16" xfId="0" applyNumberFormat="1" applyFont="1" applyFill="1" applyBorder="1" applyAlignment="1">
      <alignment/>
    </xf>
    <xf numFmtId="173" fontId="58" fillId="34" borderId="16" xfId="0" applyNumberFormat="1" applyFont="1" applyFill="1" applyBorder="1" applyAlignment="1">
      <alignment/>
    </xf>
    <xf numFmtId="9" fontId="58" fillId="34" borderId="23" xfId="58" applyFont="1" applyFill="1" applyBorder="1" applyAlignment="1">
      <alignment/>
    </xf>
    <xf numFmtId="173" fontId="50" fillId="0" borderId="0" xfId="0" applyNumberFormat="1" applyFont="1" applyAlignment="1">
      <alignment/>
    </xf>
    <xf numFmtId="177" fontId="50" fillId="0" borderId="0" xfId="0" applyNumberFormat="1" applyFont="1" applyAlignment="1">
      <alignment/>
    </xf>
    <xf numFmtId="171" fontId="50" fillId="0" borderId="0" xfId="0" applyNumberFormat="1" applyFont="1" applyAlignment="1">
      <alignment/>
    </xf>
    <xf numFmtId="173" fontId="5" fillId="5" borderId="10" xfId="42" applyFont="1" applyFill="1" applyBorder="1" applyAlignment="1">
      <alignment horizontal="right" vertical="center" wrapText="1"/>
    </xf>
    <xf numFmtId="9" fontId="5" fillId="5" borderId="22" xfId="58" applyFont="1" applyFill="1" applyBorder="1" applyAlignment="1">
      <alignment horizontal="right" vertical="center" wrapText="1"/>
    </xf>
    <xf numFmtId="173" fontId="50" fillId="35" borderId="36" xfId="0" applyNumberFormat="1" applyFont="1" applyFill="1" applyBorder="1" applyAlignment="1">
      <alignment vertical="center" wrapText="1"/>
    </xf>
    <xf numFmtId="173" fontId="50" fillId="35" borderId="34" xfId="0" applyNumberFormat="1" applyFont="1" applyFill="1" applyBorder="1" applyAlignment="1">
      <alignment vertical="center" wrapText="1"/>
    </xf>
    <xf numFmtId="0" fontId="49" fillId="34" borderId="14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37" xfId="0" applyFont="1" applyFill="1" applyBorder="1" applyAlignment="1">
      <alignment horizontal="left" vertical="center" wrapText="1"/>
    </xf>
    <xf numFmtId="0" fontId="49" fillId="34" borderId="38" xfId="0" applyFont="1" applyFill="1" applyBorder="1" applyAlignment="1">
      <alignment horizontal="left" vertical="center" wrapText="1"/>
    </xf>
    <xf numFmtId="0" fontId="49" fillId="34" borderId="17" xfId="0" applyFont="1" applyFill="1" applyBorder="1" applyAlignment="1">
      <alignment vertical="center" wrapText="1"/>
    </xf>
    <xf numFmtId="0" fontId="49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 vertical="center" wrapText="1"/>
    </xf>
    <xf numFmtId="0" fontId="49" fillId="34" borderId="22" xfId="0" applyFont="1" applyFill="1" applyBorder="1" applyAlignment="1">
      <alignment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9" fontId="49" fillId="34" borderId="27" xfId="58" applyFont="1" applyFill="1" applyBorder="1" applyAlignment="1">
      <alignment horizontal="center" vertical="center" wrapText="1"/>
    </xf>
    <xf numFmtId="9" fontId="49" fillId="34" borderId="39" xfId="58" applyFont="1" applyFill="1" applyBorder="1" applyAlignment="1">
      <alignment horizontal="center" vertical="center" wrapText="1"/>
    </xf>
    <xf numFmtId="0" fontId="49" fillId="34" borderId="40" xfId="0" applyFont="1" applyFill="1" applyBorder="1" applyAlignment="1">
      <alignment horizontal="center" vertical="center" wrapText="1"/>
    </xf>
    <xf numFmtId="0" fontId="49" fillId="34" borderId="41" xfId="0" applyFont="1" applyFill="1" applyBorder="1" applyAlignment="1">
      <alignment horizontal="center" vertical="center" wrapText="1"/>
    </xf>
    <xf numFmtId="0" fontId="49" fillId="34" borderId="42" xfId="0" applyFont="1" applyFill="1" applyBorder="1" applyAlignment="1">
      <alignment horizontal="center" vertical="center" wrapText="1"/>
    </xf>
    <xf numFmtId="0" fontId="49" fillId="34" borderId="43" xfId="0" applyFont="1" applyFill="1" applyBorder="1" applyAlignment="1">
      <alignment horizontal="center" vertical="center" wrapText="1"/>
    </xf>
    <xf numFmtId="0" fontId="49" fillId="34" borderId="44" xfId="0" applyFont="1" applyFill="1" applyBorder="1" applyAlignment="1">
      <alignment horizontal="center" vertical="center" wrapText="1"/>
    </xf>
    <xf numFmtId="0" fontId="49" fillId="34" borderId="45" xfId="0" applyFont="1" applyFill="1" applyBorder="1" applyAlignment="1">
      <alignment horizontal="center" vertical="center" wrapText="1"/>
    </xf>
    <xf numFmtId="0" fontId="49" fillId="34" borderId="46" xfId="0" applyFont="1" applyFill="1" applyBorder="1" applyAlignment="1">
      <alignment horizontal="center" vertical="center" wrapText="1"/>
    </xf>
    <xf numFmtId="0" fontId="49" fillId="34" borderId="47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48" xfId="0" applyFont="1" applyFill="1" applyBorder="1" applyAlignment="1">
      <alignment horizontal="center" vertical="center" wrapText="1"/>
    </xf>
    <xf numFmtId="0" fontId="49" fillId="34" borderId="2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73" fontId="49" fillId="34" borderId="26" xfId="42" applyFont="1" applyFill="1" applyBorder="1" applyAlignment="1">
      <alignment horizontal="center" vertical="center" wrapText="1"/>
    </xf>
    <xf numFmtId="173" fontId="49" fillId="34" borderId="11" xfId="42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bertelle\AppData\Local\Microsoft\Windows\INetCache\Content.Outlook\XY8AW1TN\Updated%2014%20%20IOM%20%20UNDP%20Cross%20Border%20Phase%20II%20Financial%20REport%20as%20of%2014%20April%202021Annual%20Financial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manuel.kollie\AppData\Local\Microsoft\Windows\Temporary%20Internet%20Files\Content.Outlook\3P0X565Y\2021%20Mid%20year%20Financial%20Report_%20PBF%20Cross%20Border%20Phase%20I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jones\AppData\Local\Microsoft\Windows\INetCache\Content.Outlook\39BQE200\IOM%20%20UNDP%20Cross%20Border%20Phase%20II_Annex%20D_Annual%20Financial%20Report%20Emmanuel%20Inpu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y"/>
      <sheetName val="Category"/>
      <sheetName val="General operating costs"/>
    </sheetNames>
    <sheetDataSet>
      <sheetData sheetId="1">
        <row r="15">
          <cell r="E15">
            <v>16215.973900000003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 Activity"/>
      <sheetName val="Category"/>
    </sheetNames>
    <sheetDataSet>
      <sheetData sheetId="1">
        <row r="15">
          <cell r="Q15">
            <v>16215.973900000003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vity"/>
      <sheetName val="Category"/>
      <sheetName val="General operating costs"/>
    </sheetNames>
    <sheetDataSet>
      <sheetData sheetId="0">
        <row r="35">
          <cell r="C35">
            <v>550062.45</v>
          </cell>
          <cell r="G35">
            <v>600740</v>
          </cell>
        </row>
        <row r="36">
          <cell r="C36">
            <v>86180.48</v>
          </cell>
          <cell r="G36">
            <v>86180.48</v>
          </cell>
        </row>
        <row r="39">
          <cell r="C39">
            <v>672897.2</v>
          </cell>
        </row>
        <row r="40">
          <cell r="C40">
            <v>47102.804000000004</v>
          </cell>
          <cell r="G40">
            <v>51028.0372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="74" zoomScaleNormal="74" zoomScalePageLayoutView="0" workbookViewId="0" topLeftCell="A34">
      <selection activeCell="A45" sqref="A45"/>
    </sheetView>
  </sheetViews>
  <sheetFormatPr defaultColWidth="10.7109375" defaultRowHeight="15"/>
  <cols>
    <col min="1" max="1" width="22.421875" style="3" customWidth="1"/>
    <col min="2" max="2" width="47.7109375" style="3" customWidth="1"/>
    <col min="3" max="3" width="18.7109375" style="30" customWidth="1"/>
    <col min="4" max="4" width="16.7109375" style="30" customWidth="1"/>
    <col min="5" max="5" width="17.57421875" style="30" customWidth="1"/>
    <col min="6" max="6" width="11.7109375" style="81" customWidth="1"/>
    <col min="7" max="7" width="18.421875" style="30" customWidth="1"/>
    <col min="8" max="8" width="17.57421875" style="30" customWidth="1"/>
    <col min="9" max="9" width="16.7109375" style="30" customWidth="1"/>
    <col min="10" max="10" width="11.28125" style="81" customWidth="1"/>
    <col min="11" max="11" width="18.7109375" style="30" customWidth="1"/>
    <col min="12" max="12" width="16.7109375" style="30" customWidth="1"/>
    <col min="13" max="13" width="17.57421875" style="30" customWidth="1"/>
    <col min="14" max="14" width="11.7109375" style="81" customWidth="1"/>
    <col min="15" max="15" width="18.421875" style="30" customWidth="1"/>
    <col min="16" max="16" width="17.57421875" style="30" customWidth="1"/>
    <col min="17" max="17" width="16.7109375" style="30" customWidth="1"/>
    <col min="18" max="18" width="8.421875" style="81" customWidth="1"/>
    <col min="19" max="19" width="25.57421875" style="31" customWidth="1"/>
    <col min="20" max="20" width="22.57421875" style="30" customWidth="1"/>
    <col min="21" max="21" width="20.7109375" style="3" customWidth="1"/>
    <col min="22" max="22" width="28.57421875" style="0" customWidth="1"/>
    <col min="23" max="23" width="34.28125" style="0" customWidth="1"/>
  </cols>
  <sheetData>
    <row r="1" spans="1:14" ht="14.25">
      <c r="A1" s="2" t="s">
        <v>0</v>
      </c>
      <c r="B1" s="2"/>
      <c r="C1" s="29"/>
      <c r="D1" s="29"/>
      <c r="E1" s="29"/>
      <c r="F1" s="72"/>
      <c r="K1" s="29"/>
      <c r="L1" s="29"/>
      <c r="M1" s="29"/>
      <c r="N1" s="72"/>
    </row>
    <row r="2" spans="1:14" ht="14.25">
      <c r="A2" s="2"/>
      <c r="B2" s="2"/>
      <c r="C2" s="29"/>
      <c r="D2" s="29"/>
      <c r="E2" s="29"/>
      <c r="F2" s="72"/>
      <c r="K2" s="29"/>
      <c r="L2" s="29"/>
      <c r="M2" s="29"/>
      <c r="N2" s="72"/>
    </row>
    <row r="3" spans="1:14" ht="14.25">
      <c r="A3" s="2" t="s">
        <v>25</v>
      </c>
      <c r="B3" s="2"/>
      <c r="C3" s="29"/>
      <c r="D3" s="29"/>
      <c r="E3" s="29"/>
      <c r="F3" s="72"/>
      <c r="K3" s="29"/>
      <c r="L3" s="29"/>
      <c r="M3" s="29"/>
      <c r="N3" s="72"/>
    </row>
    <row r="4" spans="1:21" ht="14.25">
      <c r="A4" s="5"/>
      <c r="B4" s="5"/>
      <c r="C4" s="32"/>
      <c r="D4" s="32"/>
      <c r="E4" s="32"/>
      <c r="F4" s="73"/>
      <c r="G4" s="32"/>
      <c r="H4" s="32"/>
      <c r="I4" s="32"/>
      <c r="J4" s="73"/>
      <c r="K4" s="32"/>
      <c r="L4" s="32"/>
      <c r="M4" s="32"/>
      <c r="N4" s="73"/>
      <c r="O4" s="32"/>
      <c r="P4" s="32"/>
      <c r="Q4" s="32"/>
      <c r="R4" s="73"/>
      <c r="S4" s="33"/>
      <c r="T4" s="32"/>
      <c r="U4" s="5"/>
    </row>
    <row r="5" spans="1:21" ht="14.25">
      <c r="A5" s="6" t="s">
        <v>29</v>
      </c>
      <c r="B5" s="5"/>
      <c r="C5" s="32"/>
      <c r="D5" s="32"/>
      <c r="E5" s="32"/>
      <c r="F5" s="73"/>
      <c r="G5" s="32"/>
      <c r="H5" s="32"/>
      <c r="I5" s="32"/>
      <c r="J5" s="73"/>
      <c r="K5" s="32"/>
      <c r="L5" s="32"/>
      <c r="M5" s="32"/>
      <c r="N5" s="73"/>
      <c r="O5" s="32"/>
      <c r="P5" s="32"/>
      <c r="Q5" s="32"/>
      <c r="R5" s="73"/>
      <c r="S5" s="33"/>
      <c r="T5" s="32"/>
      <c r="U5" s="5"/>
    </row>
    <row r="6" spans="1:21" ht="15" thickBot="1">
      <c r="A6" s="7"/>
      <c r="B6" s="7"/>
      <c r="C6" s="34"/>
      <c r="D6" s="34"/>
      <c r="E6" s="34"/>
      <c r="F6" s="74"/>
      <c r="G6" s="34"/>
      <c r="H6" s="34"/>
      <c r="I6" s="34"/>
      <c r="J6" s="74"/>
      <c r="K6" s="34"/>
      <c r="L6" s="34"/>
      <c r="M6" s="34"/>
      <c r="N6" s="74"/>
      <c r="O6" s="34"/>
      <c r="P6" s="34"/>
      <c r="Q6" s="34"/>
      <c r="R6" s="74"/>
      <c r="S6" s="35"/>
      <c r="T6" s="34"/>
      <c r="U6" s="7"/>
    </row>
    <row r="7" spans="1:21" ht="166.5" customHeight="1" thickBot="1">
      <c r="A7" s="68" t="s">
        <v>1</v>
      </c>
      <c r="B7" s="69" t="s">
        <v>2</v>
      </c>
      <c r="C7" s="69" t="s">
        <v>73</v>
      </c>
      <c r="D7" s="82" t="s">
        <v>64</v>
      </c>
      <c r="E7" s="83" t="s">
        <v>65</v>
      </c>
      <c r="F7" s="84" t="s">
        <v>63</v>
      </c>
      <c r="G7" s="69" t="s">
        <v>90</v>
      </c>
      <c r="H7" s="82" t="s">
        <v>66</v>
      </c>
      <c r="I7" s="83" t="s">
        <v>67</v>
      </c>
      <c r="J7" s="84" t="s">
        <v>63</v>
      </c>
      <c r="K7" s="69" t="s">
        <v>73</v>
      </c>
      <c r="L7" s="82" t="s">
        <v>64</v>
      </c>
      <c r="M7" s="83" t="s">
        <v>65</v>
      </c>
      <c r="N7" s="84" t="s">
        <v>63</v>
      </c>
      <c r="O7" s="69" t="s">
        <v>74</v>
      </c>
      <c r="P7" s="82" t="s">
        <v>66</v>
      </c>
      <c r="Q7" s="83" t="s">
        <v>67</v>
      </c>
      <c r="R7" s="84" t="s">
        <v>63</v>
      </c>
      <c r="S7" s="70" t="s">
        <v>91</v>
      </c>
      <c r="T7" s="69" t="s">
        <v>92</v>
      </c>
      <c r="U7" s="71" t="s">
        <v>93</v>
      </c>
    </row>
    <row r="8" spans="1:21" ht="15" customHeight="1" thickBot="1">
      <c r="A8" s="229" t="s">
        <v>54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1" ht="47.25" customHeight="1">
      <c r="A9" s="8" t="s">
        <v>3</v>
      </c>
      <c r="B9" s="9" t="s">
        <v>53</v>
      </c>
      <c r="C9" s="36">
        <f>C10+C11+C12+C13+C14</f>
        <v>79500</v>
      </c>
      <c r="D9" s="36">
        <f>D10+D11+D12+D13+D14</f>
        <v>13598.97</v>
      </c>
      <c r="E9" s="36">
        <f>E10+E11+E12+E13+E14</f>
        <v>8549.28</v>
      </c>
      <c r="F9" s="94">
        <f>(D9+E9)/C9</f>
        <v>0.2785943396226415</v>
      </c>
      <c r="G9" s="128">
        <f>G10+G11+G12+G13+G14</f>
        <v>112500</v>
      </c>
      <c r="H9" s="129">
        <f>H10+H11+H12+H13+H14</f>
        <v>38596.67</v>
      </c>
      <c r="I9" s="129">
        <f>I10+I11+I12+I13+I14</f>
        <v>0</v>
      </c>
      <c r="J9" s="130">
        <f aca="true" t="shared" si="0" ref="J9:J22">(H9+I9)/G9</f>
        <v>0.34308151111111107</v>
      </c>
      <c r="K9" s="36">
        <f>K10+K11+K12+K13+K14</f>
        <v>72000</v>
      </c>
      <c r="L9" s="36">
        <f>L10+L11+L12+L13+L14</f>
        <v>10000</v>
      </c>
      <c r="M9" s="36">
        <f>M10+M11+M12+M13+M14</f>
        <v>19885</v>
      </c>
      <c r="N9" s="86">
        <f>(L9+M9)/K9</f>
        <v>0.41506944444444444</v>
      </c>
      <c r="O9" s="170">
        <f>O10+O11+O12+O13+O14</f>
        <v>105740</v>
      </c>
      <c r="P9" s="170">
        <f>P10+P11+P12+P13+P14</f>
        <v>51390</v>
      </c>
      <c r="Q9" s="170">
        <f>Q10+Q11+Q12+Q13+Q14</f>
        <v>19290</v>
      </c>
      <c r="R9" s="173">
        <f>(P9+Q9)/O9</f>
        <v>0.6684320030262909</v>
      </c>
      <c r="S9" s="172">
        <f>SUM(S10:S14)</f>
        <v>369740</v>
      </c>
      <c r="T9" s="172">
        <f>SUM(T10:T14)</f>
        <v>161309.91999999998</v>
      </c>
      <c r="U9" s="97">
        <f>T9/S9</f>
        <v>0.43627933142208036</v>
      </c>
    </row>
    <row r="10" spans="1:21" ht="63" customHeight="1">
      <c r="A10" s="10" t="s">
        <v>4</v>
      </c>
      <c r="B10" s="11" t="s">
        <v>52</v>
      </c>
      <c r="C10" s="20">
        <v>11500</v>
      </c>
      <c r="D10" s="20">
        <v>11500</v>
      </c>
      <c r="E10" s="20"/>
      <c r="F10" s="95">
        <f aca="true" t="shared" si="1" ref="F10:F21">(D10+E10)/C10</f>
        <v>1</v>
      </c>
      <c r="G10" s="131">
        <v>7500</v>
      </c>
      <c r="H10" s="132"/>
      <c r="I10" s="132"/>
      <c r="J10" s="133">
        <f t="shared" si="0"/>
        <v>0</v>
      </c>
      <c r="K10" s="20">
        <v>10000</v>
      </c>
      <c r="L10" s="20">
        <f>9962.73+37.27</f>
        <v>10000</v>
      </c>
      <c r="M10" s="20"/>
      <c r="N10" s="86">
        <f aca="true" t="shared" si="2" ref="N10:N21">(L10+M10)/K10</f>
        <v>1</v>
      </c>
      <c r="O10" s="132"/>
      <c r="P10" s="132"/>
      <c r="Q10" s="132"/>
      <c r="R10" s="171"/>
      <c r="S10" s="134">
        <f aca="true" t="shared" si="3" ref="S10:S21">C10+G10+K10+O10</f>
        <v>29000</v>
      </c>
      <c r="T10" s="96">
        <f aca="true" t="shared" si="4" ref="T10:T21">Q10+P10+M10+L10+I10+H10+E10+D10</f>
        <v>21500</v>
      </c>
      <c r="U10" s="97">
        <f aca="true" t="shared" si="5" ref="U10:U21">T10/S10</f>
        <v>0.7413793103448276</v>
      </c>
    </row>
    <row r="11" spans="1:21" ht="106.5" customHeight="1">
      <c r="A11" s="10" t="s">
        <v>5</v>
      </c>
      <c r="B11" s="12" t="s">
        <v>51</v>
      </c>
      <c r="C11" s="41">
        <v>0</v>
      </c>
      <c r="D11" s="41"/>
      <c r="E11" s="41"/>
      <c r="F11" s="86"/>
      <c r="G11" s="135">
        <v>50000</v>
      </c>
      <c r="H11" s="132">
        <v>38596.67</v>
      </c>
      <c r="I11" s="136"/>
      <c r="J11" s="133">
        <f t="shared" si="0"/>
        <v>0.7719334</v>
      </c>
      <c r="K11" s="41"/>
      <c r="L11" s="41"/>
      <c r="M11" s="41"/>
      <c r="N11" s="86"/>
      <c r="O11" s="136">
        <v>35740</v>
      </c>
      <c r="P11" s="136">
        <v>20500</v>
      </c>
      <c r="Q11" s="136"/>
      <c r="R11" s="171">
        <f aca="true" t="shared" si="6" ref="R11:R21">(P11+Q11)/O11</f>
        <v>0.5735870173475098</v>
      </c>
      <c r="S11" s="134">
        <f t="shared" si="3"/>
        <v>85740</v>
      </c>
      <c r="T11" s="96">
        <f t="shared" si="4"/>
        <v>59096.67</v>
      </c>
      <c r="U11" s="97">
        <f t="shared" si="5"/>
        <v>0.6892543736878937</v>
      </c>
    </row>
    <row r="12" spans="1:21" ht="60" customHeight="1">
      <c r="A12" s="10" t="s">
        <v>6</v>
      </c>
      <c r="B12" s="12" t="s">
        <v>50</v>
      </c>
      <c r="C12" s="20">
        <v>0</v>
      </c>
      <c r="D12" s="20"/>
      <c r="E12" s="20"/>
      <c r="F12" s="86"/>
      <c r="G12" s="135">
        <v>30000</v>
      </c>
      <c r="H12" s="136"/>
      <c r="I12" s="136"/>
      <c r="J12" s="133">
        <f t="shared" si="0"/>
        <v>0</v>
      </c>
      <c r="K12" s="20"/>
      <c r="L12" s="20"/>
      <c r="M12" s="20"/>
      <c r="N12" s="86"/>
      <c r="O12" s="136">
        <v>70000</v>
      </c>
      <c r="P12" s="136">
        <v>30890</v>
      </c>
      <c r="Q12" s="136">
        <v>19290</v>
      </c>
      <c r="R12" s="171">
        <f t="shared" si="6"/>
        <v>0.7168571428571429</v>
      </c>
      <c r="S12" s="134">
        <f t="shared" si="3"/>
        <v>100000</v>
      </c>
      <c r="T12" s="96">
        <f t="shared" si="4"/>
        <v>50180</v>
      </c>
      <c r="U12" s="97">
        <f t="shared" si="5"/>
        <v>0.5018</v>
      </c>
    </row>
    <row r="13" spans="1:21" ht="53.25" customHeight="1">
      <c r="A13" s="10" t="s">
        <v>30</v>
      </c>
      <c r="B13" s="12" t="s">
        <v>49</v>
      </c>
      <c r="C13" s="44">
        <v>0</v>
      </c>
      <c r="D13" s="44"/>
      <c r="E13" s="44"/>
      <c r="F13" s="86"/>
      <c r="G13" s="137">
        <v>25000</v>
      </c>
      <c r="H13" s="138"/>
      <c r="I13" s="138"/>
      <c r="J13" s="133">
        <f t="shared" si="0"/>
        <v>0</v>
      </c>
      <c r="K13" s="44"/>
      <c r="L13" s="44"/>
      <c r="M13" s="44"/>
      <c r="N13" s="86"/>
      <c r="O13" s="138"/>
      <c r="P13" s="138"/>
      <c r="Q13" s="138"/>
      <c r="R13" s="171"/>
      <c r="S13" s="134">
        <f t="shared" si="3"/>
        <v>25000</v>
      </c>
      <c r="T13" s="96">
        <f t="shared" si="4"/>
        <v>0</v>
      </c>
      <c r="U13" s="97">
        <f t="shared" si="5"/>
        <v>0</v>
      </c>
    </row>
    <row r="14" spans="1:21" ht="80.25" customHeight="1">
      <c r="A14" s="10" t="s">
        <v>31</v>
      </c>
      <c r="B14" s="12" t="s">
        <v>48</v>
      </c>
      <c r="C14" s="47">
        <v>68000</v>
      </c>
      <c r="D14" s="47">
        <v>2098.97</v>
      </c>
      <c r="E14" s="47">
        <v>8549.28</v>
      </c>
      <c r="F14" s="95">
        <f t="shared" si="1"/>
        <v>0.15659191176470588</v>
      </c>
      <c r="G14" s="139"/>
      <c r="H14" s="140"/>
      <c r="I14" s="140"/>
      <c r="J14" s="133" t="e">
        <f t="shared" si="0"/>
        <v>#DIV/0!</v>
      </c>
      <c r="K14" s="47">
        <v>62000</v>
      </c>
      <c r="L14" s="47"/>
      <c r="M14" s="47">
        <f>19885+0</f>
        <v>19885</v>
      </c>
      <c r="N14" s="86">
        <f t="shared" si="2"/>
        <v>0.3207258064516129</v>
      </c>
      <c r="O14" s="140"/>
      <c r="P14" s="140"/>
      <c r="Q14" s="140"/>
      <c r="R14" s="171"/>
      <c r="S14" s="134">
        <f t="shared" si="3"/>
        <v>130000</v>
      </c>
      <c r="T14" s="96">
        <f t="shared" si="4"/>
        <v>30533.25</v>
      </c>
      <c r="U14" s="97">
        <f t="shared" si="5"/>
        <v>0.23487115384615384</v>
      </c>
    </row>
    <row r="15" spans="1:21" ht="40.5">
      <c r="A15" s="13" t="s">
        <v>7</v>
      </c>
      <c r="B15" s="14" t="s">
        <v>55</v>
      </c>
      <c r="C15" s="49">
        <f>SUM(C16:C21)</f>
        <v>338036.540523977</v>
      </c>
      <c r="D15" s="49">
        <f>SUM(D16:D21)</f>
        <v>49355.82000000001</v>
      </c>
      <c r="E15" s="49">
        <f>SUM(E16:E21)</f>
        <v>59591.18</v>
      </c>
      <c r="F15" s="94">
        <f t="shared" si="1"/>
        <v>0.3222935598356485</v>
      </c>
      <c r="G15" s="141">
        <f>G16+G17+G18+G19+G20+G21</f>
        <v>40000</v>
      </c>
      <c r="H15" s="142">
        <f>H16+H17+H18+H19+H20+H21</f>
        <v>0</v>
      </c>
      <c r="I15" s="142">
        <f>I16+I17+I18+I19+I20+I21</f>
        <v>0</v>
      </c>
      <c r="J15" s="143">
        <f t="shared" si="0"/>
        <v>0</v>
      </c>
      <c r="K15" s="49">
        <f>SUM(K16:K21)</f>
        <v>355000</v>
      </c>
      <c r="L15" s="49">
        <f>SUM(L16:L21)</f>
        <v>241633.68000000002</v>
      </c>
      <c r="M15" s="49">
        <f>SUM(M16:M21)</f>
        <v>47865.56</v>
      </c>
      <c r="N15" s="86">
        <f t="shared" si="2"/>
        <v>0.8154908169014085</v>
      </c>
      <c r="O15" s="142">
        <f>O16+O17+O18+O19+O20+O21</f>
        <v>110000</v>
      </c>
      <c r="P15" s="142">
        <f>P16+P17+P18+P19+P20+P21</f>
        <v>20942.5</v>
      </c>
      <c r="Q15" s="142">
        <f>Q16+Q17+Q18+Q19+Q20+Q21</f>
        <v>0</v>
      </c>
      <c r="R15" s="173">
        <f t="shared" si="6"/>
        <v>0.19038636363636363</v>
      </c>
      <c r="S15" s="172">
        <f>SUM(S16:S21)</f>
        <v>843036.540523977</v>
      </c>
      <c r="T15" s="172">
        <f>SUM(T16:T21)</f>
        <v>419388.74</v>
      </c>
      <c r="U15" s="97">
        <f t="shared" si="5"/>
        <v>0.49747397632294216</v>
      </c>
    </row>
    <row r="16" spans="1:21" ht="33" customHeight="1">
      <c r="A16" s="10" t="s">
        <v>8</v>
      </c>
      <c r="B16" s="11" t="s">
        <v>47</v>
      </c>
      <c r="C16" s="20">
        <v>10000</v>
      </c>
      <c r="D16" s="20">
        <v>7618.38</v>
      </c>
      <c r="E16" s="20"/>
      <c r="F16" s="95">
        <f t="shared" si="1"/>
        <v>0.761838</v>
      </c>
      <c r="G16" s="139"/>
      <c r="H16" s="140"/>
      <c r="I16" s="140"/>
      <c r="J16" s="133" t="e">
        <f t="shared" si="0"/>
        <v>#DIV/0!</v>
      </c>
      <c r="K16" s="20">
        <v>10000</v>
      </c>
      <c r="L16" s="20">
        <f>9965.86+34.16</f>
        <v>10000.02</v>
      </c>
      <c r="M16" s="20"/>
      <c r="N16" s="86">
        <f t="shared" si="2"/>
        <v>1.000002</v>
      </c>
      <c r="O16" s="140">
        <v>25000</v>
      </c>
      <c r="P16" s="136">
        <v>20942.5</v>
      </c>
      <c r="Q16" s="140"/>
      <c r="R16" s="171">
        <f t="shared" si="6"/>
        <v>0.8377</v>
      </c>
      <c r="S16" s="134">
        <f t="shared" si="3"/>
        <v>45000</v>
      </c>
      <c r="T16" s="96">
        <f t="shared" si="4"/>
        <v>38560.9</v>
      </c>
      <c r="U16" s="97">
        <f t="shared" si="5"/>
        <v>0.8569088888888889</v>
      </c>
    </row>
    <row r="17" spans="1:21" ht="53.25" customHeight="1">
      <c r="A17" s="10" t="s">
        <v>9</v>
      </c>
      <c r="B17" s="11" t="s">
        <v>46</v>
      </c>
      <c r="C17" s="20">
        <v>126536.540523977</v>
      </c>
      <c r="D17" s="20">
        <v>21147.81</v>
      </c>
      <c r="E17" s="20"/>
      <c r="F17" s="95">
        <f t="shared" si="1"/>
        <v>0.16712808736850815</v>
      </c>
      <c r="G17" s="137"/>
      <c r="H17" s="138"/>
      <c r="I17" s="138"/>
      <c r="J17" s="133" t="e">
        <f t="shared" si="0"/>
        <v>#DIV/0!</v>
      </c>
      <c r="K17" s="20">
        <v>140000</v>
      </c>
      <c r="L17" s="20">
        <f>120334.88</f>
        <v>120334.88</v>
      </c>
      <c r="M17" s="20">
        <f>9375.56+0</f>
        <v>9375.56</v>
      </c>
      <c r="N17" s="86">
        <f t="shared" si="2"/>
        <v>0.9265031428571429</v>
      </c>
      <c r="O17" s="138"/>
      <c r="P17" s="138"/>
      <c r="Q17" s="138"/>
      <c r="R17" s="171"/>
      <c r="S17" s="134">
        <f t="shared" si="3"/>
        <v>266536.540523977</v>
      </c>
      <c r="T17" s="96">
        <f t="shared" si="4"/>
        <v>150858.25</v>
      </c>
      <c r="U17" s="97">
        <f t="shared" si="5"/>
        <v>0.5659946276162804</v>
      </c>
    </row>
    <row r="18" spans="1:21" ht="27">
      <c r="A18" s="10" t="s">
        <v>10</v>
      </c>
      <c r="B18" s="11" t="s">
        <v>45</v>
      </c>
      <c r="C18" s="20">
        <v>21500</v>
      </c>
      <c r="D18" s="20">
        <v>2660.2</v>
      </c>
      <c r="E18" s="20">
        <v>15566.94</v>
      </c>
      <c r="F18" s="95">
        <f t="shared" si="1"/>
        <v>0.847773953488372</v>
      </c>
      <c r="G18" s="139"/>
      <c r="H18" s="140"/>
      <c r="I18" s="140"/>
      <c r="J18" s="133" t="e">
        <f t="shared" si="0"/>
        <v>#DIV/0!</v>
      </c>
      <c r="K18" s="20">
        <v>20000</v>
      </c>
      <c r="L18" s="20">
        <v>11400.12</v>
      </c>
      <c r="M18" s="20">
        <v>8500</v>
      </c>
      <c r="N18" s="86">
        <f t="shared" si="2"/>
        <v>0.9950060000000002</v>
      </c>
      <c r="O18" s="140">
        <v>20000</v>
      </c>
      <c r="P18" s="140"/>
      <c r="Q18" s="140"/>
      <c r="R18" s="171">
        <f t="shared" si="6"/>
        <v>0</v>
      </c>
      <c r="S18" s="134">
        <f t="shared" si="3"/>
        <v>61500</v>
      </c>
      <c r="T18" s="96">
        <f t="shared" si="4"/>
        <v>38127.26</v>
      </c>
      <c r="U18" s="97">
        <f t="shared" si="5"/>
        <v>0.6199554471544716</v>
      </c>
    </row>
    <row r="19" spans="1:21" ht="54.75" customHeight="1">
      <c r="A19" s="10" t="s">
        <v>39</v>
      </c>
      <c r="B19" s="11" t="s">
        <v>44</v>
      </c>
      <c r="C19" s="20">
        <v>45000</v>
      </c>
      <c r="D19" s="20">
        <v>9708.44</v>
      </c>
      <c r="E19" s="20">
        <v>27016.71</v>
      </c>
      <c r="F19" s="95">
        <f t="shared" si="1"/>
        <v>0.8161144444444445</v>
      </c>
      <c r="G19" s="139">
        <v>5750</v>
      </c>
      <c r="H19" s="140"/>
      <c r="I19" s="140"/>
      <c r="J19" s="133">
        <f t="shared" si="0"/>
        <v>0</v>
      </c>
      <c r="K19" s="20">
        <v>47000</v>
      </c>
      <c r="L19" s="20">
        <f>25549.98+21450.02</f>
        <v>47000</v>
      </c>
      <c r="M19" s="20"/>
      <c r="N19" s="86">
        <f t="shared" si="2"/>
        <v>1</v>
      </c>
      <c r="O19" s="140"/>
      <c r="P19" s="140"/>
      <c r="Q19" s="140"/>
      <c r="R19" s="171"/>
      <c r="S19" s="134">
        <f t="shared" si="3"/>
        <v>97750</v>
      </c>
      <c r="T19" s="96">
        <f t="shared" si="4"/>
        <v>83725.15</v>
      </c>
      <c r="U19" s="97">
        <f t="shared" si="5"/>
        <v>0.856523273657289</v>
      </c>
    </row>
    <row r="20" spans="1:21" ht="40.5">
      <c r="A20" s="10" t="s">
        <v>40</v>
      </c>
      <c r="B20" s="11" t="s">
        <v>43</v>
      </c>
      <c r="C20" s="20">
        <v>90000</v>
      </c>
      <c r="D20" s="20">
        <v>3413.83</v>
      </c>
      <c r="E20" s="20">
        <v>17007.53</v>
      </c>
      <c r="F20" s="95">
        <f t="shared" si="1"/>
        <v>0.226904</v>
      </c>
      <c r="G20" s="139"/>
      <c r="H20" s="140"/>
      <c r="I20" s="140"/>
      <c r="J20" s="133" t="e">
        <f t="shared" si="0"/>
        <v>#DIV/0!</v>
      </c>
      <c r="K20" s="20">
        <v>90000</v>
      </c>
      <c r="L20" s="20">
        <f>25401.67+13018.33</f>
        <v>38420</v>
      </c>
      <c r="M20" s="20"/>
      <c r="N20" s="86">
        <f t="shared" si="2"/>
        <v>0.4268888888888889</v>
      </c>
      <c r="O20" s="140"/>
      <c r="P20" s="140"/>
      <c r="Q20" s="140"/>
      <c r="R20" s="171"/>
      <c r="S20" s="134">
        <f t="shared" si="3"/>
        <v>180000</v>
      </c>
      <c r="T20" s="96">
        <f t="shared" si="4"/>
        <v>58841.36</v>
      </c>
      <c r="U20" s="97">
        <f t="shared" si="5"/>
        <v>0.32689644444444443</v>
      </c>
    </row>
    <row r="21" spans="1:21" ht="37.5" customHeight="1">
      <c r="A21" s="10" t="s">
        <v>41</v>
      </c>
      <c r="B21" s="11" t="s">
        <v>42</v>
      </c>
      <c r="C21" s="20">
        <v>45000</v>
      </c>
      <c r="D21" s="20">
        <v>4807.16</v>
      </c>
      <c r="E21" s="20"/>
      <c r="F21" s="95">
        <f t="shared" si="1"/>
        <v>0.10682577777777777</v>
      </c>
      <c r="G21" s="135">
        <v>34250</v>
      </c>
      <c r="H21" s="136"/>
      <c r="I21" s="136"/>
      <c r="J21" s="133">
        <f t="shared" si="0"/>
        <v>0</v>
      </c>
      <c r="K21" s="20">
        <f>40000+8000</f>
        <v>48000</v>
      </c>
      <c r="L21" s="20">
        <v>14478.66</v>
      </c>
      <c r="M21" s="20">
        <f>29990</f>
        <v>29990</v>
      </c>
      <c r="N21" s="86">
        <f t="shared" si="2"/>
        <v>0.9264304166666667</v>
      </c>
      <c r="O21" s="136">
        <v>65000</v>
      </c>
      <c r="P21" s="136"/>
      <c r="Q21" s="136"/>
      <c r="R21" s="171">
        <f t="shared" si="6"/>
        <v>0</v>
      </c>
      <c r="S21" s="134">
        <f t="shared" si="3"/>
        <v>192250</v>
      </c>
      <c r="T21" s="96">
        <f t="shared" si="4"/>
        <v>49275.82000000001</v>
      </c>
      <c r="U21" s="97">
        <f t="shared" si="5"/>
        <v>0.2563111573472042</v>
      </c>
    </row>
    <row r="22" spans="1:21" ht="37.5" customHeight="1" thickBot="1">
      <c r="A22" s="15" t="s">
        <v>11</v>
      </c>
      <c r="B22" s="16"/>
      <c r="C22" s="52">
        <f>SUM(C9+C15)</f>
        <v>417536.540523977</v>
      </c>
      <c r="D22" s="52">
        <f>SUM(D9+D15)</f>
        <v>62954.79000000001</v>
      </c>
      <c r="E22" s="52">
        <f>SUM(E9+E15)</f>
        <v>68140.46</v>
      </c>
      <c r="F22" s="77"/>
      <c r="G22" s="144">
        <f>SUM(G9+G15)</f>
        <v>152500</v>
      </c>
      <c r="H22" s="145">
        <f>SUM(H9+H15)</f>
        <v>38596.67</v>
      </c>
      <c r="I22" s="145">
        <f>SUM(I9+I15)</f>
        <v>0</v>
      </c>
      <c r="J22" s="146">
        <f t="shared" si="0"/>
        <v>0.2530929180327869</v>
      </c>
      <c r="K22" s="52">
        <f>SUM(K9+K15)</f>
        <v>427000</v>
      </c>
      <c r="L22" s="52">
        <f>SUM(L9+L15)</f>
        <v>251633.68000000002</v>
      </c>
      <c r="M22" s="52">
        <f>SUM(M9+M15)</f>
        <v>67750.56</v>
      </c>
      <c r="N22" s="77"/>
      <c r="O22" s="52">
        <f>SUM(O9+O15)</f>
        <v>215740</v>
      </c>
      <c r="P22" s="52">
        <f>SUM(P9+P15)</f>
        <v>72332.5</v>
      </c>
      <c r="Q22" s="52">
        <f>SUM(Q9+Q15)</f>
        <v>19290</v>
      </c>
      <c r="R22" s="77"/>
      <c r="S22" s="52">
        <f>SUM(S9+S15)</f>
        <v>1212776.540523977</v>
      </c>
      <c r="T22" s="52">
        <f>SUM(T9+T15)</f>
        <v>580698.6599999999</v>
      </c>
      <c r="U22" s="98">
        <f>T22/S22</f>
        <v>0.47881752375347775</v>
      </c>
    </row>
    <row r="23" spans="1:21" ht="15" thickBot="1">
      <c r="A23" s="227" t="s">
        <v>56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/>
      <c r="U23"/>
    </row>
    <row r="24" spans="1:21" ht="54">
      <c r="A24" s="13" t="s">
        <v>12</v>
      </c>
      <c r="B24" s="18" t="s">
        <v>57</v>
      </c>
      <c r="C24" s="54">
        <f>SUM(C25:C28)</f>
        <v>17000</v>
      </c>
      <c r="D24" s="54">
        <f>SUM(D25:D28)</f>
        <v>2390.55</v>
      </c>
      <c r="E24" s="54">
        <f>SUM(E25:E28)</f>
        <v>12025.21</v>
      </c>
      <c r="F24" s="93">
        <f>(D24+E24)/C24</f>
        <v>0.847985882352941</v>
      </c>
      <c r="G24" s="147">
        <f>G25+G26+G27+G28</f>
        <v>72036.54000000001</v>
      </c>
      <c r="H24" s="148">
        <f>H25+H26+H27+H28</f>
        <v>65769.79</v>
      </c>
      <c r="I24" s="148">
        <f>I25+I26+I27+I28</f>
        <v>0</v>
      </c>
      <c r="J24" s="130">
        <f>(H24+I24)/G24</f>
        <v>0.9130059550333759</v>
      </c>
      <c r="K24" s="54"/>
      <c r="L24" s="54"/>
      <c r="M24" s="54"/>
      <c r="N24" s="87"/>
      <c r="O24" s="152">
        <f>SUM(O25:O28)</f>
        <v>105000</v>
      </c>
      <c r="P24" s="152">
        <f>SUM(P25:P28)</f>
        <v>52925.4</v>
      </c>
      <c r="Q24" s="152">
        <f>SUM(Q25:Q28)</f>
        <v>6671</v>
      </c>
      <c r="R24" s="169">
        <f>(P24+Q24)/O24</f>
        <v>0.5675847619047619</v>
      </c>
      <c r="S24" s="51">
        <f>SUM(S25:S28)</f>
        <v>194036.54</v>
      </c>
      <c r="T24" s="51">
        <f>SUM(T25:T28)</f>
        <v>139781.95</v>
      </c>
      <c r="U24" s="101">
        <f>T24/S24</f>
        <v>0.7203898296681646</v>
      </c>
    </row>
    <row r="25" spans="1:21" ht="46.5" customHeight="1">
      <c r="A25" s="10" t="s">
        <v>13</v>
      </c>
      <c r="B25" s="11" t="s">
        <v>38</v>
      </c>
      <c r="C25" s="20">
        <v>0</v>
      </c>
      <c r="D25" s="20"/>
      <c r="E25" s="20"/>
      <c r="F25" s="87"/>
      <c r="G25" s="149">
        <v>30000</v>
      </c>
      <c r="H25" s="140">
        <v>30000</v>
      </c>
      <c r="I25" s="140"/>
      <c r="J25" s="150">
        <f aca="true" t="shared" si="7" ref="J25:J40">(H25+I25)/G25</f>
        <v>1</v>
      </c>
      <c r="K25" s="20"/>
      <c r="L25" s="20"/>
      <c r="M25" s="20"/>
      <c r="N25" s="75"/>
      <c r="O25" s="140">
        <v>20000</v>
      </c>
      <c r="P25" s="136">
        <v>17925.4</v>
      </c>
      <c r="Q25" s="140"/>
      <c r="R25" s="169">
        <f aca="true" t="shared" si="8" ref="R25:R33">(P25+Q25)/O25</f>
        <v>0.8962700000000001</v>
      </c>
      <c r="S25" s="134">
        <f aca="true" t="shared" si="9" ref="S25:S33">C25+G25+K25+O25</f>
        <v>50000</v>
      </c>
      <c r="T25" s="96">
        <f aca="true" t="shared" si="10" ref="T25:T33">Q25+P25+M25+L25+I25+H25+E25+D25</f>
        <v>47925.4</v>
      </c>
      <c r="U25" s="101">
        <f aca="true" t="shared" si="11" ref="U25:U41">T25/S25</f>
        <v>0.958508</v>
      </c>
    </row>
    <row r="26" spans="1:21" ht="47.25" customHeight="1">
      <c r="A26" s="10" t="s">
        <v>14</v>
      </c>
      <c r="B26" s="11" t="s">
        <v>37</v>
      </c>
      <c r="C26" s="56">
        <v>0</v>
      </c>
      <c r="D26" s="56"/>
      <c r="E26" s="56"/>
      <c r="F26" s="87"/>
      <c r="G26" s="149">
        <v>32036.54</v>
      </c>
      <c r="H26" s="140">
        <v>32000</v>
      </c>
      <c r="I26" s="140"/>
      <c r="J26" s="150">
        <f t="shared" si="7"/>
        <v>0.9988594273913475</v>
      </c>
      <c r="K26" s="56"/>
      <c r="L26" s="56"/>
      <c r="M26" s="56"/>
      <c r="N26" s="75"/>
      <c r="O26" s="140">
        <v>40000</v>
      </c>
      <c r="P26" s="140">
        <v>20000</v>
      </c>
      <c r="Q26" s="140"/>
      <c r="R26" s="169">
        <f t="shared" si="8"/>
        <v>0.5</v>
      </c>
      <c r="S26" s="134">
        <f t="shared" si="9"/>
        <v>72036.54000000001</v>
      </c>
      <c r="T26" s="96">
        <f t="shared" si="10"/>
        <v>52000</v>
      </c>
      <c r="U26" s="101">
        <f t="shared" si="11"/>
        <v>0.7218558803629379</v>
      </c>
    </row>
    <row r="27" spans="1:21" ht="39.75" customHeight="1">
      <c r="A27" s="10" t="s">
        <v>15</v>
      </c>
      <c r="B27" s="11" t="s">
        <v>36</v>
      </c>
      <c r="C27" s="56">
        <v>0</v>
      </c>
      <c r="D27" s="56"/>
      <c r="E27" s="56"/>
      <c r="F27" s="87"/>
      <c r="G27" s="149">
        <v>10000</v>
      </c>
      <c r="H27" s="140">
        <v>3769.79</v>
      </c>
      <c r="I27" s="140"/>
      <c r="J27" s="150">
        <f t="shared" si="7"/>
        <v>0.376979</v>
      </c>
      <c r="K27" s="56"/>
      <c r="L27" s="56"/>
      <c r="M27" s="56"/>
      <c r="N27" s="75"/>
      <c r="O27" s="140">
        <v>25000</v>
      </c>
      <c r="P27" s="140">
        <v>15000</v>
      </c>
      <c r="Q27" s="140">
        <v>6671</v>
      </c>
      <c r="R27" s="169">
        <f t="shared" si="8"/>
        <v>0.86684</v>
      </c>
      <c r="S27" s="134">
        <f t="shared" si="9"/>
        <v>35000</v>
      </c>
      <c r="T27" s="96">
        <f t="shared" si="10"/>
        <v>25440.79</v>
      </c>
      <c r="U27" s="101">
        <f t="shared" si="11"/>
        <v>0.7268797142857143</v>
      </c>
    </row>
    <row r="28" spans="1:21" ht="36.75" customHeight="1">
      <c r="A28" s="10" t="s">
        <v>32</v>
      </c>
      <c r="B28" s="11" t="s">
        <v>59</v>
      </c>
      <c r="C28" s="56">
        <v>17000</v>
      </c>
      <c r="D28" s="56">
        <v>2390.55</v>
      </c>
      <c r="E28" s="56">
        <v>12025.21</v>
      </c>
      <c r="F28" s="75">
        <f>(D28+E28)/C28</f>
        <v>0.847985882352941</v>
      </c>
      <c r="G28" s="149"/>
      <c r="H28" s="140"/>
      <c r="I28" s="140"/>
      <c r="J28" s="150" t="e">
        <f t="shared" si="7"/>
        <v>#DIV/0!</v>
      </c>
      <c r="K28" s="56"/>
      <c r="L28" s="56"/>
      <c r="M28" s="56"/>
      <c r="N28" s="75"/>
      <c r="O28" s="140">
        <v>20000</v>
      </c>
      <c r="P28" s="140"/>
      <c r="Q28" s="140"/>
      <c r="R28" s="169">
        <f t="shared" si="8"/>
        <v>0</v>
      </c>
      <c r="S28" s="134">
        <f t="shared" si="9"/>
        <v>37000</v>
      </c>
      <c r="T28" s="96">
        <f t="shared" si="10"/>
        <v>14415.759999999998</v>
      </c>
      <c r="U28" s="101">
        <f t="shared" si="11"/>
        <v>0.38961513513513507</v>
      </c>
    </row>
    <row r="29" spans="1:21" ht="40.5">
      <c r="A29" s="13" t="s">
        <v>16</v>
      </c>
      <c r="B29" s="12" t="s">
        <v>58</v>
      </c>
      <c r="C29" s="54">
        <f>SUM(C30:C33)</f>
        <v>140000</v>
      </c>
      <c r="D29" s="54">
        <f>SUM(D30:D33)</f>
        <v>27891.370000000003</v>
      </c>
      <c r="E29" s="54">
        <f>SUM(E30:E33)</f>
        <v>104826.44</v>
      </c>
      <c r="F29" s="93">
        <f>(D29+E29)/C29</f>
        <v>0.9479843571428571</v>
      </c>
      <c r="G29" s="151">
        <f>SUM(G30:G33)</f>
        <v>350000</v>
      </c>
      <c r="H29" s="152">
        <f>SUM(H30:H33)</f>
        <v>239537.78999999998</v>
      </c>
      <c r="I29" s="152">
        <f>SUM(I30:I33)</f>
        <v>0</v>
      </c>
      <c r="J29" s="153">
        <f t="shared" si="7"/>
        <v>0.6843936857142856</v>
      </c>
      <c r="K29" s="54">
        <f>SUM(K30:K33)</f>
        <v>123062.45</v>
      </c>
      <c r="L29" s="54">
        <f>SUM(L30:L33)</f>
        <v>105062.76</v>
      </c>
      <c r="M29" s="54">
        <f>SUM(M30:M33)</f>
        <v>8665.12</v>
      </c>
      <c r="N29" s="87">
        <f>(L29+M29)/K29</f>
        <v>0.9241476989934785</v>
      </c>
      <c r="O29" s="152">
        <f>SUM(O30:O33)</f>
        <v>280000</v>
      </c>
      <c r="P29" s="152">
        <f>SUM(P30:P33)</f>
        <v>157261.34999999998</v>
      </c>
      <c r="Q29" s="152">
        <f>SUM(Q30:Q33)</f>
        <v>75000</v>
      </c>
      <c r="R29" s="169">
        <f t="shared" si="8"/>
        <v>0.8295048214285713</v>
      </c>
      <c r="S29" s="51">
        <f>SUM(S30:S33)</f>
        <v>893062.45</v>
      </c>
      <c r="T29" s="51">
        <f>SUM(T30:T33)</f>
        <v>718244.83</v>
      </c>
      <c r="U29" s="101">
        <f t="shared" si="11"/>
        <v>0.8042492773041796</v>
      </c>
    </row>
    <row r="30" spans="1:21" ht="36.75" customHeight="1">
      <c r="A30" s="10" t="s">
        <v>17</v>
      </c>
      <c r="B30" s="11" t="s">
        <v>35</v>
      </c>
      <c r="C30" s="56">
        <v>100000</v>
      </c>
      <c r="D30" s="56">
        <v>11972.85</v>
      </c>
      <c r="E30" s="56">
        <v>72183.32</v>
      </c>
      <c r="F30" s="75">
        <f>(D30+E30)/C30</f>
        <v>0.8415617000000001</v>
      </c>
      <c r="G30" s="149">
        <v>105000</v>
      </c>
      <c r="H30" s="140">
        <v>98775</v>
      </c>
      <c r="I30" s="140"/>
      <c r="J30" s="150">
        <f t="shared" si="7"/>
        <v>0.9407142857142857</v>
      </c>
      <c r="K30" s="56">
        <v>123062.45</v>
      </c>
      <c r="L30" s="56">
        <f>105062.76</f>
        <v>105062.76</v>
      </c>
      <c r="M30" s="56">
        <f>8665.12+0</f>
        <v>8665.12</v>
      </c>
      <c r="N30" s="87">
        <f>(L30+M30)/K30</f>
        <v>0.9241476989934785</v>
      </c>
      <c r="O30" s="140">
        <v>75000</v>
      </c>
      <c r="P30" s="140"/>
      <c r="Q30" s="140">
        <v>75000</v>
      </c>
      <c r="R30" s="169">
        <f t="shared" si="8"/>
        <v>1</v>
      </c>
      <c r="S30" s="134">
        <f t="shared" si="9"/>
        <v>403062.45</v>
      </c>
      <c r="T30" s="96">
        <f t="shared" si="10"/>
        <v>371659.05</v>
      </c>
      <c r="U30" s="101">
        <f t="shared" si="11"/>
        <v>0.9220880039805246</v>
      </c>
    </row>
    <row r="31" spans="1:21" ht="40.5">
      <c r="A31" s="10" t="s">
        <v>18</v>
      </c>
      <c r="B31" s="19" t="s">
        <v>60</v>
      </c>
      <c r="C31" s="56">
        <v>0</v>
      </c>
      <c r="D31" s="56"/>
      <c r="E31" s="56"/>
      <c r="F31" s="75"/>
      <c r="G31" s="149">
        <v>30000</v>
      </c>
      <c r="H31" s="140">
        <v>40100</v>
      </c>
      <c r="I31" s="140"/>
      <c r="J31" s="150">
        <f t="shared" si="7"/>
        <v>1.3366666666666667</v>
      </c>
      <c r="K31" s="56"/>
      <c r="L31" s="56"/>
      <c r="M31" s="56"/>
      <c r="N31" s="75"/>
      <c r="O31" s="140">
        <v>20000</v>
      </c>
      <c r="P31" s="140">
        <v>10000</v>
      </c>
      <c r="Q31" s="140"/>
      <c r="R31" s="169">
        <f t="shared" si="8"/>
        <v>0.5</v>
      </c>
      <c r="S31" s="134">
        <f t="shared" si="9"/>
        <v>50000</v>
      </c>
      <c r="T31" s="96">
        <f t="shared" si="10"/>
        <v>50100</v>
      </c>
      <c r="U31" s="101">
        <f t="shared" si="11"/>
        <v>1.002</v>
      </c>
    </row>
    <row r="32" spans="1:21" ht="58.5" customHeight="1">
      <c r="A32" s="10" t="s">
        <v>19</v>
      </c>
      <c r="B32" s="12" t="s">
        <v>34</v>
      </c>
      <c r="C32" s="20">
        <v>40000</v>
      </c>
      <c r="D32" s="20">
        <v>15918.52</v>
      </c>
      <c r="E32" s="20">
        <v>32643.12</v>
      </c>
      <c r="F32" s="75">
        <f>(D32+E32)/C32</f>
        <v>1.214041</v>
      </c>
      <c r="G32" s="149">
        <v>60000</v>
      </c>
      <c r="H32" s="140">
        <v>20000</v>
      </c>
      <c r="I32" s="140"/>
      <c r="J32" s="150">
        <f t="shared" si="7"/>
        <v>0.3333333333333333</v>
      </c>
      <c r="K32" s="20"/>
      <c r="L32" s="20"/>
      <c r="M32" s="20"/>
      <c r="N32" s="75"/>
      <c r="O32" s="140">
        <v>80000</v>
      </c>
      <c r="P32" s="140">
        <v>78671.4</v>
      </c>
      <c r="Q32" s="140"/>
      <c r="R32" s="169">
        <f t="shared" si="8"/>
        <v>0.9833924999999999</v>
      </c>
      <c r="S32" s="134">
        <f t="shared" si="9"/>
        <v>180000</v>
      </c>
      <c r="T32" s="96">
        <f t="shared" si="10"/>
        <v>147233.03999999998</v>
      </c>
      <c r="U32" s="101">
        <f t="shared" si="11"/>
        <v>0.8179613333333332</v>
      </c>
    </row>
    <row r="33" spans="1:21" ht="45.75" customHeight="1">
      <c r="A33" s="10" t="s">
        <v>61</v>
      </c>
      <c r="B33" s="21" t="s">
        <v>33</v>
      </c>
      <c r="C33" s="91">
        <v>0</v>
      </c>
      <c r="D33" s="57"/>
      <c r="E33" s="57"/>
      <c r="F33" s="76"/>
      <c r="G33" s="149">
        <v>155000</v>
      </c>
      <c r="H33" s="140">
        <v>80662.79</v>
      </c>
      <c r="I33" s="140"/>
      <c r="J33" s="150">
        <f t="shared" si="7"/>
        <v>0.5204050967741936</v>
      </c>
      <c r="K33" s="57"/>
      <c r="L33" s="57"/>
      <c r="M33" s="57"/>
      <c r="N33" s="76"/>
      <c r="O33" s="140">
        <v>105000</v>
      </c>
      <c r="P33" s="136">
        <v>68589.95</v>
      </c>
      <c r="Q33" s="140"/>
      <c r="R33" s="169">
        <f t="shared" si="8"/>
        <v>0.653237619047619</v>
      </c>
      <c r="S33" s="134">
        <f t="shared" si="9"/>
        <v>260000</v>
      </c>
      <c r="T33" s="96">
        <f t="shared" si="10"/>
        <v>149252.74</v>
      </c>
      <c r="U33" s="101">
        <f t="shared" si="11"/>
        <v>0.5740489999999999</v>
      </c>
    </row>
    <row r="34" spans="1:21" ht="37.5" customHeight="1">
      <c r="A34" s="15" t="s">
        <v>20</v>
      </c>
      <c r="B34" s="16"/>
      <c r="C34" s="52">
        <f>C29+C24</f>
        <v>157000</v>
      </c>
      <c r="D34" s="52">
        <f>D29+D24</f>
        <v>30281.920000000002</v>
      </c>
      <c r="E34" s="52">
        <f>E29+E24</f>
        <v>116851.65</v>
      </c>
      <c r="F34" s="77"/>
      <c r="G34" s="154">
        <f>G29+G24</f>
        <v>422036.54000000004</v>
      </c>
      <c r="H34" s="52">
        <f>H29+H24</f>
        <v>305307.57999999996</v>
      </c>
      <c r="I34" s="52">
        <f>I29+I24</f>
        <v>0</v>
      </c>
      <c r="J34" s="155">
        <f t="shared" si="7"/>
        <v>0.7234150388968689</v>
      </c>
      <c r="K34" s="52">
        <f>K29+K24</f>
        <v>123062.45</v>
      </c>
      <c r="L34" s="52">
        <f>L29+L24</f>
        <v>105062.76</v>
      </c>
      <c r="M34" s="52">
        <f>M29+M24</f>
        <v>8665.12</v>
      </c>
      <c r="N34" s="77"/>
      <c r="O34" s="52">
        <f>O29+O24</f>
        <v>385000</v>
      </c>
      <c r="P34" s="52">
        <f>P29+P24</f>
        <v>210186.74999999997</v>
      </c>
      <c r="Q34" s="52">
        <f>Q29+Q24</f>
        <v>81671</v>
      </c>
      <c r="R34" s="77"/>
      <c r="S34" s="52">
        <f>S29+S24</f>
        <v>1087098.99</v>
      </c>
      <c r="T34" s="52">
        <f>T29+T24</f>
        <v>858026.78</v>
      </c>
      <c r="U34" s="102">
        <f t="shared" si="11"/>
        <v>0.7892811858835413</v>
      </c>
    </row>
    <row r="35" spans="1:21" ht="37.5" customHeight="1">
      <c r="A35" s="15" t="s">
        <v>62</v>
      </c>
      <c r="B35" s="17"/>
      <c r="C35" s="58">
        <f>C34+C22</f>
        <v>574536.540523977</v>
      </c>
      <c r="D35" s="58">
        <f>D34+D22</f>
        <v>93236.71</v>
      </c>
      <c r="E35" s="58">
        <f>E34+E22</f>
        <v>184992.11</v>
      </c>
      <c r="F35" s="77"/>
      <c r="G35" s="156">
        <f>G34+G22</f>
        <v>574536.54</v>
      </c>
      <c r="H35" s="58">
        <f>H34+H22</f>
        <v>343904.24999999994</v>
      </c>
      <c r="I35" s="58">
        <f>I34+I22</f>
        <v>0</v>
      </c>
      <c r="J35" s="157">
        <f t="shared" si="7"/>
        <v>0.5985768111459019</v>
      </c>
      <c r="K35" s="58">
        <f>K34+K22</f>
        <v>550062.45</v>
      </c>
      <c r="L35" s="58">
        <f>L34+L22</f>
        <v>356696.44</v>
      </c>
      <c r="M35" s="58">
        <f>M34+M22</f>
        <v>76415.68</v>
      </c>
      <c r="N35" s="77"/>
      <c r="O35" s="58">
        <f>O34+O22</f>
        <v>600740</v>
      </c>
      <c r="P35" s="58">
        <f>P34+P22</f>
        <v>282519.25</v>
      </c>
      <c r="Q35" s="58">
        <f>Q34+Q22</f>
        <v>100961</v>
      </c>
      <c r="R35" s="77"/>
      <c r="S35" s="58">
        <f>S34+S22</f>
        <v>2299875.5305239772</v>
      </c>
      <c r="T35" s="58">
        <f>T34+T22</f>
        <v>1438725.44</v>
      </c>
      <c r="U35" s="102">
        <f t="shared" si="11"/>
        <v>0.6255666538928815</v>
      </c>
    </row>
    <row r="36" spans="1:21" ht="51.75" customHeight="1">
      <c r="A36" s="22" t="s">
        <v>26</v>
      </c>
      <c r="B36" s="23"/>
      <c r="C36" s="59">
        <v>103416.576</v>
      </c>
      <c r="D36" s="59">
        <v>83449.37</v>
      </c>
      <c r="E36" s="59"/>
      <c r="F36" s="78">
        <f>(D36+E36)/C36</f>
        <v>0.8069245108250345</v>
      </c>
      <c r="G36" s="158">
        <v>68944.38</v>
      </c>
      <c r="H36" s="159">
        <v>17749.74</v>
      </c>
      <c r="I36" s="159"/>
      <c r="J36" s="160">
        <f t="shared" si="7"/>
        <v>0.2574501358921496</v>
      </c>
      <c r="K36" s="59">
        <v>86180.48</v>
      </c>
      <c r="L36" s="59">
        <v>50394.83</v>
      </c>
      <c r="M36" s="59"/>
      <c r="N36" s="78">
        <f>(L36+M36)/K36</f>
        <v>0.5847592169363643</v>
      </c>
      <c r="O36" s="159">
        <v>86180.48</v>
      </c>
      <c r="P36" s="159">
        <v>56032.86</v>
      </c>
      <c r="Q36" s="159"/>
      <c r="R36" s="168">
        <f>(P36+Q36)/O36</f>
        <v>0.6501804120840358</v>
      </c>
      <c r="S36" s="134">
        <f>C36+G36+K36+O36</f>
        <v>344721.91599999997</v>
      </c>
      <c r="T36" s="96">
        <f>Q36+P36+M36+L36+I36+H36+E36+D36</f>
        <v>207626.8</v>
      </c>
      <c r="U36" s="103">
        <f t="shared" si="11"/>
        <v>0.6023022916825514</v>
      </c>
    </row>
    <row r="37" spans="1:21" ht="50.25" customHeight="1">
      <c r="A37" s="22" t="s">
        <v>27</v>
      </c>
      <c r="B37" s="23"/>
      <c r="C37" s="62"/>
      <c r="D37" s="62"/>
      <c r="E37" s="62"/>
      <c r="F37" s="78"/>
      <c r="G37" s="161"/>
      <c r="H37" s="159">
        <v>68659.39</v>
      </c>
      <c r="I37" s="162"/>
      <c r="J37" s="160" t="e">
        <f t="shared" si="7"/>
        <v>#DIV/0!</v>
      </c>
      <c r="K37" s="62"/>
      <c r="L37" s="62"/>
      <c r="M37" s="62"/>
      <c r="N37" s="78"/>
      <c r="O37" s="162"/>
      <c r="P37" s="162"/>
      <c r="Q37" s="162"/>
      <c r="R37" s="168"/>
      <c r="S37" s="134">
        <f>C37+G37+K37+O37</f>
        <v>0</v>
      </c>
      <c r="T37" s="96">
        <f>Q37+P37+M37+L37+I37+H37+E37+D37</f>
        <v>68659.39</v>
      </c>
      <c r="U37" s="103" t="e">
        <f t="shared" si="11"/>
        <v>#DIV/0!</v>
      </c>
    </row>
    <row r="38" spans="1:21" ht="27.75" customHeight="1">
      <c r="A38" s="22" t="s">
        <v>28</v>
      </c>
      <c r="B38" s="24" t="s">
        <v>21</v>
      </c>
      <c r="C38" s="62">
        <v>48261.072</v>
      </c>
      <c r="D38" s="59"/>
      <c r="E38" s="59"/>
      <c r="F38" s="78">
        <f>(D38+E38)/C38</f>
        <v>0</v>
      </c>
      <c r="G38" s="158">
        <v>32174.05</v>
      </c>
      <c r="H38" s="159">
        <v>20000</v>
      </c>
      <c r="I38" s="159"/>
      <c r="J38" s="160">
        <f t="shared" si="7"/>
        <v>0.6216189755408473</v>
      </c>
      <c r="K38" s="59">
        <v>36654.27</v>
      </c>
      <c r="L38" s="59">
        <v>5520</v>
      </c>
      <c r="M38" s="59">
        <v>2025</v>
      </c>
      <c r="N38" s="78">
        <f>(L38+M38)/K38</f>
        <v>0.20584232069005878</v>
      </c>
      <c r="O38" s="159">
        <v>42051.48</v>
      </c>
      <c r="P38" s="159">
        <v>27705.39</v>
      </c>
      <c r="Q38" s="159"/>
      <c r="R38" s="168">
        <f>(P38+Q38)/O38</f>
        <v>0.6588445876340142</v>
      </c>
      <c r="S38" s="134">
        <f>C38+G38+K38+O38</f>
        <v>159140.872</v>
      </c>
      <c r="T38" s="96">
        <f>Q38+P38+M38+L38+I38+H38+E38+D38</f>
        <v>55250.39</v>
      </c>
      <c r="U38" s="103">
        <f t="shared" si="11"/>
        <v>0.34717913321475324</v>
      </c>
    </row>
    <row r="39" spans="1:21" ht="34.5" customHeight="1">
      <c r="A39" s="25" t="s">
        <v>22</v>
      </c>
      <c r="B39" s="26"/>
      <c r="C39" s="65">
        <f>C35+C36+C38</f>
        <v>726214.1885239771</v>
      </c>
      <c r="D39" s="65">
        <f>D35+D36+D38</f>
        <v>176686.08000000002</v>
      </c>
      <c r="E39" s="65">
        <f>E35+E36+E38</f>
        <v>184992.11</v>
      </c>
      <c r="F39" s="79"/>
      <c r="G39" s="163">
        <f>G35+G36+G37+G38</f>
        <v>675654.9700000001</v>
      </c>
      <c r="H39" s="65">
        <f>H35+H36+H37+H38</f>
        <v>450313.37999999995</v>
      </c>
      <c r="I39" s="65">
        <f>I35+I36+I37+I38</f>
        <v>0</v>
      </c>
      <c r="J39" s="164">
        <f t="shared" si="7"/>
        <v>0.6664842264092276</v>
      </c>
      <c r="K39" s="65">
        <f>K35+K36+K38</f>
        <v>672897.2</v>
      </c>
      <c r="L39" s="65">
        <f>L35+L36+L38</f>
        <v>412611.27</v>
      </c>
      <c r="M39" s="65">
        <f>M35+M36+M38</f>
        <v>78440.68</v>
      </c>
      <c r="N39" s="79"/>
      <c r="O39" s="65">
        <f>O35+O36+O37+O38</f>
        <v>728971.96</v>
      </c>
      <c r="P39" s="65">
        <f>P35+P36+P37+P38</f>
        <v>366257.5</v>
      </c>
      <c r="Q39" s="65">
        <f>Q35+Q36+Q37+Q38</f>
        <v>100961</v>
      </c>
      <c r="R39" s="79"/>
      <c r="S39" s="65">
        <f>S35+S36+S37+S38</f>
        <v>2803738.3185239774</v>
      </c>
      <c r="T39" s="65">
        <f>T35+T36+T37+T38</f>
        <v>1770262.0199999998</v>
      </c>
      <c r="U39" s="106">
        <f t="shared" si="11"/>
        <v>0.631393453627281</v>
      </c>
    </row>
    <row r="40" spans="1:21" ht="33" customHeight="1">
      <c r="A40" s="22" t="s">
        <v>23</v>
      </c>
      <c r="B40" s="24"/>
      <c r="C40" s="59">
        <f>C39*0.07</f>
        <v>50834.9931966784</v>
      </c>
      <c r="D40" s="59">
        <v>11721.43</v>
      </c>
      <c r="E40" s="59">
        <v>12949.41</v>
      </c>
      <c r="F40" s="78">
        <f>(D40+E40)/C40</f>
        <v>0.48531215307828574</v>
      </c>
      <c r="G40" s="158">
        <v>47295.85</v>
      </c>
      <c r="H40" s="159">
        <v>24474.879799999995</v>
      </c>
      <c r="I40" s="159"/>
      <c r="J40" s="160">
        <f t="shared" si="7"/>
        <v>0.5174847222325002</v>
      </c>
      <c r="K40" s="59">
        <f>K39*0.07</f>
        <v>47102.804000000004</v>
      </c>
      <c r="L40" s="59">
        <f>'[2]Category'!Q15</f>
        <v>16215.973900000003</v>
      </c>
      <c r="M40" s="59">
        <v>5490.84</v>
      </c>
      <c r="N40" s="78"/>
      <c r="O40" s="159">
        <f>O39*0.07</f>
        <v>51028.0372</v>
      </c>
      <c r="P40" s="159">
        <v>32705.25</v>
      </c>
      <c r="Q40" s="159">
        <f>'[2]Category'!X15</f>
        <v>0</v>
      </c>
      <c r="R40" s="168">
        <f>(P40/O40)*100%</f>
        <v>0.6409270627403243</v>
      </c>
      <c r="S40" s="134">
        <f>C40+G40+K40+O40</f>
        <v>196261.68439667838</v>
      </c>
      <c r="T40" s="96">
        <f>Q40+P40+M40+L40+I40+H40+E40+D40</f>
        <v>103557.7837</v>
      </c>
      <c r="U40" s="107">
        <f t="shared" si="11"/>
        <v>0.527651558776455</v>
      </c>
    </row>
    <row r="41" spans="1:21" ht="34.5" customHeight="1" thickBot="1">
      <c r="A41" s="27" t="s">
        <v>24</v>
      </c>
      <c r="B41" s="28"/>
      <c r="C41" s="66">
        <f>C39+C40</f>
        <v>777049.1817206554</v>
      </c>
      <c r="D41" s="66">
        <f>D39+D40</f>
        <v>188407.51</v>
      </c>
      <c r="E41" s="66">
        <f>E39+E40</f>
        <v>197941.52</v>
      </c>
      <c r="F41" s="165">
        <f>(D41+E41)/C41</f>
        <v>0.4972002275898287</v>
      </c>
      <c r="G41" s="166">
        <f>+G39+G40</f>
        <v>722950.8200000001</v>
      </c>
      <c r="H41" s="166">
        <f>+H39+H40</f>
        <v>474788.25979999994</v>
      </c>
      <c r="I41" s="166">
        <f>+I39+I40</f>
        <v>0</v>
      </c>
      <c r="J41" s="165">
        <f>(H41+I41)/G41</f>
        <v>0.6567365948903687</v>
      </c>
      <c r="K41" s="66">
        <f>K35+K40+K38+K36</f>
        <v>720000.004</v>
      </c>
      <c r="L41" s="66">
        <f>L35+L40+L38+L36</f>
        <v>428827.2439</v>
      </c>
      <c r="M41" s="66">
        <f>M39+M40</f>
        <v>83931.51999999999</v>
      </c>
      <c r="N41" s="80">
        <f>(L41+M41)/K41</f>
        <v>0.7121649459046393</v>
      </c>
      <c r="O41" s="66">
        <f>O39+O40</f>
        <v>779999.9972</v>
      </c>
      <c r="P41" s="66">
        <f>P39+P40</f>
        <v>398962.75</v>
      </c>
      <c r="Q41" s="66">
        <f>Q39+Q40</f>
        <v>100961</v>
      </c>
      <c r="R41" s="80">
        <f>(P41+Q41)/O41</f>
        <v>0.6409278869161514</v>
      </c>
      <c r="S41" s="66">
        <f>S39+S40</f>
        <v>3000000.002920656</v>
      </c>
      <c r="T41" s="66">
        <f>T39+T40</f>
        <v>1873819.8036999998</v>
      </c>
      <c r="U41" s="108">
        <f t="shared" si="11"/>
        <v>0.6246066006252463</v>
      </c>
    </row>
    <row r="43" spans="3:13" ht="14.25">
      <c r="C43" s="67"/>
      <c r="D43" s="67"/>
      <c r="E43" s="67"/>
      <c r="H43" s="167"/>
      <c r="K43" s="67"/>
      <c r="L43" s="67"/>
      <c r="M43" s="67"/>
    </row>
    <row r="44" spans="7:19" ht="14.25">
      <c r="G44" s="167"/>
      <c r="L44" s="67">
        <f>D41+E41+H41+I41+L41+M41+P41+Q41</f>
        <v>1873819.8037</v>
      </c>
      <c r="O44" s="67"/>
      <c r="S44" s="31">
        <f>L44/S41</f>
        <v>0.6246066006252463</v>
      </c>
    </row>
    <row r="47" ht="25.5" customHeight="1"/>
  </sheetData>
  <sheetProtection/>
  <mergeCells count="2">
    <mergeCell ref="A23:S23"/>
    <mergeCell ref="A8:U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0" zoomScaleNormal="70" zoomScaleSheetLayoutView="70" zoomScalePageLayoutView="0" workbookViewId="0" topLeftCell="A29">
      <selection activeCell="A28" sqref="A28"/>
    </sheetView>
  </sheetViews>
  <sheetFormatPr defaultColWidth="10.7109375" defaultRowHeight="15"/>
  <cols>
    <col min="1" max="1" width="22.421875" style="3" customWidth="1"/>
    <col min="2" max="2" width="47.7109375" style="3" customWidth="1"/>
    <col min="3" max="3" width="18.7109375" style="30" customWidth="1"/>
    <col min="4" max="4" width="16.7109375" style="30" customWidth="1"/>
    <col min="5" max="5" width="17.57421875" style="30" customWidth="1"/>
    <col min="6" max="6" width="11.7109375" style="81" customWidth="1"/>
    <col min="7" max="7" width="18.421875" style="30" customWidth="1"/>
    <col min="8" max="8" width="17.57421875" style="30" customWidth="1"/>
    <col min="9" max="9" width="16.7109375" style="30" customWidth="1"/>
    <col min="10" max="10" width="8.28125" style="81" bestFit="1" customWidth="1"/>
    <col min="11" max="11" width="25.57421875" style="31" customWidth="1"/>
    <col min="12" max="12" width="22.57421875" style="30" customWidth="1"/>
    <col min="13" max="13" width="20.7109375" style="3" customWidth="1"/>
    <col min="14" max="16" width="28.57421875" style="0" customWidth="1"/>
    <col min="17" max="17" width="34.28125" style="0" customWidth="1"/>
  </cols>
  <sheetData>
    <row r="1" spans="1:6" ht="14.25">
      <c r="A1" s="2" t="s">
        <v>0</v>
      </c>
      <c r="B1" s="2"/>
      <c r="C1" s="29"/>
      <c r="D1" s="29"/>
      <c r="E1" s="29"/>
      <c r="F1" s="72"/>
    </row>
    <row r="2" spans="1:6" ht="14.25">
      <c r="A2" s="2"/>
      <c r="B2" s="2"/>
      <c r="C2" s="29"/>
      <c r="D2" s="29"/>
      <c r="E2" s="29"/>
      <c r="F2" s="72"/>
    </row>
    <row r="3" spans="1:6" ht="14.25">
      <c r="A3" s="2" t="s">
        <v>25</v>
      </c>
      <c r="B3" s="2"/>
      <c r="C3" s="29"/>
      <c r="D3" s="29"/>
      <c r="E3" s="29"/>
      <c r="F3" s="72"/>
    </row>
    <row r="4" spans="1:13" ht="14.25">
      <c r="A4" s="5"/>
      <c r="B4" s="5"/>
      <c r="C4" s="32"/>
      <c r="D4" s="32"/>
      <c r="E4" s="32"/>
      <c r="F4" s="73"/>
      <c r="G4" s="32"/>
      <c r="H4" s="32"/>
      <c r="I4" s="32"/>
      <c r="J4" s="73"/>
      <c r="K4" s="33"/>
      <c r="L4" s="32"/>
      <c r="M4" s="5"/>
    </row>
    <row r="5" spans="1:13" ht="14.25">
      <c r="A5" s="6" t="s">
        <v>29</v>
      </c>
      <c r="B5" s="5"/>
      <c r="C5" s="32"/>
      <c r="D5" s="32"/>
      <c r="E5" s="32"/>
      <c r="F5" s="73"/>
      <c r="G5" s="32"/>
      <c r="H5" s="32"/>
      <c r="I5" s="32"/>
      <c r="J5" s="73"/>
      <c r="K5" s="33"/>
      <c r="L5" s="32"/>
      <c r="M5" s="5"/>
    </row>
    <row r="6" spans="1:13" ht="15" thickBot="1">
      <c r="A6" s="7"/>
      <c r="B6" s="7"/>
      <c r="C6" s="34"/>
      <c r="D6" s="34"/>
      <c r="E6" s="34"/>
      <c r="F6" s="74"/>
      <c r="G6" s="34"/>
      <c r="H6" s="34"/>
      <c r="I6" s="34"/>
      <c r="J6" s="74"/>
      <c r="K6" s="35"/>
      <c r="L6" s="34"/>
      <c r="M6" s="7"/>
    </row>
    <row r="7" spans="1:13" s="1" customFormat="1" ht="166.5" customHeight="1" thickBot="1">
      <c r="A7" s="68" t="s">
        <v>1</v>
      </c>
      <c r="B7" s="69" t="s">
        <v>2</v>
      </c>
      <c r="C7" s="69" t="s">
        <v>68</v>
      </c>
      <c r="D7" s="82" t="s">
        <v>64</v>
      </c>
      <c r="E7" s="83" t="s">
        <v>65</v>
      </c>
      <c r="F7" s="84" t="s">
        <v>63</v>
      </c>
      <c r="G7" s="69" t="s">
        <v>69</v>
      </c>
      <c r="H7" s="82" t="s">
        <v>66</v>
      </c>
      <c r="I7" s="83" t="s">
        <v>67</v>
      </c>
      <c r="J7" s="84" t="s">
        <v>63</v>
      </c>
      <c r="K7" s="70" t="s">
        <v>70</v>
      </c>
      <c r="L7" s="69" t="s">
        <v>72</v>
      </c>
      <c r="M7" s="71" t="s">
        <v>71</v>
      </c>
    </row>
    <row r="8" spans="1:13" ht="15" thickBot="1">
      <c r="A8" s="231" t="s">
        <v>54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</row>
    <row r="9" spans="1:13" ht="64.5" customHeight="1">
      <c r="A9" s="8" t="s">
        <v>3</v>
      </c>
      <c r="B9" s="9" t="s">
        <v>53</v>
      </c>
      <c r="C9" s="36">
        <f>C10+C11+C12+C13+C14</f>
        <v>79500</v>
      </c>
      <c r="D9" s="36">
        <f>D10+D11+D12+D13+D14</f>
        <v>13598.97</v>
      </c>
      <c r="E9" s="36">
        <f>E10+E11+E12+E13+E14</f>
        <v>8549.28</v>
      </c>
      <c r="F9" s="94">
        <f>(D9+E9)/C9</f>
        <v>0.2785943396226415</v>
      </c>
      <c r="G9" s="37">
        <f>G10+G11+G12+G13+G14</f>
        <v>112500</v>
      </c>
      <c r="H9" s="37">
        <f>H10+H11+H12+H13+H14</f>
        <v>38596.7</v>
      </c>
      <c r="I9" s="37">
        <f>I10+I11+I12+I13+I14</f>
        <v>0</v>
      </c>
      <c r="J9" s="88">
        <f>(H9+I9)/G9</f>
        <v>0.34308177777777776</v>
      </c>
      <c r="K9" s="38">
        <f aca="true" t="shared" si="0" ref="K9:K22">C9+G9</f>
        <v>192000</v>
      </c>
      <c r="L9" s="96">
        <f>H9+D9+I9+E9</f>
        <v>60744.95</v>
      </c>
      <c r="M9" s="97">
        <f>L9/K9</f>
        <v>0.3163799479166666</v>
      </c>
    </row>
    <row r="10" spans="1:13" ht="63" customHeight="1">
      <c r="A10" s="10" t="s">
        <v>4</v>
      </c>
      <c r="B10" s="11" t="s">
        <v>52</v>
      </c>
      <c r="C10" s="20">
        <v>11500</v>
      </c>
      <c r="D10" s="20">
        <v>11500</v>
      </c>
      <c r="E10" s="20"/>
      <c r="F10" s="95">
        <f aca="true" t="shared" si="1" ref="F10:F21">(D10+E10)/C10</f>
        <v>1</v>
      </c>
      <c r="G10" s="39">
        <v>7500</v>
      </c>
      <c r="H10" s="39"/>
      <c r="I10" s="39"/>
      <c r="J10" s="88"/>
      <c r="K10" s="40">
        <f>C10+G10</f>
        <v>19000</v>
      </c>
      <c r="L10" s="96">
        <f aca="true" t="shared" si="2" ref="L10:L22">H10+D10+I10+E10</f>
        <v>11500</v>
      </c>
      <c r="M10" s="97">
        <f aca="true" t="shared" si="3" ref="M10:M21">L10/K10</f>
        <v>0.6052631578947368</v>
      </c>
    </row>
    <row r="11" spans="1:13" ht="106.5" customHeight="1">
      <c r="A11" s="10" t="s">
        <v>5</v>
      </c>
      <c r="B11" s="12" t="s">
        <v>51</v>
      </c>
      <c r="C11" s="41">
        <v>0</v>
      </c>
      <c r="D11" s="41"/>
      <c r="E11" s="41"/>
      <c r="F11" s="86"/>
      <c r="G11" s="42">
        <v>50000</v>
      </c>
      <c r="H11" s="42">
        <v>38596.7</v>
      </c>
      <c r="I11" s="42"/>
      <c r="J11" s="88">
        <f aca="true" t="shared" si="4" ref="J11:J21">(H11+I11)/G11</f>
        <v>0.7719339999999999</v>
      </c>
      <c r="K11" s="40">
        <f>C11+G11</f>
        <v>50000</v>
      </c>
      <c r="L11" s="96">
        <f t="shared" si="2"/>
        <v>38596.7</v>
      </c>
      <c r="M11" s="97">
        <f t="shared" si="3"/>
        <v>0.7719339999999999</v>
      </c>
    </row>
    <row r="12" spans="1:13" ht="60" customHeight="1">
      <c r="A12" s="10" t="s">
        <v>6</v>
      </c>
      <c r="B12" s="12" t="s">
        <v>50</v>
      </c>
      <c r="C12" s="20">
        <v>0</v>
      </c>
      <c r="D12" s="20"/>
      <c r="E12" s="20"/>
      <c r="F12" s="86"/>
      <c r="G12" s="42">
        <v>30000</v>
      </c>
      <c r="H12" s="42"/>
      <c r="I12" s="42"/>
      <c r="J12" s="88">
        <f t="shared" si="4"/>
        <v>0</v>
      </c>
      <c r="K12" s="43">
        <f t="shared" si="0"/>
        <v>30000</v>
      </c>
      <c r="L12" s="96">
        <f t="shared" si="2"/>
        <v>0</v>
      </c>
      <c r="M12" s="97">
        <f t="shared" si="3"/>
        <v>0</v>
      </c>
    </row>
    <row r="13" spans="1:13" ht="53.25" customHeight="1">
      <c r="A13" s="10" t="s">
        <v>30</v>
      </c>
      <c r="B13" s="12" t="s">
        <v>49</v>
      </c>
      <c r="C13" s="44">
        <v>0</v>
      </c>
      <c r="D13" s="44"/>
      <c r="E13" s="44"/>
      <c r="F13" s="86"/>
      <c r="G13" s="45">
        <v>25000</v>
      </c>
      <c r="H13" s="45"/>
      <c r="I13" s="45"/>
      <c r="J13" s="88"/>
      <c r="K13" s="46">
        <f t="shared" si="0"/>
        <v>25000</v>
      </c>
      <c r="L13" s="96">
        <f t="shared" si="2"/>
        <v>0</v>
      </c>
      <c r="M13" s="97">
        <f t="shared" si="3"/>
        <v>0</v>
      </c>
    </row>
    <row r="14" spans="1:13" ht="80.25" customHeight="1">
      <c r="A14" s="10" t="s">
        <v>31</v>
      </c>
      <c r="B14" s="12" t="s">
        <v>48</v>
      </c>
      <c r="C14" s="47">
        <v>68000</v>
      </c>
      <c r="D14" s="47">
        <v>2098.97</v>
      </c>
      <c r="E14" s="47">
        <v>8549.28</v>
      </c>
      <c r="F14" s="95">
        <f t="shared" si="1"/>
        <v>0.15659191176470588</v>
      </c>
      <c r="G14" s="48"/>
      <c r="H14" s="48"/>
      <c r="I14" s="48"/>
      <c r="J14" s="88"/>
      <c r="K14" s="40">
        <f t="shared" si="0"/>
        <v>68000</v>
      </c>
      <c r="L14" s="96">
        <f t="shared" si="2"/>
        <v>10648.25</v>
      </c>
      <c r="M14" s="97">
        <f t="shared" si="3"/>
        <v>0.15659191176470588</v>
      </c>
    </row>
    <row r="15" spans="1:13" ht="73.5" customHeight="1">
      <c r="A15" s="13" t="s">
        <v>7</v>
      </c>
      <c r="B15" s="14" t="s">
        <v>55</v>
      </c>
      <c r="C15" s="49">
        <f>SUM(C16:C21)</f>
        <v>338036.540523977</v>
      </c>
      <c r="D15" s="49">
        <f>SUM(D16:D21)</f>
        <v>49355.82000000001</v>
      </c>
      <c r="E15" s="49">
        <f>SUM(E16:E21)</f>
        <v>59591.18</v>
      </c>
      <c r="F15" s="94">
        <f t="shared" si="1"/>
        <v>0.3222935598356485</v>
      </c>
      <c r="G15" s="50">
        <f>G16+G17+G18+G19+G20+G21</f>
        <v>40000</v>
      </c>
      <c r="H15" s="50">
        <f>H16+H17+H18+H19+H20+H21</f>
        <v>0</v>
      </c>
      <c r="I15" s="50">
        <f>I16+I17+I18+I19+I20+I21</f>
        <v>0</v>
      </c>
      <c r="J15" s="88">
        <f t="shared" si="4"/>
        <v>0</v>
      </c>
      <c r="K15" s="51">
        <f t="shared" si="0"/>
        <v>378036.540523977</v>
      </c>
      <c r="L15" s="96">
        <f t="shared" si="2"/>
        <v>108947</v>
      </c>
      <c r="M15" s="97">
        <f t="shared" si="3"/>
        <v>0.2881917177873709</v>
      </c>
    </row>
    <row r="16" spans="1:13" ht="33" customHeight="1">
      <c r="A16" s="10" t="s">
        <v>8</v>
      </c>
      <c r="B16" s="21" t="s">
        <v>47</v>
      </c>
      <c r="C16" s="20">
        <v>10000</v>
      </c>
      <c r="D16" s="20">
        <v>7618.38</v>
      </c>
      <c r="E16" s="20"/>
      <c r="F16" s="95">
        <f t="shared" si="1"/>
        <v>0.761838</v>
      </c>
      <c r="G16" s="48"/>
      <c r="H16" s="42"/>
      <c r="I16" s="48"/>
      <c r="J16" s="88" t="e">
        <f t="shared" si="4"/>
        <v>#DIV/0!</v>
      </c>
      <c r="K16" s="40">
        <f t="shared" si="0"/>
        <v>10000</v>
      </c>
      <c r="L16" s="96">
        <f t="shared" si="2"/>
        <v>7618.38</v>
      </c>
      <c r="M16" s="97">
        <f t="shared" si="3"/>
        <v>0.761838</v>
      </c>
    </row>
    <row r="17" spans="1:13" ht="53.25" customHeight="1">
      <c r="A17" s="10" t="s">
        <v>9</v>
      </c>
      <c r="B17" s="11" t="s">
        <v>46</v>
      </c>
      <c r="C17" s="20">
        <v>126536.540523977</v>
      </c>
      <c r="D17" s="20">
        <v>21147.81</v>
      </c>
      <c r="E17" s="20"/>
      <c r="F17" s="95">
        <f t="shared" si="1"/>
        <v>0.16712808736850815</v>
      </c>
      <c r="G17" s="45"/>
      <c r="H17" s="45"/>
      <c r="I17" s="45"/>
      <c r="J17" s="88"/>
      <c r="K17" s="40">
        <f t="shared" si="0"/>
        <v>126536.540523977</v>
      </c>
      <c r="L17" s="96">
        <f t="shared" si="2"/>
        <v>21147.81</v>
      </c>
      <c r="M17" s="97">
        <f t="shared" si="3"/>
        <v>0.16712808736850815</v>
      </c>
    </row>
    <row r="18" spans="1:15" ht="27">
      <c r="A18" s="10" t="s">
        <v>10</v>
      </c>
      <c r="B18" s="11" t="s">
        <v>45</v>
      </c>
      <c r="C18" s="20">
        <v>21500</v>
      </c>
      <c r="D18" s="20">
        <f>2660.2+4807.16</f>
        <v>7467.36</v>
      </c>
      <c r="E18" s="20">
        <v>15566.94</v>
      </c>
      <c r="F18" s="95">
        <f t="shared" si="1"/>
        <v>1.0713627906976744</v>
      </c>
      <c r="G18" s="48"/>
      <c r="H18" s="48"/>
      <c r="I18" s="48"/>
      <c r="J18" s="88" t="e">
        <f t="shared" si="4"/>
        <v>#DIV/0!</v>
      </c>
      <c r="K18" s="43">
        <f t="shared" si="0"/>
        <v>21500</v>
      </c>
      <c r="L18" s="96">
        <f t="shared" si="2"/>
        <v>23034.3</v>
      </c>
      <c r="M18" s="97">
        <f t="shared" si="3"/>
        <v>1.0713627906976744</v>
      </c>
      <c r="N18" s="92"/>
      <c r="O18" s="90"/>
    </row>
    <row r="19" spans="1:13" ht="54.75" customHeight="1">
      <c r="A19" s="10" t="s">
        <v>39</v>
      </c>
      <c r="B19" s="11" t="s">
        <v>44</v>
      </c>
      <c r="C19" s="20">
        <v>45000</v>
      </c>
      <c r="D19" s="20">
        <v>9708.44</v>
      </c>
      <c r="E19" s="20">
        <v>27016.71</v>
      </c>
      <c r="F19" s="95">
        <f t="shared" si="1"/>
        <v>0.8161144444444445</v>
      </c>
      <c r="G19" s="48">
        <v>5750</v>
      </c>
      <c r="H19" s="48"/>
      <c r="I19" s="48"/>
      <c r="J19" s="88"/>
      <c r="K19" s="43">
        <f t="shared" si="0"/>
        <v>50750</v>
      </c>
      <c r="L19" s="96">
        <f t="shared" si="2"/>
        <v>36725.15</v>
      </c>
      <c r="M19" s="97">
        <f t="shared" si="3"/>
        <v>0.723648275862069</v>
      </c>
    </row>
    <row r="20" spans="1:14" ht="40.5">
      <c r="A20" s="10" t="s">
        <v>40</v>
      </c>
      <c r="B20" s="11" t="s">
        <v>43</v>
      </c>
      <c r="C20" s="20">
        <v>90000</v>
      </c>
      <c r="D20" s="20">
        <v>3413.83</v>
      </c>
      <c r="E20" s="20">
        <v>17007.53</v>
      </c>
      <c r="F20" s="95">
        <f t="shared" si="1"/>
        <v>0.226904</v>
      </c>
      <c r="G20" s="48"/>
      <c r="H20" s="48"/>
      <c r="I20" s="48"/>
      <c r="J20" s="88"/>
      <c r="K20" s="43">
        <f t="shared" si="0"/>
        <v>90000</v>
      </c>
      <c r="L20" s="96">
        <f t="shared" si="2"/>
        <v>20421.36</v>
      </c>
      <c r="M20" s="97">
        <f t="shared" si="3"/>
        <v>0.226904</v>
      </c>
      <c r="N20" s="92"/>
    </row>
    <row r="21" spans="1:13" ht="37.5" customHeight="1">
      <c r="A21" s="10" t="s">
        <v>41</v>
      </c>
      <c r="B21" s="11" t="s">
        <v>42</v>
      </c>
      <c r="C21" s="20">
        <v>45000</v>
      </c>
      <c r="D21" s="20"/>
      <c r="E21" s="20"/>
      <c r="F21" s="95">
        <f t="shared" si="1"/>
        <v>0</v>
      </c>
      <c r="G21" s="42">
        <v>34250</v>
      </c>
      <c r="H21" s="42"/>
      <c r="I21" s="42"/>
      <c r="J21" s="88">
        <f t="shared" si="4"/>
        <v>0</v>
      </c>
      <c r="K21" s="40">
        <f t="shared" si="0"/>
        <v>79250</v>
      </c>
      <c r="L21" s="96">
        <f t="shared" si="2"/>
        <v>0</v>
      </c>
      <c r="M21" s="97">
        <f t="shared" si="3"/>
        <v>0</v>
      </c>
    </row>
    <row r="22" spans="1:13" ht="37.5" customHeight="1">
      <c r="A22" s="15" t="s">
        <v>11</v>
      </c>
      <c r="B22" s="16"/>
      <c r="C22" s="52">
        <f>SUM(C9+C15)</f>
        <v>417536.540523977</v>
      </c>
      <c r="D22" s="52">
        <f>SUM(D9+D15)</f>
        <v>62954.79000000001</v>
      </c>
      <c r="E22" s="52">
        <f>SUM(E9+E15)</f>
        <v>68140.46</v>
      </c>
      <c r="F22" s="77"/>
      <c r="G22" s="52">
        <f>SUM(G9+G15)</f>
        <v>152500</v>
      </c>
      <c r="H22" s="52">
        <f>SUM(H9+H15)</f>
        <v>38596.7</v>
      </c>
      <c r="I22" s="52">
        <f>SUM(I9+I15)</f>
        <v>0</v>
      </c>
      <c r="J22" s="77"/>
      <c r="K22" s="53">
        <f t="shared" si="0"/>
        <v>570036.540523977</v>
      </c>
      <c r="L22" s="109">
        <f t="shared" si="2"/>
        <v>169691.95</v>
      </c>
      <c r="M22" s="98">
        <f>L22/K22</f>
        <v>0.29768609191968526</v>
      </c>
    </row>
    <row r="23" spans="1:13" ht="14.25">
      <c r="A23" s="227" t="s">
        <v>56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34"/>
    </row>
    <row r="24" spans="1:13" ht="54">
      <c r="A24" s="13" t="s">
        <v>12</v>
      </c>
      <c r="B24" s="18" t="s">
        <v>57</v>
      </c>
      <c r="C24" s="54">
        <f>SUM(C25:C28)</f>
        <v>17000</v>
      </c>
      <c r="D24" s="54">
        <f>SUM(D25:D28)</f>
        <v>2390.55</v>
      </c>
      <c r="E24" s="54">
        <f>SUM(E25:E28)</f>
        <v>12025.21</v>
      </c>
      <c r="F24" s="93">
        <f>(D24+E24)/C24</f>
        <v>0.847985882352941</v>
      </c>
      <c r="G24" s="55">
        <f>G25+G26+G27+G28</f>
        <v>72036.54000000001</v>
      </c>
      <c r="H24" s="55">
        <f>H25+H26+H27+H28</f>
        <v>65770</v>
      </c>
      <c r="I24" s="55"/>
      <c r="J24" s="89">
        <f>(H24+I24)/G24</f>
        <v>0.9130088702205852</v>
      </c>
      <c r="K24" s="51">
        <f aca="true" t="shared" si="5" ref="K24:K38">C24+G24</f>
        <v>89036.54000000001</v>
      </c>
      <c r="L24" s="99">
        <f>H24+D24+I24+E24</f>
        <v>80185.76000000001</v>
      </c>
      <c r="M24" s="101">
        <f>L24/K24</f>
        <v>0.9005938460771274</v>
      </c>
    </row>
    <row r="25" spans="1:13" ht="46.5" customHeight="1">
      <c r="A25" s="10" t="s">
        <v>13</v>
      </c>
      <c r="B25" s="11" t="s">
        <v>38</v>
      </c>
      <c r="C25" s="20">
        <v>0</v>
      </c>
      <c r="D25" s="20"/>
      <c r="E25" s="20"/>
      <c r="F25" s="87"/>
      <c r="G25" s="48">
        <v>30000</v>
      </c>
      <c r="H25" s="42">
        <v>30000</v>
      </c>
      <c r="I25" s="48"/>
      <c r="J25" s="89">
        <f aca="true" t="shared" si="6" ref="J25:J33">(H25+I25)/G25</f>
        <v>1</v>
      </c>
      <c r="K25" s="43">
        <f t="shared" si="5"/>
        <v>30000</v>
      </c>
      <c r="L25" s="99">
        <f aca="true" t="shared" si="7" ref="L25:L40">H25+D25+I25+E25</f>
        <v>30000</v>
      </c>
      <c r="M25" s="101">
        <f aca="true" t="shared" si="8" ref="M25:M33">L25/K25</f>
        <v>1</v>
      </c>
    </row>
    <row r="26" spans="1:13" ht="47.25" customHeight="1">
      <c r="A26" s="10" t="s">
        <v>14</v>
      </c>
      <c r="B26" s="11" t="s">
        <v>37</v>
      </c>
      <c r="C26" s="56">
        <v>0</v>
      </c>
      <c r="D26" s="56"/>
      <c r="E26" s="56"/>
      <c r="F26" s="87"/>
      <c r="G26" s="48">
        <v>32036.54</v>
      </c>
      <c r="H26" s="48">
        <v>32000</v>
      </c>
      <c r="I26" s="48"/>
      <c r="J26" s="89">
        <f t="shared" si="6"/>
        <v>0.9988594273913475</v>
      </c>
      <c r="K26" s="43">
        <f t="shared" si="5"/>
        <v>32036.54</v>
      </c>
      <c r="L26" s="99">
        <f t="shared" si="7"/>
        <v>32000</v>
      </c>
      <c r="M26" s="101">
        <f t="shared" si="8"/>
        <v>0.9988594273913475</v>
      </c>
    </row>
    <row r="27" spans="1:13" ht="39.75" customHeight="1">
      <c r="A27" s="10" t="s">
        <v>15</v>
      </c>
      <c r="B27" s="11" t="s">
        <v>36</v>
      </c>
      <c r="C27" s="56">
        <v>0</v>
      </c>
      <c r="D27" s="56"/>
      <c r="E27" s="56"/>
      <c r="F27" s="87"/>
      <c r="G27" s="48">
        <v>10000</v>
      </c>
      <c r="H27" s="48">
        <v>3770</v>
      </c>
      <c r="I27" s="48"/>
      <c r="J27" s="89">
        <f t="shared" si="6"/>
        <v>0.377</v>
      </c>
      <c r="K27" s="43">
        <f t="shared" si="5"/>
        <v>10000</v>
      </c>
      <c r="L27" s="99">
        <f t="shared" si="7"/>
        <v>3770</v>
      </c>
      <c r="M27" s="101">
        <f t="shared" si="8"/>
        <v>0.377</v>
      </c>
    </row>
    <row r="28" spans="1:13" ht="36.75" customHeight="1">
      <c r="A28" s="10" t="s">
        <v>32</v>
      </c>
      <c r="B28" s="11" t="s">
        <v>59</v>
      </c>
      <c r="C28" s="56">
        <v>17000</v>
      </c>
      <c r="D28" s="56">
        <v>2390.55</v>
      </c>
      <c r="E28" s="56">
        <v>12025.21</v>
      </c>
      <c r="F28" s="75">
        <f>(D28+E28)/C28</f>
        <v>0.847985882352941</v>
      </c>
      <c r="G28" s="48"/>
      <c r="H28" s="48"/>
      <c r="I28" s="48"/>
      <c r="J28" s="89" t="e">
        <f t="shared" si="6"/>
        <v>#DIV/0!</v>
      </c>
      <c r="K28" s="43">
        <f t="shared" si="5"/>
        <v>17000</v>
      </c>
      <c r="L28" s="99">
        <f t="shared" si="7"/>
        <v>14415.759999999998</v>
      </c>
      <c r="M28" s="101">
        <f t="shared" si="8"/>
        <v>0.847985882352941</v>
      </c>
    </row>
    <row r="29" spans="1:13" ht="40.5">
      <c r="A29" s="13" t="s">
        <v>16</v>
      </c>
      <c r="B29" s="12" t="s">
        <v>58</v>
      </c>
      <c r="C29" s="54">
        <f>SUM(C30:C33)</f>
        <v>140000</v>
      </c>
      <c r="D29" s="54">
        <f>SUM(D30:D33)</f>
        <v>27891.370000000003</v>
      </c>
      <c r="E29" s="54">
        <f>SUM(E30:E33)</f>
        <v>104826.44</v>
      </c>
      <c r="F29" s="93">
        <f>(D29+E29)/C29</f>
        <v>0.9479843571428571</v>
      </c>
      <c r="G29" s="55">
        <f>SUM(G30:G33)</f>
        <v>350000</v>
      </c>
      <c r="H29" s="55">
        <f>SUM(H30:H33)</f>
        <v>239538</v>
      </c>
      <c r="I29" s="55">
        <f>SUM(I30:I33)</f>
        <v>0</v>
      </c>
      <c r="J29" s="89">
        <f t="shared" si="6"/>
        <v>0.6843942857142857</v>
      </c>
      <c r="K29" s="51">
        <f t="shared" si="5"/>
        <v>490000</v>
      </c>
      <c r="L29" s="99">
        <f t="shared" si="7"/>
        <v>372255.81</v>
      </c>
      <c r="M29" s="101">
        <f t="shared" si="8"/>
        <v>0.7597057346938776</v>
      </c>
    </row>
    <row r="30" spans="1:13" ht="36.75" customHeight="1">
      <c r="A30" s="10" t="s">
        <v>17</v>
      </c>
      <c r="B30" s="11" t="s">
        <v>35</v>
      </c>
      <c r="C30" s="56">
        <v>100000</v>
      </c>
      <c r="D30" s="56">
        <v>11972.85</v>
      </c>
      <c r="E30" s="56">
        <v>72183.32</v>
      </c>
      <c r="F30" s="75">
        <f>(D30+E30)/C30</f>
        <v>0.8415617000000001</v>
      </c>
      <c r="G30" s="48">
        <v>105000</v>
      </c>
      <c r="H30" s="48">
        <v>98775</v>
      </c>
      <c r="I30" s="48"/>
      <c r="J30" s="89">
        <f t="shared" si="6"/>
        <v>0.9407142857142857</v>
      </c>
      <c r="K30" s="43">
        <f t="shared" si="5"/>
        <v>205000</v>
      </c>
      <c r="L30" s="99">
        <f t="shared" si="7"/>
        <v>182931.17</v>
      </c>
      <c r="M30" s="101">
        <f t="shared" si="8"/>
        <v>0.8923471707317073</v>
      </c>
    </row>
    <row r="31" spans="1:13" ht="40.5">
      <c r="A31" s="10" t="s">
        <v>18</v>
      </c>
      <c r="B31" s="19" t="s">
        <v>60</v>
      </c>
      <c r="C31" s="56">
        <v>0</v>
      </c>
      <c r="D31" s="56"/>
      <c r="E31" s="56"/>
      <c r="F31" s="75"/>
      <c r="G31" s="48">
        <v>30000</v>
      </c>
      <c r="H31" s="48">
        <v>40100</v>
      </c>
      <c r="I31" s="48"/>
      <c r="J31" s="89">
        <f t="shared" si="6"/>
        <v>1.3366666666666667</v>
      </c>
      <c r="K31" s="43">
        <f t="shared" si="5"/>
        <v>30000</v>
      </c>
      <c r="L31" s="99">
        <f t="shared" si="7"/>
        <v>40100</v>
      </c>
      <c r="M31" s="101">
        <f t="shared" si="8"/>
        <v>1.3366666666666667</v>
      </c>
    </row>
    <row r="32" spans="1:13" ht="58.5" customHeight="1">
      <c r="A32" s="10" t="s">
        <v>19</v>
      </c>
      <c r="B32" s="12" t="s">
        <v>34</v>
      </c>
      <c r="C32" s="20">
        <v>40000</v>
      </c>
      <c r="D32" s="20">
        <v>15918.52</v>
      </c>
      <c r="E32" s="20">
        <v>32643.12</v>
      </c>
      <c r="F32" s="75">
        <f>(D32+E32)/C32</f>
        <v>1.214041</v>
      </c>
      <c r="G32" s="48">
        <v>60000</v>
      </c>
      <c r="H32" s="48">
        <v>20000</v>
      </c>
      <c r="I32" s="48"/>
      <c r="J32" s="89">
        <f t="shared" si="6"/>
        <v>0.3333333333333333</v>
      </c>
      <c r="K32" s="43">
        <f t="shared" si="5"/>
        <v>100000</v>
      </c>
      <c r="L32" s="99">
        <f t="shared" si="7"/>
        <v>68561.64</v>
      </c>
      <c r="M32" s="101">
        <f t="shared" si="8"/>
        <v>0.6856164</v>
      </c>
    </row>
    <row r="33" spans="1:13" ht="45.75" customHeight="1">
      <c r="A33" s="10" t="s">
        <v>61</v>
      </c>
      <c r="B33" s="21" t="s">
        <v>33</v>
      </c>
      <c r="C33" s="91">
        <v>0</v>
      </c>
      <c r="D33" s="57"/>
      <c r="E33" s="57"/>
      <c r="F33" s="76"/>
      <c r="G33" s="48">
        <v>155000</v>
      </c>
      <c r="H33" s="48">
        <v>80663</v>
      </c>
      <c r="I33" s="48"/>
      <c r="J33" s="89">
        <f t="shared" si="6"/>
        <v>0.5204064516129032</v>
      </c>
      <c r="K33" s="43">
        <f t="shared" si="5"/>
        <v>155000</v>
      </c>
      <c r="L33" s="99">
        <f t="shared" si="7"/>
        <v>80663</v>
      </c>
      <c r="M33" s="101">
        <f t="shared" si="8"/>
        <v>0.5204064516129032</v>
      </c>
    </row>
    <row r="34" spans="1:13" ht="37.5" customHeight="1">
      <c r="A34" s="15" t="s">
        <v>20</v>
      </c>
      <c r="B34" s="16"/>
      <c r="C34" s="52">
        <f>C29+C24</f>
        <v>157000</v>
      </c>
      <c r="D34" s="52">
        <f>D29+D24</f>
        <v>30281.920000000002</v>
      </c>
      <c r="E34" s="52">
        <f>E29+E24</f>
        <v>116851.65</v>
      </c>
      <c r="F34" s="77"/>
      <c r="G34" s="52">
        <f>G29+G24</f>
        <v>422036.54000000004</v>
      </c>
      <c r="H34" s="52">
        <f>H29+H24</f>
        <v>305308</v>
      </c>
      <c r="I34" s="52">
        <f>I29+I24</f>
        <v>0</v>
      </c>
      <c r="J34" s="77"/>
      <c r="K34" s="53">
        <f t="shared" si="5"/>
        <v>579036.54</v>
      </c>
      <c r="L34" s="100">
        <f t="shared" si="7"/>
        <v>452441.56999999995</v>
      </c>
      <c r="M34" s="102">
        <f aca="true" t="shared" si="9" ref="M34:M41">L34/K34</f>
        <v>0.781369635152904</v>
      </c>
    </row>
    <row r="35" spans="1:13" ht="37.5" customHeight="1">
      <c r="A35" s="15" t="s">
        <v>62</v>
      </c>
      <c r="B35" s="17"/>
      <c r="C35" s="58">
        <f>C34+C22</f>
        <v>574536.540523977</v>
      </c>
      <c r="D35" s="58">
        <f>D34+D22</f>
        <v>93236.71</v>
      </c>
      <c r="E35" s="58">
        <f>E34+E22</f>
        <v>184992.11</v>
      </c>
      <c r="F35" s="77"/>
      <c r="G35" s="58">
        <f>G34+G22</f>
        <v>574536.54</v>
      </c>
      <c r="H35" s="58">
        <f>H34+H22</f>
        <v>343904.7</v>
      </c>
      <c r="I35" s="58">
        <f>I34+I22</f>
        <v>0</v>
      </c>
      <c r="J35" s="77">
        <f>(H35+I35)/G35</f>
        <v>0.5985775943859027</v>
      </c>
      <c r="K35" s="58">
        <f t="shared" si="5"/>
        <v>1149073.080523977</v>
      </c>
      <c r="L35" s="100">
        <f t="shared" si="7"/>
        <v>622133.52</v>
      </c>
      <c r="M35" s="102">
        <f t="shared" si="9"/>
        <v>0.5414220649188886</v>
      </c>
    </row>
    <row r="36" spans="1:13" ht="51.75" customHeight="1">
      <c r="A36" s="22" t="s">
        <v>26</v>
      </c>
      <c r="B36" s="23"/>
      <c r="C36" s="59">
        <v>103416.576</v>
      </c>
      <c r="D36" s="59">
        <v>83449.37</v>
      </c>
      <c r="E36" s="59"/>
      <c r="F36" s="78">
        <f>(D36+E36)/C36</f>
        <v>0.8069245108250345</v>
      </c>
      <c r="G36" s="60">
        <v>68944.38</v>
      </c>
      <c r="H36" s="60">
        <v>17749.74</v>
      </c>
      <c r="I36" s="60"/>
      <c r="J36" s="85">
        <f>(H36+I36)/G36</f>
        <v>0.2574501358921496</v>
      </c>
      <c r="K36" s="61">
        <f t="shared" si="5"/>
        <v>172360.956</v>
      </c>
      <c r="L36" s="99">
        <f t="shared" si="7"/>
        <v>101199.11</v>
      </c>
      <c r="M36" s="103">
        <f t="shared" si="9"/>
        <v>0.5871347685029085</v>
      </c>
    </row>
    <row r="37" spans="1:13" ht="50.25" customHeight="1">
      <c r="A37" s="22" t="s">
        <v>27</v>
      </c>
      <c r="B37" s="23"/>
      <c r="C37" s="62"/>
      <c r="D37" s="62"/>
      <c r="E37" s="62"/>
      <c r="F37" s="78"/>
      <c r="G37" s="63"/>
      <c r="H37" s="63">
        <v>68659.39</v>
      </c>
      <c r="I37" s="63"/>
      <c r="J37" s="85"/>
      <c r="K37" s="64">
        <f t="shared" si="5"/>
        <v>0</v>
      </c>
      <c r="L37" s="99">
        <f t="shared" si="7"/>
        <v>68659.39</v>
      </c>
      <c r="M37" s="103" t="e">
        <f t="shared" si="9"/>
        <v>#DIV/0!</v>
      </c>
    </row>
    <row r="38" spans="1:13" ht="27.75" customHeight="1">
      <c r="A38" s="22" t="s">
        <v>28</v>
      </c>
      <c r="B38" s="24" t="s">
        <v>21</v>
      </c>
      <c r="C38" s="62">
        <v>48261.072</v>
      </c>
      <c r="D38" s="59"/>
      <c r="E38" s="59"/>
      <c r="F38" s="78">
        <f>(D38+E38)/C38</f>
        <v>0</v>
      </c>
      <c r="G38" s="60">
        <v>32174.05</v>
      </c>
      <c r="H38" s="60">
        <v>20000</v>
      </c>
      <c r="I38" s="60"/>
      <c r="J38" s="85">
        <f>(H38+I38)/G38</f>
        <v>0.6216189755408473</v>
      </c>
      <c r="K38" s="61">
        <f t="shared" si="5"/>
        <v>80435.122</v>
      </c>
      <c r="L38" s="99">
        <f t="shared" si="7"/>
        <v>20000</v>
      </c>
      <c r="M38" s="103">
        <f t="shared" si="9"/>
        <v>0.2486475994901829</v>
      </c>
    </row>
    <row r="39" spans="1:13" ht="34.5" customHeight="1">
      <c r="A39" s="25" t="s">
        <v>22</v>
      </c>
      <c r="B39" s="26"/>
      <c r="C39" s="65">
        <f>C35+C36+C38</f>
        <v>726214.1885239771</v>
      </c>
      <c r="D39" s="65">
        <f>D35+D36+D38</f>
        <v>176686.08000000002</v>
      </c>
      <c r="E39" s="65">
        <f>E35+E36+E38</f>
        <v>184992.11</v>
      </c>
      <c r="F39" s="79">
        <f>(E39+D39)/C39</f>
        <v>0.49803239280563666</v>
      </c>
      <c r="G39" s="65">
        <f>G35+G36+G37+G38</f>
        <v>675654.9700000001</v>
      </c>
      <c r="H39" s="65">
        <f>H35+H36+H37+H38</f>
        <v>450313.83</v>
      </c>
      <c r="I39" s="65">
        <f>I35+I36+I37+I38</f>
        <v>0</v>
      </c>
      <c r="J39" s="79">
        <f>(H39+I39)/G39</f>
        <v>0.6664848924296375</v>
      </c>
      <c r="K39" s="65">
        <f>K35+K36+K37+K38</f>
        <v>1401869.158523977</v>
      </c>
      <c r="L39" s="100">
        <f t="shared" si="7"/>
        <v>811992.02</v>
      </c>
      <c r="M39" s="106">
        <f t="shared" si="9"/>
        <v>0.5792209744131496</v>
      </c>
    </row>
    <row r="40" spans="1:13" ht="33" customHeight="1">
      <c r="A40" s="22" t="s">
        <v>23</v>
      </c>
      <c r="B40" s="24"/>
      <c r="C40" s="59">
        <f>C39*0.07</f>
        <v>50834.9931966784</v>
      </c>
      <c r="D40" s="59">
        <v>11721.43</v>
      </c>
      <c r="E40" s="59">
        <v>12949.41</v>
      </c>
      <c r="F40" s="78">
        <f>(D40+E40)/C40</f>
        <v>0.48531215307828574</v>
      </c>
      <c r="G40" s="60">
        <f>G39*0.07</f>
        <v>47295.84790000001</v>
      </c>
      <c r="H40" s="60">
        <v>24474.88</v>
      </c>
      <c r="I40" s="60"/>
      <c r="J40" s="85">
        <f>(H40/G40)*100%</f>
        <v>0.5174847494382271</v>
      </c>
      <c r="K40" s="61">
        <f>C40+G40</f>
        <v>98130.8410966784</v>
      </c>
      <c r="L40" s="99">
        <f t="shared" si="7"/>
        <v>49145.72</v>
      </c>
      <c r="M40" s="107">
        <f t="shared" si="9"/>
        <v>0.5008182896504646</v>
      </c>
    </row>
    <row r="41" spans="1:13" ht="34.5" customHeight="1" thickBot="1">
      <c r="A41" s="27" t="s">
        <v>24</v>
      </c>
      <c r="B41" s="28"/>
      <c r="C41" s="66">
        <f>C39+C40</f>
        <v>777049.1817206554</v>
      </c>
      <c r="D41" s="66">
        <f>D39+D40</f>
        <v>188407.51</v>
      </c>
      <c r="E41" s="66">
        <f>E39+E40</f>
        <v>197941.52</v>
      </c>
      <c r="F41" s="104">
        <f>(D41+E41)/C41</f>
        <v>0.4972002275898287</v>
      </c>
      <c r="G41" s="66">
        <f>G39+G40</f>
        <v>722950.8179000001</v>
      </c>
      <c r="H41" s="66">
        <f>H39+H40</f>
        <v>474788.71</v>
      </c>
      <c r="I41" s="66">
        <f>I39+I40</f>
        <v>0</v>
      </c>
      <c r="J41" s="104">
        <f>(H41/G41)*100%</f>
        <v>0.6567372195236574</v>
      </c>
      <c r="K41" s="66">
        <f>C41+G41</f>
        <v>1499999.9996206556</v>
      </c>
      <c r="L41" s="105">
        <f>H41+D41+I41+E41</f>
        <v>861137.74</v>
      </c>
      <c r="M41" s="108">
        <f t="shared" si="9"/>
        <v>0.5740918268118523</v>
      </c>
    </row>
    <row r="43" spans="3:5" ht="14.25">
      <c r="C43" s="67"/>
      <c r="D43" s="67"/>
      <c r="E43" s="67"/>
    </row>
    <row r="47" ht="25.5" customHeight="1"/>
  </sheetData>
  <sheetProtection/>
  <mergeCells count="2">
    <mergeCell ref="A8:M8"/>
    <mergeCell ref="A23:M23"/>
  </mergeCells>
  <printOptions/>
  <pageMargins left="0.7" right="0.7" top="0.75" bottom="0.75" header="0.3" footer="0.3"/>
  <pageSetup fitToHeight="0" fitToWidth="1" horizontalDpi="600" verticalDpi="600" orientation="landscape" scale="42" r:id="rId1"/>
  <rowBreaks count="2" manualBreakCount="2">
    <brk id="18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3" zoomScaleNormal="83" zoomScalePageLayoutView="0" workbookViewId="0" topLeftCell="A40">
      <selection activeCell="I49" sqref="I49"/>
    </sheetView>
  </sheetViews>
  <sheetFormatPr defaultColWidth="10.7109375" defaultRowHeight="15"/>
  <cols>
    <col min="1" max="1" width="10.7109375" style="0" customWidth="1"/>
    <col min="2" max="2" width="12.57421875" style="0" bestFit="1" customWidth="1"/>
    <col min="3" max="4" width="14.00390625" style="0" customWidth="1"/>
    <col min="5" max="5" width="13.7109375" style="0" customWidth="1"/>
    <col min="6" max="6" width="11.7109375" style="0" customWidth="1"/>
    <col min="7" max="10" width="12.421875" style="0" customWidth="1"/>
    <col min="11" max="11" width="14.00390625" style="0" customWidth="1"/>
    <col min="12" max="12" width="10.28125" style="0" customWidth="1"/>
    <col min="13" max="13" width="13.7109375" style="0" bestFit="1" customWidth="1"/>
  </cols>
  <sheetData>
    <row r="1" spans="1:14" ht="14.25">
      <c r="A1" s="2" t="s">
        <v>0</v>
      </c>
      <c r="B1" s="2"/>
      <c r="C1" s="29"/>
      <c r="D1" s="29"/>
      <c r="E1" s="29"/>
      <c r="F1" s="72"/>
      <c r="G1" s="30"/>
      <c r="H1" s="30"/>
      <c r="I1" s="30"/>
      <c r="J1" s="81"/>
      <c r="K1" s="31"/>
      <c r="L1" s="30"/>
      <c r="M1" s="3"/>
      <c r="N1" s="3"/>
    </row>
    <row r="2" spans="1:14" ht="14.25">
      <c r="A2" s="2"/>
      <c r="B2" s="2"/>
      <c r="C2" s="29"/>
      <c r="D2" s="29"/>
      <c r="E2" s="29"/>
      <c r="F2" s="72"/>
      <c r="G2" s="30"/>
      <c r="H2" s="30"/>
      <c r="I2" s="30"/>
      <c r="J2" s="81"/>
      <c r="K2" s="31"/>
      <c r="L2" s="30"/>
      <c r="M2" s="3"/>
      <c r="N2" s="3"/>
    </row>
    <row r="3" spans="1:14" ht="14.25">
      <c r="A3" s="2" t="s">
        <v>25</v>
      </c>
      <c r="B3" s="2"/>
      <c r="C3" s="29"/>
      <c r="D3" s="29"/>
      <c r="E3" s="29"/>
      <c r="F3" s="72"/>
      <c r="G3" s="30"/>
      <c r="H3" s="30"/>
      <c r="I3" s="30"/>
      <c r="J3" s="81"/>
      <c r="K3" s="31"/>
      <c r="L3" s="30"/>
      <c r="M3" s="3"/>
      <c r="N3" s="3"/>
    </row>
    <row r="4" spans="1:14" ht="14.25">
      <c r="A4" s="5"/>
      <c r="B4" s="5"/>
      <c r="C4" s="32"/>
      <c r="D4" s="32"/>
      <c r="E4" s="32"/>
      <c r="F4" s="73"/>
      <c r="G4" s="32"/>
      <c r="H4" s="32"/>
      <c r="I4" s="32"/>
      <c r="J4" s="73"/>
      <c r="K4" s="33"/>
      <c r="L4" s="32"/>
      <c r="M4" s="5"/>
      <c r="N4" s="3"/>
    </row>
    <row r="5" spans="1:14" ht="14.25">
      <c r="A5" s="6" t="s">
        <v>29</v>
      </c>
      <c r="B5" s="5"/>
      <c r="C5" s="32"/>
      <c r="D5" s="32"/>
      <c r="E5" s="32"/>
      <c r="F5" s="73"/>
      <c r="G5" s="32"/>
      <c r="H5" s="32"/>
      <c r="I5" s="32"/>
      <c r="J5" s="73"/>
      <c r="K5" s="33"/>
      <c r="L5" s="32"/>
      <c r="M5" s="5"/>
      <c r="N5" s="3"/>
    </row>
    <row r="6" spans="1:14" ht="15" thickBot="1">
      <c r="A6" s="7"/>
      <c r="B6" s="7"/>
      <c r="C6" s="34"/>
      <c r="D6" s="34"/>
      <c r="E6" s="34"/>
      <c r="F6" s="74"/>
      <c r="G6" s="34"/>
      <c r="H6" s="34"/>
      <c r="I6" s="34"/>
      <c r="J6" s="74"/>
      <c r="K6" s="35"/>
      <c r="L6" s="34"/>
      <c r="M6" s="7"/>
      <c r="N6" s="3"/>
    </row>
    <row r="7" spans="1:14" ht="147.75" thickBot="1">
      <c r="A7" s="68" t="s">
        <v>1</v>
      </c>
      <c r="B7" s="69" t="s">
        <v>2</v>
      </c>
      <c r="C7" s="69" t="s">
        <v>73</v>
      </c>
      <c r="D7" s="82" t="s">
        <v>64</v>
      </c>
      <c r="E7" s="83" t="s">
        <v>65</v>
      </c>
      <c r="F7" s="84" t="s">
        <v>63</v>
      </c>
      <c r="G7" s="69" t="s">
        <v>74</v>
      </c>
      <c r="H7" s="82" t="s">
        <v>66</v>
      </c>
      <c r="I7" s="83" t="s">
        <v>67</v>
      </c>
      <c r="J7" s="84" t="s">
        <v>63</v>
      </c>
      <c r="K7" s="70" t="s">
        <v>75</v>
      </c>
      <c r="L7" s="69" t="s">
        <v>76</v>
      </c>
      <c r="M7" s="71" t="s">
        <v>77</v>
      </c>
      <c r="N7" s="110" t="s">
        <v>78</v>
      </c>
    </row>
    <row r="8" spans="1:14" ht="15" thickBot="1">
      <c r="A8" s="231" t="s">
        <v>54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3"/>
      <c r="N8" s="111"/>
    </row>
    <row r="9" spans="1:14" ht="162">
      <c r="A9" s="8" t="s">
        <v>3</v>
      </c>
      <c r="B9" s="9" t="s">
        <v>53</v>
      </c>
      <c r="C9" s="36">
        <f>C10+C11+C12+C13+C14</f>
        <v>72000</v>
      </c>
      <c r="D9" s="36">
        <f>D10+D11+D12+D13+D14</f>
        <v>10000</v>
      </c>
      <c r="E9" s="36">
        <f>E10+E11+E12+E13+E14</f>
        <v>19885</v>
      </c>
      <c r="F9" s="86">
        <f>(D9+E9)/C9</f>
        <v>0.41506944444444444</v>
      </c>
      <c r="G9" s="37">
        <f>G10+G11+G12+G13+G14</f>
        <v>105740</v>
      </c>
      <c r="H9" s="37">
        <f>H10+H11+H12+H13+H14</f>
        <v>51390</v>
      </c>
      <c r="I9" s="37">
        <f>I10+I11+I12+I13+I14</f>
        <v>19290</v>
      </c>
      <c r="J9" s="88">
        <f>(H9+I9)/G9</f>
        <v>0.6684320030262909</v>
      </c>
      <c r="K9" s="38">
        <f aca="true" t="shared" si="0" ref="K9:K22">C9+G9</f>
        <v>177740</v>
      </c>
      <c r="L9" s="112"/>
      <c r="M9" s="113"/>
      <c r="N9" s="3"/>
    </row>
    <row r="10" spans="1:14" ht="202.5">
      <c r="A10" s="10" t="s">
        <v>4</v>
      </c>
      <c r="B10" s="11" t="s">
        <v>52</v>
      </c>
      <c r="C10" s="20">
        <v>10000</v>
      </c>
      <c r="D10" s="20">
        <f>9962.73+37.27</f>
        <v>10000</v>
      </c>
      <c r="E10" s="20"/>
      <c r="F10" s="86">
        <f aca="true" t="shared" si="1" ref="F10:F21">(D10+E10)/C10</f>
        <v>1</v>
      </c>
      <c r="G10" s="39"/>
      <c r="H10" s="39"/>
      <c r="I10" s="39"/>
      <c r="J10" s="88"/>
      <c r="K10" s="40">
        <f t="shared" si="0"/>
        <v>10000</v>
      </c>
      <c r="L10" s="114">
        <v>0.5</v>
      </c>
      <c r="M10" s="115" t="s">
        <v>79</v>
      </c>
      <c r="N10" s="3">
        <f>0.5*29000</f>
        <v>14500</v>
      </c>
    </row>
    <row r="11" spans="1:14" ht="189" customHeight="1">
      <c r="A11" s="10" t="s">
        <v>5</v>
      </c>
      <c r="B11" s="12" t="s">
        <v>51</v>
      </c>
      <c r="C11" s="41"/>
      <c r="D11" s="41"/>
      <c r="E11" s="41"/>
      <c r="F11" s="86"/>
      <c r="G11" s="42">
        <v>35740</v>
      </c>
      <c r="H11" s="42">
        <v>20500</v>
      </c>
      <c r="I11" s="42"/>
      <c r="J11" s="88">
        <f aca="true" t="shared" si="2" ref="J11:J21">(H11+I11)/G11</f>
        <v>0.5735870173475098</v>
      </c>
      <c r="K11" s="40">
        <f t="shared" si="0"/>
        <v>35740</v>
      </c>
      <c r="L11" s="114">
        <v>0.3</v>
      </c>
      <c r="M11" s="176" t="s">
        <v>80</v>
      </c>
      <c r="N11" s="3">
        <f>0.3*85740</f>
        <v>25722</v>
      </c>
    </row>
    <row r="12" spans="1:14" ht="189">
      <c r="A12" s="10" t="s">
        <v>6</v>
      </c>
      <c r="B12" s="12" t="s">
        <v>50</v>
      </c>
      <c r="C12" s="20"/>
      <c r="D12" s="20"/>
      <c r="E12" s="20"/>
      <c r="F12" s="86"/>
      <c r="G12" s="42">
        <v>70000</v>
      </c>
      <c r="H12" s="42">
        <v>30890</v>
      </c>
      <c r="I12" s="42">
        <v>19290</v>
      </c>
      <c r="J12" s="88">
        <f t="shared" si="2"/>
        <v>0.7168571428571429</v>
      </c>
      <c r="K12" s="43">
        <f t="shared" si="0"/>
        <v>70000</v>
      </c>
      <c r="L12" s="114">
        <v>0.5</v>
      </c>
      <c r="M12" s="115" t="s">
        <v>80</v>
      </c>
      <c r="N12" s="3">
        <f>0.5*100000</f>
        <v>50000</v>
      </c>
    </row>
    <row r="13" spans="1:14" ht="202.5">
      <c r="A13" s="10" t="s">
        <v>30</v>
      </c>
      <c r="B13" s="12" t="s">
        <v>49</v>
      </c>
      <c r="C13" s="44"/>
      <c r="D13" s="44"/>
      <c r="E13" s="44"/>
      <c r="F13" s="86"/>
      <c r="G13" s="45"/>
      <c r="H13" s="45"/>
      <c r="I13" s="45"/>
      <c r="J13" s="88"/>
      <c r="K13" s="46">
        <f t="shared" si="0"/>
        <v>0</v>
      </c>
      <c r="L13" s="114">
        <v>0.3</v>
      </c>
      <c r="M13" s="115" t="s">
        <v>81</v>
      </c>
      <c r="N13" s="3">
        <f>0.3*25000</f>
        <v>7500</v>
      </c>
    </row>
    <row r="14" spans="1:14" ht="162">
      <c r="A14" s="10" t="s">
        <v>31</v>
      </c>
      <c r="B14" s="12" t="s">
        <v>48</v>
      </c>
      <c r="C14" s="47">
        <v>62000</v>
      </c>
      <c r="D14" s="47"/>
      <c r="E14" s="47">
        <f>19885+0</f>
        <v>19885</v>
      </c>
      <c r="F14" s="86">
        <f t="shared" si="1"/>
        <v>0.3207258064516129</v>
      </c>
      <c r="G14" s="48"/>
      <c r="H14" s="48"/>
      <c r="I14" s="48"/>
      <c r="J14" s="88"/>
      <c r="K14" s="40">
        <f t="shared" si="0"/>
        <v>62000</v>
      </c>
      <c r="L14" s="114">
        <v>0.5</v>
      </c>
      <c r="M14" s="176" t="s">
        <v>82</v>
      </c>
      <c r="N14" s="3">
        <f>0.5*130000</f>
        <v>65000</v>
      </c>
    </row>
    <row r="15" spans="1:14" ht="216">
      <c r="A15" s="13" t="s">
        <v>7</v>
      </c>
      <c r="B15" s="14" t="s">
        <v>55</v>
      </c>
      <c r="C15" s="49">
        <f>SUM(C16:C21)</f>
        <v>355000</v>
      </c>
      <c r="D15" s="49">
        <f>SUM(D16:D21)</f>
        <v>241633.68000000002</v>
      </c>
      <c r="E15" s="49">
        <f>SUM(E16:E21)</f>
        <v>47865.56</v>
      </c>
      <c r="F15" s="86">
        <f t="shared" si="1"/>
        <v>0.8154908169014085</v>
      </c>
      <c r="G15" s="50">
        <f>G16+G17+G18+G19+G20+G21</f>
        <v>110000</v>
      </c>
      <c r="H15" s="50">
        <f>H16+H17+H18+H19+H20+H21</f>
        <v>20942.5</v>
      </c>
      <c r="I15" s="50">
        <f>I16+I17+I18+I19+I20+I21</f>
        <v>0</v>
      </c>
      <c r="J15" s="88">
        <f t="shared" si="2"/>
        <v>0.19038636363636363</v>
      </c>
      <c r="K15" s="51">
        <f t="shared" si="0"/>
        <v>465000</v>
      </c>
      <c r="L15" s="116"/>
      <c r="M15" s="115"/>
      <c r="N15" s="3"/>
    </row>
    <row r="16" spans="1:14" ht="40.5">
      <c r="A16" s="10" t="s">
        <v>8</v>
      </c>
      <c r="B16" s="11" t="s">
        <v>47</v>
      </c>
      <c r="C16" s="20">
        <v>10000</v>
      </c>
      <c r="D16" s="20">
        <f>9965.86+34.16</f>
        <v>10000.02</v>
      </c>
      <c r="E16" s="20"/>
      <c r="F16" s="86">
        <f t="shared" si="1"/>
        <v>1.000002</v>
      </c>
      <c r="G16" s="48">
        <v>25000</v>
      </c>
      <c r="H16" s="42">
        <v>20942.5</v>
      </c>
      <c r="I16" s="48"/>
      <c r="J16" s="88">
        <f t="shared" si="2"/>
        <v>0.8377</v>
      </c>
      <c r="K16" s="40">
        <f t="shared" si="0"/>
        <v>35000</v>
      </c>
      <c r="L16" s="114">
        <v>0.5</v>
      </c>
      <c r="M16" s="115" t="s">
        <v>83</v>
      </c>
      <c r="N16" s="3">
        <f>0.5*45000</f>
        <v>22500</v>
      </c>
    </row>
    <row r="17" spans="1:14" ht="175.5">
      <c r="A17" s="10" t="s">
        <v>9</v>
      </c>
      <c r="B17" s="11" t="s">
        <v>46</v>
      </c>
      <c r="C17" s="20">
        <v>140000</v>
      </c>
      <c r="D17" s="20">
        <f>90260.32+30074.56</f>
        <v>120334.88</v>
      </c>
      <c r="E17" s="20">
        <f>8665.12+710.44</f>
        <v>9375.560000000001</v>
      </c>
      <c r="F17" s="86">
        <f t="shared" si="1"/>
        <v>0.9265031428571429</v>
      </c>
      <c r="G17" s="45"/>
      <c r="H17" s="45"/>
      <c r="I17" s="45"/>
      <c r="J17" s="88"/>
      <c r="K17" s="40">
        <f t="shared" si="0"/>
        <v>140000</v>
      </c>
      <c r="L17" s="114">
        <v>0.5</v>
      </c>
      <c r="M17" s="115" t="s">
        <v>94</v>
      </c>
      <c r="N17" s="3">
        <f>0.5*266536.54</f>
        <v>133268.27</v>
      </c>
    </row>
    <row r="18" spans="1:14" ht="94.5">
      <c r="A18" s="10" t="s">
        <v>10</v>
      </c>
      <c r="B18" s="11" t="s">
        <v>45</v>
      </c>
      <c r="C18" s="20">
        <v>20000</v>
      </c>
      <c r="D18" s="20">
        <f>8400+3000.12</f>
        <v>11400.119999999999</v>
      </c>
      <c r="E18" s="20">
        <v>8500</v>
      </c>
      <c r="F18" s="86">
        <f t="shared" si="1"/>
        <v>0.995006</v>
      </c>
      <c r="G18" s="48">
        <v>20000</v>
      </c>
      <c r="H18" s="48"/>
      <c r="I18" s="48"/>
      <c r="J18" s="88">
        <f t="shared" si="2"/>
        <v>0</v>
      </c>
      <c r="K18" s="43">
        <f t="shared" si="0"/>
        <v>40000</v>
      </c>
      <c r="L18" s="114"/>
      <c r="M18" s="115" t="s">
        <v>95</v>
      </c>
      <c r="N18" s="3"/>
    </row>
    <row r="19" spans="1:14" ht="175.5" customHeight="1">
      <c r="A19" s="10" t="s">
        <v>39</v>
      </c>
      <c r="B19" s="11" t="s">
        <v>44</v>
      </c>
      <c r="C19" s="20">
        <v>47000</v>
      </c>
      <c r="D19" s="20">
        <f>25549.98+21450.02</f>
        <v>47000</v>
      </c>
      <c r="E19" s="20"/>
      <c r="F19" s="86">
        <f t="shared" si="1"/>
        <v>1</v>
      </c>
      <c r="G19" s="48"/>
      <c r="H19" s="48"/>
      <c r="I19" s="48"/>
      <c r="J19" s="88"/>
      <c r="K19" s="43">
        <f t="shared" si="0"/>
        <v>47000</v>
      </c>
      <c r="L19" s="114">
        <v>0.3</v>
      </c>
      <c r="M19" s="115" t="s">
        <v>83</v>
      </c>
      <c r="N19" s="3">
        <f>0.3*97750</f>
        <v>29325</v>
      </c>
    </row>
    <row r="20" spans="1:14" ht="162">
      <c r="A20" s="10" t="s">
        <v>40</v>
      </c>
      <c r="B20" s="11" t="s">
        <v>43</v>
      </c>
      <c r="C20" s="20">
        <v>90000</v>
      </c>
      <c r="D20" s="20">
        <f>25401.67+13018.33</f>
        <v>38420</v>
      </c>
      <c r="E20" s="20"/>
      <c r="F20" s="86">
        <f t="shared" si="1"/>
        <v>0.4268888888888889</v>
      </c>
      <c r="G20" s="48"/>
      <c r="H20" s="48"/>
      <c r="I20" s="48"/>
      <c r="J20" s="88"/>
      <c r="K20" s="43">
        <f t="shared" si="0"/>
        <v>90000</v>
      </c>
      <c r="L20" s="114"/>
      <c r="M20" s="115" t="s">
        <v>96</v>
      </c>
      <c r="N20" s="3"/>
    </row>
    <row r="21" spans="1:14" ht="108">
      <c r="A21" s="10" t="s">
        <v>41</v>
      </c>
      <c r="B21" s="11" t="s">
        <v>42</v>
      </c>
      <c r="C21" s="20">
        <f>40000+8000</f>
        <v>48000</v>
      </c>
      <c r="D21" s="20">
        <f>10000+4478.66</f>
        <v>14478.66</v>
      </c>
      <c r="E21" s="20">
        <f>27990+2000</f>
        <v>29990</v>
      </c>
      <c r="F21" s="86">
        <f t="shared" si="1"/>
        <v>0.9264304166666667</v>
      </c>
      <c r="G21" s="42">
        <v>65000</v>
      </c>
      <c r="H21" s="42"/>
      <c r="I21" s="42"/>
      <c r="J21" s="88">
        <f t="shared" si="2"/>
        <v>0</v>
      </c>
      <c r="K21" s="40">
        <f t="shared" si="0"/>
        <v>113000</v>
      </c>
      <c r="L21" s="114">
        <v>0.3</v>
      </c>
      <c r="M21" s="115" t="s">
        <v>97</v>
      </c>
      <c r="N21" s="3">
        <f>0.3*(79250+113000)</f>
        <v>57675</v>
      </c>
    </row>
    <row r="22" spans="1:14" ht="27">
      <c r="A22" s="15" t="s">
        <v>11</v>
      </c>
      <c r="B22" s="16"/>
      <c r="C22" s="52">
        <f>SUM(C9+C15)</f>
        <v>427000</v>
      </c>
      <c r="D22" s="52">
        <f>SUM(D9+D15)</f>
        <v>251633.68000000002</v>
      </c>
      <c r="E22" s="52">
        <f>SUM(E9+E15)</f>
        <v>67750.56</v>
      </c>
      <c r="F22" s="77"/>
      <c r="G22" s="52">
        <f>SUM(G9+G15)</f>
        <v>215740</v>
      </c>
      <c r="H22" s="52">
        <f>SUM(H9+H15)</f>
        <v>72332.5</v>
      </c>
      <c r="I22" s="52">
        <f>SUM(I9+I15)</f>
        <v>19290</v>
      </c>
      <c r="J22" s="77"/>
      <c r="K22" s="53">
        <f t="shared" si="0"/>
        <v>642740</v>
      </c>
      <c r="L22" s="117"/>
      <c r="M22" s="118"/>
      <c r="N22" s="3"/>
    </row>
    <row r="23" spans="1:14" ht="14.25">
      <c r="A23" s="227" t="s">
        <v>56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34"/>
      <c r="N23" s="3"/>
    </row>
    <row r="24" spans="1:14" ht="202.5">
      <c r="A24" s="13" t="s">
        <v>12</v>
      </c>
      <c r="B24" s="18" t="s">
        <v>57</v>
      </c>
      <c r="C24" s="54"/>
      <c r="D24" s="54"/>
      <c r="E24" s="54"/>
      <c r="F24" s="87"/>
      <c r="G24" s="55">
        <f>G25+G26+G27+G28</f>
        <v>105000</v>
      </c>
      <c r="H24" s="55">
        <f>H25+H26+H27+H28</f>
        <v>52925.4</v>
      </c>
      <c r="I24" s="55">
        <f>I25+I26+I27+I28</f>
        <v>6671</v>
      </c>
      <c r="J24" s="89">
        <f>(H24+I24)/G24</f>
        <v>0.5675847619047619</v>
      </c>
      <c r="K24" s="51">
        <f aca="true" t="shared" si="3" ref="K24:K38">C24+G24</f>
        <v>105000</v>
      </c>
      <c r="L24" s="116"/>
      <c r="M24" s="115"/>
      <c r="N24" s="3"/>
    </row>
    <row r="25" spans="1:14" ht="148.5">
      <c r="A25" s="10" t="s">
        <v>13</v>
      </c>
      <c r="B25" s="11" t="s">
        <v>38</v>
      </c>
      <c r="C25" s="20"/>
      <c r="D25" s="20"/>
      <c r="E25" s="20"/>
      <c r="F25" s="75"/>
      <c r="G25" s="48">
        <v>20000</v>
      </c>
      <c r="H25" s="42">
        <v>17925.4</v>
      </c>
      <c r="I25" s="48"/>
      <c r="J25" s="89">
        <f aca="true" t="shared" si="4" ref="J25:J33">(H25+I25)/G25</f>
        <v>0.8962700000000001</v>
      </c>
      <c r="K25" s="43">
        <f t="shared" si="3"/>
        <v>20000</v>
      </c>
      <c r="L25" s="114">
        <v>0.5</v>
      </c>
      <c r="M25" s="115" t="s">
        <v>84</v>
      </c>
      <c r="N25" s="3">
        <f>0.5*50000</f>
        <v>25000</v>
      </c>
    </row>
    <row r="26" spans="1:14" ht="202.5">
      <c r="A26" s="10" t="s">
        <v>14</v>
      </c>
      <c r="B26" s="11" t="s">
        <v>37</v>
      </c>
      <c r="C26" s="56"/>
      <c r="D26" s="56"/>
      <c r="E26" s="56"/>
      <c r="F26" s="75"/>
      <c r="G26" s="48">
        <v>40000</v>
      </c>
      <c r="H26" s="48">
        <v>20000</v>
      </c>
      <c r="I26" s="48"/>
      <c r="J26" s="89">
        <f t="shared" si="4"/>
        <v>0.5</v>
      </c>
      <c r="K26" s="43">
        <f t="shared" si="3"/>
        <v>40000</v>
      </c>
      <c r="L26" s="114">
        <v>0.5</v>
      </c>
      <c r="M26" s="115" t="s">
        <v>85</v>
      </c>
      <c r="N26" s="3">
        <f>0.5*77036.54</f>
        <v>38518.27</v>
      </c>
    </row>
    <row r="27" spans="1:14" ht="175.5">
      <c r="A27" s="10" t="s">
        <v>15</v>
      </c>
      <c r="B27" s="21" t="s">
        <v>36</v>
      </c>
      <c r="C27" s="56"/>
      <c r="D27" s="56"/>
      <c r="E27" s="56"/>
      <c r="F27" s="75"/>
      <c r="G27" s="48">
        <v>25000</v>
      </c>
      <c r="H27" s="48">
        <v>15000</v>
      </c>
      <c r="I27" s="48">
        <v>6671</v>
      </c>
      <c r="J27" s="89">
        <f t="shared" si="4"/>
        <v>0.86684</v>
      </c>
      <c r="K27" s="43">
        <f t="shared" si="3"/>
        <v>25000</v>
      </c>
      <c r="L27" s="114">
        <v>0.3</v>
      </c>
      <c r="M27" s="115" t="s">
        <v>86</v>
      </c>
      <c r="N27" s="3">
        <f>0.3*40000</f>
        <v>12000</v>
      </c>
    </row>
    <row r="28" spans="1:14" ht="108">
      <c r="A28" s="10" t="s">
        <v>32</v>
      </c>
      <c r="B28" s="11" t="s">
        <v>59</v>
      </c>
      <c r="C28" s="56"/>
      <c r="D28" s="56"/>
      <c r="E28" s="56"/>
      <c r="F28" s="75"/>
      <c r="G28" s="48">
        <v>20000</v>
      </c>
      <c r="H28" s="48"/>
      <c r="I28" s="48"/>
      <c r="J28" s="89">
        <f t="shared" si="4"/>
        <v>0</v>
      </c>
      <c r="K28" s="43">
        <f t="shared" si="3"/>
        <v>20000</v>
      </c>
      <c r="L28" s="114">
        <v>0.3</v>
      </c>
      <c r="M28" s="115" t="s">
        <v>87</v>
      </c>
      <c r="N28" s="3">
        <f>0.3*42000</f>
        <v>12600</v>
      </c>
    </row>
    <row r="29" spans="1:14" ht="121.5">
      <c r="A29" s="13" t="s">
        <v>16</v>
      </c>
      <c r="B29" s="12" t="s">
        <v>58</v>
      </c>
      <c r="C29" s="54">
        <f>SUM(C30:C33)</f>
        <v>123062.45</v>
      </c>
      <c r="D29" s="54">
        <f>SUM(D30:D33)</f>
        <v>105062.76000000001</v>
      </c>
      <c r="E29" s="54">
        <f>SUM(E30:E33)</f>
        <v>8665.12</v>
      </c>
      <c r="F29" s="87">
        <f>(D29+E29)/C29</f>
        <v>0.9241476989934786</v>
      </c>
      <c r="G29" s="55">
        <f>SUM(G30:G33)</f>
        <v>280000</v>
      </c>
      <c r="H29" s="55">
        <f>SUM(H30:H33)</f>
        <v>157261.34999999998</v>
      </c>
      <c r="I29" s="55">
        <f>SUM(I30:I33)</f>
        <v>75000</v>
      </c>
      <c r="J29" s="89">
        <f t="shared" si="4"/>
        <v>0.8295048214285713</v>
      </c>
      <c r="K29" s="51">
        <f t="shared" si="3"/>
        <v>403062.45</v>
      </c>
      <c r="L29" s="114"/>
      <c r="M29" s="115"/>
      <c r="N29" s="3"/>
    </row>
    <row r="30" spans="1:14" ht="135" customHeight="1">
      <c r="A30" s="10" t="s">
        <v>17</v>
      </c>
      <c r="B30" s="21" t="s">
        <v>35</v>
      </c>
      <c r="C30" s="56">
        <v>123062.45</v>
      </c>
      <c r="D30" s="56">
        <f>59061.65+46001.11</f>
        <v>105062.76000000001</v>
      </c>
      <c r="E30" s="56">
        <f>8665.12+0</f>
        <v>8665.12</v>
      </c>
      <c r="F30" s="87">
        <f>(D30+E30)/C30</f>
        <v>0.9241476989934786</v>
      </c>
      <c r="G30" s="48">
        <v>75000</v>
      </c>
      <c r="H30" s="48"/>
      <c r="I30" s="48">
        <v>75000</v>
      </c>
      <c r="J30" s="89">
        <f t="shared" si="4"/>
        <v>1</v>
      </c>
      <c r="K30" s="43">
        <f t="shared" si="3"/>
        <v>198062.45</v>
      </c>
      <c r="L30" s="114">
        <v>0.5</v>
      </c>
      <c r="M30" s="115" t="s">
        <v>98</v>
      </c>
      <c r="N30" s="3">
        <f>0.5*403062.45</f>
        <v>201531.225</v>
      </c>
    </row>
    <row r="31" spans="1:14" ht="162">
      <c r="A31" s="10" t="s">
        <v>18</v>
      </c>
      <c r="B31" s="19" t="s">
        <v>60</v>
      </c>
      <c r="C31" s="56"/>
      <c r="D31" s="56"/>
      <c r="E31" s="56"/>
      <c r="F31" s="75"/>
      <c r="G31" s="48">
        <v>20000</v>
      </c>
      <c r="H31" s="48">
        <v>10000</v>
      </c>
      <c r="I31" s="48"/>
      <c r="J31" s="89">
        <f t="shared" si="4"/>
        <v>0.5</v>
      </c>
      <c r="K31" s="43">
        <f t="shared" si="3"/>
        <v>20000</v>
      </c>
      <c r="L31" s="114">
        <v>1</v>
      </c>
      <c r="M31" s="115"/>
      <c r="N31" s="4" t="e">
        <f>#REF!+K31</f>
        <v>#REF!</v>
      </c>
    </row>
    <row r="32" spans="1:14" ht="174" customHeight="1">
      <c r="A32" s="10" t="s">
        <v>19</v>
      </c>
      <c r="B32" s="177" t="s">
        <v>34</v>
      </c>
      <c r="C32" s="20"/>
      <c r="D32" s="20"/>
      <c r="E32" s="20"/>
      <c r="F32" s="75"/>
      <c r="G32" s="48">
        <v>80000</v>
      </c>
      <c r="H32" s="48">
        <v>78671.4</v>
      </c>
      <c r="I32" s="48"/>
      <c r="J32" s="89">
        <f t="shared" si="4"/>
        <v>0.9833924999999999</v>
      </c>
      <c r="K32" s="43">
        <f t="shared" si="3"/>
        <v>80000</v>
      </c>
      <c r="L32" s="114">
        <v>0.5</v>
      </c>
      <c r="M32" s="115" t="s">
        <v>88</v>
      </c>
      <c r="N32" s="3">
        <f>180000*0.5</f>
        <v>90000</v>
      </c>
    </row>
    <row r="33" spans="1:14" ht="189">
      <c r="A33" s="10" t="s">
        <v>61</v>
      </c>
      <c r="B33" s="21" t="s">
        <v>33</v>
      </c>
      <c r="C33" s="57"/>
      <c r="D33" s="57"/>
      <c r="E33" s="57"/>
      <c r="F33" s="76"/>
      <c r="G33" s="48">
        <v>105000</v>
      </c>
      <c r="H33" s="175">
        <v>68589.95</v>
      </c>
      <c r="I33" s="48"/>
      <c r="J33" s="89">
        <f t="shared" si="4"/>
        <v>0.653237619047619</v>
      </c>
      <c r="K33" s="43">
        <f t="shared" si="3"/>
        <v>105000</v>
      </c>
      <c r="L33" s="114">
        <v>0.5</v>
      </c>
      <c r="M33" s="115" t="s">
        <v>89</v>
      </c>
      <c r="N33" s="3">
        <f>260000*0.5</f>
        <v>130000</v>
      </c>
    </row>
    <row r="34" spans="1:14" ht="27">
      <c r="A34" s="15" t="s">
        <v>20</v>
      </c>
      <c r="B34" s="16"/>
      <c r="C34" s="52">
        <f>C29+C24</f>
        <v>123062.45</v>
      </c>
      <c r="D34" s="52">
        <f>D29+D24</f>
        <v>105062.76000000001</v>
      </c>
      <c r="E34" s="52">
        <f>E29+E24</f>
        <v>8665.12</v>
      </c>
      <c r="F34" s="77"/>
      <c r="G34" s="52">
        <f>G29+G24</f>
        <v>385000</v>
      </c>
      <c r="H34" s="52">
        <f>H29+H24</f>
        <v>210186.74999999997</v>
      </c>
      <c r="I34" s="52">
        <f>I29+I24</f>
        <v>81671</v>
      </c>
      <c r="J34" s="77"/>
      <c r="K34" s="53">
        <f t="shared" si="3"/>
        <v>508062.45</v>
      </c>
      <c r="L34" s="117"/>
      <c r="M34" s="119"/>
      <c r="N34" s="111"/>
    </row>
    <row r="35" spans="1:14" ht="40.5">
      <c r="A35" s="15" t="s">
        <v>62</v>
      </c>
      <c r="B35" s="17"/>
      <c r="C35" s="58">
        <f>C34+C22</f>
        <v>550062.45</v>
      </c>
      <c r="D35" s="58">
        <f>D34+D22</f>
        <v>356696.44000000006</v>
      </c>
      <c r="E35" s="58">
        <f>E34+E22</f>
        <v>76415.68</v>
      </c>
      <c r="F35" s="77"/>
      <c r="G35" s="58">
        <f>G34+G22</f>
        <v>600740</v>
      </c>
      <c r="H35" s="58">
        <f>H34+H22</f>
        <v>282519.25</v>
      </c>
      <c r="I35" s="58">
        <f>I34+I22</f>
        <v>100961</v>
      </c>
      <c r="J35" s="77"/>
      <c r="K35" s="58">
        <f t="shared" si="3"/>
        <v>1150802.45</v>
      </c>
      <c r="L35" s="117"/>
      <c r="M35" s="119"/>
      <c r="N35" s="111" t="e">
        <f>SUM(N9:N33)</f>
        <v>#REF!</v>
      </c>
    </row>
    <row r="36" spans="1:14" ht="79.5">
      <c r="A36" s="22" t="s">
        <v>26</v>
      </c>
      <c r="B36" s="23"/>
      <c r="C36" s="59">
        <v>86180.48</v>
      </c>
      <c r="D36" s="59">
        <v>50394.83</v>
      </c>
      <c r="E36" s="59"/>
      <c r="F36" s="78">
        <f>(D36+E36)/C36</f>
        <v>0.5847592169363643</v>
      </c>
      <c r="G36" s="60">
        <v>86180.48</v>
      </c>
      <c r="H36" s="60">
        <v>56032.86</v>
      </c>
      <c r="I36" s="60"/>
      <c r="J36" s="85">
        <f>(H36+I36)/G36</f>
        <v>0.6501804120840358</v>
      </c>
      <c r="K36" s="61">
        <f t="shared" si="3"/>
        <v>172360.96</v>
      </c>
      <c r="L36" s="120"/>
      <c r="M36" s="121"/>
      <c r="N36" s="3"/>
    </row>
    <row r="37" spans="1:14" ht="79.5">
      <c r="A37" s="22" t="s">
        <v>27</v>
      </c>
      <c r="B37" s="23"/>
      <c r="C37" s="62"/>
      <c r="D37" s="62"/>
      <c r="E37" s="62"/>
      <c r="F37" s="78"/>
      <c r="G37" s="63"/>
      <c r="H37" s="63"/>
      <c r="I37" s="63"/>
      <c r="J37" s="85"/>
      <c r="K37" s="64">
        <f t="shared" si="3"/>
        <v>0</v>
      </c>
      <c r="L37" s="120"/>
      <c r="M37" s="121"/>
      <c r="N37" s="3"/>
    </row>
    <row r="38" spans="1:14" ht="26.25">
      <c r="A38" s="22" t="s">
        <v>28</v>
      </c>
      <c r="B38" s="24" t="s">
        <v>21</v>
      </c>
      <c r="C38" s="59">
        <v>36654.27</v>
      </c>
      <c r="D38" s="59">
        <v>5520</v>
      </c>
      <c r="E38" s="59">
        <v>2025</v>
      </c>
      <c r="F38" s="78">
        <f>(D38+E38)/C38</f>
        <v>0.20584232069005878</v>
      </c>
      <c r="G38" s="60">
        <v>42051.48</v>
      </c>
      <c r="H38" s="174">
        <v>27705.39</v>
      </c>
      <c r="I38" s="60"/>
      <c r="J38" s="85">
        <f>(H38+I38)/G38</f>
        <v>0.6588445876340142</v>
      </c>
      <c r="K38" s="61">
        <f t="shared" si="3"/>
        <v>78705.75</v>
      </c>
      <c r="L38" s="122"/>
      <c r="M38" s="123"/>
      <c r="N38" s="3"/>
    </row>
    <row r="39" spans="1:14" ht="51.75">
      <c r="A39" s="25" t="s">
        <v>22</v>
      </c>
      <c r="B39" s="26"/>
      <c r="C39" s="65">
        <f>C35+C36+C38</f>
        <v>672897.2</v>
      </c>
      <c r="D39" s="65">
        <f>D35+D36+D38</f>
        <v>412611.2700000001</v>
      </c>
      <c r="E39" s="65">
        <f>E35+E36+E38</f>
        <v>78440.68</v>
      </c>
      <c r="F39" s="79">
        <f>(D39+E39)/C39</f>
        <v>0.7297577549735682</v>
      </c>
      <c r="G39" s="65">
        <f>G35+G36+G37+G38</f>
        <v>728971.96</v>
      </c>
      <c r="H39" s="65">
        <f>H35+H36+H37+H38</f>
        <v>366257.5</v>
      </c>
      <c r="I39" s="65">
        <f>I35+I36+I37+I38</f>
        <v>100961</v>
      </c>
      <c r="J39" s="79"/>
      <c r="K39" s="65">
        <f>K35+K36+K37+K38</f>
        <v>1401869.16</v>
      </c>
      <c r="L39" s="124"/>
      <c r="M39" s="125"/>
      <c r="N39" s="3"/>
    </row>
    <row r="40" spans="1:14" ht="39.75">
      <c r="A40" s="22" t="s">
        <v>23</v>
      </c>
      <c r="B40" s="24"/>
      <c r="C40" s="59">
        <f>C39*0.07</f>
        <v>47102.804000000004</v>
      </c>
      <c r="D40" s="59">
        <f>'[1]Category'!E15</f>
        <v>16215.973900000003</v>
      </c>
      <c r="E40" s="59">
        <v>5490.84</v>
      </c>
      <c r="F40" s="78">
        <f>(D40+E40)/C40</f>
        <v>0.4608391020627986</v>
      </c>
      <c r="G40" s="60">
        <f>G39*0.07</f>
        <v>51028.0372</v>
      </c>
      <c r="H40" s="174">
        <v>32705.25</v>
      </c>
      <c r="I40" s="60">
        <f>'[1]Category'!L15</f>
        <v>0</v>
      </c>
      <c r="J40" s="85">
        <f>(H40/G40)*100%</f>
        <v>0.6409270627403243</v>
      </c>
      <c r="K40" s="61">
        <f>C40+G40</f>
        <v>98130.8412</v>
      </c>
      <c r="L40" s="122"/>
      <c r="M40" s="123"/>
      <c r="N40" s="3"/>
    </row>
    <row r="41" spans="1:14" ht="39.75" thickBot="1">
      <c r="A41" s="27" t="s">
        <v>24</v>
      </c>
      <c r="B41" s="28"/>
      <c r="C41" s="66">
        <f>C35+C40+C38+C36</f>
        <v>720000.004</v>
      </c>
      <c r="D41" s="66">
        <f>D35+D40+D38+D36</f>
        <v>428827.24390000006</v>
      </c>
      <c r="E41" s="66">
        <f>E35+E40+E38+E36</f>
        <v>83931.51999999999</v>
      </c>
      <c r="F41" s="80">
        <f>(D41+E41)/C41</f>
        <v>0.7121649459046393</v>
      </c>
      <c r="G41" s="66">
        <f>G35+G36+G37+G38+G40</f>
        <v>779999.9972</v>
      </c>
      <c r="H41" s="66">
        <f>H35+H36+H37+H38+H40</f>
        <v>398962.75</v>
      </c>
      <c r="I41" s="66">
        <f>I35+I36+I37+I38+I40</f>
        <v>100961</v>
      </c>
      <c r="J41" s="80"/>
      <c r="K41" s="66">
        <f>C41+G41</f>
        <v>1500000.0011999998</v>
      </c>
      <c r="L41" s="126"/>
      <c r="M41" s="127"/>
      <c r="N41" s="3"/>
    </row>
  </sheetData>
  <sheetProtection/>
  <mergeCells count="2">
    <mergeCell ref="A8:M8"/>
    <mergeCell ref="A23:M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5">
      <selection activeCell="K21" sqref="K21"/>
    </sheetView>
  </sheetViews>
  <sheetFormatPr defaultColWidth="10.7109375" defaultRowHeight="15"/>
  <cols>
    <col min="1" max="1" width="22.7109375" style="3" customWidth="1"/>
    <col min="2" max="2" width="12.7109375" style="3" customWidth="1"/>
    <col min="3" max="6" width="11.7109375" style="3" customWidth="1"/>
    <col min="7" max="7" width="5.7109375" style="178" customWidth="1"/>
    <col min="8" max="8" width="12.28125" style="3" customWidth="1"/>
    <col min="9" max="9" width="13.00390625" style="3" customWidth="1"/>
    <col min="10" max="10" width="12.7109375" style="3" customWidth="1"/>
    <col min="11" max="11" width="13.00390625" style="3" customWidth="1"/>
    <col min="12" max="12" width="12.8515625" style="3" customWidth="1"/>
    <col min="13" max="13" width="6.7109375" style="178" customWidth="1"/>
    <col min="14" max="14" width="14.00390625" style="3" customWidth="1"/>
    <col min="15" max="15" width="13.28125" style="3" customWidth="1"/>
    <col min="16" max="16" width="14.00390625" style="179" customWidth="1"/>
    <col min="17" max="17" width="10.7109375" style="3" customWidth="1"/>
    <col min="18" max="18" width="12.7109375" style="3" bestFit="1" customWidth="1"/>
    <col min="19" max="19" width="7.28125" style="178" customWidth="1"/>
  </cols>
  <sheetData>
    <row r="1" ht="14.25">
      <c r="A1" s="2" t="s">
        <v>99</v>
      </c>
    </row>
    <row r="2" ht="14.25">
      <c r="A2" s="2"/>
    </row>
    <row r="3" ht="14.25">
      <c r="A3" s="2" t="s">
        <v>25</v>
      </c>
    </row>
    <row r="4" ht="15" thickBot="1"/>
    <row r="5" spans="1:19" ht="25.5" customHeight="1" thickBot="1">
      <c r="A5" s="241" t="s">
        <v>100</v>
      </c>
      <c r="B5" s="243" t="s">
        <v>101</v>
      </c>
      <c r="C5" s="244"/>
      <c r="D5" s="244"/>
      <c r="E5" s="244"/>
      <c r="F5" s="244"/>
      <c r="G5" s="245"/>
      <c r="H5" s="246" t="s">
        <v>102</v>
      </c>
      <c r="I5" s="247"/>
      <c r="J5" s="247"/>
      <c r="K5" s="247"/>
      <c r="L5" s="247"/>
      <c r="M5" s="248"/>
      <c r="N5" s="249" t="s">
        <v>103</v>
      </c>
      <c r="O5" s="251" t="s">
        <v>104</v>
      </c>
      <c r="P5" s="253" t="s">
        <v>105</v>
      </c>
      <c r="Q5" s="235" t="s">
        <v>106</v>
      </c>
      <c r="R5" s="237" t="s">
        <v>107</v>
      </c>
      <c r="S5" s="239" t="s">
        <v>108</v>
      </c>
    </row>
    <row r="6" spans="1:19" ht="27.75" thickBot="1">
      <c r="A6" s="242"/>
      <c r="B6" s="180" t="s">
        <v>109</v>
      </c>
      <c r="C6" s="181" t="s">
        <v>110</v>
      </c>
      <c r="D6" s="181" t="s">
        <v>111</v>
      </c>
      <c r="E6" s="181" t="s">
        <v>112</v>
      </c>
      <c r="F6" s="181" t="s">
        <v>113</v>
      </c>
      <c r="G6" s="182" t="s">
        <v>114</v>
      </c>
      <c r="H6" s="180" t="s">
        <v>109</v>
      </c>
      <c r="I6" s="181" t="s">
        <v>110</v>
      </c>
      <c r="J6" s="181" t="s">
        <v>111</v>
      </c>
      <c r="K6" s="181" t="s">
        <v>112</v>
      </c>
      <c r="L6" s="181" t="s">
        <v>113</v>
      </c>
      <c r="M6" s="182" t="s">
        <v>114</v>
      </c>
      <c r="N6" s="250"/>
      <c r="O6" s="252"/>
      <c r="P6" s="254"/>
      <c r="Q6" s="236"/>
      <c r="R6" s="238"/>
      <c r="S6" s="240"/>
    </row>
    <row r="7" spans="1:19" ht="14.25">
      <c r="A7" s="225" t="s">
        <v>115</v>
      </c>
      <c r="B7" s="183">
        <f>'[3]Activity'!C36*0.7</f>
        <v>60326.335999999996</v>
      </c>
      <c r="C7" s="184">
        <f>'[3]Activity'!C36*0.3</f>
        <v>25854.143999999997</v>
      </c>
      <c r="D7" s="184">
        <f>B7+C7</f>
        <v>86180.48</v>
      </c>
      <c r="E7" s="184">
        <v>50394.83</v>
      </c>
      <c r="F7" s="184"/>
      <c r="G7" s="185">
        <f>(E7+F7)/B7</f>
        <v>0.8353703099090919</v>
      </c>
      <c r="H7" s="186">
        <f>'[3]Activity'!G36*0.7</f>
        <v>60326.335999999996</v>
      </c>
      <c r="I7" s="187">
        <f>'[3]Activity'!G36*0.3</f>
        <v>25854.143999999997</v>
      </c>
      <c r="J7" s="187">
        <f>H7+I7</f>
        <v>86180.48</v>
      </c>
      <c r="K7" s="187">
        <v>56032.68</v>
      </c>
      <c r="L7" s="187"/>
      <c r="M7" s="188">
        <f>(K7+L7)/H7</f>
        <v>0.9288261763485852</v>
      </c>
      <c r="N7" s="189">
        <f>H7+B7</f>
        <v>120652.67199999999</v>
      </c>
      <c r="O7" s="190">
        <f>C7+I7</f>
        <v>51708.28799999999</v>
      </c>
      <c r="P7" s="191">
        <f>N7+O7</f>
        <v>172360.96</v>
      </c>
      <c r="Q7" s="192">
        <f>E7+K7</f>
        <v>106427.51000000001</v>
      </c>
      <c r="R7" s="192">
        <f>F7+L7</f>
        <v>0</v>
      </c>
      <c r="S7" s="193">
        <f>(Q7+R7)/N7</f>
        <v>0.8820982431288386</v>
      </c>
    </row>
    <row r="8" spans="1:19" ht="27">
      <c r="A8" s="194" t="s">
        <v>116</v>
      </c>
      <c r="B8" s="195">
        <f>'[3]Activity'!C35*0.7*0.059</f>
        <v>22717.579185</v>
      </c>
      <c r="C8" s="196">
        <f>'[3]Activity'!C35*0.3*0.059</f>
        <v>9736.105365</v>
      </c>
      <c r="D8" s="196">
        <f aca="true" t="shared" si="0" ref="D8:D13">B8+C8</f>
        <v>32453.684549999998</v>
      </c>
      <c r="E8" s="196">
        <v>11951.79</v>
      </c>
      <c r="F8" s="196">
        <v>5521.53</v>
      </c>
      <c r="G8" s="197">
        <f aca="true" t="shared" si="1" ref="G8:G16">(E8+F8)/B8</f>
        <v>0.7691541364379755</v>
      </c>
      <c r="H8" s="198">
        <f>'[3]Activity'!G35*0.7*0.02</f>
        <v>8410.36</v>
      </c>
      <c r="I8" s="199">
        <f>'[3]Activity'!G35*0.02*0.3</f>
        <v>3604.44</v>
      </c>
      <c r="J8" s="199">
        <f aca="true" t="shared" si="2" ref="J8:J13">H8+I8</f>
        <v>12014.800000000001</v>
      </c>
      <c r="K8" s="223">
        <v>8318.24</v>
      </c>
      <c r="L8" s="223"/>
      <c r="M8" s="224">
        <f aca="true" t="shared" si="3" ref="M8:M16">(K8+L8)/H8</f>
        <v>0.9890468422279188</v>
      </c>
      <c r="N8" s="200">
        <f aca="true" t="shared" si="4" ref="N8:N13">H8+B8</f>
        <v>31127.939185</v>
      </c>
      <c r="O8" s="201">
        <f aca="true" t="shared" si="5" ref="O8:O13">C8+I8</f>
        <v>13340.545365</v>
      </c>
      <c r="P8" s="202">
        <f aca="true" t="shared" si="6" ref="P8:P16">N8+O8</f>
        <v>44468.48455</v>
      </c>
      <c r="Q8" s="203">
        <f aca="true" t="shared" si="7" ref="Q8:R13">E8+K8</f>
        <v>20270.03</v>
      </c>
      <c r="R8" s="203">
        <f t="shared" si="7"/>
        <v>5521.53</v>
      </c>
      <c r="S8" s="204">
        <f aca="true" t="shared" si="8" ref="S8:S16">(Q8+R8)/N8</f>
        <v>0.8285662551161913</v>
      </c>
    </row>
    <row r="9" spans="1:19" ht="40.5">
      <c r="A9" s="226" t="s">
        <v>117</v>
      </c>
      <c r="B9" s="195">
        <f>'[3]Activity'!C35*0.7*0.09442955</f>
        <v>36359.50473777825</v>
      </c>
      <c r="C9" s="196">
        <f>'[3]Activity'!C35*0.3*0.09442955</f>
        <v>15582.644887619248</v>
      </c>
      <c r="D9" s="196">
        <f t="shared" si="0"/>
        <v>51942.14962539749</v>
      </c>
      <c r="E9" s="196">
        <v>26628.48</v>
      </c>
      <c r="F9" s="196">
        <v>141.6</v>
      </c>
      <c r="G9" s="197">
        <f t="shared" si="1"/>
        <v>0.7362608537454954</v>
      </c>
      <c r="H9" s="198">
        <f>'[3]Activity'!G35*0.07*0.7</f>
        <v>29436.26</v>
      </c>
      <c r="I9" s="199">
        <f>'[3]Activity'!G35*0.07*0.3</f>
        <v>12615.54</v>
      </c>
      <c r="J9" s="199">
        <f t="shared" si="2"/>
        <v>42051.8</v>
      </c>
      <c r="K9" s="199">
        <v>4953.63</v>
      </c>
      <c r="L9" s="199"/>
      <c r="M9" s="205">
        <f t="shared" si="3"/>
        <v>0.16828326696394177</v>
      </c>
      <c r="N9" s="200">
        <f t="shared" si="4"/>
        <v>65795.76473777824</v>
      </c>
      <c r="O9" s="201">
        <f t="shared" si="5"/>
        <v>28198.18488761925</v>
      </c>
      <c r="P9" s="202">
        <f t="shared" si="6"/>
        <v>93993.9496253975</v>
      </c>
      <c r="Q9" s="203">
        <f t="shared" si="7"/>
        <v>31582.11</v>
      </c>
      <c r="R9" s="203">
        <f t="shared" si="7"/>
        <v>141.6</v>
      </c>
      <c r="S9" s="204">
        <f t="shared" si="8"/>
        <v>0.4821542864716497</v>
      </c>
    </row>
    <row r="10" spans="1:19" ht="14.25">
      <c r="A10" s="194" t="s">
        <v>118</v>
      </c>
      <c r="B10" s="195">
        <f>'[3]Activity'!C35*0.7*0.19</f>
        <v>73158.30584999999</v>
      </c>
      <c r="C10" s="196">
        <f>'[3]Activity'!C35*0.19*0.3</f>
        <v>31353.559649999996</v>
      </c>
      <c r="D10" s="196">
        <f t="shared" si="0"/>
        <v>104511.86549999999</v>
      </c>
      <c r="E10" s="196">
        <v>50850.26</v>
      </c>
      <c r="F10" s="196">
        <v>2025</v>
      </c>
      <c r="G10" s="197">
        <f t="shared" si="1"/>
        <v>0.7227512909937076</v>
      </c>
      <c r="H10" s="198">
        <f>'[3]Activity'!G35*0.25*0.7</f>
        <v>105129.5</v>
      </c>
      <c r="I10" s="199">
        <f>'[3]Activity'!G35*0.25*0.3</f>
        <v>45055.5</v>
      </c>
      <c r="J10" s="199">
        <f t="shared" si="2"/>
        <v>150185</v>
      </c>
      <c r="K10" s="199">
        <v>0</v>
      </c>
      <c r="L10" s="199">
        <v>100961</v>
      </c>
      <c r="M10" s="205">
        <f t="shared" si="3"/>
        <v>0.9603489030196092</v>
      </c>
      <c r="N10" s="200">
        <f t="shared" si="4"/>
        <v>178287.80585</v>
      </c>
      <c r="O10" s="201">
        <f t="shared" si="5"/>
        <v>76409.05965</v>
      </c>
      <c r="P10" s="202">
        <f t="shared" si="6"/>
        <v>254696.8655</v>
      </c>
      <c r="Q10" s="203">
        <f t="shared" si="7"/>
        <v>50850.26</v>
      </c>
      <c r="R10" s="203">
        <f t="shared" si="7"/>
        <v>102986</v>
      </c>
      <c r="S10" s="204">
        <f t="shared" si="8"/>
        <v>0.8628535152282262</v>
      </c>
    </row>
    <row r="11" spans="1:19" ht="14.25">
      <c r="A11" s="226" t="s">
        <v>119</v>
      </c>
      <c r="B11" s="195">
        <f>'[3]Activity'!C35*0.7*0.08</f>
        <v>30803.497199999998</v>
      </c>
      <c r="C11" s="196">
        <f>'[3]Activity'!C35*0.3*0.08</f>
        <v>13201.4988</v>
      </c>
      <c r="D11" s="196">
        <f t="shared" si="0"/>
        <v>44004.996</v>
      </c>
      <c r="E11" s="196">
        <v>31493.1</v>
      </c>
      <c r="F11" s="196">
        <v>4048</v>
      </c>
      <c r="G11" s="197">
        <f t="shared" si="1"/>
        <v>1.1538008093444663</v>
      </c>
      <c r="H11" s="198">
        <f>'[3]Activity'!G35*0.07*0.7</f>
        <v>29436.26</v>
      </c>
      <c r="I11" s="199">
        <f>'[3]Activity'!G35*0.07*0.3</f>
        <v>12615.54</v>
      </c>
      <c r="J11" s="199">
        <f t="shared" si="2"/>
        <v>42051.8</v>
      </c>
      <c r="K11" s="223">
        <v>27705.39</v>
      </c>
      <c r="L11" s="223"/>
      <c r="M11" s="224">
        <f t="shared" si="3"/>
        <v>0.9411993914987842</v>
      </c>
      <c r="N11" s="200">
        <f t="shared" si="4"/>
        <v>60239.75719999999</v>
      </c>
      <c r="O11" s="201">
        <f t="shared" si="5"/>
        <v>25817.038800000002</v>
      </c>
      <c r="P11" s="202">
        <f t="shared" si="6"/>
        <v>86056.796</v>
      </c>
      <c r="Q11" s="203">
        <f t="shared" si="7"/>
        <v>59198.49</v>
      </c>
      <c r="R11" s="203">
        <f t="shared" si="7"/>
        <v>4048</v>
      </c>
      <c r="S11" s="204">
        <f t="shared" si="8"/>
        <v>1.0499127642566264</v>
      </c>
    </row>
    <row r="12" spans="1:19" ht="27">
      <c r="A12" s="194" t="s">
        <v>120</v>
      </c>
      <c r="B12" s="195">
        <f>'[3]Activity'!C35*0.395*0.7</f>
        <v>152092.267425</v>
      </c>
      <c r="C12" s="196">
        <f>'[3]Activity'!C35*0.3*0.395</f>
        <v>65182.400324999995</v>
      </c>
      <c r="D12" s="196">
        <f t="shared" si="0"/>
        <v>217274.66775</v>
      </c>
      <c r="E12" s="196">
        <v>147955.16</v>
      </c>
      <c r="F12" s="196">
        <v>66540.11</v>
      </c>
      <c r="G12" s="197">
        <f t="shared" si="1"/>
        <v>1.4102970100420937</v>
      </c>
      <c r="H12" s="198">
        <f>'[3]Activity'!G35*0.4*0.7</f>
        <v>168207.19999999998</v>
      </c>
      <c r="I12" s="199">
        <f>'[3]Activity'!G35*0.4*0.3</f>
        <v>72088.8</v>
      </c>
      <c r="J12" s="199">
        <f t="shared" si="2"/>
        <v>240296</v>
      </c>
      <c r="K12" s="223">
        <v>168207.2</v>
      </c>
      <c r="L12" s="223"/>
      <c r="M12" s="224">
        <f t="shared" si="3"/>
        <v>1.0000000000000002</v>
      </c>
      <c r="N12" s="200">
        <f t="shared" si="4"/>
        <v>320299.467425</v>
      </c>
      <c r="O12" s="201">
        <f t="shared" si="5"/>
        <v>137271.20032499998</v>
      </c>
      <c r="P12" s="202">
        <f t="shared" si="6"/>
        <v>457570.66774999996</v>
      </c>
      <c r="Q12" s="203">
        <f t="shared" si="7"/>
        <v>316162.36</v>
      </c>
      <c r="R12" s="203">
        <f t="shared" si="7"/>
        <v>66540.11</v>
      </c>
      <c r="S12" s="204">
        <f t="shared" si="8"/>
        <v>1.1948270569310642</v>
      </c>
    </row>
    <row r="13" spans="1:19" ht="27">
      <c r="A13" s="194" t="s">
        <v>121</v>
      </c>
      <c r="B13" s="195">
        <f>136529.36*0.7</f>
        <v>95570.55199999998</v>
      </c>
      <c r="C13" s="196">
        <f>136529.36*0.3</f>
        <v>40958.808</v>
      </c>
      <c r="D13" s="196">
        <f t="shared" si="0"/>
        <v>136529.36</v>
      </c>
      <c r="E13" s="196">
        <v>81499.5</v>
      </c>
      <c r="F13" s="196">
        <v>164.43</v>
      </c>
      <c r="G13" s="197">
        <f t="shared" si="1"/>
        <v>0.8544884202405779</v>
      </c>
      <c r="H13" s="198">
        <v>109334.46</v>
      </c>
      <c r="I13" s="199">
        <v>46857.62</v>
      </c>
      <c r="J13" s="199">
        <f t="shared" si="2"/>
        <v>156192.08000000002</v>
      </c>
      <c r="K13" s="223">
        <v>101040.36</v>
      </c>
      <c r="L13" s="223"/>
      <c r="M13" s="224">
        <f t="shared" si="3"/>
        <v>0.9241401109951977</v>
      </c>
      <c r="N13" s="200">
        <f t="shared" si="4"/>
        <v>204905.012</v>
      </c>
      <c r="O13" s="201">
        <f t="shared" si="5"/>
        <v>87816.428</v>
      </c>
      <c r="P13" s="202">
        <f t="shared" si="6"/>
        <v>292721.44</v>
      </c>
      <c r="Q13" s="203">
        <f t="shared" si="7"/>
        <v>182539.86</v>
      </c>
      <c r="R13" s="203">
        <f t="shared" si="7"/>
        <v>164.43</v>
      </c>
      <c r="S13" s="204">
        <f t="shared" si="8"/>
        <v>0.8916535921532266</v>
      </c>
    </row>
    <row r="14" spans="1:19" ht="14.25">
      <c r="A14" s="206" t="s">
        <v>122</v>
      </c>
      <c r="B14" s="207">
        <f>'[3]Activity'!C39*0.7</f>
        <v>471028.0399999999</v>
      </c>
      <c r="C14" s="202">
        <f>'[3]Activity'!C39*0.3</f>
        <v>201869.15999999997</v>
      </c>
      <c r="D14" s="202">
        <f>SUM(D7:D13)</f>
        <v>672897.2034253974</v>
      </c>
      <c r="E14" s="202">
        <f>SUM(E7:E13)</f>
        <v>400773.12</v>
      </c>
      <c r="F14" s="202">
        <f>SUM(F7:F13)</f>
        <v>78440.67</v>
      </c>
      <c r="G14" s="208">
        <f t="shared" si="1"/>
        <v>1.0173784770859926</v>
      </c>
      <c r="H14" s="207">
        <f>SUM(H7:H13)</f>
        <v>510280.376</v>
      </c>
      <c r="I14" s="202">
        <f>SUM(I7:I13)</f>
        <v>218691.58399999997</v>
      </c>
      <c r="J14" s="202">
        <f>SUM(J7:J13)</f>
        <v>728971.96</v>
      </c>
      <c r="K14" s="202">
        <f>SUM(K7:K13)</f>
        <v>366257.5</v>
      </c>
      <c r="L14" s="202">
        <f>SUM(L7:L13)</f>
        <v>100961</v>
      </c>
      <c r="M14" s="208">
        <f t="shared" si="3"/>
        <v>0.9156113422633364</v>
      </c>
      <c r="N14" s="200">
        <f>SUM(N7:N13)</f>
        <v>981308.4183977782</v>
      </c>
      <c r="O14" s="201">
        <f>SUM(O7:O13)</f>
        <v>420560.74502761924</v>
      </c>
      <c r="P14" s="202">
        <f t="shared" si="6"/>
        <v>1401869.1634253974</v>
      </c>
      <c r="Q14" s="203">
        <f>SUM(Q7:Q13)</f>
        <v>767030.62</v>
      </c>
      <c r="R14" s="209">
        <f>SUM(R7:R13)</f>
        <v>179401.66999999998</v>
      </c>
      <c r="S14" s="204">
        <f t="shared" si="8"/>
        <v>0.9644595646547883</v>
      </c>
    </row>
    <row r="15" spans="1:19" ht="27">
      <c r="A15" s="226" t="s">
        <v>123</v>
      </c>
      <c r="B15" s="195">
        <f>'[3]Activity'!C40*0.7</f>
        <v>32971.9628</v>
      </c>
      <c r="C15" s="196">
        <f>'[3]Activity'!C40*0.3</f>
        <v>14130.8412</v>
      </c>
      <c r="D15" s="196">
        <f>B15+C15</f>
        <v>47102.804000000004</v>
      </c>
      <c r="E15" s="196">
        <f>7/100*E14</f>
        <v>28054.118400000003</v>
      </c>
      <c r="F15" s="196">
        <f>7/100*F14</f>
        <v>5490.8469000000005</v>
      </c>
      <c r="G15" s="197">
        <f t="shared" si="1"/>
        <v>1.0173784770859926</v>
      </c>
      <c r="H15" s="198">
        <f>'[3]Activity'!G40*0.7</f>
        <v>35719.626039999996</v>
      </c>
      <c r="I15" s="199">
        <f>'[3]Activity'!G40*0.3</f>
        <v>15308.41116</v>
      </c>
      <c r="J15" s="199">
        <f>H15+I15</f>
        <v>51028.03719999999</v>
      </c>
      <c r="K15" s="199">
        <v>32705.25</v>
      </c>
      <c r="L15" s="199"/>
      <c r="M15" s="205">
        <f t="shared" si="3"/>
        <v>0.9156100896290348</v>
      </c>
      <c r="N15" s="200">
        <f>7/100*N14</f>
        <v>68691.58928784447</v>
      </c>
      <c r="O15" s="201">
        <f>7/100*O14</f>
        <v>29439.25215193335</v>
      </c>
      <c r="P15" s="202">
        <f t="shared" si="6"/>
        <v>98130.84143977783</v>
      </c>
      <c r="Q15" s="203">
        <f>K15+E15</f>
        <v>60759.36840000001</v>
      </c>
      <c r="R15" s="203">
        <f>F15+L15</f>
        <v>5490.8469000000005</v>
      </c>
      <c r="S15" s="204">
        <f t="shared" si="8"/>
        <v>0.9644589095527525</v>
      </c>
    </row>
    <row r="16" spans="1:19" ht="24.75" customHeight="1" thickBot="1">
      <c r="A16" s="210" t="s">
        <v>124</v>
      </c>
      <c r="B16" s="211">
        <f>B14+B15</f>
        <v>504000.0027999999</v>
      </c>
      <c r="C16" s="212">
        <f>C14+C15</f>
        <v>216000.00119999997</v>
      </c>
      <c r="D16" s="212">
        <f>SUM(D14:D15)</f>
        <v>720000.0074253974</v>
      </c>
      <c r="E16" s="212">
        <f>SUM(E14:E15)</f>
        <v>428827.2384</v>
      </c>
      <c r="F16" s="212">
        <f>SUM(F14:F15)</f>
        <v>83931.5169</v>
      </c>
      <c r="G16" s="213">
        <f t="shared" si="1"/>
        <v>1.0173784770859926</v>
      </c>
      <c r="H16" s="214">
        <f>H14+H15</f>
        <v>546000.0020399999</v>
      </c>
      <c r="I16" s="212">
        <f>I14+I15</f>
        <v>233999.99515999996</v>
      </c>
      <c r="J16" s="212">
        <f>SUM(J14:J15)</f>
        <v>779999.9972</v>
      </c>
      <c r="K16" s="212">
        <f>SUM(K14:K15)</f>
        <v>398962.75</v>
      </c>
      <c r="L16" s="212">
        <f>SUM(L14:L15)</f>
        <v>100961</v>
      </c>
      <c r="M16" s="215">
        <f t="shared" si="3"/>
        <v>0.9156112603152987</v>
      </c>
      <c r="N16" s="214">
        <f>SUM(N14:N15)</f>
        <v>1050000.0076856227</v>
      </c>
      <c r="O16" s="212">
        <f>SUM(O14:O15)</f>
        <v>449999.99717955256</v>
      </c>
      <c r="P16" s="216">
        <f t="shared" si="6"/>
        <v>1500000.004865175</v>
      </c>
      <c r="Q16" s="217">
        <f>SUM(Q14:Q15)</f>
        <v>827789.9884</v>
      </c>
      <c r="R16" s="218">
        <f>SUM(R14:R15)</f>
        <v>184892.5169</v>
      </c>
      <c r="S16" s="219">
        <f t="shared" si="8"/>
        <v>0.9644595217976458</v>
      </c>
    </row>
    <row r="18" spans="2:18" ht="14.25">
      <c r="B18" s="220"/>
      <c r="C18" s="220"/>
      <c r="D18" s="220"/>
      <c r="E18" s="220"/>
      <c r="F18" s="220"/>
      <c r="H18" s="220"/>
      <c r="I18" s="220"/>
      <c r="J18" s="220"/>
      <c r="K18" s="220"/>
      <c r="L18" s="220"/>
      <c r="R18" s="4"/>
    </row>
    <row r="19" spans="2:12" ht="14.25">
      <c r="B19" s="4"/>
      <c r="C19" s="4"/>
      <c r="D19" s="4"/>
      <c r="E19" s="4"/>
      <c r="F19" s="4"/>
      <c r="I19" s="220"/>
      <c r="J19" s="220"/>
      <c r="K19" s="220"/>
      <c r="L19" s="220"/>
    </row>
    <row r="20" spans="2:12" ht="14.25">
      <c r="B20" s="221"/>
      <c r="H20" s="222"/>
      <c r="I20" s="222"/>
      <c r="J20" s="222"/>
      <c r="K20" s="222"/>
      <c r="L20" s="222"/>
    </row>
    <row r="21" ht="14.25">
      <c r="B21" s="221"/>
    </row>
    <row r="22" spans="2:12" ht="14.25">
      <c r="B22" s="4"/>
      <c r="H22" s="222"/>
      <c r="I22" s="222"/>
      <c r="J22" s="222"/>
      <c r="K22" s="222"/>
      <c r="L22" s="222"/>
    </row>
    <row r="25" ht="14.25">
      <c r="A25" s="221"/>
    </row>
    <row r="27" ht="14.25">
      <c r="A27" s="221"/>
    </row>
    <row r="29" ht="14.25">
      <c r="A29" s="221"/>
    </row>
    <row r="31" ht="14.25">
      <c r="A31" s="221"/>
    </row>
    <row r="32" ht="14.25">
      <c r="B32" s="4"/>
    </row>
  </sheetData>
  <sheetProtection/>
  <mergeCells count="9">
    <mergeCell ref="Q5:Q6"/>
    <mergeCell ref="R5:R6"/>
    <mergeCell ref="S5:S6"/>
    <mergeCell ref="A5:A6"/>
    <mergeCell ref="B5:G5"/>
    <mergeCell ref="H5:M5"/>
    <mergeCell ref="N5:N6"/>
    <mergeCell ref="O5:O6"/>
    <mergeCell ref="P5:P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John Dennis</cp:lastModifiedBy>
  <cp:lastPrinted>2021-07-05T09:30:33Z</cp:lastPrinted>
  <dcterms:created xsi:type="dcterms:W3CDTF">2017-11-15T21:17:43Z</dcterms:created>
  <dcterms:modified xsi:type="dcterms:W3CDTF">2021-07-13T17:50:07Z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2021-04-15T11:46:58Z</vt:lpwstr>
  </property>
  <property fmtid="{D5CDD505-2E9C-101B-9397-08002B2CF9AE}" pid="4" name="MSIP_Label_2059aa38-f392-4105-be92-628035578272_Method">
    <vt:lpwstr>Privileged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b4052fa2-e463-4b45-bb8c-000082b6b0ca</vt:lpwstr>
  </property>
  <property fmtid="{D5CDD505-2E9C-101B-9397-08002B2CF9AE}" pid="8" name="MSIP_Label_2059aa38-f392-4105-be92-628035578272_ContentBits">
    <vt:lpwstr>0</vt:lpwstr>
  </property>
</Properties>
</file>