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446FE20B-B52D-48BA-8CF0-534EA50B98B8}" xr6:coauthVersionLast="45" xr6:coauthVersionMax="45" xr10:uidLastSave="{00000000-0000-0000-0000-000000000000}"/>
  <bookViews>
    <workbookView xWindow="-110" yWindow="-110" windowWidth="19420" windowHeight="10420" tabRatio="834" xr2:uid="{00000000-000D-0000-FFFF-FFFF00000000}"/>
  </bookViews>
  <sheets>
    <sheet name="PAR CATEGORIE BUDGETAIRE TAXI" sheetId="3" r:id="rId1"/>
    <sheet name="PAR RESULTAT TAXI-MOTO 14-06-21" sheetId="4" r:id="rId2"/>
  </sheets>
  <definedNames>
    <definedName name="_xlnm._FilterDatabase" localSheetId="1" hidden="1">'PAR RESULTAT TAXI-MOTO 14-06-21'!$A$3:$Q$56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3" l="1"/>
  <c r="E30" i="3"/>
  <c r="C30" i="3"/>
  <c r="E53" i="4"/>
  <c r="F53" i="4"/>
  <c r="G53" i="4"/>
  <c r="H53" i="4"/>
  <c r="I53" i="4"/>
  <c r="J53" i="4"/>
  <c r="K53" i="4"/>
  <c r="D53" i="4"/>
  <c r="C53" i="4"/>
  <c r="D24" i="3" l="1"/>
  <c r="D25" i="3"/>
  <c r="E25" i="3" l="1"/>
  <c r="E29" i="3" s="1"/>
  <c r="D22" i="3"/>
  <c r="H22" i="3" s="1"/>
  <c r="D46" i="4"/>
  <c r="C14" i="4"/>
  <c r="K26" i="4"/>
  <c r="H13" i="3"/>
  <c r="H11" i="3"/>
  <c r="H10" i="3"/>
  <c r="H9" i="3"/>
  <c r="H8" i="3"/>
  <c r="G13" i="3"/>
  <c r="G11" i="3"/>
  <c r="G10" i="3"/>
  <c r="G9" i="3"/>
  <c r="G8" i="3"/>
  <c r="G14" i="3" s="1"/>
  <c r="G15" i="3" s="1"/>
  <c r="J10" i="4"/>
  <c r="K50" i="4"/>
  <c r="C42" i="4"/>
  <c r="K43" i="4"/>
  <c r="E7" i="3"/>
  <c r="C8" i="3"/>
  <c r="C9" i="3"/>
  <c r="C10" i="3"/>
  <c r="E8" i="3"/>
  <c r="E9" i="3"/>
  <c r="E10" i="3"/>
  <c r="E11" i="3"/>
  <c r="F7" i="3"/>
  <c r="H27" i="3"/>
  <c r="M64" i="4"/>
  <c r="G64" i="4"/>
  <c r="O27" i="4"/>
  <c r="O26" i="4"/>
  <c r="O21" i="4"/>
  <c r="O19" i="4"/>
  <c r="O12" i="4"/>
  <c r="O11" i="4"/>
  <c r="O9" i="4"/>
  <c r="O10" i="4" s="1"/>
  <c r="O8" i="4"/>
  <c r="O7" i="4"/>
  <c r="O6" i="4"/>
  <c r="O44" i="4"/>
  <c r="O43" i="4"/>
  <c r="O41" i="4"/>
  <c r="O40" i="4"/>
  <c r="O34" i="4"/>
  <c r="O37" i="4" s="1"/>
  <c r="O33" i="4"/>
  <c r="O31" i="4"/>
  <c r="O30" i="4"/>
  <c r="O29" i="4"/>
  <c r="O28" i="4"/>
  <c r="O22" i="4"/>
  <c r="O20" i="4"/>
  <c r="O16" i="4"/>
  <c r="O15" i="4"/>
  <c r="O14" i="4"/>
  <c r="O13" i="4"/>
  <c r="D28" i="3"/>
  <c r="D26" i="3"/>
  <c r="D23" i="3"/>
  <c r="C28" i="3"/>
  <c r="C26" i="3"/>
  <c r="C25" i="3"/>
  <c r="C24" i="3"/>
  <c r="C23" i="3"/>
  <c r="H51" i="4"/>
  <c r="D51" i="4"/>
  <c r="K42" i="4"/>
  <c r="K15" i="4"/>
  <c r="K34" i="4"/>
  <c r="K35" i="4"/>
  <c r="K36" i="4"/>
  <c r="K19" i="4"/>
  <c r="K20" i="4"/>
  <c r="K21" i="4"/>
  <c r="K22" i="4"/>
  <c r="N22" i="4" s="1"/>
  <c r="K12" i="4"/>
  <c r="K13" i="4"/>
  <c r="K14" i="4"/>
  <c r="K16" i="4"/>
  <c r="K7" i="4"/>
  <c r="K8" i="4"/>
  <c r="K9" i="4"/>
  <c r="C43" i="4"/>
  <c r="E51" i="4"/>
  <c r="F51" i="4"/>
  <c r="D45" i="4"/>
  <c r="C46" i="4"/>
  <c r="C47" i="4" s="1"/>
  <c r="C34" i="4"/>
  <c r="C35" i="4"/>
  <c r="C27" i="4"/>
  <c r="C28" i="4"/>
  <c r="C29" i="4"/>
  <c r="C30" i="4"/>
  <c r="C31" i="4"/>
  <c r="C19" i="4"/>
  <c r="N19" i="4" s="1"/>
  <c r="C20" i="4"/>
  <c r="C21" i="4"/>
  <c r="M10" i="4"/>
  <c r="M17" i="4"/>
  <c r="M23" i="4"/>
  <c r="M32" i="4"/>
  <c r="M37" i="4"/>
  <c r="M45" i="4"/>
  <c r="M47" i="4"/>
  <c r="M51" i="4"/>
  <c r="K49" i="4"/>
  <c r="K48" i="4"/>
  <c r="E63" i="4"/>
  <c r="F63" i="4"/>
  <c r="F37" i="4"/>
  <c r="K46" i="4"/>
  <c r="K47" i="4" s="1"/>
  <c r="K41" i="4"/>
  <c r="K44" i="4"/>
  <c r="K40" i="4"/>
  <c r="K33" i="4"/>
  <c r="K30" i="4"/>
  <c r="K31" i="4"/>
  <c r="K18" i="4"/>
  <c r="K11" i="4"/>
  <c r="K6" i="4"/>
  <c r="H45" i="4"/>
  <c r="I51" i="4"/>
  <c r="I47" i="4"/>
  <c r="J47" i="4"/>
  <c r="H47" i="4"/>
  <c r="I45" i="4"/>
  <c r="J45" i="4"/>
  <c r="G45" i="4"/>
  <c r="I37" i="4"/>
  <c r="J37" i="4"/>
  <c r="H37" i="4"/>
  <c r="I32" i="4"/>
  <c r="J32" i="4"/>
  <c r="H32" i="4"/>
  <c r="I23" i="4"/>
  <c r="J23" i="4"/>
  <c r="H23" i="4"/>
  <c r="I17" i="4"/>
  <c r="J17" i="4"/>
  <c r="H17" i="4"/>
  <c r="I10" i="4"/>
  <c r="H10" i="4"/>
  <c r="G24" i="4"/>
  <c r="D17" i="4"/>
  <c r="E17" i="4"/>
  <c r="F17" i="4"/>
  <c r="C7" i="4"/>
  <c r="N7" i="4" s="1"/>
  <c r="D47" i="4"/>
  <c r="F32" i="4"/>
  <c r="E32" i="4"/>
  <c r="D32" i="4"/>
  <c r="C50" i="4"/>
  <c r="N50" i="4" s="1"/>
  <c r="C49" i="4"/>
  <c r="C48" i="4"/>
  <c r="E47" i="4"/>
  <c r="F47" i="4"/>
  <c r="E45" i="4"/>
  <c r="F45" i="4"/>
  <c r="C41" i="4"/>
  <c r="C44" i="4"/>
  <c r="C40" i="4"/>
  <c r="E37" i="4"/>
  <c r="E38" i="4" s="1"/>
  <c r="C36" i="4"/>
  <c r="C33" i="4"/>
  <c r="N30" i="4"/>
  <c r="C26" i="4"/>
  <c r="F23" i="4"/>
  <c r="E23" i="4"/>
  <c r="C18" i="4"/>
  <c r="C12" i="4"/>
  <c r="N12" i="4" s="1"/>
  <c r="C13" i="4"/>
  <c r="C15" i="4"/>
  <c r="N15" i="4" s="1"/>
  <c r="C16" i="4"/>
  <c r="C11" i="4"/>
  <c r="E10" i="4"/>
  <c r="F10" i="4"/>
  <c r="F14" i="3"/>
  <c r="F16" i="3"/>
  <c r="C8" i="4"/>
  <c r="C9" i="4"/>
  <c r="C6" i="4"/>
  <c r="L10" i="4"/>
  <c r="L17" i="4"/>
  <c r="L23" i="4"/>
  <c r="L32" i="4"/>
  <c r="L37" i="4"/>
  <c r="L45" i="4"/>
  <c r="L47" i="4"/>
  <c r="L51" i="4"/>
  <c r="G47" i="4"/>
  <c r="D37" i="4"/>
  <c r="D23" i="4"/>
  <c r="D10" i="4"/>
  <c r="G51" i="4"/>
  <c r="O47" i="4"/>
  <c r="O51" i="4"/>
  <c r="G31" i="3"/>
  <c r="B14" i="3"/>
  <c r="D14" i="3"/>
  <c r="D16" i="3" s="1"/>
  <c r="F31" i="3"/>
  <c r="I22" i="3"/>
  <c r="B29" i="3"/>
  <c r="B30" i="3" s="1"/>
  <c r="B31" i="3" s="1"/>
  <c r="J51" i="4"/>
  <c r="N41" i="4" l="1"/>
  <c r="H28" i="3"/>
  <c r="H14" i="3"/>
  <c r="N21" i="4"/>
  <c r="N6" i="4"/>
  <c r="H23" i="3"/>
  <c r="J38" i="4"/>
  <c r="M38" i="4"/>
  <c r="N9" i="4"/>
  <c r="L38" i="4"/>
  <c r="N33" i="4"/>
  <c r="N8" i="4"/>
  <c r="O45" i="4"/>
  <c r="L24" i="4"/>
  <c r="F38" i="4"/>
  <c r="N13" i="4"/>
  <c r="I24" i="4"/>
  <c r="K45" i="4"/>
  <c r="K51" i="4"/>
  <c r="M24" i="4"/>
  <c r="C14" i="3"/>
  <c r="C16" i="3" s="1"/>
  <c r="I23" i="3"/>
  <c r="N44" i="4"/>
  <c r="I28" i="3"/>
  <c r="F24" i="4"/>
  <c r="N18" i="4"/>
  <c r="H24" i="4"/>
  <c r="N31" i="4"/>
  <c r="O23" i="4"/>
  <c r="O17" i="4"/>
  <c r="E24" i="4"/>
  <c r="E39" i="4" s="1"/>
  <c r="E52" i="4" s="1"/>
  <c r="E54" i="4" s="1"/>
  <c r="C61" i="4" s="1"/>
  <c r="J24" i="4"/>
  <c r="K10" i="4"/>
  <c r="K23" i="4"/>
  <c r="C29" i="3"/>
  <c r="C31" i="3" s="1"/>
  <c r="I24" i="3"/>
  <c r="N40" i="4"/>
  <c r="C17" i="4"/>
  <c r="N11" i="4"/>
  <c r="K37" i="4"/>
  <c r="C37" i="4"/>
  <c r="N36" i="4"/>
  <c r="D29" i="3"/>
  <c r="N26" i="4"/>
  <c r="H15" i="3"/>
  <c r="B15" i="3" s="1"/>
  <c r="B16" i="3" s="1"/>
  <c r="H16" i="3"/>
  <c r="H30" i="3"/>
  <c r="D24" i="4"/>
  <c r="C10" i="4"/>
  <c r="G16" i="3"/>
  <c r="K17" i="4"/>
  <c r="H38" i="4"/>
  <c r="N46" i="4"/>
  <c r="I26" i="3"/>
  <c r="E31" i="3"/>
  <c r="D38" i="4"/>
  <c r="C23" i="4"/>
  <c r="I30" i="3"/>
  <c r="H25" i="3"/>
  <c r="N53" i="4"/>
  <c r="C51" i="4"/>
  <c r="N49" i="4"/>
  <c r="E14" i="3"/>
  <c r="E16" i="3" s="1"/>
  <c r="N48" i="4"/>
  <c r="N47" i="4"/>
  <c r="C45" i="4"/>
  <c r="N45" i="4" s="1"/>
  <c r="C32" i="4"/>
  <c r="H24" i="3"/>
  <c r="H26" i="3"/>
  <c r="I38" i="4"/>
  <c r="O32" i="4"/>
  <c r="O38" i="4" s="1"/>
  <c r="I25" i="3"/>
  <c r="K32" i="4"/>
  <c r="M39" i="4" l="1"/>
  <c r="M52" i="4" s="1"/>
  <c r="M54" i="4" s="1"/>
  <c r="J39" i="4"/>
  <c r="J52" i="4" s="1"/>
  <c r="J54" i="4" s="1"/>
  <c r="D62" i="4" s="1"/>
  <c r="G62" i="4" s="1"/>
  <c r="O24" i="4"/>
  <c r="O39" i="4" s="1"/>
  <c r="O52" i="4" s="1"/>
  <c r="O54" i="4" s="1"/>
  <c r="H39" i="4"/>
  <c r="H52" i="4" s="1"/>
  <c r="H54" i="4" s="1"/>
  <c r="D60" i="4" s="1"/>
  <c r="G60" i="4" s="1"/>
  <c r="O56" i="4"/>
  <c r="F39" i="4"/>
  <c r="F52" i="4" s="1"/>
  <c r="F54" i="4" s="1"/>
  <c r="C62" i="4" s="1"/>
  <c r="L62" i="4" s="1"/>
  <c r="I39" i="4"/>
  <c r="I52" i="4" s="1"/>
  <c r="I54" i="4" s="1"/>
  <c r="D61" i="4" s="1"/>
  <c r="G61" i="4" s="1"/>
  <c r="L39" i="4"/>
  <c r="L52" i="4" s="1"/>
  <c r="L54" i="4" s="1"/>
  <c r="K38" i="4"/>
  <c r="N23" i="4"/>
  <c r="K24" i="4"/>
  <c r="N51" i="4"/>
  <c r="N17" i="4"/>
  <c r="N37" i="4"/>
  <c r="C38" i="4"/>
  <c r="D39" i="4"/>
  <c r="D52" i="4" s="1"/>
  <c r="D54" i="4" s="1"/>
  <c r="C60" i="4" s="1"/>
  <c r="C24" i="4"/>
  <c r="N10" i="4"/>
  <c r="D31" i="3"/>
  <c r="H29" i="3"/>
  <c r="H31" i="3" s="1"/>
  <c r="I29" i="3"/>
  <c r="N32" i="4"/>
  <c r="L61" i="4" l="1"/>
  <c r="M62" i="4"/>
  <c r="C63" i="4"/>
  <c r="G63" i="4"/>
  <c r="M61" i="4"/>
  <c r="D63" i="4"/>
  <c r="N24" i="4"/>
  <c r="C39" i="4"/>
  <c r="C52" i="4"/>
  <c r="C54" i="4" s="1"/>
  <c r="M60" i="4"/>
  <c r="L60" i="4"/>
  <c r="N38" i="4"/>
  <c r="K39" i="4"/>
  <c r="I31" i="3"/>
  <c r="M63" i="4" l="1"/>
  <c r="L63" i="4"/>
  <c r="K52" i="4"/>
  <c r="N39" i="4"/>
  <c r="K54" i="4" l="1"/>
  <c r="N54" i="4" s="1"/>
  <c r="N5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13" authorId="0" shapeId="0" xr:uid="{00000000-0006-0000-0100-000001000000}">
      <text>
        <r>
          <rPr>
            <b/>
            <sz val="9"/>
            <color indexed="81"/>
            <rFont val="Tahoma"/>
            <family val="2"/>
          </rPr>
          <t>Auteur:</t>
        </r>
        <r>
          <rPr>
            <sz val="9"/>
            <color indexed="81"/>
            <rFont val="Tahoma"/>
            <family val="2"/>
          </rPr>
          <t xml:space="preserve">
10 000 pour 2020 et 10 000  pour 2021</t>
        </r>
      </text>
    </comment>
    <comment ref="D14" authorId="0" shapeId="0" xr:uid="{00000000-0006-0000-0100-000002000000}">
      <text>
        <r>
          <rPr>
            <b/>
            <sz val="9"/>
            <color indexed="81"/>
            <rFont val="Tahoma"/>
            <family val="2"/>
          </rPr>
          <t>Auteur:</t>
        </r>
        <r>
          <rPr>
            <sz val="9"/>
            <color indexed="81"/>
            <rFont val="Tahoma"/>
            <family val="2"/>
          </rPr>
          <t xml:space="preserve">
10 000 pour 2020 et 10 000  pour 2021</t>
        </r>
      </text>
    </comment>
  </commentList>
</comments>
</file>

<file path=xl/sharedStrings.xml><?xml version="1.0" encoding="utf-8"?>
<sst xmlns="http://schemas.openxmlformats.org/spreadsheetml/2006/main" count="166" uniqueCount="138">
  <si>
    <t>Table 1 - PBF project budget by Outcome, output and activity</t>
  </si>
  <si>
    <t>Nombre de resultat / produit</t>
  </si>
  <si>
    <t>Formulation du resultat/ produit/ activite</t>
  </si>
  <si>
    <t xml:space="preserve">Pourcentage du budget pour chaque produit ou activite reserve pour action directe sur le genre (cas echeant) </t>
  </si>
  <si>
    <t>Commitment /po</t>
  </si>
  <si>
    <t xml:space="preserve">Avance </t>
  </si>
  <si>
    <t>Taux de Réalisation par ligne budgetaire</t>
  </si>
  <si>
    <t>SOUS TOTAL RESULTAT 1:</t>
  </si>
  <si>
    <t>Frais du personnel du projet</t>
  </si>
  <si>
    <t>Sous Total le Cout du Personnel du projet:</t>
  </si>
  <si>
    <t>Frais généraux de fonctionnement</t>
  </si>
  <si>
    <t>Founitures et consommables de bureau</t>
  </si>
  <si>
    <t>Sous Total Frais généraux</t>
  </si>
  <si>
    <t xml:space="preserve">Indirect support costs (7%):                                                                            </t>
  </si>
  <si>
    <t xml:space="preserve">TOTAL PROJECT BUDGET:           </t>
  </si>
  <si>
    <t>RECAP Delivery par Agence par Agence</t>
  </si>
  <si>
    <t>Budget par agence recipiendiaire en USD</t>
  </si>
  <si>
    <t>Montant budget</t>
  </si>
  <si>
    <t>Dépenses</t>
  </si>
  <si>
    <t>Avance non Justifiée</t>
  </si>
  <si>
    <t>Solde</t>
  </si>
  <si>
    <t>%Tage de Réalisation</t>
  </si>
  <si>
    <t xml:space="preserve">Commentaire sur les dépenses / activités </t>
  </si>
  <si>
    <t>Totaux</t>
  </si>
  <si>
    <t>Note: S'il s'agit d'une revision budgetaire, veuillez inclure des colonnes additionnelles pour montrer les changements</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</si>
  <si>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</si>
  <si>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</si>
  <si>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</si>
  <si>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</si>
  <si>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</si>
  <si>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</si>
  <si>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</si>
  <si>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</si>
  <si>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</si>
  <si>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</si>
  <si>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</si>
  <si>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</si>
  <si>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</si>
  <si>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</si>
  <si>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</si>
  <si>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</si>
  <si>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</si>
  <si>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Commitment</t>
  </si>
  <si>
    <t>Avances non justifiées</t>
  </si>
  <si>
    <t>SOLDE TOTAL</t>
  </si>
  <si>
    <t>% de Realisation par budget global</t>
  </si>
  <si>
    <t>PRODUITS</t>
  </si>
  <si>
    <t>ACTIVITES</t>
  </si>
  <si>
    <t>A</t>
  </si>
  <si>
    <t>B</t>
  </si>
  <si>
    <t>F</t>
  </si>
  <si>
    <t>ACT 1</t>
  </si>
  <si>
    <t>Sub Total OutPut 1.1</t>
  </si>
  <si>
    <t>ACT 2</t>
  </si>
  <si>
    <t>Sub Total OutPut 1.2</t>
  </si>
  <si>
    <t>ACT 3</t>
  </si>
  <si>
    <t>Sub Total OutPut 1.3</t>
  </si>
  <si>
    <t>ACT 4</t>
  </si>
  <si>
    <t>Sub Total OutPut 2.1</t>
  </si>
  <si>
    <t>ACT 5</t>
  </si>
  <si>
    <t>Sub Total OutPut 2.2</t>
  </si>
  <si>
    <t>SOUS TOTAL OUTCOME 2:</t>
  </si>
  <si>
    <t>TOTAL OUTCOME 1+2:</t>
  </si>
  <si>
    <t>ACT 7</t>
  </si>
  <si>
    <t>Budget S&amp;E du projet</t>
  </si>
  <si>
    <t>ACT 8</t>
  </si>
  <si>
    <t>Sous Total S &amp; E du projet:</t>
  </si>
  <si>
    <t>ACT 9</t>
  </si>
  <si>
    <t xml:space="preserve">SUB-TOTAL PROJECT BUDGET:                                                      </t>
  </si>
  <si>
    <t>Budget par agence recipiendiaire en USD - Veuillez ajouter une nouvelle colonne par agence recipiendiaire BUDGET TOTAL</t>
  </si>
  <si>
    <t>D</t>
  </si>
  <si>
    <t>E</t>
  </si>
  <si>
    <t>G</t>
  </si>
  <si>
    <t>H</t>
  </si>
  <si>
    <t xml:space="preserve">Budget par agence recipiendiaire en USD - Veuillez ajouter une nouvelle colonne par agence recipiendiaire UNFPA </t>
  </si>
  <si>
    <t xml:space="preserve"> Équipement, véhicules et mobilier (compte tenu de la dépréciation)</t>
  </si>
  <si>
    <t xml:space="preserve"> Frais généraux de fonctionnement et autres coûts directs (Locaux       VSAT   Sécurité         
Assurance
Autres charges communes)</t>
  </si>
  <si>
    <t xml:space="preserve">Suivi du projet </t>
  </si>
  <si>
    <t xml:space="preserve">Niveau de depense/ engagement actuel en USD (a remplir au moment des rapports de projet) UNFPA      </t>
  </si>
  <si>
    <t xml:space="preserve">Total dépensé </t>
  </si>
  <si>
    <t>UNFPA</t>
  </si>
  <si>
    <t>Amount Recipient  Agency UNFPA</t>
  </si>
  <si>
    <t xml:space="preserve">Décaissement UNFPA </t>
  </si>
  <si>
    <t>Réaliser une étude de base (enquête de perceptions);</t>
  </si>
  <si>
    <t>Organiser des foras communautaires de restitution de l'enquête de perception, des résultats des focus-group pour la priorisation des problèmes et l'identification des pistes de solutions (prise en compte de l'aspect genre) ; (UNFPA)</t>
  </si>
  <si>
    <t>Plaidoyer auprès des autorités en faveur de l’application des textes réglementaires et autres normes  contribuant à la réduction des  violences au quotidien ; (PNUD)</t>
  </si>
  <si>
    <t xml:space="preserve"> Élaborer les messages clefs pour la sensibilisation des responsables des partis politiques, les leaders syndicaux des taxi-motards et d'autres acteurs y inclure les dangers des violences à l’égard des femmes et des filles) ; (UNFPA)
</t>
  </si>
  <si>
    <t xml:space="preserve">Produire des outils de communication pour le changement de comportement ; (UNFPA) 
</t>
  </si>
  <si>
    <t>Organiser des sessions de sensibilisation sur les dangers de l'instrumentalisation des taxi-motards ; (UNFPA)</t>
  </si>
  <si>
    <t>Organiser des sessions de plaidoyers à l'endroit des responsables des partis politiques et les leaders syndicaux des taxi-motards  par les filles/ femmes leaders pour la prise en compte des dangers liés à l'instrumentalisation des taxi-motards ; (PNUD)</t>
  </si>
  <si>
    <t xml:space="preserve">Faciliter le processus de compréhension des partis politiques sur les enjeux de l'instrumentalisation des taxis-motards ; (PNUD) </t>
  </si>
  <si>
    <t>Soutenir le processus de déclaration publique des partis politiques et des leaders syndicaux des taxi-motards en faveur de la non-utilisation des taxi-motos dans les manifestions politiques ; (PNUD)</t>
  </si>
  <si>
    <t>Mettre en place un système digital de cartographie et de monitoring des engagements ; (UNFPA)</t>
  </si>
  <si>
    <t>Former les acteurs de la société civile sur la collecte, analyse et remontée des données liées aux violations et aux bonnes pratiques des engagements ; (UNFPA)</t>
  </si>
  <si>
    <t>Appuyer le processus de monitoring, de traitement et de remontées des informations ; (UNFPA)</t>
  </si>
  <si>
    <t>Appuyer les instances de prise de décision à procéder des séances de restitution. (PNUD)</t>
  </si>
  <si>
    <t>Renforcer le dialogue entre les organisations faitières des femmes et filles, les chefs leaders des syndicats de taxi moto (UNFPA)</t>
  </si>
  <si>
    <t>Cartographier les groupements des moto-taxis par zone cible du projet ; (OIM)</t>
  </si>
  <si>
    <t>Former les responsables des organisations de taxi-moto sur la citoyenneté et le civisme, la communication non violente et la médiation surtout envers les femmes et les filles ; (UNFPA)</t>
  </si>
  <si>
    <t>Appuyer des sessions de sensibilisation sur la culture de la non-violence en direction des jeunes conducteurs de taxis-moto ; (OIM)</t>
  </si>
  <si>
    <t>Soutenir des sessions de formation en direction des jeunes conducteurs de taxi-moto et des policiers  sur le code de la route, les textes règlementaires ; (OIM)</t>
  </si>
  <si>
    <t xml:space="preserve">Identifier des femmes policières et les outiller en technique de prévention et de gestion pacifique des conflits et  constituer en pool de formatrice et de policières référentes. (UNFPA)   </t>
  </si>
  <si>
    <t>Mobiliser les leaders communautaires pour faciliter le changement de comportement. (UNFPA)</t>
  </si>
  <si>
    <t>Former les responsables (jeunes hommes et femmes) des structures de moto-taxi sur la vie associative (fonctionnement des organisations non gouvernementales). (OIM)</t>
  </si>
  <si>
    <t>Former les responsables (jeunes hommes et femmes) des structures de moto-taxi sur  la culture entrepreneuriale ; (OIM)</t>
  </si>
  <si>
    <t>Appuyer les bénéficiaires en kits d’accompagnement (gilets, plaque taxi  -moto et autres accessoires) ; (OIM)</t>
  </si>
  <si>
    <t>Appuyer les initiatives entrepreneuriales portées par les filles/ femmes dans le secteur du transport de taxi-moto surtout celles opérant dans les lieux de stationnement des taxis moto (OIM)</t>
  </si>
  <si>
    <t>Budget par agence recipiendiaire en USD - Veuillez ajouter une nouvelle colonne par agence recipiendiaire OIM</t>
  </si>
  <si>
    <t>Budget par agence recipiendiaire en USD - Veuillez ajouter une nouvelle colonne par agence recipiendiaire PNUD</t>
  </si>
  <si>
    <t>Un chargé de projet (OIM)</t>
  </si>
  <si>
    <t>Un chargé de projet (PNUD)</t>
  </si>
  <si>
    <t>Coordonnateur projet  (UNFPA)</t>
  </si>
  <si>
    <t>VNU Communautaires (4)  (UNFPA)</t>
  </si>
  <si>
    <t>Chauffeur  (UNFPA)</t>
  </si>
  <si>
    <t>OIM</t>
  </si>
  <si>
    <t>PNUD</t>
  </si>
  <si>
    <t>TOTAL BUDGET</t>
  </si>
  <si>
    <t xml:space="preserve">Niveau de depense/ engagement actuel en USD (a remplir au moment des rapports de projet) OIM     </t>
  </si>
  <si>
    <t xml:space="preserve">Niveau de depense/ engagement actuel en USD (a remplir au moment des rapports de projet)      PNUD </t>
  </si>
  <si>
    <t>RESULTAT 1:  Les  violences liées à l’instrumentalisation sociale et politique des jeunes conducteurs de taxi-moto sont  réduites avant, pendant et après les épisodes électoraux de 2019 et 2020</t>
  </si>
  <si>
    <t xml:space="preserve">RESULTAT 2: Les jeunes taxis-motards des zones ciblées deviennent des acteurs et des vecteurs de consolidation de la paix et de renforcement de la cohésion sociale au sein de leurs communautés 
</t>
  </si>
  <si>
    <t>Appui à la réduction de l’instrumentalisation et des violences politico-sociales des jeunes taxi-motards en période électorale</t>
  </si>
  <si>
    <t>Amount Recipient  Agency OIM</t>
  </si>
  <si>
    <t>Amount Recipient  Agency PNUD</t>
  </si>
  <si>
    <t>Décaissement OIM</t>
  </si>
  <si>
    <t xml:space="preserve">Décaissement PNUD </t>
  </si>
  <si>
    <t>Notes quelconque le cas echeant (.e.g sur types des entrants ou justification du budget) GEWE</t>
  </si>
  <si>
    <t>Total dépenses GEWE</t>
  </si>
  <si>
    <r>
      <rPr>
        <b/>
        <sz val="12"/>
        <color indexed="8"/>
        <rFont val="Times New Roman"/>
        <family val="1"/>
      </rPr>
      <t xml:space="preserve">Produit 1.1  </t>
    </r>
    <r>
      <rPr>
        <sz val="12"/>
        <color indexed="8"/>
        <rFont val="Times New Roman"/>
        <family val="1"/>
      </rPr>
      <t xml:space="preserve">   Un cadre de gouvernance locale qui promeut à la fois le dialogue social et qui instaure des mécanismes communautaires de redevabilité est créé et fonctionnel</t>
    </r>
  </si>
  <si>
    <r>
      <rPr>
        <b/>
        <sz val="12"/>
        <color indexed="8"/>
        <rFont val="Times New Roman"/>
        <family val="1"/>
      </rPr>
      <t xml:space="preserve">Produit 1.2 </t>
    </r>
    <r>
      <rPr>
        <sz val="12"/>
        <color indexed="8"/>
        <rFont val="Times New Roman"/>
        <family val="1"/>
      </rPr>
      <t xml:space="preserve">   Les responsables des  partis politiques et les leaders syndicaux des taxi-motards sont sensibilisés et conscientisés sur les dangers de l'instrumentalisation</t>
    </r>
  </si>
  <si>
    <r>
      <rPr>
        <b/>
        <sz val="12"/>
        <color indexed="8"/>
        <rFont val="Times New Roman"/>
        <family val="1"/>
      </rPr>
      <t xml:space="preserve">Produit 1.3  </t>
    </r>
    <r>
      <rPr>
        <sz val="12"/>
        <color indexed="8"/>
        <rFont val="Times New Roman"/>
        <family val="1"/>
      </rPr>
      <t xml:space="preserve"> La société civile assure le contrôle citoyen sur la mise en œuvre des engagements pris dans le cadre d’une charte de bonne entente  des déclarations publiques entre ldes acteurs clés et remontes les informations aux groupes d’influence (PRGI, CLJ, CLSPD) et partagées avec les communautés, la police, les autorités locales et les chefs leadersdes syndicauxats de taxi-motordso  </t>
    </r>
  </si>
  <si>
    <r>
      <rPr>
        <b/>
        <sz val="12"/>
        <color indexed="8"/>
        <rFont val="Times New Roman"/>
        <family val="1"/>
      </rPr>
      <t xml:space="preserve">Produit 2.1 </t>
    </r>
    <r>
      <rPr>
        <sz val="12"/>
        <color indexed="8"/>
        <rFont val="Times New Roman"/>
        <family val="1"/>
      </rPr>
      <t xml:space="preserve"> Les capacités des jeunes taxi-motards et des leaders communautaires sont renforcées en techniques de prévention et de gestion des conflits </t>
    </r>
  </si>
  <si>
    <r>
      <rPr>
        <b/>
        <sz val="12"/>
        <color indexed="8"/>
        <rFont val="Times New Roman"/>
        <family val="1"/>
      </rPr>
      <t>Produit 2.2</t>
    </r>
    <r>
      <rPr>
        <sz val="12"/>
        <color indexed="8"/>
        <rFont val="Times New Roman"/>
        <family val="1"/>
      </rPr>
      <t xml:space="preserve">  Les capacités organisationnelles et entrepreunariale des taxi-motards sont renforcées.</t>
    </r>
  </si>
  <si>
    <t>Soutenir des focus group des acteurs clés incluant les femmes et les association féminine du processus sur l'identification des problèmes et les propositions de solutions pour la réduction de l'instrumentalisation sociale et politique des jeunes taxi-motards et leurs bonnes intégrations au sein des communautés  (PNUD)</t>
  </si>
  <si>
    <t xml:space="preserve">Dépenses au 14 Juin 2021 </t>
  </si>
  <si>
    <t>Fait le 14 JUIN 2021</t>
  </si>
  <si>
    <t>Total dépenses au 14 Juin 2021</t>
  </si>
  <si>
    <t xml:space="preserve">Tableau 2 - Budget de projet PBF Appui à la réduction de l’instrumentalisation et des violences politico-sociales des jeunes taxi-motards en période électorale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</si>
</sst>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_F_G_-;\-* #,##0\ _F_G_-;_-* &quot;-&quot;\ _F_G_-;_-@_-"/>
    <numFmt numFmtId="166" formatCode="_-* #,##0.00\ _F_G_-;\-* #,##0.00\ _F_G_-;_-* &quot;-&quot;??\ _F_G_-;_-@_-"/>
    <numFmt numFmtId="167" formatCode="_-* #,##0.00\ _F_G_-;\-* #,##0.00\ _F_G_-;_-* &quot;-&quot;\ _F_G_-;_-@_-"/>
    <numFmt numFmtId="168" formatCode="_-* #,##0\ _€_-;\-* #,##0\ _€_-;_-* &quot;-&quot;??\ _€_-;_-@_-"/>
    <numFmt numFmtId="169" formatCode="_(&quot;$&quot;* #,##0.00_);_(&quot;$&quot;* \(#,##0.00\);_(&quot;$&quot;* &quot;-&quot;??_);_(@_)"/>
  </numFmts>
  <fonts count="22" x14ac:knownFonts="1">
    <font>
      <sz val="11"/>
      <color theme="1"/>
      <name val="Calibri"/>
      <family val="2"/>
      <scheme val="minor"/>
    </font>
    <font>
      <sz val="11"/>
      <name val="Times New Roman"/>
      <family val="1"/>
    </font>
    <font>
      <b/>
      <sz val="9"/>
      <color indexed="81"/>
      <name val="Tahoma"/>
      <family val="2"/>
    </font>
    <font>
      <sz val="9"/>
      <color indexed="81"/>
      <name val="Tahoma"/>
      <family val="2"/>
    </font>
    <font>
      <sz val="12"/>
      <color indexed="8"/>
      <name val="Times New Roman"/>
      <family val="1"/>
    </font>
    <font>
      <b/>
      <sz val="12"/>
      <color indexed="8"/>
      <name val="Times New Roman"/>
      <family val="1"/>
    </font>
    <font>
      <sz val="12"/>
      <name val="Times New Roman"/>
      <family val="1"/>
    </font>
    <font>
      <b/>
      <sz val="12"/>
      <name val="Times New Roman"/>
      <family val="1"/>
    </font>
    <font>
      <sz val="11"/>
      <color theme="1"/>
      <name val="Calibri"/>
      <family val="2"/>
      <scheme val="minor"/>
    </font>
    <font>
      <b/>
      <sz val="11"/>
      <color theme="1"/>
      <name val="Calibri"/>
      <family val="2"/>
      <scheme val="minor"/>
    </font>
    <font>
      <b/>
      <sz val="12"/>
      <color theme="1"/>
      <name val="Calibri"/>
      <family val="2"/>
      <scheme val="minor"/>
    </font>
    <font>
      <b/>
      <sz val="12"/>
      <color theme="1"/>
      <name val="Calibri"/>
      <family val="2"/>
    </font>
    <font>
      <sz val="11"/>
      <color theme="1"/>
      <name val="Times New Roman"/>
      <family val="1"/>
    </font>
    <font>
      <sz val="12"/>
      <color theme="1"/>
      <name val="Calibri"/>
      <family val="2"/>
    </font>
    <font>
      <sz val="10"/>
      <color theme="1"/>
      <name val="Times New Roman"/>
      <family val="1"/>
    </font>
    <font>
      <b/>
      <sz val="10"/>
      <color theme="1"/>
      <name val="Times New Roman"/>
      <family val="1"/>
    </font>
    <font>
      <b/>
      <sz val="10"/>
      <color theme="1"/>
      <name val="Calibri"/>
      <family val="2"/>
    </font>
    <font>
      <sz val="10"/>
      <color theme="1"/>
      <name val="Calibri"/>
      <family val="2"/>
    </font>
    <font>
      <sz val="12"/>
      <color theme="1"/>
      <name val="Calibri"/>
      <family val="2"/>
      <scheme val="minor"/>
    </font>
    <font>
      <b/>
      <sz val="12"/>
      <color theme="1"/>
      <name val="Times New Roman"/>
      <family val="1"/>
    </font>
    <font>
      <sz val="12"/>
      <color theme="1"/>
      <name val="Times New Roman"/>
      <family val="1"/>
    </font>
    <font>
      <sz val="12"/>
      <name val="Calibri"/>
      <family val="2"/>
      <scheme val="minor"/>
    </font>
  </fonts>
  <fills count="22">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6" tint="0.59999389629810485"/>
        <bgColor indexed="64"/>
      </patternFill>
    </fill>
    <fill>
      <patternFill patternType="solid">
        <fgColor rgb="FF00FFFF"/>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B3B3B3"/>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s>
  <cellStyleXfs count="5">
    <xf numFmtId="0" fontId="0" fillId="0" borderId="0"/>
    <xf numFmtId="166" fontId="8" fillId="0" borderId="0" applyFont="0" applyFill="0" applyBorder="0" applyAlignment="0" applyProtection="0"/>
    <xf numFmtId="165"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345">
    <xf numFmtId="0" fontId="0" fillId="0" borderId="0" xfId="0"/>
    <xf numFmtId="167" fontId="8" fillId="0" borderId="0" xfId="2" applyNumberFormat="1" applyFont="1"/>
    <xf numFmtId="0" fontId="0" fillId="0" borderId="0" xfId="0" applyAlignment="1">
      <alignment horizontal="center"/>
    </xf>
    <xf numFmtId="0" fontId="9" fillId="0" borderId="0" xfId="0" applyFont="1"/>
    <xf numFmtId="0" fontId="11" fillId="2" borderId="45" xfId="0" applyFont="1" applyFill="1" applyBorder="1" applyAlignment="1">
      <alignment horizontal="center" vertical="center" wrapText="1"/>
    </xf>
    <xf numFmtId="166" fontId="12" fillId="0" borderId="1" xfId="1" applyFont="1" applyFill="1" applyBorder="1" applyAlignment="1">
      <alignment horizontal="right" vertical="center" wrapText="1"/>
    </xf>
    <xf numFmtId="168" fontId="13" fillId="0" borderId="45" xfId="1" applyNumberFormat="1" applyFont="1" applyBorder="1" applyAlignment="1">
      <alignment horizontal="left" vertical="center" wrapText="1"/>
    </xf>
    <xf numFmtId="0" fontId="14" fillId="0" borderId="46" xfId="0" applyFont="1" applyBorder="1" applyAlignment="1">
      <alignment vertical="center" wrapText="1"/>
    </xf>
    <xf numFmtId="166" fontId="12" fillId="0" borderId="2" xfId="1" applyFont="1" applyFill="1" applyBorder="1" applyAlignment="1">
      <alignment horizontal="right" vertical="center" wrapText="1"/>
    </xf>
    <xf numFmtId="0" fontId="14" fillId="0" borderId="47" xfId="0" applyFont="1" applyBorder="1" applyAlignment="1">
      <alignment vertical="center" wrapText="1"/>
    </xf>
    <xf numFmtId="166" fontId="12" fillId="0" borderId="3" xfId="1" applyFont="1" applyFill="1" applyBorder="1" applyAlignment="1">
      <alignment horizontal="right" vertical="center" wrapText="1"/>
    </xf>
    <xf numFmtId="166" fontId="12" fillId="0" borderId="1" xfId="1" applyFont="1" applyFill="1" applyBorder="1" applyAlignment="1">
      <alignment vertical="center" wrapText="1"/>
    </xf>
    <xf numFmtId="166" fontId="15" fillId="3" borderId="3" xfId="1" applyFont="1" applyFill="1" applyBorder="1" applyAlignment="1">
      <alignment horizontal="right" vertical="center" wrapText="1"/>
    </xf>
    <xf numFmtId="166" fontId="14" fillId="0" borderId="3" xfId="1" applyFont="1" applyFill="1" applyBorder="1" applyAlignment="1">
      <alignment horizontal="right" vertical="center" wrapText="1"/>
    </xf>
    <xf numFmtId="168" fontId="15" fillId="3" borderId="3" xfId="1"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166" fontId="12" fillId="0" borderId="2" xfId="1" applyFont="1" applyFill="1" applyBorder="1" applyAlignment="1">
      <alignment horizontal="center" wrapText="1"/>
    </xf>
    <xf numFmtId="166" fontId="12" fillId="0" borderId="0" xfId="1" applyFont="1" applyFill="1" applyBorder="1" applyAlignment="1">
      <alignment horizontal="center" wrapText="1"/>
    </xf>
    <xf numFmtId="164" fontId="0" fillId="0" borderId="2" xfId="0" applyNumberFormat="1" applyBorder="1" applyAlignment="1">
      <alignment horizontal="center"/>
    </xf>
    <xf numFmtId="166" fontId="12" fillId="0" borderId="5" xfId="1" applyFont="1" applyFill="1" applyBorder="1" applyAlignment="1">
      <alignment horizontal="center" wrapText="1"/>
    </xf>
    <xf numFmtId="166" fontId="14" fillId="0" borderId="5" xfId="1" applyFont="1" applyFill="1" applyBorder="1" applyAlignment="1">
      <alignment horizontal="center" wrapText="1"/>
    </xf>
    <xf numFmtId="166" fontId="14" fillId="0" borderId="1" xfId="1" applyFont="1" applyFill="1" applyBorder="1" applyAlignment="1">
      <alignment horizontal="center" wrapText="1"/>
    </xf>
    <xf numFmtId="166" fontId="14" fillId="0" borderId="6" xfId="1" applyFont="1" applyFill="1" applyBorder="1" applyAlignment="1">
      <alignment horizontal="center" wrapText="1"/>
    </xf>
    <xf numFmtId="166" fontId="14" fillId="0" borderId="3" xfId="1" applyFont="1" applyFill="1" applyBorder="1" applyAlignment="1">
      <alignment horizontal="center" wrapText="1"/>
    </xf>
    <xf numFmtId="166" fontId="14" fillId="0" borderId="2" xfId="1" applyFont="1" applyFill="1" applyBorder="1" applyAlignment="1">
      <alignment horizontal="center" wrapText="1"/>
    </xf>
    <xf numFmtId="0" fontId="15" fillId="4" borderId="46" xfId="0" applyFont="1" applyFill="1" applyBorder="1" applyAlignment="1">
      <alignment vertical="center" wrapText="1"/>
    </xf>
    <xf numFmtId="166" fontId="15" fillId="3" borderId="1" xfId="1" applyFont="1" applyFill="1" applyBorder="1" applyAlignment="1">
      <alignment horizontal="right" vertical="center" wrapText="1"/>
    </xf>
    <xf numFmtId="164" fontId="0" fillId="3" borderId="1" xfId="0" applyNumberFormat="1" applyFill="1" applyBorder="1" applyAlignment="1">
      <alignment horizontal="center"/>
    </xf>
    <xf numFmtId="164" fontId="9" fillId="0" borderId="3" xfId="0" applyNumberFormat="1" applyFont="1" applyFill="1" applyBorder="1"/>
    <xf numFmtId="164" fontId="0" fillId="0" borderId="0" xfId="0" applyNumberFormat="1"/>
    <xf numFmtId="166" fontId="8" fillId="0" borderId="0" xfId="1" applyFont="1"/>
    <xf numFmtId="9" fontId="8" fillId="0" borderId="4" xfId="4" applyFont="1" applyBorder="1" applyAlignment="1">
      <alignment horizontal="center" vertical="center"/>
    </xf>
    <xf numFmtId="9" fontId="8" fillId="3" borderId="1" xfId="4" applyFont="1" applyFill="1" applyBorder="1" applyAlignment="1">
      <alignment horizontal="center" vertical="center"/>
    </xf>
    <xf numFmtId="166" fontId="12" fillId="5" borderId="5" xfId="1" applyFont="1" applyFill="1" applyBorder="1" applyAlignment="1">
      <alignment horizontal="center" wrapText="1"/>
    </xf>
    <xf numFmtId="0" fontId="14" fillId="0" borderId="5" xfId="0" applyFont="1" applyBorder="1" applyAlignment="1">
      <alignment vertical="center" wrapText="1"/>
    </xf>
    <xf numFmtId="166" fontId="12" fillId="5" borderId="6" xfId="1" applyFont="1" applyFill="1" applyBorder="1" applyAlignment="1">
      <alignment horizontal="center" wrapText="1"/>
    </xf>
    <xf numFmtId="166" fontId="1" fillId="0" borderId="7" xfId="1" applyFont="1" applyFill="1" applyBorder="1" applyAlignment="1">
      <alignment horizontal="center" wrapText="1"/>
    </xf>
    <xf numFmtId="166" fontId="1" fillId="0" borderId="4" xfId="1" applyFont="1" applyFill="1" applyBorder="1" applyAlignment="1">
      <alignment horizontal="center" wrapText="1"/>
    </xf>
    <xf numFmtId="166" fontId="1" fillId="0" borderId="1" xfId="1" applyFont="1" applyFill="1" applyBorder="1" applyAlignment="1">
      <alignment horizontal="center" wrapText="1"/>
    </xf>
    <xf numFmtId="166" fontId="1" fillId="0" borderId="8" xfId="1" applyFont="1" applyFill="1" applyBorder="1" applyAlignment="1">
      <alignment horizontal="center" wrapText="1"/>
    </xf>
    <xf numFmtId="0" fontId="11" fillId="2" borderId="48" xfId="0" applyFont="1" applyFill="1" applyBorder="1" applyAlignment="1">
      <alignment horizontal="center" vertical="center" wrapText="1"/>
    </xf>
    <xf numFmtId="168" fontId="13" fillId="0" borderId="48" xfId="1" applyNumberFormat="1" applyFont="1" applyBorder="1" applyAlignment="1">
      <alignment horizontal="left" vertical="center" wrapText="1"/>
    </xf>
    <xf numFmtId="0" fontId="14" fillId="0" borderId="49" xfId="0" applyFont="1" applyBorder="1" applyAlignment="1">
      <alignment vertical="center" wrapText="1"/>
    </xf>
    <xf numFmtId="0" fontId="14" fillId="0" borderId="50" xfId="0" applyFont="1" applyBorder="1" applyAlignment="1">
      <alignment vertical="center" wrapText="1"/>
    </xf>
    <xf numFmtId="0" fontId="15" fillId="4" borderId="51" xfId="0" applyFont="1" applyFill="1" applyBorder="1" applyAlignment="1">
      <alignment vertical="center" wrapText="1"/>
    </xf>
    <xf numFmtId="0" fontId="14" fillId="0" borderId="9" xfId="0" applyFont="1" applyBorder="1" applyAlignment="1">
      <alignment vertical="center" wrapText="1"/>
    </xf>
    <xf numFmtId="0" fontId="11" fillId="2" borderId="52" xfId="0" applyFont="1" applyFill="1" applyBorder="1" applyAlignment="1">
      <alignment horizontal="center" vertical="center" wrapText="1"/>
    </xf>
    <xf numFmtId="166" fontId="12" fillId="0" borderId="10" xfId="1" applyFont="1" applyFill="1" applyBorder="1" applyAlignment="1">
      <alignment horizontal="right" vertical="center" wrapText="1"/>
    </xf>
    <xf numFmtId="168" fontId="13" fillId="0" borderId="1" xfId="1" applyNumberFormat="1" applyFont="1" applyBorder="1" applyAlignment="1">
      <alignment horizontal="left" vertical="center" wrapText="1"/>
    </xf>
    <xf numFmtId="3" fontId="17" fillId="0" borderId="1" xfId="0" applyNumberFormat="1" applyFont="1" applyBorder="1" applyAlignment="1">
      <alignment horizontal="right" vertical="center" wrapText="1"/>
    </xf>
    <xf numFmtId="0" fontId="18" fillId="0" borderId="0" xfId="0" applyFont="1" applyFill="1" applyBorder="1" applyAlignment="1">
      <alignment wrapText="1"/>
    </xf>
    <xf numFmtId="44" fontId="18" fillId="6" borderId="0" xfId="3" applyFont="1" applyFill="1" applyBorder="1" applyAlignment="1" applyProtection="1">
      <alignment vertical="center" wrapText="1"/>
      <protection locked="0"/>
    </xf>
    <xf numFmtId="169" fontId="10" fillId="6" borderId="0" xfId="0" applyNumberFormat="1" applyFont="1" applyFill="1" applyBorder="1" applyAlignment="1">
      <alignment vertical="center" wrapText="1"/>
    </xf>
    <xf numFmtId="3" fontId="0" fillId="0" borderId="0" xfId="0" applyNumberFormat="1"/>
    <xf numFmtId="167" fontId="15" fillId="4" borderId="47" xfId="2" applyNumberFormat="1" applyFont="1" applyFill="1" applyBorder="1" applyAlignment="1">
      <alignment horizontal="center" vertical="center" wrapText="1"/>
    </xf>
    <xf numFmtId="167" fontId="19" fillId="3" borderId="3" xfId="2" applyNumberFormat="1" applyFont="1" applyFill="1" applyBorder="1" applyAlignment="1">
      <alignment vertical="center" wrapText="1"/>
    </xf>
    <xf numFmtId="167" fontId="19" fillId="3" borderId="10" xfId="2" applyNumberFormat="1" applyFont="1" applyFill="1" applyBorder="1" applyAlignment="1">
      <alignment vertical="center" wrapText="1"/>
    </xf>
    <xf numFmtId="167" fontId="15" fillId="3" borderId="3" xfId="2" applyNumberFormat="1" applyFont="1" applyFill="1" applyBorder="1" applyAlignment="1">
      <alignment horizontal="right" vertical="center" wrapText="1"/>
    </xf>
    <xf numFmtId="167" fontId="8" fillId="0" borderId="0" xfId="2" applyNumberFormat="1" applyFont="1" applyAlignment="1">
      <alignment horizontal="center"/>
    </xf>
    <xf numFmtId="164" fontId="15" fillId="3" borderId="3" xfId="1" applyNumberFormat="1" applyFont="1" applyFill="1" applyBorder="1" applyAlignment="1">
      <alignment horizontal="center" vertical="center" wrapText="1"/>
    </xf>
    <xf numFmtId="166" fontId="12" fillId="0" borderId="1" xfId="1" applyFont="1" applyFill="1" applyBorder="1" applyAlignment="1">
      <alignment horizontal="center" wrapText="1"/>
    </xf>
    <xf numFmtId="167" fontId="10" fillId="11" borderId="0" xfId="2" applyNumberFormat="1" applyFont="1" applyFill="1" applyAlignment="1">
      <alignment horizontal="right" wrapText="1"/>
    </xf>
    <xf numFmtId="167" fontId="20" fillId="12" borderId="12" xfId="2" applyNumberFormat="1" applyFont="1" applyFill="1" applyBorder="1" applyAlignment="1">
      <alignment horizontal="right" vertical="center" wrapText="1"/>
    </xf>
    <xf numFmtId="167" fontId="20" fillId="0" borderId="12" xfId="2" applyNumberFormat="1" applyFont="1" applyFill="1" applyBorder="1" applyAlignment="1">
      <alignment horizontal="center" vertical="center" wrapText="1"/>
    </xf>
    <xf numFmtId="167" fontId="10" fillId="13" borderId="11" xfId="2" applyNumberFormat="1" applyFont="1" applyFill="1" applyBorder="1" applyAlignment="1">
      <alignment horizontal="right" vertical="center"/>
    </xf>
    <xf numFmtId="167" fontId="18" fillId="12" borderId="11" xfId="2" applyNumberFormat="1" applyFont="1" applyFill="1" applyBorder="1" applyAlignment="1">
      <alignment horizontal="right" vertical="center"/>
    </xf>
    <xf numFmtId="167" fontId="19" fillId="5" borderId="1" xfId="2" applyNumberFormat="1" applyFont="1" applyFill="1" applyBorder="1" applyAlignment="1">
      <alignment horizontal="right" vertical="center" wrapText="1"/>
    </xf>
    <xf numFmtId="167" fontId="18" fillId="11" borderId="11" xfId="2" applyNumberFormat="1" applyFont="1" applyFill="1" applyBorder="1" applyAlignment="1">
      <alignment horizontal="right" vertical="center"/>
    </xf>
    <xf numFmtId="167" fontId="18" fillId="12" borderId="14" xfId="2" applyNumberFormat="1" applyFont="1" applyFill="1" applyBorder="1" applyAlignment="1">
      <alignment horizontal="right" vertical="center"/>
    </xf>
    <xf numFmtId="167" fontId="18" fillId="11" borderId="14" xfId="2" applyNumberFormat="1" applyFont="1" applyFill="1" applyBorder="1" applyAlignment="1">
      <alignment horizontal="right" vertical="center"/>
    </xf>
    <xf numFmtId="167" fontId="19" fillId="9" borderId="1" xfId="2" applyNumberFormat="1" applyFont="1" applyFill="1" applyBorder="1" applyAlignment="1">
      <alignment horizontal="right" vertical="center" wrapText="1"/>
    </xf>
    <xf numFmtId="167" fontId="20" fillId="5" borderId="1" xfId="2" applyNumberFormat="1" applyFont="1" applyFill="1" applyBorder="1" applyAlignment="1">
      <alignment horizontal="right" vertical="center" wrapText="1"/>
    </xf>
    <xf numFmtId="167" fontId="19" fillId="8" borderId="1" xfId="2" applyNumberFormat="1" applyFont="1" applyFill="1" applyBorder="1" applyAlignment="1">
      <alignment horizontal="right" vertical="center" wrapText="1"/>
    </xf>
    <xf numFmtId="167" fontId="7" fillId="11" borderId="2" xfId="2" applyNumberFormat="1" applyFont="1" applyFill="1" applyBorder="1" applyAlignment="1">
      <alignment horizontal="right" vertical="center" wrapText="1"/>
    </xf>
    <xf numFmtId="167" fontId="7" fillId="5" borderId="1" xfId="2" applyNumberFormat="1" applyFont="1" applyFill="1" applyBorder="1" applyAlignment="1">
      <alignment horizontal="right" vertical="center" wrapText="1"/>
    </xf>
    <xf numFmtId="167" fontId="19" fillId="14" borderId="1" xfId="2" applyNumberFormat="1" applyFont="1" applyFill="1" applyBorder="1" applyAlignment="1">
      <alignment horizontal="right" vertical="center" wrapText="1"/>
    </xf>
    <xf numFmtId="167" fontId="7" fillId="15" borderId="15" xfId="2" applyNumberFormat="1" applyFont="1" applyFill="1" applyBorder="1" applyAlignment="1">
      <alignment horizontal="center" vertical="center" wrapText="1"/>
    </xf>
    <xf numFmtId="167" fontId="10" fillId="0" borderId="0" xfId="2" applyNumberFormat="1" applyFont="1" applyFill="1" applyAlignment="1">
      <alignment horizontal="center"/>
    </xf>
    <xf numFmtId="167" fontId="10" fillId="0" borderId="0" xfId="2" applyNumberFormat="1" applyFont="1" applyFill="1" applyAlignment="1">
      <alignment horizontal="right"/>
    </xf>
    <xf numFmtId="167" fontId="10" fillId="0" borderId="16" xfId="2" applyNumberFormat="1" applyFont="1" applyFill="1" applyBorder="1" applyAlignment="1">
      <alignment horizontal="center" vertical="center" wrapText="1"/>
    </xf>
    <xf numFmtId="167" fontId="18" fillId="0" borderId="4" xfId="2" applyNumberFormat="1" applyFont="1" applyFill="1" applyBorder="1" applyAlignment="1">
      <alignment horizontal="right" vertical="center"/>
    </xf>
    <xf numFmtId="167" fontId="18" fillId="0" borderId="17" xfId="2" applyNumberFormat="1" applyFont="1" applyFill="1" applyBorder="1" applyAlignment="1">
      <alignment horizontal="center" vertical="center"/>
    </xf>
    <xf numFmtId="167" fontId="10" fillId="0" borderId="4" xfId="2" applyNumberFormat="1" applyFont="1" applyFill="1" applyBorder="1" applyAlignment="1">
      <alignment horizontal="center" vertical="center"/>
    </xf>
    <xf numFmtId="9" fontId="18" fillId="0" borderId="18" xfId="4" applyFont="1" applyFill="1" applyBorder="1" applyAlignment="1">
      <alignment horizontal="center" vertical="center"/>
    </xf>
    <xf numFmtId="167" fontId="18" fillId="0" borderId="1" xfId="2" applyNumberFormat="1" applyFont="1" applyFill="1" applyBorder="1" applyAlignment="1">
      <alignment horizontal="right" vertical="center"/>
    </xf>
    <xf numFmtId="9" fontId="10" fillId="7" borderId="16" xfId="4" applyFont="1" applyFill="1" applyBorder="1" applyAlignment="1">
      <alignment horizontal="center" vertical="center"/>
    </xf>
    <xf numFmtId="167" fontId="10" fillId="7" borderId="16" xfId="2" applyNumberFormat="1" applyFont="1" applyFill="1" applyBorder="1" applyAlignment="1">
      <alignment horizontal="center" vertical="center"/>
    </xf>
    <xf numFmtId="167" fontId="10" fillId="7" borderId="16" xfId="2" applyNumberFormat="1" applyFont="1" applyFill="1" applyBorder="1" applyAlignment="1">
      <alignment horizontal="right" vertical="center"/>
    </xf>
    <xf numFmtId="167" fontId="10" fillId="16" borderId="5" xfId="2" applyNumberFormat="1" applyFont="1" applyFill="1" applyBorder="1" applyAlignment="1">
      <alignment horizontal="center" vertical="center"/>
    </xf>
    <xf numFmtId="167" fontId="10" fillId="16" borderId="5" xfId="2" applyNumberFormat="1" applyFont="1" applyFill="1" applyBorder="1" applyAlignment="1">
      <alignment horizontal="right" vertical="center"/>
    </xf>
    <xf numFmtId="9" fontId="10" fillId="16" borderId="5" xfId="4" applyFont="1" applyFill="1" applyBorder="1" applyAlignment="1">
      <alignment horizontal="center" vertical="center"/>
    </xf>
    <xf numFmtId="167" fontId="10" fillId="0" borderId="0" xfId="2" applyNumberFormat="1" applyFont="1"/>
    <xf numFmtId="167" fontId="18" fillId="0" borderId="0" xfId="2" applyNumberFormat="1" applyFont="1"/>
    <xf numFmtId="167" fontId="18" fillId="0" borderId="0" xfId="2" applyNumberFormat="1" applyFont="1" applyAlignment="1">
      <alignment horizontal="center"/>
    </xf>
    <xf numFmtId="167" fontId="18" fillId="17" borderId="0" xfId="2" applyNumberFormat="1" applyFont="1" applyFill="1"/>
    <xf numFmtId="167" fontId="18" fillId="0" borderId="0" xfId="2" applyNumberFormat="1" applyFont="1" applyAlignment="1">
      <alignment wrapText="1"/>
    </xf>
    <xf numFmtId="167" fontId="18" fillId="0" borderId="0" xfId="2" applyNumberFormat="1" applyFont="1" applyFill="1" applyAlignment="1">
      <alignment wrapText="1"/>
    </xf>
    <xf numFmtId="167" fontId="10" fillId="0" borderId="0" xfId="2" applyNumberFormat="1" applyFont="1" applyFill="1" applyAlignment="1">
      <alignment horizontal="center" wrapText="1"/>
    </xf>
    <xf numFmtId="167" fontId="20" fillId="0" borderId="19" xfId="2" applyNumberFormat="1" applyFont="1" applyBorder="1" applyAlignment="1">
      <alignment vertical="center" wrapText="1"/>
    </xf>
    <xf numFmtId="167" fontId="20" fillId="0" borderId="12" xfId="2" applyNumberFormat="1" applyFont="1" applyBorder="1" applyAlignment="1">
      <alignment vertical="center" wrapText="1"/>
    </xf>
    <xf numFmtId="167" fontId="19" fillId="0" borderId="12" xfId="2" applyNumberFormat="1" applyFont="1" applyBorder="1" applyAlignment="1">
      <alignment vertical="center" wrapText="1"/>
    </xf>
    <xf numFmtId="167" fontId="20" fillId="18" borderId="12" xfId="2" applyNumberFormat="1" applyFont="1" applyFill="1" applyBorder="1" applyAlignment="1">
      <alignment vertical="center" wrapText="1"/>
    </xf>
    <xf numFmtId="167" fontId="20" fillId="5" borderId="12" xfId="2" applyNumberFormat="1" applyFont="1" applyFill="1" applyBorder="1" applyAlignment="1">
      <alignment vertical="center" wrapText="1"/>
    </xf>
    <xf numFmtId="167" fontId="20" fillId="12" borderId="12" xfId="2" applyNumberFormat="1" applyFont="1" applyFill="1" applyBorder="1" applyAlignment="1">
      <alignment vertical="center" wrapText="1"/>
    </xf>
    <xf numFmtId="167" fontId="18" fillId="0" borderId="12" xfId="2" applyNumberFormat="1" applyFont="1" applyFill="1" applyBorder="1" applyAlignment="1">
      <alignment horizontal="center" vertical="center" wrapText="1"/>
    </xf>
    <xf numFmtId="167" fontId="20" fillId="0" borderId="12" xfId="2" applyNumberFormat="1" applyFont="1" applyBorder="1" applyAlignment="1">
      <alignment horizontal="center" vertical="center" wrapText="1"/>
    </xf>
    <xf numFmtId="167" fontId="20" fillId="0" borderId="12" xfId="2" applyNumberFormat="1" applyFont="1" applyFill="1" applyBorder="1" applyAlignment="1">
      <alignment vertical="center" wrapText="1"/>
    </xf>
    <xf numFmtId="167" fontId="10" fillId="13" borderId="21" xfId="2" applyNumberFormat="1" applyFont="1" applyFill="1" applyBorder="1" applyAlignment="1">
      <alignment horizontal="center"/>
    </xf>
    <xf numFmtId="167" fontId="10" fillId="13" borderId="11" xfId="2" applyNumberFormat="1" applyFont="1" applyFill="1" applyBorder="1" applyAlignment="1">
      <alignment horizontal="center"/>
    </xf>
    <xf numFmtId="167" fontId="18" fillId="13" borderId="11" xfId="2" applyNumberFormat="1" applyFont="1" applyFill="1" applyBorder="1" applyAlignment="1">
      <alignment horizontal="center" vertical="center"/>
    </xf>
    <xf numFmtId="167" fontId="10" fillId="13" borderId="11" xfId="2" applyNumberFormat="1" applyFont="1" applyFill="1" applyBorder="1" applyAlignment="1">
      <alignment horizontal="center" vertical="center"/>
    </xf>
    <xf numFmtId="167" fontId="13" fillId="0" borderId="23" xfId="2" applyNumberFormat="1" applyFont="1" applyBorder="1" applyAlignment="1">
      <alignment wrapText="1"/>
    </xf>
    <xf numFmtId="167" fontId="20" fillId="0" borderId="11" xfId="2" applyNumberFormat="1" applyFont="1" applyBorder="1" applyAlignment="1">
      <alignment vertical="center" wrapText="1"/>
    </xf>
    <xf numFmtId="167" fontId="18" fillId="18" borderId="11" xfId="2" applyNumberFormat="1" applyFont="1" applyFill="1" applyBorder="1" applyAlignment="1">
      <alignment vertical="center"/>
    </xf>
    <xf numFmtId="167" fontId="18" fillId="5" borderId="11" xfId="2" applyNumberFormat="1" applyFont="1" applyFill="1" applyBorder="1" applyAlignment="1">
      <alignment vertical="center"/>
    </xf>
    <xf numFmtId="167" fontId="18" fillId="12" borderId="11" xfId="2" applyNumberFormat="1" applyFont="1" applyFill="1" applyBorder="1" applyAlignment="1">
      <alignment vertical="center"/>
    </xf>
    <xf numFmtId="167" fontId="18" fillId="0" borderId="11" xfId="2" applyNumberFormat="1" applyFont="1" applyFill="1" applyBorder="1" applyAlignment="1" applyProtection="1">
      <alignment horizontal="center" vertical="center" wrapText="1"/>
      <protection locked="0"/>
    </xf>
    <xf numFmtId="167" fontId="18" fillId="0" borderId="11" xfId="2" applyNumberFormat="1" applyFont="1" applyFill="1" applyBorder="1" applyAlignment="1">
      <alignment horizontal="center" vertical="center"/>
    </xf>
    <xf numFmtId="167" fontId="20" fillId="0" borderId="11" xfId="2" applyNumberFormat="1" applyFont="1" applyBorder="1" applyAlignment="1">
      <alignment horizontal="center" vertical="center" wrapText="1"/>
    </xf>
    <xf numFmtId="167" fontId="20" fillId="0" borderId="24" xfId="2" applyNumberFormat="1" applyFont="1" applyBorder="1" applyAlignment="1">
      <alignment vertical="top" wrapText="1"/>
    </xf>
    <xf numFmtId="167" fontId="19" fillId="0" borderId="11" xfId="2" applyNumberFormat="1" applyFont="1" applyBorder="1" applyAlignment="1">
      <alignment vertical="center" wrapText="1"/>
    </xf>
    <xf numFmtId="167" fontId="20" fillId="0" borderId="0" xfId="2" applyNumberFormat="1" applyFont="1" applyBorder="1" applyAlignment="1">
      <alignment vertical="center" wrapText="1"/>
    </xf>
    <xf numFmtId="167" fontId="19" fillId="0" borderId="13" xfId="2" applyNumberFormat="1" applyFont="1" applyBorder="1" applyAlignment="1">
      <alignment vertical="center" wrapText="1"/>
    </xf>
    <xf numFmtId="167" fontId="18" fillId="18" borderId="13" xfId="2" applyNumberFormat="1" applyFont="1" applyFill="1" applyBorder="1" applyAlignment="1">
      <alignment vertical="center"/>
    </xf>
    <xf numFmtId="167" fontId="18" fillId="5" borderId="13" xfId="2" applyNumberFormat="1" applyFont="1" applyFill="1" applyBorder="1" applyAlignment="1">
      <alignment vertical="center"/>
    </xf>
    <xf numFmtId="167" fontId="18" fillId="12" borderId="13" xfId="2" applyNumberFormat="1" applyFont="1" applyFill="1" applyBorder="1" applyAlignment="1">
      <alignment vertical="center"/>
    </xf>
    <xf numFmtId="167" fontId="18" fillId="0" borderId="13" xfId="2" applyNumberFormat="1" applyFont="1" applyFill="1" applyBorder="1" applyAlignment="1" applyProtection="1">
      <alignment horizontal="center" vertical="center" wrapText="1"/>
      <protection locked="0"/>
    </xf>
    <xf numFmtId="167" fontId="18" fillId="0" borderId="13" xfId="2" applyNumberFormat="1" applyFont="1" applyFill="1" applyBorder="1" applyAlignment="1">
      <alignment horizontal="center" vertical="center"/>
    </xf>
    <xf numFmtId="167" fontId="20" fillId="0" borderId="13" xfId="2" applyNumberFormat="1" applyFont="1" applyBorder="1" applyAlignment="1">
      <alignment vertical="center" wrapText="1"/>
    </xf>
    <xf numFmtId="167" fontId="20" fillId="0" borderId="13" xfId="2" applyNumberFormat="1" applyFont="1" applyBorder="1" applyAlignment="1">
      <alignment horizontal="center" vertical="center" wrapText="1"/>
    </xf>
    <xf numFmtId="167" fontId="19" fillId="5" borderId="10" xfId="2" applyNumberFormat="1" applyFont="1" applyFill="1" applyBorder="1" applyAlignment="1">
      <alignment horizontal="center" vertical="center" wrapText="1"/>
    </xf>
    <xf numFmtId="167" fontId="20" fillId="5" borderId="1" xfId="2" applyNumberFormat="1" applyFont="1" applyFill="1" applyBorder="1" applyAlignment="1">
      <alignment vertical="center" wrapText="1"/>
    </xf>
    <xf numFmtId="167" fontId="19" fillId="5" borderId="1" xfId="2" applyNumberFormat="1" applyFont="1" applyFill="1" applyBorder="1" applyAlignment="1">
      <alignment vertical="center" wrapText="1"/>
    </xf>
    <xf numFmtId="167" fontId="19" fillId="5" borderId="1" xfId="2" applyNumberFormat="1" applyFont="1" applyFill="1" applyBorder="1" applyAlignment="1">
      <alignment horizontal="center" vertical="center" wrapText="1"/>
    </xf>
    <xf numFmtId="167" fontId="20" fillId="0" borderId="26" xfId="2" applyNumberFormat="1" applyFont="1" applyBorder="1" applyAlignment="1">
      <alignment vertical="center" wrapText="1"/>
    </xf>
    <xf numFmtId="167" fontId="19" fillId="0" borderId="1" xfId="2" applyNumberFormat="1" applyFont="1" applyBorder="1" applyAlignment="1">
      <alignment vertical="center" wrapText="1"/>
    </xf>
    <xf numFmtId="167" fontId="21" fillId="5" borderId="11" xfId="2" applyNumberFormat="1" applyFont="1" applyFill="1" applyBorder="1" applyAlignment="1">
      <alignment vertical="center"/>
    </xf>
    <xf numFmtId="167" fontId="18" fillId="0" borderId="1" xfId="2" applyNumberFormat="1" applyFont="1" applyFill="1" applyBorder="1" applyAlignment="1">
      <alignment horizontal="center" vertical="center"/>
    </xf>
    <xf numFmtId="167" fontId="6" fillId="0" borderId="1" xfId="2" applyNumberFormat="1" applyFont="1" applyBorder="1" applyAlignment="1">
      <alignment vertical="center" wrapText="1"/>
    </xf>
    <xf numFmtId="167" fontId="6" fillId="0" borderId="2" xfId="2" applyNumberFormat="1" applyFont="1" applyBorder="1" applyAlignment="1">
      <alignment vertical="center" wrapText="1"/>
    </xf>
    <xf numFmtId="167" fontId="20" fillId="0" borderId="2" xfId="2" applyNumberFormat="1" applyFont="1" applyBorder="1" applyAlignment="1">
      <alignment horizontal="center" vertical="center" wrapText="1"/>
    </xf>
    <xf numFmtId="167" fontId="20" fillId="0" borderId="1" xfId="2" applyNumberFormat="1" applyFont="1" applyFill="1" applyBorder="1" applyAlignment="1">
      <alignment horizontal="center" wrapText="1"/>
    </xf>
    <xf numFmtId="167" fontId="20" fillId="0" borderId="3" xfId="2" applyNumberFormat="1" applyFont="1" applyFill="1" applyBorder="1" applyAlignment="1">
      <alignment horizontal="center" wrapText="1"/>
    </xf>
    <xf numFmtId="167" fontId="7" fillId="0" borderId="1" xfId="2" applyNumberFormat="1" applyFont="1" applyBorder="1" applyAlignment="1">
      <alignment vertical="center" wrapText="1"/>
    </xf>
    <xf numFmtId="167" fontId="19" fillId="5" borderId="2" xfId="2" applyNumberFormat="1" applyFont="1" applyFill="1" applyBorder="1" applyAlignment="1">
      <alignment horizontal="center" vertical="center" wrapText="1"/>
    </xf>
    <xf numFmtId="167" fontId="18" fillId="0" borderId="11" xfId="2" applyNumberFormat="1" applyFont="1" applyBorder="1" applyAlignment="1" applyProtection="1">
      <alignment horizontal="center" vertical="center" wrapText="1"/>
      <protection locked="0"/>
    </xf>
    <xf numFmtId="167" fontId="19" fillId="9" borderId="1" xfId="2" applyNumberFormat="1" applyFont="1" applyFill="1" applyBorder="1" applyAlignment="1">
      <alignment vertical="center" wrapText="1"/>
    </xf>
    <xf numFmtId="167" fontId="20" fillId="9" borderId="1" xfId="2" applyNumberFormat="1" applyFont="1" applyFill="1" applyBorder="1" applyAlignment="1">
      <alignment vertical="center" wrapText="1"/>
    </xf>
    <xf numFmtId="167" fontId="19" fillId="9" borderId="1" xfId="2" applyNumberFormat="1" applyFont="1" applyFill="1" applyBorder="1" applyAlignment="1">
      <alignment horizontal="center" vertical="center" wrapText="1"/>
    </xf>
    <xf numFmtId="167" fontId="19" fillId="9" borderId="2" xfId="2" applyNumberFormat="1" applyFont="1" applyFill="1" applyBorder="1" applyAlignment="1">
      <alignment horizontal="center" vertical="center" wrapText="1"/>
    </xf>
    <xf numFmtId="167" fontId="19" fillId="0" borderId="2" xfId="2" applyNumberFormat="1" applyFont="1" applyBorder="1" applyAlignment="1">
      <alignment vertical="center" wrapText="1"/>
    </xf>
    <xf numFmtId="167" fontId="7" fillId="0" borderId="2" xfId="2" applyNumberFormat="1" applyFont="1" applyFill="1" applyBorder="1" applyAlignment="1">
      <alignment horizontal="center" vertical="center" wrapText="1"/>
    </xf>
    <xf numFmtId="167" fontId="18" fillId="10" borderId="27" xfId="2" applyNumberFormat="1" applyFont="1" applyFill="1" applyBorder="1" applyAlignment="1">
      <alignment vertical="center"/>
    </xf>
    <xf numFmtId="167" fontId="20" fillId="0" borderId="28" xfId="2" applyNumberFormat="1" applyFont="1" applyBorder="1" applyAlignment="1">
      <alignment horizontal="justify" vertical="center"/>
    </xf>
    <xf numFmtId="167" fontId="7" fillId="0" borderId="4" xfId="2" applyNumberFormat="1" applyFont="1" applyBorder="1" applyAlignment="1">
      <alignment horizontal="left" vertical="center" wrapText="1"/>
    </xf>
    <xf numFmtId="167" fontId="18" fillId="0" borderId="0" xfId="2" applyNumberFormat="1" applyFont="1" applyFill="1" applyBorder="1" applyAlignment="1">
      <alignment horizontal="center" vertical="center"/>
    </xf>
    <xf numFmtId="167" fontId="20" fillId="0" borderId="0" xfId="2" applyNumberFormat="1" applyFont="1" applyBorder="1" applyAlignment="1">
      <alignment horizontal="justify" vertical="center"/>
    </xf>
    <xf numFmtId="167" fontId="20" fillId="0" borderId="23" xfId="2" applyNumberFormat="1" applyFont="1" applyBorder="1" applyAlignment="1">
      <alignment horizontal="justify" vertical="center"/>
    </xf>
    <xf numFmtId="167" fontId="20" fillId="5" borderId="1" xfId="2" applyNumberFormat="1" applyFont="1" applyFill="1" applyBorder="1" applyAlignment="1">
      <alignment horizontal="center" vertical="center" wrapText="1"/>
    </xf>
    <xf numFmtId="167" fontId="18" fillId="10" borderId="29" xfId="2" applyNumberFormat="1" applyFont="1" applyFill="1" applyBorder="1" applyAlignment="1">
      <alignment vertical="center"/>
    </xf>
    <xf numFmtId="167" fontId="18" fillId="6" borderId="0" xfId="2" applyNumberFormat="1" applyFont="1" applyFill="1"/>
    <xf numFmtId="167" fontId="19" fillId="8" borderId="1" xfId="2" applyNumberFormat="1" applyFont="1" applyFill="1" applyBorder="1" applyAlignment="1">
      <alignment vertical="center" wrapText="1"/>
    </xf>
    <xf numFmtId="167" fontId="20" fillId="8" borderId="1" xfId="2" applyNumberFormat="1" applyFont="1" applyFill="1" applyBorder="1" applyAlignment="1">
      <alignment vertical="center" wrapText="1"/>
    </xf>
    <xf numFmtId="167" fontId="19" fillId="8" borderId="1" xfId="2" applyNumberFormat="1" applyFont="1" applyFill="1" applyBorder="1" applyAlignment="1">
      <alignment horizontal="center" vertical="center" wrapText="1"/>
    </xf>
    <xf numFmtId="167" fontId="19" fillId="8" borderId="2" xfId="2" applyNumberFormat="1" applyFont="1" applyFill="1" applyBorder="1" applyAlignment="1">
      <alignment horizontal="center" vertical="center" wrapText="1"/>
    </xf>
    <xf numFmtId="167" fontId="20" fillId="18" borderId="1" xfId="2" applyNumberFormat="1" applyFont="1" applyFill="1" applyBorder="1" applyAlignment="1">
      <alignment vertical="center" wrapText="1"/>
    </xf>
    <xf numFmtId="167" fontId="20" fillId="12" borderId="1" xfId="2" applyNumberFormat="1" applyFont="1" applyFill="1" applyBorder="1" applyAlignment="1">
      <alignment vertical="center" wrapText="1"/>
    </xf>
    <xf numFmtId="167" fontId="19" fillId="0" borderId="2" xfId="2" applyNumberFormat="1" applyFont="1" applyFill="1" applyBorder="1" applyAlignment="1">
      <alignment horizontal="center" vertical="center" wrapText="1"/>
    </xf>
    <xf numFmtId="167" fontId="20" fillId="0" borderId="1" xfId="2" applyNumberFormat="1" applyFont="1" applyBorder="1" applyAlignment="1">
      <alignment vertical="center" wrapText="1"/>
    </xf>
    <xf numFmtId="167" fontId="20" fillId="0" borderId="1" xfId="2" applyNumberFormat="1" applyFont="1" applyBorder="1" applyAlignment="1">
      <alignment horizontal="center" vertical="center" wrapText="1"/>
    </xf>
    <xf numFmtId="167" fontId="6" fillId="18" borderId="2" xfId="2" applyNumberFormat="1" applyFont="1" applyFill="1" applyBorder="1" applyAlignment="1">
      <alignment vertical="center" wrapText="1"/>
    </xf>
    <xf numFmtId="167" fontId="6" fillId="5" borderId="2" xfId="2" applyNumberFormat="1" applyFont="1" applyFill="1" applyBorder="1" applyAlignment="1">
      <alignment vertical="center" wrapText="1"/>
    </xf>
    <xf numFmtId="167" fontId="20" fillId="0" borderId="5" xfId="2" applyNumberFormat="1" applyFont="1" applyBorder="1" applyAlignment="1">
      <alignment vertical="center"/>
    </xf>
    <xf numFmtId="167" fontId="19" fillId="0" borderId="5" xfId="2" applyNumberFormat="1" applyFont="1" applyBorder="1" applyAlignment="1">
      <alignment vertical="center"/>
    </xf>
    <xf numFmtId="167" fontId="20" fillId="0" borderId="5" xfId="2" applyNumberFormat="1" applyFont="1" applyBorder="1" applyAlignment="1">
      <alignment vertical="center" wrapText="1"/>
    </xf>
    <xf numFmtId="167" fontId="7" fillId="5" borderId="1" xfId="2" applyNumberFormat="1" applyFont="1" applyFill="1" applyBorder="1" applyAlignment="1">
      <alignment vertical="center" wrapText="1"/>
    </xf>
    <xf numFmtId="167" fontId="6" fillId="5" borderId="1" xfId="2" applyNumberFormat="1" applyFont="1" applyFill="1" applyBorder="1" applyAlignment="1">
      <alignment vertical="center" wrapText="1"/>
    </xf>
    <xf numFmtId="167" fontId="7" fillId="5" borderId="1" xfId="2" applyNumberFormat="1" applyFont="1" applyFill="1" applyBorder="1" applyAlignment="1">
      <alignment horizontal="center" vertical="center" wrapText="1"/>
    </xf>
    <xf numFmtId="167" fontId="20" fillId="0" borderId="2" xfId="2" applyNumberFormat="1" applyFont="1" applyBorder="1" applyAlignment="1">
      <alignment vertical="center" wrapText="1"/>
    </xf>
    <xf numFmtId="167" fontId="19" fillId="14" borderId="1" xfId="2" applyNumberFormat="1" applyFont="1" applyFill="1" applyBorder="1" applyAlignment="1">
      <alignment vertical="center" wrapText="1"/>
    </xf>
    <xf numFmtId="167" fontId="20" fillId="14" borderId="1" xfId="2" applyNumberFormat="1" applyFont="1" applyFill="1" applyBorder="1" applyAlignment="1">
      <alignment vertical="center" wrapText="1"/>
    </xf>
    <xf numFmtId="167" fontId="19" fillId="14" borderId="1" xfId="2" applyNumberFormat="1" applyFont="1" applyFill="1" applyBorder="1" applyAlignment="1">
      <alignment horizontal="center" vertical="center" wrapText="1"/>
    </xf>
    <xf numFmtId="167" fontId="19" fillId="14" borderId="2" xfId="2" applyNumberFormat="1" applyFont="1" applyFill="1" applyBorder="1" applyAlignment="1">
      <alignment horizontal="center" vertical="center" wrapText="1"/>
    </xf>
    <xf numFmtId="167" fontId="7" fillId="19" borderId="1" xfId="2" applyNumberFormat="1" applyFont="1" applyFill="1" applyBorder="1" applyAlignment="1">
      <alignment horizontal="center" vertical="center" wrapText="1"/>
    </xf>
    <xf numFmtId="167" fontId="11" fillId="15" borderId="30" xfId="2" applyNumberFormat="1" applyFont="1" applyFill="1" applyBorder="1" applyAlignment="1">
      <alignment horizontal="center" vertical="center" wrapText="1"/>
    </xf>
    <xf numFmtId="167" fontId="18" fillId="0" borderId="0" xfId="2" applyNumberFormat="1" applyFont="1" applyFill="1" applyAlignment="1">
      <alignment horizontal="center"/>
    </xf>
    <xf numFmtId="167" fontId="18" fillId="0" borderId="0" xfId="2" applyNumberFormat="1" applyFont="1" applyFill="1"/>
    <xf numFmtId="167" fontId="10" fillId="20" borderId="5" xfId="2" applyNumberFormat="1" applyFont="1" applyFill="1" applyBorder="1" applyAlignment="1">
      <alignment horizontal="center" vertical="center" wrapText="1"/>
    </xf>
    <xf numFmtId="167" fontId="10" fillId="20" borderId="16" xfId="2" applyNumberFormat="1" applyFont="1" applyFill="1" applyBorder="1" applyAlignment="1">
      <alignment horizontal="center" vertical="center"/>
    </xf>
    <xf numFmtId="167" fontId="18" fillId="20" borderId="4" xfId="2" applyNumberFormat="1" applyFont="1" applyFill="1" applyBorder="1" applyAlignment="1">
      <alignment horizontal="center" vertical="center" wrapText="1"/>
    </xf>
    <xf numFmtId="167" fontId="10" fillId="20" borderId="17" xfId="2" applyNumberFormat="1" applyFont="1" applyFill="1" applyBorder="1" applyAlignment="1">
      <alignment horizontal="center" vertical="center" wrapText="1"/>
    </xf>
    <xf numFmtId="167" fontId="10" fillId="0" borderId="1" xfId="2" applyNumberFormat="1" applyFont="1" applyFill="1" applyBorder="1" applyAlignment="1">
      <alignment horizontal="center" vertical="center" wrapText="1"/>
    </xf>
    <xf numFmtId="167" fontId="10" fillId="0" borderId="17" xfId="2" applyNumberFormat="1" applyFont="1" applyFill="1" applyBorder="1" applyAlignment="1">
      <alignment horizontal="center" vertical="center" wrapText="1"/>
    </xf>
    <xf numFmtId="167" fontId="10" fillId="20" borderId="4" xfId="2" applyNumberFormat="1" applyFont="1" applyFill="1" applyBorder="1" applyAlignment="1">
      <alignment horizontal="center" vertical="center" wrapText="1"/>
    </xf>
    <xf numFmtId="167" fontId="10" fillId="20" borderId="18" xfId="2" applyNumberFormat="1" applyFont="1" applyFill="1" applyBorder="1" applyAlignment="1">
      <alignment horizontal="center" vertical="center" wrapText="1"/>
    </xf>
    <xf numFmtId="167" fontId="10" fillId="0" borderId="16" xfId="2" applyNumberFormat="1" applyFont="1" applyBorder="1" applyAlignment="1">
      <alignment horizontal="center" vertical="center"/>
    </xf>
    <xf numFmtId="167" fontId="18" fillId="0" borderId="4" xfId="2" applyNumberFormat="1" applyFont="1" applyFill="1" applyBorder="1" applyAlignment="1">
      <alignment horizontal="center" vertical="center"/>
    </xf>
    <xf numFmtId="167" fontId="10" fillId="0" borderId="17" xfId="2" applyNumberFormat="1" applyFont="1" applyFill="1" applyBorder="1" applyAlignment="1">
      <alignment horizontal="center" vertical="center"/>
    </xf>
    <xf numFmtId="167" fontId="10" fillId="7" borderId="1" xfId="2" applyNumberFormat="1" applyFont="1" applyFill="1" applyBorder="1" applyAlignment="1">
      <alignment horizontal="center" vertical="center"/>
    </xf>
    <xf numFmtId="167" fontId="10" fillId="7" borderId="17" xfId="2" applyNumberFormat="1" applyFont="1" applyFill="1" applyBorder="1" applyAlignment="1">
      <alignment horizontal="center" vertical="center"/>
    </xf>
    <xf numFmtId="167" fontId="18" fillId="0" borderId="0" xfId="2" applyNumberFormat="1" applyFont="1" applyAlignment="1">
      <alignment horizontal="left"/>
    </xf>
    <xf numFmtId="167" fontId="18" fillId="12" borderId="13" xfId="2" applyNumberFormat="1" applyFont="1" applyFill="1" applyBorder="1" applyAlignment="1">
      <alignment horizontal="right" vertical="center"/>
    </xf>
    <xf numFmtId="167" fontId="6" fillId="0" borderId="8" xfId="2" applyNumberFormat="1" applyFont="1" applyBorder="1" applyAlignment="1">
      <alignment vertical="center" wrapText="1"/>
    </xf>
    <xf numFmtId="167" fontId="18" fillId="18" borderId="31" xfId="2" applyNumberFormat="1" applyFont="1" applyFill="1" applyBorder="1" applyAlignment="1">
      <alignment vertical="center"/>
    </xf>
    <xf numFmtId="167" fontId="18" fillId="5" borderId="31" xfId="2" applyNumberFormat="1" applyFont="1" applyFill="1" applyBorder="1" applyAlignment="1">
      <alignment vertical="center"/>
    </xf>
    <xf numFmtId="167" fontId="18" fillId="12" borderId="31" xfId="2" applyNumberFormat="1" applyFont="1" applyFill="1" applyBorder="1" applyAlignment="1">
      <alignment horizontal="right" vertical="center"/>
    </xf>
    <xf numFmtId="167" fontId="18" fillId="18" borderId="32" xfId="2" applyNumberFormat="1" applyFont="1" applyFill="1" applyBorder="1" applyAlignment="1">
      <alignment vertical="center"/>
    </xf>
    <xf numFmtId="167" fontId="18" fillId="5" borderId="15" xfId="2" applyNumberFormat="1" applyFont="1" applyFill="1" applyBorder="1" applyAlignment="1">
      <alignment vertical="center"/>
    </xf>
    <xf numFmtId="167" fontId="18" fillId="12" borderId="15" xfId="2" applyNumberFormat="1" applyFont="1" applyFill="1" applyBorder="1" applyAlignment="1">
      <alignment horizontal="right" vertical="center"/>
    </xf>
    <xf numFmtId="167" fontId="18" fillId="0" borderId="33" xfId="2" applyNumberFormat="1" applyFont="1" applyFill="1" applyBorder="1" applyAlignment="1">
      <alignment horizontal="center" vertical="center"/>
    </xf>
    <xf numFmtId="167" fontId="20" fillId="12" borderId="2" xfId="2" applyNumberFormat="1" applyFont="1" applyFill="1" applyBorder="1" applyAlignment="1">
      <alignment vertical="center" wrapText="1"/>
    </xf>
    <xf numFmtId="167" fontId="18" fillId="18" borderId="15" xfId="2" applyNumberFormat="1" applyFont="1" applyFill="1" applyBorder="1" applyAlignment="1">
      <alignment vertical="center"/>
    </xf>
    <xf numFmtId="167" fontId="18" fillId="0" borderId="10" xfId="2" applyNumberFormat="1" applyFont="1" applyFill="1" applyBorder="1" applyAlignment="1">
      <alignment horizontal="center" vertical="center"/>
    </xf>
    <xf numFmtId="167" fontId="18" fillId="11" borderId="15" xfId="2" applyNumberFormat="1" applyFont="1" applyFill="1" applyBorder="1" applyAlignment="1">
      <alignment horizontal="right" vertical="center"/>
    </xf>
    <xf numFmtId="167" fontId="7" fillId="0" borderId="8" xfId="2" applyNumberFormat="1" applyFont="1" applyBorder="1" applyAlignment="1">
      <alignment horizontal="left" vertical="center" wrapText="1"/>
    </xf>
    <xf numFmtId="167" fontId="18" fillId="18" borderId="34" xfId="2" applyNumberFormat="1" applyFont="1" applyFill="1" applyBorder="1" applyAlignment="1">
      <alignment vertical="center"/>
    </xf>
    <xf numFmtId="167" fontId="18" fillId="12" borderId="34" xfId="2" applyNumberFormat="1" applyFont="1" applyFill="1" applyBorder="1" applyAlignment="1">
      <alignment horizontal="right" vertical="center"/>
    </xf>
    <xf numFmtId="167" fontId="7" fillId="0" borderId="1" xfId="2" applyNumberFormat="1" applyFont="1" applyBorder="1" applyAlignment="1">
      <alignment horizontal="left" vertical="center" wrapText="1"/>
    </xf>
    <xf numFmtId="167" fontId="18" fillId="5" borderId="35" xfId="2" applyNumberFormat="1" applyFont="1" applyFill="1" applyBorder="1" applyAlignment="1">
      <alignment vertical="center"/>
    </xf>
    <xf numFmtId="167" fontId="18" fillId="5" borderId="29" xfId="2" applyNumberFormat="1" applyFont="1" applyFill="1" applyBorder="1" applyAlignment="1">
      <alignment vertical="center"/>
    </xf>
    <xf numFmtId="167" fontId="18" fillId="5" borderId="36" xfId="2" applyNumberFormat="1" applyFont="1" applyFill="1" applyBorder="1" applyAlignment="1">
      <alignment vertical="center"/>
    </xf>
    <xf numFmtId="167" fontId="18" fillId="18" borderId="1" xfId="2" applyNumberFormat="1" applyFont="1" applyFill="1" applyBorder="1" applyAlignment="1">
      <alignment vertical="center"/>
    </xf>
    <xf numFmtId="167" fontId="18" fillId="18" borderId="8" xfId="2" applyNumberFormat="1" applyFont="1" applyFill="1" applyBorder="1" applyAlignment="1">
      <alignment vertical="center"/>
    </xf>
    <xf numFmtId="167" fontId="18" fillId="18" borderId="2" xfId="2" applyNumberFormat="1" applyFont="1" applyFill="1" applyBorder="1" applyAlignment="1">
      <alignment vertical="center"/>
    </xf>
    <xf numFmtId="167" fontId="18" fillId="5" borderId="37" xfId="2" applyNumberFormat="1" applyFont="1" applyFill="1" applyBorder="1" applyAlignment="1">
      <alignment vertical="center"/>
    </xf>
    <xf numFmtId="167" fontId="18" fillId="5" borderId="7" xfId="2" applyNumberFormat="1" applyFont="1" applyFill="1" applyBorder="1" applyAlignment="1">
      <alignment vertical="center"/>
    </xf>
    <xf numFmtId="167" fontId="18" fillId="5" borderId="38" xfId="2" applyNumberFormat="1" applyFont="1" applyFill="1" applyBorder="1" applyAlignment="1">
      <alignment vertical="center"/>
    </xf>
    <xf numFmtId="167" fontId="18" fillId="0" borderId="33" xfId="2" applyNumberFormat="1" applyFont="1" applyFill="1" applyBorder="1" applyAlignment="1" applyProtection="1">
      <alignment horizontal="center" vertical="center" wrapText="1"/>
      <protection locked="0"/>
    </xf>
    <xf numFmtId="167" fontId="18" fillId="0" borderId="0" xfId="2" applyNumberFormat="1" applyFont="1" applyFill="1" applyBorder="1" applyAlignment="1" applyProtection="1">
      <alignment horizontal="center" vertical="center" wrapText="1"/>
      <protection locked="0"/>
    </xf>
    <xf numFmtId="167" fontId="18" fillId="0" borderId="28" xfId="2" applyNumberFormat="1" applyFont="1" applyFill="1" applyBorder="1" applyAlignment="1" applyProtection="1">
      <alignment horizontal="center" vertical="center" wrapText="1"/>
      <protection locked="0"/>
    </xf>
    <xf numFmtId="167" fontId="18" fillId="12" borderId="1" xfId="2" applyNumberFormat="1" applyFont="1" applyFill="1" applyBorder="1" applyAlignment="1">
      <alignment vertical="center"/>
    </xf>
    <xf numFmtId="167" fontId="18" fillId="12" borderId="8" xfId="2" applyNumberFormat="1" applyFont="1" applyFill="1" applyBorder="1" applyAlignment="1">
      <alignment vertical="center"/>
    </xf>
    <xf numFmtId="167" fontId="18" fillId="12" borderId="2" xfId="2" applyNumberFormat="1" applyFont="1" applyFill="1" applyBorder="1" applyAlignment="1">
      <alignment vertical="center"/>
    </xf>
    <xf numFmtId="167" fontId="18" fillId="5" borderId="14" xfId="2" applyNumberFormat="1" applyFont="1" applyFill="1" applyBorder="1" applyAlignment="1">
      <alignment vertical="center"/>
    </xf>
    <xf numFmtId="167" fontId="18" fillId="12" borderId="39" xfId="2" applyNumberFormat="1" applyFont="1" applyFill="1" applyBorder="1" applyAlignment="1">
      <alignment vertical="center"/>
    </xf>
    <xf numFmtId="167" fontId="18" fillId="12" borderId="40" xfId="2" applyNumberFormat="1" applyFont="1" applyFill="1" applyBorder="1" applyAlignment="1">
      <alignment vertical="center"/>
    </xf>
    <xf numFmtId="167" fontId="18" fillId="12" borderId="41" xfId="2" applyNumberFormat="1" applyFont="1" applyFill="1" applyBorder="1" applyAlignment="1">
      <alignment vertical="center"/>
    </xf>
    <xf numFmtId="167" fontId="18" fillId="0" borderId="42" xfId="2" applyNumberFormat="1" applyFont="1" applyFill="1" applyBorder="1" applyAlignment="1" applyProtection="1">
      <alignment horizontal="center" vertical="center" wrapText="1"/>
      <protection locked="0"/>
    </xf>
    <xf numFmtId="167" fontId="18" fillId="5" borderId="24" xfId="2" applyNumberFormat="1" applyFont="1" applyFill="1" applyBorder="1" applyAlignment="1">
      <alignment vertical="center"/>
    </xf>
    <xf numFmtId="167" fontId="18" fillId="18" borderId="40" xfId="2" applyNumberFormat="1" applyFont="1" applyFill="1" applyBorder="1" applyAlignment="1">
      <alignment vertical="center"/>
    </xf>
    <xf numFmtId="167" fontId="18" fillId="18" borderId="41" xfId="2" applyNumberFormat="1" applyFont="1" applyFill="1" applyBorder="1" applyAlignment="1">
      <alignment vertical="center"/>
    </xf>
    <xf numFmtId="167" fontId="10" fillId="16" borderId="1" xfId="2" applyNumberFormat="1" applyFont="1" applyFill="1" applyBorder="1" applyAlignment="1">
      <alignment horizontal="center" vertical="center"/>
    </xf>
    <xf numFmtId="0" fontId="19" fillId="9" borderId="1" xfId="2" applyNumberFormat="1" applyFont="1" applyFill="1" applyBorder="1" applyAlignment="1">
      <alignment horizontal="center" vertical="center" wrapText="1"/>
    </xf>
    <xf numFmtId="0" fontId="18" fillId="12" borderId="11" xfId="2" applyNumberFormat="1" applyFont="1" applyFill="1" applyBorder="1" applyAlignment="1">
      <alignment horizontal="right" vertical="center"/>
    </xf>
    <xf numFmtId="0" fontId="18" fillId="18" borderId="39" xfId="2" applyNumberFormat="1" applyFont="1" applyFill="1" applyBorder="1" applyAlignment="1">
      <alignment horizontal="right" vertical="center"/>
    </xf>
    <xf numFmtId="0" fontId="18" fillId="0" borderId="1" xfId="2" applyNumberFormat="1" applyFont="1" applyFill="1" applyBorder="1" applyAlignment="1">
      <alignment horizontal="center" vertical="center"/>
    </xf>
    <xf numFmtId="4" fontId="18" fillId="5" borderId="24" xfId="2" applyNumberFormat="1" applyFont="1" applyFill="1" applyBorder="1" applyAlignment="1">
      <alignment horizontal="right" vertical="center"/>
    </xf>
    <xf numFmtId="0" fontId="18" fillId="18" borderId="11" xfId="2" applyNumberFormat="1" applyFont="1" applyFill="1" applyBorder="1" applyAlignment="1">
      <alignment vertical="center"/>
    </xf>
    <xf numFmtId="168" fontId="0" fillId="0" borderId="0" xfId="0" applyNumberFormat="1"/>
    <xf numFmtId="9" fontId="0" fillId="0" borderId="0" xfId="4" applyFont="1"/>
    <xf numFmtId="0" fontId="13" fillId="0" borderId="23" xfId="2" applyNumberFormat="1" applyFont="1" applyBorder="1" applyAlignment="1">
      <alignment vertical="top" wrapText="1"/>
    </xf>
    <xf numFmtId="0" fontId="0" fillId="6" borderId="0" xfId="0" applyFill="1" applyBorder="1"/>
    <xf numFmtId="10" fontId="8" fillId="6" borderId="0" xfId="4" applyNumberFormat="1" applyFont="1" applyFill="1" applyBorder="1" applyAlignment="1">
      <alignment horizontal="center" vertical="center"/>
    </xf>
    <xf numFmtId="168" fontId="8" fillId="6" borderId="0" xfId="4" applyNumberFormat="1" applyFont="1" applyFill="1" applyBorder="1" applyAlignment="1">
      <alignment horizontal="center" vertical="center"/>
    </xf>
    <xf numFmtId="9" fontId="8" fillId="6" borderId="0" xfId="4" applyFont="1" applyFill="1" applyBorder="1" applyAlignment="1">
      <alignment horizontal="center" vertical="center"/>
    </xf>
    <xf numFmtId="9" fontId="8" fillId="6" borderId="0" xfId="4" applyFont="1" applyFill="1" applyBorder="1"/>
    <xf numFmtId="0" fontId="18" fillId="0" borderId="0" xfId="2" applyNumberFormat="1" applyFont="1"/>
    <xf numFmtId="0" fontId="20" fillId="0" borderId="20" xfId="2" applyNumberFormat="1" applyFont="1" applyFill="1" applyBorder="1" applyAlignment="1">
      <alignment vertical="center" wrapText="1"/>
    </xf>
    <xf numFmtId="0" fontId="10" fillId="3" borderId="22" xfId="2" applyNumberFormat="1" applyFont="1" applyFill="1" applyBorder="1" applyAlignment="1">
      <alignment horizontal="center"/>
    </xf>
    <xf numFmtId="0" fontId="20" fillId="0" borderId="22" xfId="2" applyNumberFormat="1" applyFont="1" applyBorder="1" applyAlignment="1">
      <alignment horizontal="left" vertical="center" wrapText="1"/>
    </xf>
    <xf numFmtId="0" fontId="20" fillId="0" borderId="25" xfId="2" applyNumberFormat="1" applyFont="1" applyBorder="1" applyAlignment="1">
      <alignment horizontal="left" vertical="center" wrapText="1"/>
    </xf>
    <xf numFmtId="0" fontId="19" fillId="5" borderId="1" xfId="2" applyNumberFormat="1" applyFont="1" applyFill="1" applyBorder="1" applyAlignment="1">
      <alignment vertical="center" wrapText="1"/>
    </xf>
    <xf numFmtId="0" fontId="20" fillId="0" borderId="1" xfId="2" applyNumberFormat="1" applyFont="1" applyBorder="1" applyAlignment="1">
      <alignment horizontal="left" vertical="center" wrapText="1"/>
    </xf>
    <xf numFmtId="0" fontId="6" fillId="0" borderId="1" xfId="2" applyNumberFormat="1" applyFont="1" applyBorder="1" applyAlignment="1">
      <alignment horizontal="left" vertical="center" wrapText="1"/>
    </xf>
    <xf numFmtId="0" fontId="20" fillId="6" borderId="1" xfId="2" applyNumberFormat="1" applyFont="1" applyFill="1" applyBorder="1" applyAlignment="1">
      <alignment vertical="center" wrapText="1"/>
    </xf>
    <xf numFmtId="0" fontId="20" fillId="9" borderId="1" xfId="2" applyNumberFormat="1" applyFont="1" applyFill="1" applyBorder="1" applyAlignment="1">
      <alignment vertical="center" wrapText="1"/>
    </xf>
    <xf numFmtId="0" fontId="19" fillId="8" borderId="1" xfId="2" applyNumberFormat="1" applyFont="1" applyFill="1" applyBorder="1" applyAlignment="1">
      <alignment vertical="center" wrapText="1"/>
    </xf>
    <xf numFmtId="0" fontId="19" fillId="5" borderId="4" xfId="2" applyNumberFormat="1" applyFont="1" applyFill="1" applyBorder="1" applyAlignment="1">
      <alignment vertical="center" wrapText="1"/>
    </xf>
    <xf numFmtId="0" fontId="19" fillId="0" borderId="22" xfId="2" applyNumberFormat="1" applyFont="1" applyBorder="1" applyAlignment="1">
      <alignment vertical="center" wrapText="1"/>
    </xf>
    <xf numFmtId="0" fontId="19" fillId="5" borderId="2" xfId="2" applyNumberFormat="1" applyFont="1" applyFill="1" applyBorder="1" applyAlignment="1">
      <alignment vertical="center" wrapText="1"/>
    </xf>
    <xf numFmtId="0" fontId="20" fillId="0" borderId="1" xfId="2" applyNumberFormat="1" applyFont="1" applyBorder="1" applyAlignment="1">
      <alignment vertical="center" wrapText="1"/>
    </xf>
    <xf numFmtId="0" fontId="18" fillId="14" borderId="1" xfId="2" applyNumberFormat="1" applyFont="1" applyFill="1" applyBorder="1"/>
    <xf numFmtId="0" fontId="18" fillId="0" borderId="11" xfId="2" applyNumberFormat="1" applyFont="1" applyBorder="1" applyAlignment="1" applyProtection="1">
      <alignment horizontal="left" wrapText="1"/>
      <protection locked="0"/>
    </xf>
    <xf numFmtId="166" fontId="14" fillId="7" borderId="3" xfId="1" applyFont="1" applyFill="1" applyBorder="1" applyAlignment="1">
      <alignment horizontal="right" vertical="center" wrapText="1"/>
    </xf>
    <xf numFmtId="0" fontId="10" fillId="0" borderId="0" xfId="0" applyFont="1" applyAlignment="1">
      <alignment horizontal="center" wrapText="1"/>
    </xf>
    <xf numFmtId="0" fontId="0" fillId="3" borderId="4" xfId="0" applyFill="1" applyBorder="1" applyAlignment="1">
      <alignment horizontal="center" vertical="center" wrapText="1"/>
    </xf>
    <xf numFmtId="0" fontId="0" fillId="3" borderId="8" xfId="0"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11" fillId="21" borderId="54" xfId="0" applyFont="1" applyFill="1" applyBorder="1" applyAlignment="1">
      <alignment horizontal="center" vertical="center" wrapText="1"/>
    </xf>
    <xf numFmtId="0" fontId="11" fillId="21" borderId="55"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0" fillId="19" borderId="5" xfId="0" applyFill="1" applyBorder="1" applyAlignment="1">
      <alignment horizontal="center"/>
    </xf>
    <xf numFmtId="0" fontId="0" fillId="19" borderId="33" xfId="0" applyFill="1" applyBorder="1" applyAlignment="1">
      <alignment horizontal="center"/>
    </xf>
    <xf numFmtId="0" fontId="0" fillId="19" borderId="10" xfId="0" applyFill="1" applyBorder="1" applyAlignment="1">
      <alignment horizontal="center"/>
    </xf>
    <xf numFmtId="0" fontId="11" fillId="21" borderId="59" xfId="0" applyFont="1" applyFill="1" applyBorder="1" applyAlignment="1">
      <alignment horizontal="center" vertical="center" wrapText="1"/>
    </xf>
    <xf numFmtId="167" fontId="19" fillId="0" borderId="0" xfId="2" applyNumberFormat="1" applyFont="1" applyAlignment="1">
      <alignment horizontal="center" vertical="center"/>
    </xf>
    <xf numFmtId="167" fontId="18" fillId="10" borderId="0" xfId="2" applyNumberFormat="1" applyFont="1" applyFill="1" applyAlignment="1">
      <alignment horizontal="center" vertical="center"/>
    </xf>
    <xf numFmtId="167" fontId="20" fillId="0" borderId="1" xfId="2" applyNumberFormat="1" applyFont="1" applyBorder="1" applyAlignment="1">
      <alignment horizontal="center" vertical="center" wrapText="1"/>
    </xf>
    <xf numFmtId="167" fontId="18" fillId="10" borderId="18" xfId="2" applyNumberFormat="1" applyFont="1" applyFill="1" applyBorder="1" applyAlignment="1">
      <alignment horizontal="center" vertical="center"/>
    </xf>
    <xf numFmtId="167" fontId="18" fillId="10" borderId="44" xfId="2" applyNumberFormat="1" applyFont="1" applyFill="1" applyBorder="1" applyAlignment="1">
      <alignment horizontal="center" vertical="center"/>
    </xf>
    <xf numFmtId="167" fontId="18" fillId="10" borderId="3" xfId="2" applyNumberFormat="1" applyFont="1" applyFill="1" applyBorder="1" applyAlignment="1">
      <alignment horizontal="center" vertical="center"/>
    </xf>
    <xf numFmtId="167" fontId="20" fillId="5" borderId="5" xfId="2" applyNumberFormat="1" applyFont="1" applyFill="1" applyBorder="1" applyAlignment="1">
      <alignment horizontal="left" vertical="center" wrapText="1"/>
    </xf>
    <xf numFmtId="167" fontId="20" fillId="5" borderId="10" xfId="2" applyNumberFormat="1" applyFont="1" applyFill="1" applyBorder="1" applyAlignment="1">
      <alignment horizontal="left" vertical="center" wrapText="1"/>
    </xf>
    <xf numFmtId="167" fontId="20" fillId="5" borderId="5" xfId="2" applyNumberFormat="1" applyFont="1" applyFill="1" applyBorder="1" applyAlignment="1">
      <alignment horizontal="center" vertical="center" wrapText="1"/>
    </xf>
    <xf numFmtId="167" fontId="20" fillId="5" borderId="10" xfId="2" applyNumberFormat="1" applyFont="1" applyFill="1" applyBorder="1" applyAlignment="1">
      <alignment horizontal="center" vertical="center" wrapText="1"/>
    </xf>
    <xf numFmtId="167" fontId="19" fillId="9" borderId="5" xfId="2" applyNumberFormat="1" applyFont="1" applyFill="1" applyBorder="1" applyAlignment="1">
      <alignment horizontal="center" vertical="center" wrapText="1"/>
    </xf>
    <xf numFmtId="167" fontId="19" fillId="9" borderId="10" xfId="2" applyNumberFormat="1" applyFont="1" applyFill="1" applyBorder="1" applyAlignment="1">
      <alignment horizontal="center" vertical="center" wrapText="1"/>
    </xf>
    <xf numFmtId="167" fontId="19" fillId="8" borderId="5" xfId="2" applyNumberFormat="1" applyFont="1" applyFill="1" applyBorder="1" applyAlignment="1">
      <alignment horizontal="center" vertical="center" wrapText="1"/>
    </xf>
    <xf numFmtId="167" fontId="19" fillId="8" borderId="10" xfId="2" applyNumberFormat="1" applyFont="1" applyFill="1" applyBorder="1" applyAlignment="1">
      <alignment horizontal="center" vertical="center" wrapText="1"/>
    </xf>
    <xf numFmtId="167" fontId="18" fillId="10" borderId="4" xfId="2" applyNumberFormat="1" applyFont="1" applyFill="1" applyBorder="1" applyAlignment="1">
      <alignment horizontal="center" vertical="center"/>
    </xf>
    <xf numFmtId="167" fontId="18" fillId="10" borderId="8" xfId="2" applyNumberFormat="1" applyFont="1" applyFill="1" applyBorder="1" applyAlignment="1">
      <alignment horizontal="center" vertical="center"/>
    </xf>
    <xf numFmtId="167" fontId="18" fillId="10" borderId="2" xfId="2" applyNumberFormat="1" applyFont="1" applyFill="1" applyBorder="1" applyAlignment="1">
      <alignment horizontal="center" vertical="center"/>
    </xf>
    <xf numFmtId="167" fontId="19" fillId="5" borderId="5" xfId="2" applyNumberFormat="1" applyFont="1" applyFill="1" applyBorder="1" applyAlignment="1">
      <alignment horizontal="center" vertical="center" wrapText="1"/>
    </xf>
    <xf numFmtId="167" fontId="19" fillId="5" borderId="10" xfId="2" applyNumberFormat="1" applyFont="1" applyFill="1" applyBorder="1" applyAlignment="1">
      <alignment horizontal="center" vertical="center" wrapText="1"/>
    </xf>
    <xf numFmtId="167" fontId="20" fillId="0" borderId="4" xfId="2" applyNumberFormat="1" applyFont="1" applyBorder="1" applyAlignment="1">
      <alignment horizontal="left" vertical="top" wrapText="1"/>
    </xf>
    <xf numFmtId="167" fontId="20" fillId="0" borderId="8" xfId="2" applyNumberFormat="1" applyFont="1" applyBorder="1" applyAlignment="1">
      <alignment horizontal="left" vertical="top" wrapText="1"/>
    </xf>
    <xf numFmtId="167" fontId="20" fillId="0" borderId="2" xfId="2" applyNumberFormat="1" applyFont="1" applyBorder="1" applyAlignment="1">
      <alignment horizontal="left" vertical="top" wrapText="1"/>
    </xf>
    <xf numFmtId="167" fontId="20" fillId="0" borderId="1" xfId="2" applyNumberFormat="1" applyFont="1" applyBorder="1" applyAlignment="1">
      <alignment horizontal="left" vertical="center" wrapText="1"/>
    </xf>
    <xf numFmtId="167" fontId="19" fillId="15" borderId="43" xfId="2" applyNumberFormat="1" applyFont="1" applyFill="1" applyBorder="1" applyAlignment="1">
      <alignment horizontal="left" vertical="center" wrapText="1"/>
    </xf>
    <xf numFmtId="167" fontId="19" fillId="15" borderId="11" xfId="2" applyNumberFormat="1" applyFont="1" applyFill="1" applyBorder="1" applyAlignment="1">
      <alignment horizontal="left" vertical="center" wrapText="1"/>
    </xf>
    <xf numFmtId="167" fontId="19" fillId="15" borderId="22" xfId="2" applyNumberFormat="1" applyFont="1" applyFill="1" applyBorder="1" applyAlignment="1">
      <alignment horizontal="left" vertical="center" wrapText="1"/>
    </xf>
    <xf numFmtId="167" fontId="20" fillId="0" borderId="39" xfId="2" applyNumberFormat="1" applyFont="1" applyBorder="1" applyAlignment="1">
      <alignment horizontal="left" vertical="top" wrapText="1"/>
    </xf>
    <xf numFmtId="167" fontId="20" fillId="0" borderId="40" xfId="2" applyNumberFormat="1" applyFont="1" applyBorder="1" applyAlignment="1">
      <alignment horizontal="left" vertical="top" wrapText="1"/>
    </xf>
    <xf numFmtId="167" fontId="20" fillId="0" borderId="41" xfId="2" applyNumberFormat="1" applyFont="1" applyBorder="1" applyAlignment="1">
      <alignment horizontal="left" vertical="top" wrapText="1"/>
    </xf>
    <xf numFmtId="167" fontId="20" fillId="0" borderId="16" xfId="2" applyNumberFormat="1" applyFont="1" applyBorder="1" applyAlignment="1">
      <alignment horizontal="left" vertical="center" wrapText="1"/>
    </xf>
    <xf numFmtId="167" fontId="20" fillId="0" borderId="9" xfId="2" applyNumberFormat="1" applyFont="1" applyBorder="1" applyAlignment="1">
      <alignment horizontal="left" vertical="center" wrapText="1"/>
    </xf>
    <xf numFmtId="167" fontId="19" fillId="15" borderId="5" xfId="2" applyNumberFormat="1" applyFont="1" applyFill="1" applyBorder="1" applyAlignment="1">
      <alignment horizontal="left" vertical="center" wrapText="1"/>
    </xf>
    <xf numFmtId="167" fontId="19" fillId="15" borderId="33" xfId="2" applyNumberFormat="1" applyFont="1" applyFill="1" applyBorder="1" applyAlignment="1">
      <alignment horizontal="left" vertical="center" wrapText="1"/>
    </xf>
    <xf numFmtId="167" fontId="19" fillId="15" borderId="10" xfId="2" applyNumberFormat="1" applyFont="1" applyFill="1" applyBorder="1" applyAlignment="1">
      <alignment horizontal="left" vertical="center" wrapText="1"/>
    </xf>
    <xf numFmtId="167" fontId="20" fillId="0" borderId="16" xfId="2" applyNumberFormat="1" applyFont="1" applyBorder="1" applyAlignment="1">
      <alignment horizontal="left" vertical="top" wrapText="1"/>
    </xf>
    <xf numFmtId="167" fontId="20" fillId="0" borderId="9" xfId="2" applyNumberFormat="1" applyFont="1" applyBorder="1" applyAlignment="1">
      <alignment horizontal="left" vertical="top" wrapText="1"/>
    </xf>
    <xf numFmtId="167" fontId="18" fillId="0" borderId="5" xfId="2" applyNumberFormat="1" applyFont="1" applyFill="1" applyBorder="1" applyAlignment="1">
      <alignment horizontal="center" vertical="center"/>
    </xf>
    <xf numFmtId="167" fontId="18" fillId="0" borderId="10" xfId="2" applyNumberFormat="1" applyFont="1" applyFill="1" applyBorder="1" applyAlignment="1">
      <alignment horizontal="center" vertical="center"/>
    </xf>
    <xf numFmtId="167" fontId="10" fillId="7" borderId="5" xfId="2" applyNumberFormat="1" applyFont="1" applyFill="1" applyBorder="1" applyAlignment="1">
      <alignment horizontal="center" vertical="center"/>
    </xf>
    <xf numFmtId="167" fontId="10" fillId="7" borderId="10" xfId="2" applyNumberFormat="1" applyFont="1" applyFill="1" applyBorder="1" applyAlignment="1">
      <alignment horizontal="center" vertical="center"/>
    </xf>
    <xf numFmtId="167" fontId="10" fillId="16" borderId="5" xfId="2" applyNumberFormat="1" applyFont="1" applyFill="1" applyBorder="1" applyAlignment="1">
      <alignment horizontal="center" vertical="center"/>
    </xf>
    <xf numFmtId="167" fontId="10" fillId="16" borderId="10" xfId="2" applyNumberFormat="1" applyFont="1" applyFill="1" applyBorder="1" applyAlignment="1">
      <alignment horizontal="center" vertical="center"/>
    </xf>
    <xf numFmtId="167" fontId="10" fillId="20" borderId="5" xfId="2" applyNumberFormat="1" applyFont="1" applyFill="1" applyBorder="1" applyAlignment="1">
      <alignment horizontal="center" vertical="center" wrapText="1"/>
    </xf>
    <xf numFmtId="167" fontId="10" fillId="20" borderId="10" xfId="2" applyNumberFormat="1" applyFont="1" applyFill="1" applyBorder="1" applyAlignment="1">
      <alignment horizontal="center" vertical="center" wrapText="1"/>
    </xf>
    <xf numFmtId="167" fontId="18" fillId="0" borderId="16" xfId="2" applyNumberFormat="1" applyFont="1" applyFill="1" applyBorder="1" applyAlignment="1">
      <alignment horizontal="center" vertical="center"/>
    </xf>
    <xf numFmtId="167" fontId="18" fillId="0" borderId="18" xfId="2" applyNumberFormat="1" applyFont="1" applyFill="1" applyBorder="1" applyAlignment="1">
      <alignment horizontal="center" vertical="center"/>
    </xf>
    <xf numFmtId="167" fontId="10" fillId="0" borderId="5" xfId="2" applyNumberFormat="1" applyFont="1" applyBorder="1" applyAlignment="1">
      <alignment horizontal="center"/>
    </xf>
    <xf numFmtId="167" fontId="10" fillId="0" borderId="33" xfId="2" applyNumberFormat="1" applyFont="1" applyBorder="1" applyAlignment="1">
      <alignment horizontal="center"/>
    </xf>
    <xf numFmtId="167" fontId="10" fillId="0" borderId="10" xfId="2" applyNumberFormat="1" applyFont="1" applyBorder="1" applyAlignment="1">
      <alignment horizontal="center"/>
    </xf>
    <xf numFmtId="167" fontId="19" fillId="8" borderId="5" xfId="2" applyNumberFormat="1" applyFont="1" applyFill="1" applyBorder="1" applyAlignment="1">
      <alignment horizontal="left" vertical="center" wrapText="1"/>
    </xf>
    <xf numFmtId="167" fontId="19" fillId="8" borderId="10" xfId="2" applyNumberFormat="1" applyFont="1" applyFill="1" applyBorder="1" applyAlignment="1">
      <alignment horizontal="left" vertical="center" wrapText="1"/>
    </xf>
    <xf numFmtId="167" fontId="20" fillId="0" borderId="5" xfId="2" applyNumberFormat="1" applyFont="1" applyBorder="1" applyAlignment="1">
      <alignment horizontal="left" vertical="center" wrapText="1"/>
    </xf>
    <xf numFmtId="167" fontId="20" fillId="0" borderId="10" xfId="2" applyNumberFormat="1" applyFont="1" applyBorder="1" applyAlignment="1">
      <alignment horizontal="left" vertical="center" wrapText="1"/>
    </xf>
    <xf numFmtId="167" fontId="19" fillId="14" borderId="5" xfId="2" applyNumberFormat="1" applyFont="1" applyFill="1" applyBorder="1" applyAlignment="1">
      <alignment horizontal="left" vertical="center" wrapText="1"/>
    </xf>
    <xf numFmtId="167" fontId="19" fillId="14" borderId="10" xfId="2" applyNumberFormat="1" applyFont="1" applyFill="1" applyBorder="1" applyAlignment="1">
      <alignment horizontal="left" vertical="center" wrapText="1"/>
    </xf>
  </cellXfs>
  <cellStyles count="5">
    <cellStyle name="Milliers" xfId="1" builtinId="3"/>
    <cellStyle name="Milliers [0]" xfId="2" builtinId="6"/>
    <cellStyle name="Monétaire" xfId="3" builtinId="4"/>
    <cellStyle name="Normal" xfId="0" builtinId="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topLeftCell="A22" zoomScale="90" zoomScaleNormal="90" workbookViewId="0">
      <selection activeCell="I5" sqref="I5"/>
    </sheetView>
  </sheetViews>
  <sheetFormatPr baseColWidth="10" defaultColWidth="9.1796875" defaultRowHeight="14.5" x14ac:dyDescent="0.35"/>
  <cols>
    <col min="1" max="1" width="33.81640625" customWidth="1"/>
    <col min="2" max="2" width="15.81640625" customWidth="1"/>
    <col min="3" max="3" width="16.1796875" customWidth="1"/>
    <col min="4" max="4" width="14.453125" customWidth="1"/>
    <col min="5" max="5" width="19.1796875" customWidth="1"/>
    <col min="6" max="6" width="12.54296875" customWidth="1"/>
    <col min="7" max="7" width="13.453125" customWidth="1"/>
    <col min="8" max="8" width="17" customWidth="1"/>
    <col min="9" max="9" width="14.90625" customWidth="1"/>
    <col min="10" max="10" width="12" bestFit="1" customWidth="1"/>
  </cols>
  <sheetData>
    <row r="1" spans="1:10" ht="35" customHeight="1" x14ac:dyDescent="0.35">
      <c r="A1" s="275" t="s">
        <v>137</v>
      </c>
      <c r="B1" s="275"/>
      <c r="C1" s="275"/>
      <c r="D1" s="275"/>
      <c r="E1" s="275"/>
      <c r="F1" s="275"/>
      <c r="G1" s="275"/>
      <c r="H1" s="275"/>
    </row>
    <row r="2" spans="1:10" x14ac:dyDescent="0.35">
      <c r="A2" s="3"/>
      <c r="B2" s="3"/>
      <c r="C2" s="3"/>
      <c r="D2" s="3"/>
    </row>
    <row r="3" spans="1:10" x14ac:dyDescent="0.35">
      <c r="A3" s="3" t="s">
        <v>24</v>
      </c>
      <c r="B3" s="3"/>
      <c r="C3" s="3"/>
      <c r="D3" s="3"/>
    </row>
    <row r="4" spans="1:10" ht="14" customHeight="1" thickBot="1" x14ac:dyDescent="0.4"/>
    <row r="5" spans="1:10" ht="37.25" customHeight="1" thickBot="1" x14ac:dyDescent="0.4">
      <c r="A5" s="280" t="s">
        <v>25</v>
      </c>
      <c r="B5" s="282" t="s">
        <v>26</v>
      </c>
      <c r="C5" s="284" t="s">
        <v>81</v>
      </c>
      <c r="D5" s="285"/>
      <c r="E5" s="284" t="s">
        <v>122</v>
      </c>
      <c r="F5" s="285"/>
      <c r="G5" s="284" t="s">
        <v>123</v>
      </c>
      <c r="H5" s="289"/>
    </row>
    <row r="6" spans="1:10" ht="31.5" thickBot="1" x14ac:dyDescent="0.4">
      <c r="A6" s="281"/>
      <c r="B6" s="283"/>
      <c r="C6" s="47" t="s">
        <v>27</v>
      </c>
      <c r="D6" s="47" t="s">
        <v>28</v>
      </c>
      <c r="E6" s="47" t="s">
        <v>27</v>
      </c>
      <c r="F6" s="4" t="s">
        <v>28</v>
      </c>
      <c r="G6" s="4" t="s">
        <v>27</v>
      </c>
      <c r="H6" s="41" t="s">
        <v>28</v>
      </c>
    </row>
    <row r="7" spans="1:10" ht="16" thickBot="1" x14ac:dyDescent="0.4">
      <c r="A7" s="35" t="s">
        <v>29</v>
      </c>
      <c r="B7" s="11">
        <v>38000</v>
      </c>
      <c r="C7" s="5">
        <v>0</v>
      </c>
      <c r="D7" s="49">
        <v>0</v>
      </c>
      <c r="E7" s="48">
        <f>B7*70%</f>
        <v>26600</v>
      </c>
      <c r="F7" s="6">
        <f>B7*30%</f>
        <v>11400</v>
      </c>
      <c r="G7" s="5">
        <v>0</v>
      </c>
      <c r="H7" s="42"/>
      <c r="I7" s="51"/>
      <c r="J7" s="30"/>
    </row>
    <row r="8" spans="1:10" ht="16" thickBot="1" x14ac:dyDescent="0.4">
      <c r="A8" s="46" t="s">
        <v>30</v>
      </c>
      <c r="B8" s="11">
        <v>20000</v>
      </c>
      <c r="C8" s="50">
        <f>+'PAR RESULTAT TAXI-MOTO 14-06-21'!D48</f>
        <v>10000</v>
      </c>
      <c r="D8" s="50">
        <v>3000</v>
      </c>
      <c r="E8" s="10">
        <f>+'PAR RESULTAT TAXI-MOTO 14-06-21'!E48</f>
        <v>5000</v>
      </c>
      <c r="F8" s="6">
        <v>2000</v>
      </c>
      <c r="G8" s="8">
        <f>5000*70%</f>
        <v>3500</v>
      </c>
      <c r="H8" s="8">
        <f>5000*30%</f>
        <v>1500</v>
      </c>
      <c r="I8" s="51"/>
      <c r="J8" s="54"/>
    </row>
    <row r="9" spans="1:10" ht="26.5" thickBot="1" x14ac:dyDescent="0.4">
      <c r="A9" s="35" t="s">
        <v>31</v>
      </c>
      <c r="B9" s="11">
        <v>123000</v>
      </c>
      <c r="C9" s="50">
        <f>+'PAR RESULTAT TAXI-MOTO 14-06-21'!D18+'PAR RESULTAT TAXI-MOTO 14-06-21'!D50</f>
        <v>30000</v>
      </c>
      <c r="D9" s="50">
        <v>7000</v>
      </c>
      <c r="E9" s="10">
        <f>+'PAR RESULTAT TAXI-MOTO 14-06-21'!E36+'PAR RESULTAT TAXI-MOTO 14-06-21'!E50</f>
        <v>53000</v>
      </c>
      <c r="F9" s="6">
        <v>24000</v>
      </c>
      <c r="G9" s="8">
        <f>10000*70%</f>
        <v>7000</v>
      </c>
      <c r="H9" s="8">
        <f>10000*30%</f>
        <v>3000</v>
      </c>
      <c r="I9" s="51"/>
      <c r="J9" s="54"/>
    </row>
    <row r="10" spans="1:10" ht="16" thickBot="1" x14ac:dyDescent="0.4">
      <c r="A10" s="43" t="s">
        <v>32</v>
      </c>
      <c r="B10" s="11">
        <v>834000</v>
      </c>
      <c r="C10" s="50">
        <f>+'PAR RESULTAT TAXI-MOTO 14-06-21'!D44+'PAR RESULTAT TAXI-MOTO 14-06-21'!D41+'PAR RESULTAT TAXI-MOTO 14-06-21'!D40+'PAR RESULTAT TAXI-MOTO 14-06-21'!D30+'PAR RESULTAT TAXI-MOTO 14-06-21'!D27+'PAR RESULTAT TAXI-MOTO 14-06-21'!D19+'PAR RESULTAT TAXI-MOTO 14-06-21'!D13+'PAR RESULTAT TAXI-MOTO 14-06-21'!D12+'PAR RESULTAT TAXI-MOTO 14-06-21'!D11+'PAR RESULTAT TAXI-MOTO 14-06-21'!D8+'PAR RESULTAT TAXI-MOTO 14-06-21'!D6</f>
        <v>319000</v>
      </c>
      <c r="D10" s="50">
        <v>111000</v>
      </c>
      <c r="E10" s="10">
        <f>+'PAR RESULTAT TAXI-MOTO 14-06-21'!E26+'PAR RESULTAT TAXI-MOTO 14-06-21'!E28+'PAR RESULTAT TAXI-MOTO 14-06-21'!E29+'PAR RESULTAT TAXI-MOTO 14-06-21'!E33+'PAR RESULTAT TAXI-MOTO 14-06-21'!E34</f>
        <v>187000</v>
      </c>
      <c r="F10" s="6">
        <v>25372</v>
      </c>
      <c r="G10" s="10">
        <f>265000*70%</f>
        <v>185500</v>
      </c>
      <c r="H10" s="10">
        <f>265000*30%</f>
        <v>79500</v>
      </c>
      <c r="I10" s="51"/>
      <c r="J10" s="54"/>
    </row>
    <row r="11" spans="1:10" ht="16" thickBot="1" x14ac:dyDescent="0.4">
      <c r="A11" s="43" t="s">
        <v>33</v>
      </c>
      <c r="B11" s="11">
        <v>90000</v>
      </c>
      <c r="C11" s="50">
        <v>38000</v>
      </c>
      <c r="D11" s="50">
        <v>22000</v>
      </c>
      <c r="E11" s="10">
        <f>+'PAR RESULTAT TAXI-MOTO 14-06-21'!E46</f>
        <v>15000</v>
      </c>
      <c r="F11" s="6">
        <v>25000</v>
      </c>
      <c r="G11" s="10">
        <f>15000*70%</f>
        <v>10500</v>
      </c>
      <c r="H11" s="10">
        <f>15000*30%</f>
        <v>4500</v>
      </c>
      <c r="I11" s="52"/>
      <c r="J11" s="54"/>
    </row>
    <row r="12" spans="1:10" ht="16" thickBot="1" x14ac:dyDescent="0.4">
      <c r="A12" s="43" t="s">
        <v>34</v>
      </c>
      <c r="B12" s="11">
        <v>0</v>
      </c>
      <c r="C12" s="50">
        <v>0</v>
      </c>
      <c r="D12" s="50">
        <v>0</v>
      </c>
      <c r="E12" s="10"/>
      <c r="F12" s="6"/>
      <c r="G12" s="10">
        <v>0</v>
      </c>
      <c r="H12" s="10">
        <v>0</v>
      </c>
      <c r="I12" s="52"/>
      <c r="J12" s="54"/>
    </row>
    <row r="13" spans="1:10" ht="26.5" thickBot="1" x14ac:dyDescent="0.4">
      <c r="A13" s="43" t="s">
        <v>35</v>
      </c>
      <c r="B13" s="11">
        <v>63500</v>
      </c>
      <c r="C13" s="50">
        <v>13117</v>
      </c>
      <c r="D13" s="50">
        <v>10383</v>
      </c>
      <c r="E13" s="10">
        <v>8000</v>
      </c>
      <c r="F13" s="6">
        <v>6883</v>
      </c>
      <c r="G13" s="10">
        <f>20000*70%</f>
        <v>14000</v>
      </c>
      <c r="H13" s="10">
        <f>20000*30%</f>
        <v>6000</v>
      </c>
      <c r="I13" s="52"/>
      <c r="J13" s="54"/>
    </row>
    <row r="14" spans="1:10" ht="16" thickBot="1" x14ac:dyDescent="0.4">
      <c r="A14" s="45" t="s">
        <v>36</v>
      </c>
      <c r="B14" s="12">
        <f t="shared" ref="B14:H14" si="0">SUM(B7:B13)</f>
        <v>1168500</v>
      </c>
      <c r="C14" s="12">
        <f t="shared" si="0"/>
        <v>410117</v>
      </c>
      <c r="D14" s="12">
        <f t="shared" si="0"/>
        <v>153383</v>
      </c>
      <c r="E14" s="12">
        <f t="shared" si="0"/>
        <v>294600</v>
      </c>
      <c r="F14" s="12">
        <f t="shared" si="0"/>
        <v>94655</v>
      </c>
      <c r="G14" s="12">
        <f t="shared" si="0"/>
        <v>220500</v>
      </c>
      <c r="H14" s="12">
        <f t="shared" si="0"/>
        <v>94500</v>
      </c>
      <c r="I14" s="52"/>
      <c r="J14" s="54"/>
    </row>
    <row r="15" spans="1:10" ht="16" thickBot="1" x14ac:dyDescent="0.4">
      <c r="A15" s="44" t="s">
        <v>37</v>
      </c>
      <c r="B15" s="13">
        <f>+C15+E15+G15+D15+F15+H15</f>
        <v>83625.5</v>
      </c>
      <c r="C15" s="13">
        <v>26503</v>
      </c>
      <c r="D15" s="13">
        <v>8882</v>
      </c>
      <c r="E15" s="13">
        <v>9138.5</v>
      </c>
      <c r="F15" s="13">
        <v>17052</v>
      </c>
      <c r="G15" s="13">
        <f>G14*0.07</f>
        <v>15435.000000000002</v>
      </c>
      <c r="H15" s="13">
        <f>H14*0.07</f>
        <v>6615.0000000000009</v>
      </c>
      <c r="I15" s="53"/>
      <c r="J15" s="54"/>
    </row>
    <row r="16" spans="1:10" ht="16" thickBot="1" x14ac:dyDescent="0.4">
      <c r="A16" s="45" t="s">
        <v>38</v>
      </c>
      <c r="B16" s="60">
        <f t="shared" ref="B16:H16" si="1">SUM(B14:B15)</f>
        <v>1252125.5</v>
      </c>
      <c r="C16" s="14">
        <f t="shared" si="1"/>
        <v>436620</v>
      </c>
      <c r="D16" s="14">
        <f t="shared" si="1"/>
        <v>162265</v>
      </c>
      <c r="E16" s="14">
        <f t="shared" si="1"/>
        <v>303738.5</v>
      </c>
      <c r="F16" s="14">
        <f t="shared" si="1"/>
        <v>111707</v>
      </c>
      <c r="G16" s="14">
        <f t="shared" si="1"/>
        <v>235935</v>
      </c>
      <c r="H16" s="14">
        <f t="shared" si="1"/>
        <v>101115</v>
      </c>
      <c r="I16" s="53"/>
    </row>
    <row r="17" spans="1:9" x14ac:dyDescent="0.35">
      <c r="B17" s="2" t="s">
        <v>39</v>
      </c>
      <c r="C17" s="2" t="s">
        <v>40</v>
      </c>
      <c r="D17" s="2" t="s">
        <v>41</v>
      </c>
      <c r="E17" s="2" t="s">
        <v>40</v>
      </c>
      <c r="F17" s="2" t="s">
        <v>41</v>
      </c>
      <c r="G17" s="2" t="s">
        <v>40</v>
      </c>
      <c r="H17" s="2" t="s">
        <v>41</v>
      </c>
    </row>
    <row r="18" spans="1:9" ht="15" thickBot="1" x14ac:dyDescent="0.4"/>
    <row r="19" spans="1:9" ht="15" thickBot="1" x14ac:dyDescent="0.4">
      <c r="A19" s="286"/>
      <c r="B19" s="287"/>
      <c r="C19" s="287"/>
      <c r="D19" s="287"/>
      <c r="E19" s="287"/>
      <c r="F19" s="287"/>
      <c r="G19" s="288"/>
    </row>
    <row r="20" spans="1:9" ht="27.65" customHeight="1" x14ac:dyDescent="0.35">
      <c r="A20" s="278" t="s">
        <v>25</v>
      </c>
      <c r="B20" s="278" t="s">
        <v>39</v>
      </c>
      <c r="C20" s="278" t="s">
        <v>82</v>
      </c>
      <c r="D20" s="278" t="s">
        <v>124</v>
      </c>
      <c r="E20" s="278" t="s">
        <v>125</v>
      </c>
      <c r="F20" s="15" t="s">
        <v>42</v>
      </c>
      <c r="G20" s="15" t="s">
        <v>43</v>
      </c>
      <c r="H20" s="278" t="s">
        <v>44</v>
      </c>
      <c r="I20" s="276" t="s">
        <v>45</v>
      </c>
    </row>
    <row r="21" spans="1:9" ht="15" thickBot="1" x14ac:dyDescent="0.4">
      <c r="A21" s="279"/>
      <c r="B21" s="279"/>
      <c r="C21" s="279"/>
      <c r="D21" s="279"/>
      <c r="E21" s="279"/>
      <c r="F21" s="16"/>
      <c r="G21" s="16"/>
      <c r="H21" s="279"/>
      <c r="I21" s="277"/>
    </row>
    <row r="22" spans="1:9" ht="15" thickBot="1" x14ac:dyDescent="0.4">
      <c r="A22" s="7" t="s">
        <v>29</v>
      </c>
      <c r="B22" s="61">
        <v>38000</v>
      </c>
      <c r="C22" s="18">
        <v>0</v>
      </c>
      <c r="D22" s="61">
        <f>+'PAR RESULTAT TAXI-MOTO 14-06-21'!I42</f>
        <v>38317.629999999997</v>
      </c>
      <c r="E22" s="18"/>
      <c r="F22" s="17"/>
      <c r="G22" s="18"/>
      <c r="H22" s="19">
        <f t="shared" ref="H22:H30" si="2">B22-C22-F22-D22-E22</f>
        <v>-317.62999999999738</v>
      </c>
      <c r="I22" s="32">
        <f>+(C22+D22+E22+F22)/B22</f>
        <v>1.0083586842105263</v>
      </c>
    </row>
    <row r="23" spans="1:9" ht="15" thickBot="1" x14ac:dyDescent="0.4">
      <c r="A23" s="7" t="s">
        <v>30</v>
      </c>
      <c r="B23" s="20">
        <v>20000</v>
      </c>
      <c r="C23" s="34">
        <f>+'PAR RESULTAT TAXI-MOTO 14-06-21'!H48</f>
        <v>7000</v>
      </c>
      <c r="D23" s="34">
        <f>+'PAR RESULTAT TAXI-MOTO 14-06-21'!I48</f>
        <v>10117.629999999999</v>
      </c>
      <c r="E23" s="34">
        <v>4778.67</v>
      </c>
      <c r="F23" s="21"/>
      <c r="G23" s="22"/>
      <c r="H23" s="19">
        <f t="shared" si="2"/>
        <v>-1896.2999999999993</v>
      </c>
      <c r="I23" s="32">
        <f>(F23+C23+D23+E23)/B23</f>
        <v>1.0948149999999999</v>
      </c>
    </row>
    <row r="24" spans="1:9" ht="26.5" thickBot="1" x14ac:dyDescent="0.4">
      <c r="A24" s="9" t="s">
        <v>31</v>
      </c>
      <c r="B24" s="37">
        <v>123000</v>
      </c>
      <c r="C24" s="34">
        <f>+'PAR RESULTAT TAXI-MOTO 14-06-21'!H18+'PAR RESULTAT TAXI-MOTO 14-06-21'!H50</f>
        <v>18000</v>
      </c>
      <c r="D24" s="36">
        <f>+'PAR RESULTAT TAXI-MOTO 14-06-21'!I35+'PAR RESULTAT TAXI-MOTO 14-06-21'!I36+'PAR RESULTAT TAXI-MOTO 14-06-21'!I50</f>
        <v>86542.03</v>
      </c>
      <c r="E24" s="36">
        <v>13322.080000000002</v>
      </c>
      <c r="F24" s="23"/>
      <c r="G24" s="23"/>
      <c r="H24" s="19">
        <f t="shared" si="2"/>
        <v>5135.8899999999994</v>
      </c>
      <c r="I24" s="32">
        <f>(F24+C24+D24+E24)/B24</f>
        <v>0.95824479674796748</v>
      </c>
    </row>
    <row r="25" spans="1:9" ht="15" thickBot="1" x14ac:dyDescent="0.4">
      <c r="A25" s="7" t="s">
        <v>32</v>
      </c>
      <c r="B25" s="38">
        <v>834000</v>
      </c>
      <c r="C25" s="34">
        <f>+'PAR RESULTAT TAXI-MOTO 14-06-21'!H6+'PAR RESULTAT TAXI-MOTO 14-06-21'!H8+'PAR RESULTAT TAXI-MOTO 14-06-21'!H11+'PAR RESULTAT TAXI-MOTO 14-06-21'!H12+'PAR RESULTAT TAXI-MOTO 14-06-21'!H13+'PAR RESULTAT TAXI-MOTO 14-06-21'!H19+'PAR RESULTAT TAXI-MOTO 14-06-21'!H27+'PAR RESULTAT TAXI-MOTO 14-06-21'!H30+'PAR RESULTAT TAXI-MOTO 14-06-21'!H40+'PAR RESULTAT TAXI-MOTO 14-06-21'!H41+'PAR RESULTAT TAXI-MOTO 14-06-21'!H44</f>
        <v>246738.63999999998</v>
      </c>
      <c r="D25" s="34">
        <f>+'PAR RESULTAT TAXI-MOTO 14-06-21'!I26+'PAR RESULTAT TAXI-MOTO 14-06-21'!I28+'PAR RESULTAT TAXI-MOTO 14-06-21'!I29+'PAR RESULTAT TAXI-MOTO 14-06-21'!I33+'PAR RESULTAT TAXI-MOTO 14-06-21'!I34</f>
        <v>164470.65</v>
      </c>
      <c r="E25" s="34">
        <f>152889.92+14184.6</f>
        <v>167074.52000000002</v>
      </c>
      <c r="F25" s="22"/>
      <c r="G25" s="24"/>
      <c r="H25" s="19">
        <f t="shared" si="2"/>
        <v>255716.18999999994</v>
      </c>
      <c r="I25" s="32">
        <f>(F25+C25+D25+E25)/B25</f>
        <v>0.69338586330935259</v>
      </c>
    </row>
    <row r="26" spans="1:9" ht="15" thickBot="1" x14ac:dyDescent="0.4">
      <c r="A26" s="9" t="s">
        <v>33</v>
      </c>
      <c r="B26" s="39">
        <v>90000</v>
      </c>
      <c r="C26" s="34">
        <f>+'PAR RESULTAT TAXI-MOTO 14-06-21'!H46</f>
        <v>15000</v>
      </c>
      <c r="D26" s="36">
        <f>+'PAR RESULTAT TAXI-MOTO 14-06-21'!I46</f>
        <v>6800.56</v>
      </c>
      <c r="E26" s="36">
        <v>25190.999999999996</v>
      </c>
      <c r="F26" s="25"/>
      <c r="G26" s="24"/>
      <c r="H26" s="19">
        <f t="shared" si="2"/>
        <v>43008.44</v>
      </c>
      <c r="I26" s="32">
        <f>(F26+C26+D26+E26)/B26</f>
        <v>0.5221284444444444</v>
      </c>
    </row>
    <row r="27" spans="1:9" ht="15" thickBot="1" x14ac:dyDescent="0.4">
      <c r="A27" s="7" t="s">
        <v>34</v>
      </c>
      <c r="B27" s="40">
        <v>0</v>
      </c>
      <c r="C27" s="34">
        <v>0</v>
      </c>
      <c r="D27" s="34">
        <v>0</v>
      </c>
      <c r="E27" s="34">
        <v>0</v>
      </c>
      <c r="F27" s="22">
        <v>0</v>
      </c>
      <c r="G27" s="24">
        <v>0</v>
      </c>
      <c r="H27" s="19">
        <f t="shared" si="2"/>
        <v>0</v>
      </c>
      <c r="I27" s="32">
        <v>0</v>
      </c>
    </row>
    <row r="28" spans="1:9" ht="26.5" thickBot="1" x14ac:dyDescent="0.4">
      <c r="A28" s="9" t="s">
        <v>35</v>
      </c>
      <c r="B28" s="39">
        <v>63500</v>
      </c>
      <c r="C28" s="34">
        <f>+'PAR RESULTAT TAXI-MOTO 14-06-21'!H49</f>
        <v>13117</v>
      </c>
      <c r="D28" s="36">
        <f>+'PAR RESULTAT TAXI-MOTO 14-06-21'!I49</f>
        <v>13826.45</v>
      </c>
      <c r="E28" s="36">
        <v>17920.640000000003</v>
      </c>
      <c r="F28" s="25"/>
      <c r="G28" s="24"/>
      <c r="H28" s="19">
        <f t="shared" si="2"/>
        <v>18635.91</v>
      </c>
      <c r="I28" s="32">
        <f>(F28+C28+D28+E28)/B28</f>
        <v>0.70652110236220478</v>
      </c>
    </row>
    <row r="29" spans="1:9" ht="15" thickBot="1" x14ac:dyDescent="0.4">
      <c r="A29" s="26" t="s">
        <v>36</v>
      </c>
      <c r="B29" s="27">
        <f>+SUM(B22:B28)</f>
        <v>1168500</v>
      </c>
      <c r="C29" s="12">
        <f>SUM(C22:C28)</f>
        <v>299855.64</v>
      </c>
      <c r="D29" s="12">
        <f>+SUM(D22:D28)</f>
        <v>320074.94999999995</v>
      </c>
      <c r="E29" s="12">
        <f>SUM(E22:E28)</f>
        <v>228286.91000000003</v>
      </c>
      <c r="F29" s="12"/>
      <c r="G29" s="12"/>
      <c r="H29" s="28">
        <f t="shared" si="2"/>
        <v>320282.5</v>
      </c>
      <c r="I29" s="33">
        <f>(F29+C29+D29+E29)/B29</f>
        <v>0.72590286692340611</v>
      </c>
    </row>
    <row r="30" spans="1:9" ht="15" thickBot="1" x14ac:dyDescent="0.4">
      <c r="A30" s="9" t="s">
        <v>37</v>
      </c>
      <c r="B30" s="13">
        <f>B29*0.07</f>
        <v>81795.000000000015</v>
      </c>
      <c r="C30" s="274">
        <f>C29*0.07</f>
        <v>20989.894800000002</v>
      </c>
      <c r="D30" s="274">
        <f>D29*0.07</f>
        <v>22405.246499999997</v>
      </c>
      <c r="E30" s="274">
        <f>E29*0.07</f>
        <v>15980.083700000005</v>
      </c>
      <c r="F30" s="29"/>
      <c r="G30" s="29"/>
      <c r="H30" s="19">
        <f t="shared" si="2"/>
        <v>22419.775000000009</v>
      </c>
      <c r="I30" s="32">
        <f>(F30+C30+D30+E30)/B30</f>
        <v>0.725902866923406</v>
      </c>
    </row>
    <row r="31" spans="1:9" s="59" customFormat="1" ht="15.5" thickBot="1" x14ac:dyDescent="0.4">
      <c r="A31" s="55" t="s">
        <v>38</v>
      </c>
      <c r="B31" s="56">
        <f>+B30+B29</f>
        <v>1250295</v>
      </c>
      <c r="C31" s="57">
        <f t="shared" ref="C31:H31" si="3">SUM(C29:C30)</f>
        <v>320845.53480000002</v>
      </c>
      <c r="D31" s="57">
        <f t="shared" si="3"/>
        <v>342480.19649999996</v>
      </c>
      <c r="E31" s="57">
        <f t="shared" si="3"/>
        <v>244266.99370000005</v>
      </c>
      <c r="F31" s="58">
        <f t="shared" si="3"/>
        <v>0</v>
      </c>
      <c r="G31" s="58">
        <f t="shared" si="3"/>
        <v>0</v>
      </c>
      <c r="H31" s="56">
        <f t="shared" si="3"/>
        <v>342702.27500000002</v>
      </c>
      <c r="I31" s="33">
        <f>(F31+C31+D31+E31)/B31</f>
        <v>0.72590286692340611</v>
      </c>
    </row>
    <row r="32" spans="1:9" s="2" customFormat="1" x14ac:dyDescent="0.35"/>
    <row r="33" spans="1:7" x14ac:dyDescent="0.35">
      <c r="B33" s="30"/>
      <c r="C33" s="31"/>
      <c r="D33" s="31"/>
      <c r="E33" s="31"/>
      <c r="F33" s="1"/>
    </row>
    <row r="34" spans="1:7" x14ac:dyDescent="0.35">
      <c r="F34" s="30"/>
    </row>
    <row r="35" spans="1:7" x14ac:dyDescent="0.35">
      <c r="A35" t="s">
        <v>135</v>
      </c>
      <c r="C35" s="252"/>
      <c r="D35" s="253"/>
      <c r="E35" s="252"/>
      <c r="G35" s="249"/>
    </row>
    <row r="36" spans="1:7" x14ac:dyDescent="0.35">
      <c r="C36" s="252"/>
      <c r="D36" s="254"/>
      <c r="E36" s="252"/>
      <c r="G36" s="250"/>
    </row>
    <row r="37" spans="1:7" x14ac:dyDescent="0.35">
      <c r="C37" s="252"/>
      <c r="D37" s="255"/>
      <c r="E37" s="252"/>
    </row>
    <row r="38" spans="1:7" x14ac:dyDescent="0.35">
      <c r="C38" s="252"/>
      <c r="D38" s="256"/>
      <c r="E38" s="252"/>
    </row>
  </sheetData>
  <mergeCells count="14">
    <mergeCell ref="A1:H1"/>
    <mergeCell ref="I20:I21"/>
    <mergeCell ref="H20:H21"/>
    <mergeCell ref="A5:A6"/>
    <mergeCell ref="B5:B6"/>
    <mergeCell ref="C5:D5"/>
    <mergeCell ref="A20:A21"/>
    <mergeCell ref="B20:B21"/>
    <mergeCell ref="C20:C21"/>
    <mergeCell ref="A19:G19"/>
    <mergeCell ref="E5:F5"/>
    <mergeCell ref="G5:H5"/>
    <mergeCell ref="D20:D21"/>
    <mergeCell ref="E20:E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9"/>
  <sheetViews>
    <sheetView topLeftCell="B1" zoomScale="70" zoomScaleNormal="70" workbookViewId="0">
      <selection activeCell="B1" sqref="B1:L1"/>
    </sheetView>
  </sheetViews>
  <sheetFormatPr baseColWidth="10" defaultColWidth="9.1796875" defaultRowHeight="15.5" x14ac:dyDescent="0.35"/>
  <cols>
    <col min="1" max="1" width="10.453125" style="93" customWidth="1"/>
    <col min="2" max="2" width="40.453125" style="93" customWidth="1"/>
    <col min="3" max="3" width="17.54296875" style="92" customWidth="1"/>
    <col min="4" max="5" width="19.453125" style="93" customWidth="1"/>
    <col min="6" max="6" width="18.54296875" style="93" customWidth="1"/>
    <col min="7" max="7" width="15.81640625" style="93" customWidth="1"/>
    <col min="8" max="9" width="15.81640625" style="187" customWidth="1"/>
    <col min="10" max="10" width="17.1796875" style="79" customWidth="1"/>
    <col min="11" max="11" width="17.1796875" style="78" customWidth="1"/>
    <col min="12" max="12" width="16.90625" style="93" customWidth="1"/>
    <col min="13" max="13" width="11.81640625" style="93" customWidth="1"/>
    <col min="14" max="14" width="15.36328125" style="94" customWidth="1"/>
    <col min="15" max="15" width="17.6328125" style="93" customWidth="1"/>
    <col min="16" max="16" width="12.1796875" style="257" customWidth="1"/>
    <col min="17" max="17" width="9.1796875" style="93"/>
    <col min="18" max="18" width="12.453125" style="93" bestFit="1" customWidth="1"/>
    <col min="19" max="19" width="13.54296875" style="93" bestFit="1" customWidth="1"/>
    <col min="20" max="16384" width="9.1796875" style="93"/>
  </cols>
  <sheetData>
    <row r="1" spans="1:17" ht="14.5" customHeight="1" x14ac:dyDescent="0.35">
      <c r="A1" s="92"/>
      <c r="B1" s="290" t="s">
        <v>121</v>
      </c>
      <c r="C1" s="290"/>
      <c r="D1" s="290"/>
      <c r="E1" s="290"/>
      <c r="F1" s="290"/>
      <c r="G1" s="290"/>
      <c r="H1" s="290"/>
      <c r="I1" s="290"/>
      <c r="J1" s="290"/>
      <c r="K1" s="290"/>
      <c r="L1" s="290"/>
      <c r="O1" s="95"/>
    </row>
    <row r="2" spans="1:17" ht="26.15" customHeight="1" thickBot="1" x14ac:dyDescent="0.4">
      <c r="A2" s="92" t="s">
        <v>0</v>
      </c>
      <c r="D2" s="96"/>
      <c r="E2" s="96"/>
      <c r="F2" s="96"/>
      <c r="G2" s="96"/>
      <c r="H2" s="97"/>
      <c r="I2" s="97"/>
      <c r="J2" s="62"/>
      <c r="K2" s="98"/>
      <c r="L2" s="96"/>
      <c r="N2" s="94">
        <v>43983</v>
      </c>
    </row>
    <row r="3" spans="1:17" ht="99" customHeight="1" x14ac:dyDescent="0.35">
      <c r="A3" s="99" t="s">
        <v>1</v>
      </c>
      <c r="B3" s="100" t="s">
        <v>2</v>
      </c>
      <c r="C3" s="101" t="s">
        <v>69</v>
      </c>
      <c r="D3" s="102" t="s">
        <v>74</v>
      </c>
      <c r="E3" s="103" t="s">
        <v>107</v>
      </c>
      <c r="F3" s="104" t="s">
        <v>108</v>
      </c>
      <c r="G3" s="100" t="s">
        <v>3</v>
      </c>
      <c r="H3" s="102" t="s">
        <v>78</v>
      </c>
      <c r="I3" s="103" t="s">
        <v>117</v>
      </c>
      <c r="J3" s="63" t="s">
        <v>118</v>
      </c>
      <c r="K3" s="64" t="s">
        <v>79</v>
      </c>
      <c r="L3" s="105" t="s">
        <v>4</v>
      </c>
      <c r="M3" s="105" t="s">
        <v>5</v>
      </c>
      <c r="N3" s="106" t="s">
        <v>6</v>
      </c>
      <c r="O3" s="107" t="s">
        <v>126</v>
      </c>
      <c r="P3" s="258"/>
    </row>
    <row r="4" spans="1:17" ht="19.5" customHeight="1" x14ac:dyDescent="0.35">
      <c r="A4" s="108" t="s">
        <v>46</v>
      </c>
      <c r="B4" s="109" t="s">
        <v>47</v>
      </c>
      <c r="C4" s="109" t="s">
        <v>48</v>
      </c>
      <c r="D4" s="110" t="s">
        <v>49</v>
      </c>
      <c r="E4" s="110"/>
      <c r="F4" s="110"/>
      <c r="G4" s="111" t="s">
        <v>70</v>
      </c>
      <c r="H4" s="111"/>
      <c r="I4" s="111"/>
      <c r="J4" s="65" t="s">
        <v>71</v>
      </c>
      <c r="K4" s="111"/>
      <c r="L4" s="111" t="s">
        <v>50</v>
      </c>
      <c r="M4" s="111" t="s">
        <v>72</v>
      </c>
      <c r="N4" s="111" t="s">
        <v>73</v>
      </c>
      <c r="O4" s="111"/>
      <c r="P4" s="259"/>
    </row>
    <row r="5" spans="1:17" ht="24.5" customHeight="1" thickBot="1" x14ac:dyDescent="0.4">
      <c r="A5" s="313" t="s">
        <v>119</v>
      </c>
      <c r="B5" s="314"/>
      <c r="C5" s="314"/>
      <c r="D5" s="314"/>
      <c r="E5" s="314"/>
      <c r="F5" s="314"/>
      <c r="G5" s="314"/>
      <c r="H5" s="314"/>
      <c r="I5" s="314"/>
      <c r="J5" s="314"/>
      <c r="K5" s="314"/>
      <c r="L5" s="314"/>
      <c r="M5" s="314"/>
      <c r="N5" s="314"/>
      <c r="O5" s="314"/>
      <c r="P5" s="315"/>
    </row>
    <row r="6" spans="1:17" ht="61.25" customHeight="1" x14ac:dyDescent="0.35">
      <c r="A6" s="316" t="s">
        <v>128</v>
      </c>
      <c r="B6" s="112" t="s">
        <v>83</v>
      </c>
      <c r="C6" s="113">
        <f>+D6+E6+F6</f>
        <v>35000</v>
      </c>
      <c r="D6" s="114">
        <v>35000</v>
      </c>
      <c r="E6" s="115"/>
      <c r="F6" s="116"/>
      <c r="G6" s="117">
        <v>0.36</v>
      </c>
      <c r="H6" s="114">
        <v>28819.93</v>
      </c>
      <c r="I6" s="115"/>
      <c r="J6" s="66"/>
      <c r="K6" s="118">
        <f>+H6+I6+J6</f>
        <v>28819.93</v>
      </c>
      <c r="L6" s="113"/>
      <c r="M6" s="113"/>
      <c r="N6" s="119">
        <f>(K6)/C6</f>
        <v>0.82342657142857145</v>
      </c>
      <c r="O6" s="113">
        <f>+(H6+I6+J6)*0.36</f>
        <v>10375.174799999999</v>
      </c>
      <c r="P6" s="260">
        <v>4</v>
      </c>
      <c r="Q6" s="304" t="s">
        <v>51</v>
      </c>
    </row>
    <row r="7" spans="1:17" ht="111" customHeight="1" x14ac:dyDescent="0.35">
      <c r="A7" s="317"/>
      <c r="B7" s="251" t="s">
        <v>133</v>
      </c>
      <c r="C7" s="113">
        <f>+D7+E7+F7</f>
        <v>45000</v>
      </c>
      <c r="D7" s="248"/>
      <c r="E7" s="115"/>
      <c r="F7" s="116">
        <v>45000</v>
      </c>
      <c r="G7" s="117">
        <v>0.35</v>
      </c>
      <c r="H7" s="114"/>
      <c r="I7" s="115"/>
      <c r="J7" s="66">
        <v>42087.26</v>
      </c>
      <c r="K7" s="118">
        <f>+H7+I7+J7</f>
        <v>42087.26</v>
      </c>
      <c r="L7" s="113"/>
      <c r="M7" s="113"/>
      <c r="N7" s="119">
        <f>(K7)/C7</f>
        <v>0.93527244444444446</v>
      </c>
      <c r="O7" s="113">
        <f>+(H7+I7+J7)*0.35</f>
        <v>14730.540999999999</v>
      </c>
      <c r="P7" s="260">
        <v>4</v>
      </c>
      <c r="Q7" s="305"/>
    </row>
    <row r="8" spans="1:17" ht="93" x14ac:dyDescent="0.35">
      <c r="A8" s="317"/>
      <c r="B8" s="120" t="s">
        <v>84</v>
      </c>
      <c r="C8" s="121">
        <f>+D8+E8+F8</f>
        <v>30000</v>
      </c>
      <c r="D8" s="114">
        <v>30000</v>
      </c>
      <c r="E8" s="115"/>
      <c r="F8" s="116"/>
      <c r="G8" s="117">
        <v>0.35</v>
      </c>
      <c r="H8" s="114">
        <v>30000</v>
      </c>
      <c r="I8" s="115"/>
      <c r="J8" s="66"/>
      <c r="K8" s="118">
        <f>+H8+I8+J8</f>
        <v>30000</v>
      </c>
      <c r="L8" s="113"/>
      <c r="M8" s="113"/>
      <c r="N8" s="119">
        <f>(K8)/C8</f>
        <v>1</v>
      </c>
      <c r="O8" s="113">
        <f>+(H8+I8+J8)*0.35</f>
        <v>10500</v>
      </c>
      <c r="P8" s="260">
        <v>4</v>
      </c>
      <c r="Q8" s="305"/>
    </row>
    <row r="9" spans="1:17" ht="84.65" customHeight="1" thickBot="1" x14ac:dyDescent="0.4">
      <c r="A9" s="318"/>
      <c r="B9" s="122" t="s">
        <v>85</v>
      </c>
      <c r="C9" s="123">
        <f>+D9+E9+F9</f>
        <v>60000</v>
      </c>
      <c r="D9" s="124"/>
      <c r="E9" s="125"/>
      <c r="F9" s="126">
        <v>60000</v>
      </c>
      <c r="G9" s="127">
        <v>0.45</v>
      </c>
      <c r="H9" s="124"/>
      <c r="I9" s="125"/>
      <c r="J9" s="66">
        <v>43015.66</v>
      </c>
      <c r="K9" s="128">
        <f>+H9+I9+J9</f>
        <v>43015.66</v>
      </c>
      <c r="L9" s="129"/>
      <c r="M9" s="129"/>
      <c r="N9" s="130">
        <f>(K9)/C9</f>
        <v>0.71692766666666674</v>
      </c>
      <c r="O9" s="129">
        <f>+(H9+I9+J9)*0.45</f>
        <v>19357.047000000002</v>
      </c>
      <c r="P9" s="261">
        <v>4</v>
      </c>
      <c r="Q9" s="306"/>
    </row>
    <row r="10" spans="1:17" ht="21.75" customHeight="1" thickBot="1" x14ac:dyDescent="0.4">
      <c r="A10" s="307" t="s">
        <v>52</v>
      </c>
      <c r="B10" s="308"/>
      <c r="C10" s="131">
        <f>+SUM(C6:C9)</f>
        <v>170000</v>
      </c>
      <c r="D10" s="132">
        <f>SUM(D6:D9)</f>
        <v>65000</v>
      </c>
      <c r="E10" s="132">
        <f>SUM(E6:E9)</f>
        <v>0</v>
      </c>
      <c r="F10" s="132">
        <f>SUM(F6:F9)</f>
        <v>105000</v>
      </c>
      <c r="G10" s="133">
        <v>91500</v>
      </c>
      <c r="H10" s="133">
        <f t="shared" ref="H10:M10" si="0">SUM(H6:H9)</f>
        <v>58819.93</v>
      </c>
      <c r="I10" s="133">
        <f t="shared" si="0"/>
        <v>0</v>
      </c>
      <c r="J10" s="67">
        <f>SUM(J6:J9)</f>
        <v>85102.920000000013</v>
      </c>
      <c r="K10" s="134">
        <f t="shared" si="0"/>
        <v>143922.85</v>
      </c>
      <c r="L10" s="133">
        <f t="shared" si="0"/>
        <v>0</v>
      </c>
      <c r="M10" s="133">
        <f t="shared" si="0"/>
        <v>0</v>
      </c>
      <c r="N10" s="133">
        <f>(K10)/C10</f>
        <v>0.84660500000000005</v>
      </c>
      <c r="O10" s="133">
        <f>SUM(O6:O9)</f>
        <v>54962.762799999997</v>
      </c>
      <c r="P10" s="262"/>
    </row>
    <row r="11" spans="1:17" ht="155.5" customHeight="1" thickBot="1" x14ac:dyDescent="0.4">
      <c r="A11" s="309" t="s">
        <v>129</v>
      </c>
      <c r="B11" s="135" t="s">
        <v>86</v>
      </c>
      <c r="C11" s="136">
        <f t="shared" ref="C11:C16" si="1">+D11+E11+F11</f>
        <v>30000</v>
      </c>
      <c r="D11" s="114">
        <v>30000</v>
      </c>
      <c r="E11" s="115"/>
      <c r="F11" s="116"/>
      <c r="G11" s="117">
        <v>0.4</v>
      </c>
      <c r="H11" s="114">
        <v>30000</v>
      </c>
      <c r="I11" s="137"/>
      <c r="J11" s="66"/>
      <c r="K11" s="138">
        <f t="shared" ref="K11:K16" si="2">+H11+I11+J11</f>
        <v>30000</v>
      </c>
      <c r="L11" s="139"/>
      <c r="M11" s="140"/>
      <c r="N11" s="141">
        <f>(L11+K11)/C11</f>
        <v>1</v>
      </c>
      <c r="O11" s="113">
        <f>+(H11+I11+J11)*0.4</f>
        <v>12000</v>
      </c>
      <c r="P11" s="263">
        <v>4</v>
      </c>
      <c r="Q11" s="293" t="s">
        <v>53</v>
      </c>
    </row>
    <row r="12" spans="1:17" ht="66.650000000000006" customHeight="1" thickBot="1" x14ac:dyDescent="0.4">
      <c r="A12" s="310"/>
      <c r="B12" s="135" t="s">
        <v>87</v>
      </c>
      <c r="C12" s="136">
        <f t="shared" si="1"/>
        <v>20000</v>
      </c>
      <c r="D12" s="114">
        <v>20000</v>
      </c>
      <c r="E12" s="115"/>
      <c r="F12" s="116"/>
      <c r="G12" s="117">
        <v>0.45</v>
      </c>
      <c r="H12" s="114">
        <v>20000</v>
      </c>
      <c r="I12" s="137"/>
      <c r="J12" s="66"/>
      <c r="K12" s="138">
        <f t="shared" si="2"/>
        <v>20000</v>
      </c>
      <c r="L12" s="142"/>
      <c r="M12" s="143"/>
      <c r="N12" s="141">
        <f>(L12+K12)/C12</f>
        <v>1</v>
      </c>
      <c r="O12" s="113">
        <f>+(H12+I12+J12)*0.45</f>
        <v>9000</v>
      </c>
      <c r="P12" s="263">
        <v>4</v>
      </c>
      <c r="Q12" s="294"/>
    </row>
    <row r="13" spans="1:17" ht="71.5" customHeight="1" thickBot="1" x14ac:dyDescent="0.4">
      <c r="A13" s="310"/>
      <c r="B13" s="135" t="s">
        <v>88</v>
      </c>
      <c r="C13" s="136">
        <f t="shared" si="1"/>
        <v>20000</v>
      </c>
      <c r="D13" s="114">
        <v>20000</v>
      </c>
      <c r="E13" s="115"/>
      <c r="F13" s="116"/>
      <c r="G13" s="117">
        <v>0.4</v>
      </c>
      <c r="H13" s="114">
        <v>19918.71</v>
      </c>
      <c r="I13" s="137"/>
      <c r="J13" s="66"/>
      <c r="K13" s="138">
        <f t="shared" si="2"/>
        <v>19918.71</v>
      </c>
      <c r="L13" s="142"/>
      <c r="M13" s="143"/>
      <c r="N13" s="141">
        <f>(L13+K13)/C13</f>
        <v>0.99593549999999997</v>
      </c>
      <c r="O13" s="113">
        <f>+(H13+I13+J13)*0.36</f>
        <v>7170.7355999999991</v>
      </c>
      <c r="P13" s="263">
        <v>4</v>
      </c>
      <c r="Q13" s="294"/>
    </row>
    <row r="14" spans="1:17" ht="115.25" customHeight="1" thickBot="1" x14ac:dyDescent="0.4">
      <c r="A14" s="310"/>
      <c r="B14" s="135" t="s">
        <v>89</v>
      </c>
      <c r="C14" s="136">
        <f t="shared" si="1"/>
        <v>35000</v>
      </c>
      <c r="D14" s="114"/>
      <c r="E14" s="115"/>
      <c r="F14" s="116">
        <v>35000</v>
      </c>
      <c r="G14" s="117">
        <v>0.7</v>
      </c>
      <c r="H14" s="114"/>
      <c r="I14" s="137"/>
      <c r="J14" s="66"/>
      <c r="K14" s="138">
        <f t="shared" si="2"/>
        <v>0</v>
      </c>
      <c r="L14" s="142"/>
      <c r="M14" s="143"/>
      <c r="N14" s="141"/>
      <c r="O14" s="113">
        <f>+(H14+I14+J14)*0.36</f>
        <v>0</v>
      </c>
      <c r="P14" s="263">
        <v>4</v>
      </c>
      <c r="Q14" s="294"/>
    </row>
    <row r="15" spans="1:17" ht="67.25" customHeight="1" thickBot="1" x14ac:dyDescent="0.4">
      <c r="A15" s="310"/>
      <c r="B15" s="135" t="s">
        <v>90</v>
      </c>
      <c r="C15" s="136">
        <f t="shared" si="1"/>
        <v>30000</v>
      </c>
      <c r="D15" s="114"/>
      <c r="E15" s="115"/>
      <c r="F15" s="116">
        <v>30000</v>
      </c>
      <c r="G15" s="117">
        <v>0.3</v>
      </c>
      <c r="H15" s="114"/>
      <c r="I15" s="137"/>
      <c r="J15" s="68">
        <v>32780</v>
      </c>
      <c r="K15" s="138">
        <f t="shared" si="2"/>
        <v>32780</v>
      </c>
      <c r="L15" s="142"/>
      <c r="M15" s="143"/>
      <c r="N15" s="141">
        <f>(L15+K15)/C15</f>
        <v>1.0926666666666667</v>
      </c>
      <c r="O15" s="113">
        <f>+(H15+I15+J15)*0.36</f>
        <v>11800.8</v>
      </c>
      <c r="P15" s="263">
        <v>4</v>
      </c>
      <c r="Q15" s="294"/>
    </row>
    <row r="16" spans="1:17" ht="95" customHeight="1" thickBot="1" x14ac:dyDescent="0.4">
      <c r="A16" s="311"/>
      <c r="B16" s="135" t="s">
        <v>91</v>
      </c>
      <c r="C16" s="144">
        <f t="shared" si="1"/>
        <v>30000</v>
      </c>
      <c r="D16" s="114"/>
      <c r="E16" s="115"/>
      <c r="F16" s="116">
        <v>30000</v>
      </c>
      <c r="G16" s="117">
        <v>0.45</v>
      </c>
      <c r="H16" s="114"/>
      <c r="I16" s="137"/>
      <c r="J16" s="66"/>
      <c r="K16" s="138">
        <f t="shared" si="2"/>
        <v>0</v>
      </c>
      <c r="L16" s="139"/>
      <c r="M16" s="140"/>
      <c r="N16" s="141"/>
      <c r="O16" s="113">
        <f>+(H16+I16+J16)*0.36</f>
        <v>0</v>
      </c>
      <c r="P16" s="264">
        <v>4</v>
      </c>
      <c r="Q16" s="295"/>
    </row>
    <row r="17" spans="1:17" ht="28.5" customHeight="1" thickBot="1" x14ac:dyDescent="0.4">
      <c r="A17" s="307" t="s">
        <v>54</v>
      </c>
      <c r="B17" s="308"/>
      <c r="C17" s="133">
        <f>SUM(C11:C16)</f>
        <v>165000</v>
      </c>
      <c r="D17" s="133">
        <f>SUM(D11:D16)</f>
        <v>70000</v>
      </c>
      <c r="E17" s="133">
        <f>SUM(E11:E16)</f>
        <v>0</v>
      </c>
      <c r="F17" s="133">
        <f>SUM(F11:F16)</f>
        <v>95000</v>
      </c>
      <c r="G17" s="133"/>
      <c r="H17" s="133">
        <f>+SUM(H11:H16)</f>
        <v>69918.709999999992</v>
      </c>
      <c r="I17" s="133">
        <f>+SUM(I11:I16)</f>
        <v>0</v>
      </c>
      <c r="J17" s="67">
        <f>+SUM(J11:J16)</f>
        <v>32780</v>
      </c>
      <c r="K17" s="134">
        <f>+SUM(K11:K16)</f>
        <v>102698.70999999999</v>
      </c>
      <c r="L17" s="133">
        <f>SUM(L11:L16)</f>
        <v>0</v>
      </c>
      <c r="M17" s="133">
        <f>SUM(M11:M16)</f>
        <v>0</v>
      </c>
      <c r="N17" s="145">
        <f t="shared" ref="N17:N24" si="3">+L17+K17/C17</f>
        <v>0.62241642424242416</v>
      </c>
      <c r="O17" s="133">
        <f>SUM(O11:O16)</f>
        <v>39971.535600000003</v>
      </c>
      <c r="P17" s="263"/>
    </row>
    <row r="18" spans="1:17" ht="62.5" customHeight="1" thickBot="1" x14ac:dyDescent="0.4">
      <c r="A18" s="319" t="s">
        <v>130</v>
      </c>
      <c r="B18" s="135" t="s">
        <v>92</v>
      </c>
      <c r="C18" s="136">
        <f>+D18+E18+F18</f>
        <v>15000</v>
      </c>
      <c r="D18" s="114">
        <v>15000</v>
      </c>
      <c r="E18" s="115"/>
      <c r="F18" s="116"/>
      <c r="G18" s="146">
        <v>0.45</v>
      </c>
      <c r="H18" s="114">
        <v>10000</v>
      </c>
      <c r="I18" s="115"/>
      <c r="J18" s="69"/>
      <c r="K18" s="138">
        <f>+H18+I18+J18</f>
        <v>10000</v>
      </c>
      <c r="L18" s="139"/>
      <c r="M18" s="140"/>
      <c r="N18" s="141">
        <f t="shared" si="3"/>
        <v>0.66666666666666663</v>
      </c>
      <c r="O18" s="140"/>
      <c r="P18" s="263">
        <v>3</v>
      </c>
      <c r="Q18" s="293" t="s">
        <v>55</v>
      </c>
    </row>
    <row r="19" spans="1:17" ht="62.5" thickBot="1" x14ac:dyDescent="0.4">
      <c r="A19" s="320"/>
      <c r="B19" s="122" t="s">
        <v>93</v>
      </c>
      <c r="C19" s="136">
        <f>+D19+E19+F19</f>
        <v>20000</v>
      </c>
      <c r="D19" s="114">
        <v>20000</v>
      </c>
      <c r="E19" s="115"/>
      <c r="F19" s="116"/>
      <c r="G19" s="146">
        <v>0.4</v>
      </c>
      <c r="H19" s="114">
        <v>20000</v>
      </c>
      <c r="I19" s="115"/>
      <c r="J19" s="69"/>
      <c r="K19" s="138">
        <f>+H19+I19+J19</f>
        <v>20000</v>
      </c>
      <c r="L19" s="139"/>
      <c r="M19" s="140"/>
      <c r="N19" s="141">
        <f>(L19+K19)/C19</f>
        <v>1</v>
      </c>
      <c r="O19" s="113">
        <f>+(H19+I19+J19)*0.4</f>
        <v>8000</v>
      </c>
      <c r="P19" s="263">
        <v>4</v>
      </c>
      <c r="Q19" s="294"/>
    </row>
    <row r="20" spans="1:17" ht="62.5" customHeight="1" thickBot="1" x14ac:dyDescent="0.4">
      <c r="A20" s="320"/>
      <c r="B20" s="113" t="s">
        <v>94</v>
      </c>
      <c r="C20" s="136">
        <f>+D20+E20+F20</f>
        <v>10000</v>
      </c>
      <c r="D20" s="114">
        <v>10000</v>
      </c>
      <c r="E20" s="115"/>
      <c r="F20" s="116"/>
      <c r="G20" s="146">
        <v>0.4</v>
      </c>
      <c r="H20" s="114"/>
      <c r="I20" s="115"/>
      <c r="J20" s="69"/>
      <c r="K20" s="138">
        <f>+H20+I20+J20</f>
        <v>0</v>
      </c>
      <c r="L20" s="139"/>
      <c r="M20" s="140"/>
      <c r="N20" s="141"/>
      <c r="O20" s="113">
        <f>+(H20+I20+J20)*0.36</f>
        <v>0</v>
      </c>
      <c r="P20" s="263">
        <v>4</v>
      </c>
      <c r="Q20" s="294"/>
    </row>
    <row r="21" spans="1:17" ht="65.5" customHeight="1" thickBot="1" x14ac:dyDescent="0.4">
      <c r="A21" s="320"/>
      <c r="B21" s="113" t="s">
        <v>95</v>
      </c>
      <c r="C21" s="136">
        <f>+D21+E21+F21</f>
        <v>34000</v>
      </c>
      <c r="D21" s="114"/>
      <c r="E21" s="115"/>
      <c r="F21" s="116">
        <v>34000</v>
      </c>
      <c r="G21" s="146">
        <v>0.35</v>
      </c>
      <c r="H21" s="114"/>
      <c r="I21" s="115"/>
      <c r="J21" s="70">
        <v>35007</v>
      </c>
      <c r="K21" s="138">
        <f>+H21+I21+J21</f>
        <v>35007</v>
      </c>
      <c r="L21" s="139"/>
      <c r="M21" s="140"/>
      <c r="N21" s="141">
        <f t="shared" si="3"/>
        <v>1.0296176470588236</v>
      </c>
      <c r="O21" s="113">
        <f>+(H21+I21+J21)*0.35</f>
        <v>12252.449999999999</v>
      </c>
      <c r="P21" s="263">
        <v>4</v>
      </c>
      <c r="Q21" s="294"/>
    </row>
    <row r="22" spans="1:17" ht="69.650000000000006" customHeight="1" thickBot="1" x14ac:dyDescent="0.4">
      <c r="A22" s="320"/>
      <c r="B22" s="113" t="s">
        <v>96</v>
      </c>
      <c r="C22" s="136">
        <v>8000</v>
      </c>
      <c r="D22" s="114">
        <v>8000</v>
      </c>
      <c r="E22" s="115"/>
      <c r="F22" s="116"/>
      <c r="G22" s="146">
        <v>0.8</v>
      </c>
      <c r="H22" s="114"/>
      <c r="I22" s="115"/>
      <c r="J22" s="69"/>
      <c r="K22" s="138">
        <f>+H22+I22+J22</f>
        <v>0</v>
      </c>
      <c r="L22" s="139"/>
      <c r="M22" s="140"/>
      <c r="N22" s="141">
        <f t="shared" si="3"/>
        <v>0</v>
      </c>
      <c r="O22" s="113">
        <f>+(H22+I22+J22)*0.36</f>
        <v>0</v>
      </c>
      <c r="P22" s="263">
        <v>4</v>
      </c>
      <c r="Q22" s="294"/>
    </row>
    <row r="23" spans="1:17" ht="18" customHeight="1" thickBot="1" x14ac:dyDescent="0.4">
      <c r="A23" s="298" t="s">
        <v>56</v>
      </c>
      <c r="B23" s="299"/>
      <c r="C23" s="133">
        <f>SUM(C18:C22)</f>
        <v>87000</v>
      </c>
      <c r="D23" s="132">
        <f t="shared" ref="D23:O23" si="4">SUM(D18:D22)</f>
        <v>53000</v>
      </c>
      <c r="E23" s="132">
        <f t="shared" si="4"/>
        <v>0</v>
      </c>
      <c r="F23" s="132">
        <f t="shared" si="4"/>
        <v>34000</v>
      </c>
      <c r="G23" s="133">
        <v>79000</v>
      </c>
      <c r="H23" s="133">
        <f>+SUM(H18:H22)</f>
        <v>30000</v>
      </c>
      <c r="I23" s="133">
        <f>+SUM(I18:I22)</f>
        <v>0</v>
      </c>
      <c r="J23" s="67">
        <f>+SUM(J18:J22)</f>
        <v>35007</v>
      </c>
      <c r="K23" s="134">
        <f>+SUM(K18:K22)</f>
        <v>65007</v>
      </c>
      <c r="L23" s="133">
        <f t="shared" si="4"/>
        <v>0</v>
      </c>
      <c r="M23" s="133">
        <f t="shared" si="4"/>
        <v>0</v>
      </c>
      <c r="N23" s="145">
        <f t="shared" si="3"/>
        <v>0.74720689655172412</v>
      </c>
      <c r="O23" s="133">
        <f t="shared" si="4"/>
        <v>20252.449999999997</v>
      </c>
      <c r="P23" s="263"/>
    </row>
    <row r="24" spans="1:17" ht="19.5" customHeight="1" thickBot="1" x14ac:dyDescent="0.4">
      <c r="A24" s="300" t="s">
        <v>7</v>
      </c>
      <c r="B24" s="301"/>
      <c r="C24" s="147">
        <f>C10+C17+C23</f>
        <v>422000</v>
      </c>
      <c r="D24" s="148">
        <f>D10+D17+D23</f>
        <v>188000</v>
      </c>
      <c r="E24" s="148">
        <f>E10+E17+E23</f>
        <v>0</v>
      </c>
      <c r="F24" s="148">
        <f>F10+F17+F23</f>
        <v>234000</v>
      </c>
      <c r="G24" s="147">
        <f>+G23+G17+G10</f>
        <v>170500</v>
      </c>
      <c r="H24" s="147">
        <f>+H23+H17+H10</f>
        <v>158738.63999999998</v>
      </c>
      <c r="I24" s="147">
        <f>+I23+I17+I10</f>
        <v>0</v>
      </c>
      <c r="J24" s="71">
        <f>+J23+J17+J10</f>
        <v>152889.92000000001</v>
      </c>
      <c r="K24" s="149">
        <f>+K23+K17+K10</f>
        <v>311628.56</v>
      </c>
      <c r="L24" s="147">
        <f>L10+L17+L23</f>
        <v>0</v>
      </c>
      <c r="M24" s="147">
        <f>M10+M17+M23</f>
        <v>0</v>
      </c>
      <c r="N24" s="150">
        <f t="shared" si="3"/>
        <v>0.73845630331753553</v>
      </c>
      <c r="O24" s="147">
        <f>O10+O17+O23</f>
        <v>115186.7484</v>
      </c>
      <c r="P24" s="265"/>
    </row>
    <row r="25" spans="1:17" ht="24.75" customHeight="1" thickBot="1" x14ac:dyDescent="0.4">
      <c r="A25" s="321" t="s">
        <v>120</v>
      </c>
      <c r="B25" s="322"/>
      <c r="C25" s="322"/>
      <c r="D25" s="322"/>
      <c r="E25" s="322"/>
      <c r="F25" s="322"/>
      <c r="G25" s="322"/>
      <c r="H25" s="322"/>
      <c r="I25" s="322"/>
      <c r="J25" s="322"/>
      <c r="K25" s="322"/>
      <c r="L25" s="322"/>
      <c r="M25" s="322"/>
      <c r="N25" s="322"/>
      <c r="O25" s="322"/>
      <c r="P25" s="323"/>
    </row>
    <row r="26" spans="1:17" ht="31.5" thickBot="1" x14ac:dyDescent="0.4">
      <c r="A26" s="310" t="s">
        <v>131</v>
      </c>
      <c r="B26" s="135" t="s">
        <v>97</v>
      </c>
      <c r="C26" s="151">
        <f t="shared" ref="C26:C31" si="5">+D26+E26+F26</f>
        <v>40000</v>
      </c>
      <c r="D26" s="114">
        <v>0</v>
      </c>
      <c r="E26" s="234">
        <v>40000</v>
      </c>
      <c r="F26" s="235"/>
      <c r="G26" s="238">
        <v>0.45</v>
      </c>
      <c r="H26" s="245">
        <v>0</v>
      </c>
      <c r="I26" s="247">
        <v>44790.23</v>
      </c>
      <c r="J26" s="244">
        <v>0</v>
      </c>
      <c r="K26" s="246">
        <f>+H26+I26+J26</f>
        <v>44790.23</v>
      </c>
      <c r="L26" s="140"/>
      <c r="M26" s="140"/>
      <c r="N26" s="141">
        <f>+K26/C26</f>
        <v>1.1197557500000002</v>
      </c>
      <c r="O26" s="113">
        <f>+(H26+I26+J26)*0.45</f>
        <v>20155.603500000001</v>
      </c>
      <c r="P26" s="263">
        <v>4</v>
      </c>
      <c r="Q26" s="291" t="s">
        <v>57</v>
      </c>
    </row>
    <row r="27" spans="1:17" ht="78" thickBot="1" x14ac:dyDescent="0.4">
      <c r="A27" s="310"/>
      <c r="B27" s="135" t="s">
        <v>98</v>
      </c>
      <c r="C27" s="151">
        <f t="shared" si="5"/>
        <v>45000</v>
      </c>
      <c r="D27" s="114">
        <v>45000</v>
      </c>
      <c r="E27" s="234"/>
      <c r="F27" s="236"/>
      <c r="G27" s="238">
        <v>0.4</v>
      </c>
      <c r="H27" s="240">
        <v>15000</v>
      </c>
      <c r="I27" s="239"/>
      <c r="J27" s="66"/>
      <c r="K27" s="152"/>
      <c r="L27" s="140"/>
      <c r="M27" s="140"/>
      <c r="N27" s="141"/>
      <c r="O27" s="113">
        <f>+(H27+I27+J27)*0.4</f>
        <v>6000</v>
      </c>
      <c r="P27" s="263">
        <v>4</v>
      </c>
      <c r="Q27" s="291"/>
    </row>
    <row r="28" spans="1:17" ht="62.5" thickBot="1" x14ac:dyDescent="0.4">
      <c r="A28" s="310"/>
      <c r="B28" s="135" t="s">
        <v>99</v>
      </c>
      <c r="C28" s="151">
        <f t="shared" si="5"/>
        <v>30000</v>
      </c>
      <c r="D28" s="114"/>
      <c r="E28" s="234">
        <v>30000</v>
      </c>
      <c r="F28" s="236"/>
      <c r="G28" s="238">
        <v>0.35</v>
      </c>
      <c r="H28" s="240"/>
      <c r="I28" s="239">
        <v>22219.69</v>
      </c>
      <c r="J28" s="66"/>
      <c r="K28" s="152"/>
      <c r="L28" s="140"/>
      <c r="M28" s="140"/>
      <c r="N28" s="141"/>
      <c r="O28" s="113">
        <f>+(H28+I28+J28)*0.36</f>
        <v>7999.0883999999996</v>
      </c>
      <c r="P28" s="263">
        <v>4</v>
      </c>
      <c r="Q28" s="291"/>
    </row>
    <row r="29" spans="1:17" ht="62.5" thickBot="1" x14ac:dyDescent="0.4">
      <c r="A29" s="310"/>
      <c r="B29" s="135" t="s">
        <v>100</v>
      </c>
      <c r="C29" s="151">
        <f t="shared" si="5"/>
        <v>27000</v>
      </c>
      <c r="D29" s="114"/>
      <c r="E29" s="234">
        <v>27000</v>
      </c>
      <c r="F29" s="236"/>
      <c r="G29" s="238">
        <v>0.35</v>
      </c>
      <c r="H29" s="240"/>
      <c r="I29" s="239">
        <v>19767.509999999998</v>
      </c>
      <c r="J29" s="66"/>
      <c r="K29" s="152"/>
      <c r="L29" s="140"/>
      <c r="M29" s="140"/>
      <c r="N29" s="141"/>
      <c r="O29" s="113">
        <f>+(H29+I29+J29)*0.36</f>
        <v>7116.3035999999993</v>
      </c>
      <c r="P29" s="263">
        <v>4</v>
      </c>
      <c r="Q29" s="291"/>
    </row>
    <row r="30" spans="1:17" ht="78" thickBot="1" x14ac:dyDescent="0.4">
      <c r="A30" s="310"/>
      <c r="B30" s="122" t="s">
        <v>101</v>
      </c>
      <c r="C30" s="151">
        <f t="shared" si="5"/>
        <v>26000</v>
      </c>
      <c r="D30" s="114">
        <v>26000</v>
      </c>
      <c r="E30" s="234"/>
      <c r="F30" s="236"/>
      <c r="G30" s="238">
        <v>1</v>
      </c>
      <c r="H30" s="240">
        <v>26000</v>
      </c>
      <c r="I30" s="239"/>
      <c r="J30" s="66"/>
      <c r="K30" s="152">
        <f>+H30+I30+J30</f>
        <v>26000</v>
      </c>
      <c r="L30" s="139"/>
      <c r="M30" s="140"/>
      <c r="N30" s="141">
        <f>+L30/C30</f>
        <v>0</v>
      </c>
      <c r="O30" s="113">
        <f>+(H30+I30+J30)*0.36</f>
        <v>9360</v>
      </c>
      <c r="P30" s="263">
        <v>4</v>
      </c>
      <c r="Q30" s="291"/>
    </row>
    <row r="31" spans="1:17" ht="47" thickBot="1" x14ac:dyDescent="0.4">
      <c r="A31" s="310"/>
      <c r="B31" s="122" t="s">
        <v>102</v>
      </c>
      <c r="C31" s="151">
        <f t="shared" si="5"/>
        <v>20000</v>
      </c>
      <c r="D31" s="114">
        <v>20000</v>
      </c>
      <c r="E31" s="234"/>
      <c r="F31" s="237"/>
      <c r="G31" s="238">
        <v>0.47</v>
      </c>
      <c r="H31" s="241"/>
      <c r="I31" s="239"/>
      <c r="J31" s="66"/>
      <c r="K31" s="152">
        <f>+H31+I31+J31</f>
        <v>0</v>
      </c>
      <c r="L31" s="139"/>
      <c r="M31" s="140"/>
      <c r="N31" s="141">
        <f>+L31+K31/C31</f>
        <v>0</v>
      </c>
      <c r="O31" s="113">
        <f>+(H31+I31+J31)*0.36</f>
        <v>0</v>
      </c>
      <c r="P31" s="263">
        <v>4</v>
      </c>
      <c r="Q31" s="291"/>
    </row>
    <row r="32" spans="1:17" ht="40.25" customHeight="1" thickBot="1" x14ac:dyDescent="0.4">
      <c r="A32" s="298" t="s">
        <v>58</v>
      </c>
      <c r="B32" s="299"/>
      <c r="C32" s="133">
        <f>SUM(C26:C31)</f>
        <v>188000</v>
      </c>
      <c r="D32" s="133">
        <f>SUM(D26:D31)</f>
        <v>91000</v>
      </c>
      <c r="E32" s="133">
        <f>SUM(E26:E31)</f>
        <v>97000</v>
      </c>
      <c r="F32" s="133">
        <f>SUM(F26:F31)</f>
        <v>0</v>
      </c>
      <c r="G32" s="133"/>
      <c r="H32" s="133">
        <f>+SUM(H26:H31)</f>
        <v>41000</v>
      </c>
      <c r="I32" s="133">
        <f>+SUM(I26:I31)</f>
        <v>86777.43</v>
      </c>
      <c r="J32" s="67">
        <f>+SUM(J26:J31)</f>
        <v>0</v>
      </c>
      <c r="K32" s="134">
        <f>+SUM(K26:K31)</f>
        <v>70790.23000000001</v>
      </c>
      <c r="L32" s="133">
        <f>SUM(L26:L31)</f>
        <v>0</v>
      </c>
      <c r="M32" s="133">
        <f>SUM(M26:M31)</f>
        <v>0</v>
      </c>
      <c r="N32" s="133">
        <f t="shared" ref="N32:N45" si="6">+K32/C32</f>
        <v>0.37654377659574473</v>
      </c>
      <c r="O32" s="133">
        <f>SUM(O26:O31)</f>
        <v>50630.995499999997</v>
      </c>
      <c r="P32" s="262"/>
      <c r="Q32" s="153"/>
    </row>
    <row r="33" spans="1:17" ht="62.5" thickBot="1" x14ac:dyDescent="0.4">
      <c r="A33" s="324" t="s">
        <v>132</v>
      </c>
      <c r="B33" s="154" t="s">
        <v>103</v>
      </c>
      <c r="C33" s="218">
        <f>+D33+E33+F33</f>
        <v>42000</v>
      </c>
      <c r="D33" s="212"/>
      <c r="E33" s="225">
        <v>42000</v>
      </c>
      <c r="F33" s="231"/>
      <c r="G33" s="228">
        <v>0.42</v>
      </c>
      <c r="H33" s="222"/>
      <c r="I33" s="219">
        <v>33576.449999999997</v>
      </c>
      <c r="J33" s="209"/>
      <c r="K33" s="213">
        <f>+H33+I33+J33</f>
        <v>33576.449999999997</v>
      </c>
      <c r="L33" s="140"/>
      <c r="M33" s="140"/>
      <c r="N33" s="141">
        <f t="shared" si="6"/>
        <v>0.79943928571428569</v>
      </c>
      <c r="O33" s="113">
        <f>+(H33+I33+J33)*0.36</f>
        <v>12087.521999999999</v>
      </c>
      <c r="P33" s="273">
        <v>4</v>
      </c>
      <c r="Q33" s="293" t="s">
        <v>59</v>
      </c>
    </row>
    <row r="34" spans="1:17" ht="47" thickBot="1" x14ac:dyDescent="0.4">
      <c r="A34" s="325"/>
      <c r="B34" s="157" t="s">
        <v>104</v>
      </c>
      <c r="C34" s="215">
        <f>+D34+E34+F34</f>
        <v>48000</v>
      </c>
      <c r="D34" s="216"/>
      <c r="E34" s="226">
        <v>48000</v>
      </c>
      <c r="F34" s="232"/>
      <c r="G34" s="229">
        <v>0.35</v>
      </c>
      <c r="H34" s="223"/>
      <c r="I34" s="220">
        <v>44116.77</v>
      </c>
      <c r="J34" s="217"/>
      <c r="K34" s="156">
        <f>+H34+I34+J34</f>
        <v>44116.77</v>
      </c>
      <c r="L34" s="140"/>
      <c r="M34" s="140"/>
      <c r="N34" s="141"/>
      <c r="O34" s="113">
        <f>+(H34+I34+J34)*0.36</f>
        <v>15882.037199999999</v>
      </c>
      <c r="P34" s="273">
        <v>4</v>
      </c>
      <c r="Q34" s="294"/>
    </row>
    <row r="35" spans="1:17" ht="47" thickBot="1" x14ac:dyDescent="0.4">
      <c r="A35" s="325"/>
      <c r="B35" s="157" t="s">
        <v>105</v>
      </c>
      <c r="C35" s="155">
        <f>+D35+E35+F35</f>
        <v>30000</v>
      </c>
      <c r="D35" s="207"/>
      <c r="E35" s="225">
        <v>30000</v>
      </c>
      <c r="F35" s="231"/>
      <c r="G35" s="228">
        <v>0.4</v>
      </c>
      <c r="H35" s="222"/>
      <c r="I35" s="219">
        <v>27216.26</v>
      </c>
      <c r="J35" s="209"/>
      <c r="K35" s="213">
        <f>+H35+I35+J35</f>
        <v>27216.26</v>
      </c>
      <c r="L35" s="140"/>
      <c r="M35" s="140"/>
      <c r="N35" s="141"/>
      <c r="O35" s="140"/>
      <c r="P35" s="273">
        <v>3</v>
      </c>
      <c r="Q35" s="294"/>
    </row>
    <row r="36" spans="1:17" ht="59.5" customHeight="1" thickBot="1" x14ac:dyDescent="0.4">
      <c r="A36" s="325"/>
      <c r="B36" s="158" t="s">
        <v>106</v>
      </c>
      <c r="C36" s="155">
        <f>+D36+E36+F36</f>
        <v>43000</v>
      </c>
      <c r="D36" s="204"/>
      <c r="E36" s="227">
        <v>43000</v>
      </c>
      <c r="F36" s="233"/>
      <c r="G36" s="230">
        <v>1</v>
      </c>
      <c r="H36" s="224"/>
      <c r="I36" s="221">
        <v>41396.54</v>
      </c>
      <c r="J36" s="206"/>
      <c r="K36" s="156">
        <f>+H36+I36+J36</f>
        <v>41396.54</v>
      </c>
      <c r="L36" s="140"/>
      <c r="M36" s="140"/>
      <c r="N36" s="141">
        <f t="shared" si="6"/>
        <v>0.96271023255813959</v>
      </c>
      <c r="O36" s="140"/>
      <c r="P36" s="273">
        <v>3</v>
      </c>
      <c r="Q36" s="294"/>
    </row>
    <row r="37" spans="1:17" ht="21" customHeight="1" thickBot="1" x14ac:dyDescent="0.4">
      <c r="A37" s="298" t="s">
        <v>60</v>
      </c>
      <c r="B37" s="299"/>
      <c r="C37" s="133">
        <f>SUM(C33:C36)</f>
        <v>163000</v>
      </c>
      <c r="D37" s="132">
        <f>SUM(D33:D36)</f>
        <v>0</v>
      </c>
      <c r="E37" s="132">
        <f>SUM(E33:E36)</f>
        <v>163000</v>
      </c>
      <c r="F37" s="132">
        <f>SUM(F33:F36)</f>
        <v>0</v>
      </c>
      <c r="G37" s="133"/>
      <c r="H37" s="132">
        <f>+SUM(H33:H36)</f>
        <v>0</v>
      </c>
      <c r="I37" s="132">
        <f>+SUM(I33:I36)</f>
        <v>146306.01999999999</v>
      </c>
      <c r="J37" s="72">
        <f>+SUM(J33:J36)</f>
        <v>0</v>
      </c>
      <c r="K37" s="159">
        <f>+SUM(K33:K36)</f>
        <v>146306.01999999999</v>
      </c>
      <c r="L37" s="133">
        <f>SUM(L33:L36)</f>
        <v>0</v>
      </c>
      <c r="M37" s="133">
        <f>SUM(M33:M36)</f>
        <v>0</v>
      </c>
      <c r="N37" s="145">
        <f t="shared" si="6"/>
        <v>0.897582944785276</v>
      </c>
      <c r="O37" s="133">
        <f>SUM(O33:O36)</f>
        <v>27969.559199999996</v>
      </c>
      <c r="P37" s="263"/>
      <c r="Q37" s="160"/>
    </row>
    <row r="38" spans="1:17" s="161" customFormat="1" ht="30" customHeight="1" thickBot="1" x14ac:dyDescent="0.4">
      <c r="A38" s="300" t="s">
        <v>61</v>
      </c>
      <c r="B38" s="301"/>
      <c r="C38" s="147">
        <f>C32+C37</f>
        <v>351000</v>
      </c>
      <c r="D38" s="147">
        <f>D32+D37</f>
        <v>91000</v>
      </c>
      <c r="E38" s="147">
        <f>E32+E37</f>
        <v>260000</v>
      </c>
      <c r="F38" s="147">
        <f>F32+F37</f>
        <v>0</v>
      </c>
      <c r="G38" s="147"/>
      <c r="H38" s="147">
        <f t="shared" ref="H38:M38" si="7">H32+H37</f>
        <v>41000</v>
      </c>
      <c r="I38" s="147">
        <f t="shared" si="7"/>
        <v>233083.44999999998</v>
      </c>
      <c r="J38" s="71">
        <f t="shared" si="7"/>
        <v>0</v>
      </c>
      <c r="K38" s="243">
        <f>K32+K37</f>
        <v>217096.25</v>
      </c>
      <c r="L38" s="147">
        <f t="shared" si="7"/>
        <v>0</v>
      </c>
      <c r="M38" s="147">
        <f t="shared" si="7"/>
        <v>0</v>
      </c>
      <c r="N38" s="150">
        <f t="shared" si="6"/>
        <v>0.61850783475783477</v>
      </c>
      <c r="O38" s="147">
        <f>O32+O37</f>
        <v>78600.554699999993</v>
      </c>
      <c r="P38" s="266"/>
      <c r="Q38" s="93"/>
    </row>
    <row r="39" spans="1:17" ht="21.75" customHeight="1" thickBot="1" x14ac:dyDescent="0.4">
      <c r="A39" s="302" t="s">
        <v>62</v>
      </c>
      <c r="B39" s="303"/>
      <c r="C39" s="162">
        <f>C38+C24</f>
        <v>773000</v>
      </c>
      <c r="D39" s="163">
        <f>D38+D24</f>
        <v>279000</v>
      </c>
      <c r="E39" s="163">
        <f>E38+E24</f>
        <v>260000</v>
      </c>
      <c r="F39" s="163">
        <f>F38+F24</f>
        <v>234000</v>
      </c>
      <c r="G39" s="162"/>
      <c r="H39" s="162">
        <f t="shared" ref="H39:M39" si="8">H38+H24</f>
        <v>199738.63999999998</v>
      </c>
      <c r="I39" s="162">
        <f t="shared" si="8"/>
        <v>233083.44999999998</v>
      </c>
      <c r="J39" s="73">
        <f t="shared" si="8"/>
        <v>152889.92000000001</v>
      </c>
      <c r="K39" s="164">
        <f t="shared" si="8"/>
        <v>528724.81000000006</v>
      </c>
      <c r="L39" s="162">
        <f t="shared" si="8"/>
        <v>0</v>
      </c>
      <c r="M39" s="162">
        <f t="shared" si="8"/>
        <v>0</v>
      </c>
      <c r="N39" s="165">
        <f t="shared" si="6"/>
        <v>0.68399069857697292</v>
      </c>
      <c r="O39" s="162">
        <f>O38+O24</f>
        <v>193787.30309999999</v>
      </c>
      <c r="P39" s="267"/>
      <c r="Q39" s="161"/>
    </row>
    <row r="40" spans="1:17" ht="21.65" customHeight="1" thickBot="1" x14ac:dyDescent="0.4">
      <c r="A40" s="292" t="s">
        <v>8</v>
      </c>
      <c r="B40" s="139" t="s">
        <v>111</v>
      </c>
      <c r="C40" s="144">
        <f>+D40+E40+F40</f>
        <v>52000</v>
      </c>
      <c r="D40" s="166">
        <v>52000</v>
      </c>
      <c r="E40" s="132"/>
      <c r="F40" s="167"/>
      <c r="G40" s="139"/>
      <c r="H40" s="124">
        <v>31000</v>
      </c>
      <c r="I40" s="125"/>
      <c r="J40" s="202"/>
      <c r="K40" s="156">
        <f>+SUM(H40:J40)</f>
        <v>31000</v>
      </c>
      <c r="L40" s="203"/>
      <c r="M40" s="140"/>
      <c r="N40" s="168">
        <f t="shared" si="6"/>
        <v>0.59615384615384615</v>
      </c>
      <c r="O40" s="113">
        <f>+(H40+I40+J40)*0.36</f>
        <v>11160</v>
      </c>
      <c r="P40" s="263">
        <v>4</v>
      </c>
      <c r="Q40" s="293" t="s">
        <v>63</v>
      </c>
    </row>
    <row r="41" spans="1:17" ht="21.65" customHeight="1" thickBot="1" x14ac:dyDescent="0.4">
      <c r="A41" s="292"/>
      <c r="B41" s="169" t="s">
        <v>112</v>
      </c>
      <c r="C41" s="144">
        <f>+D41+E41+F41</f>
        <v>32000</v>
      </c>
      <c r="D41" s="166">
        <v>32000</v>
      </c>
      <c r="E41" s="132"/>
      <c r="F41" s="167"/>
      <c r="G41" s="139"/>
      <c r="H41" s="207">
        <v>20000</v>
      </c>
      <c r="I41" s="208"/>
      <c r="J41" s="209"/>
      <c r="K41" s="210">
        <f>+SUM(H41:J41)</f>
        <v>20000</v>
      </c>
      <c r="L41" s="139"/>
      <c r="M41" s="140"/>
      <c r="N41" s="168">
        <f t="shared" si="6"/>
        <v>0.625</v>
      </c>
      <c r="O41" s="113">
        <f>+(H41+I41+J41)*0.36</f>
        <v>7200</v>
      </c>
      <c r="P41" s="263">
        <v>4</v>
      </c>
      <c r="Q41" s="294"/>
    </row>
    <row r="42" spans="1:17" ht="21.65" customHeight="1" thickBot="1" x14ac:dyDescent="0.4">
      <c r="A42" s="292"/>
      <c r="B42" s="169" t="s">
        <v>109</v>
      </c>
      <c r="C42" s="144">
        <f>+D42+E42+F42</f>
        <v>38000</v>
      </c>
      <c r="D42" s="166"/>
      <c r="E42" s="132">
        <v>38000</v>
      </c>
      <c r="F42" s="167"/>
      <c r="G42" s="139"/>
      <c r="H42" s="212"/>
      <c r="I42" s="208">
        <v>38317.629999999997</v>
      </c>
      <c r="J42" s="209"/>
      <c r="K42" s="213">
        <f>+SUM(H42:J42)</f>
        <v>38317.629999999997</v>
      </c>
      <c r="L42" s="140"/>
      <c r="M42" s="140"/>
      <c r="N42" s="168"/>
      <c r="O42" s="140"/>
      <c r="P42" s="263">
        <v>1</v>
      </c>
      <c r="Q42" s="294"/>
    </row>
    <row r="43" spans="1:17" ht="21.65" customHeight="1" thickBot="1" x14ac:dyDescent="0.4">
      <c r="A43" s="292"/>
      <c r="B43" s="169" t="s">
        <v>110</v>
      </c>
      <c r="C43" s="144">
        <f>+D43+E43+F43</f>
        <v>31000</v>
      </c>
      <c r="D43" s="166"/>
      <c r="E43" s="132"/>
      <c r="F43" s="211">
        <v>31000</v>
      </c>
      <c r="G43" s="140"/>
      <c r="H43" s="207"/>
      <c r="I43" s="208"/>
      <c r="J43" s="214">
        <v>14184.600000000002</v>
      </c>
      <c r="K43" s="213">
        <f>+SUM(H43:J43)</f>
        <v>14184.600000000002</v>
      </c>
      <c r="L43" s="140"/>
      <c r="M43" s="140"/>
      <c r="N43" s="168"/>
      <c r="O43" s="113">
        <f>+(H43+I43+J43)*0.36</f>
        <v>5106.456000000001</v>
      </c>
      <c r="P43" s="263">
        <v>4</v>
      </c>
      <c r="Q43" s="294"/>
    </row>
    <row r="44" spans="1:17" ht="21.65" customHeight="1" thickBot="1" x14ac:dyDescent="0.4">
      <c r="A44" s="292"/>
      <c r="B44" s="169" t="s">
        <v>113</v>
      </c>
      <c r="C44" s="144">
        <f>+D44+E44+F44</f>
        <v>9000</v>
      </c>
      <c r="D44" s="166">
        <v>9000</v>
      </c>
      <c r="E44" s="132"/>
      <c r="F44" s="167"/>
      <c r="G44" s="139"/>
      <c r="H44" s="204">
        <v>6000</v>
      </c>
      <c r="I44" s="205"/>
      <c r="J44" s="206">
        <v>0</v>
      </c>
      <c r="K44" s="156">
        <f>+SUM(H44:J44)</f>
        <v>6000</v>
      </c>
      <c r="L44" s="140"/>
      <c r="M44" s="140"/>
      <c r="N44" s="168">
        <f t="shared" si="6"/>
        <v>0.66666666666666663</v>
      </c>
      <c r="O44" s="113">
        <f>+(H44+I44+J44)*0.36</f>
        <v>2160</v>
      </c>
      <c r="P44" s="263">
        <v>4</v>
      </c>
      <c r="Q44" s="294"/>
    </row>
    <row r="45" spans="1:17" ht="21.65" customHeight="1" thickBot="1" x14ac:dyDescent="0.4">
      <c r="A45" s="296" t="s">
        <v>9</v>
      </c>
      <c r="B45" s="297"/>
      <c r="C45" s="133">
        <f>SUM(C40:C44)</f>
        <v>162000</v>
      </c>
      <c r="D45" s="132">
        <f>SUM(D40:D44)</f>
        <v>93000</v>
      </c>
      <c r="E45" s="132">
        <f>SUM(E40:E44)</f>
        <v>38000</v>
      </c>
      <c r="F45" s="132">
        <f>SUM(F40:F44)</f>
        <v>31000</v>
      </c>
      <c r="G45" s="133">
        <f>SUM(G40:G44)</f>
        <v>0</v>
      </c>
      <c r="H45" s="133">
        <f>+SUM(H40:H44)</f>
        <v>57000</v>
      </c>
      <c r="I45" s="133">
        <f>+SUM(I40:I44)</f>
        <v>38317.629999999997</v>
      </c>
      <c r="J45" s="67">
        <f>+SUM(J40:J44)</f>
        <v>14184.600000000002</v>
      </c>
      <c r="K45" s="134">
        <f>+SUM(K40:K44)</f>
        <v>109502.23000000001</v>
      </c>
      <c r="L45" s="133">
        <f>SUM(L40:L44)</f>
        <v>0</v>
      </c>
      <c r="M45" s="133">
        <f>SUM(M40:M44)</f>
        <v>0</v>
      </c>
      <c r="N45" s="145">
        <f t="shared" si="6"/>
        <v>0.67593969135802479</v>
      </c>
      <c r="O45" s="133">
        <f>SUM(O40:O44)</f>
        <v>25626.456000000002</v>
      </c>
      <c r="P45" s="262"/>
      <c r="Q45" s="295"/>
    </row>
    <row r="46" spans="1:17" ht="21.65" customHeight="1" thickBot="1" x14ac:dyDescent="0.4">
      <c r="A46" s="170" t="s">
        <v>64</v>
      </c>
      <c r="B46" s="139" t="s">
        <v>77</v>
      </c>
      <c r="C46" s="136">
        <f>+D46+E46+F46</f>
        <v>115000</v>
      </c>
      <c r="D46" s="166">
        <f>60000+25000</f>
        <v>85000</v>
      </c>
      <c r="E46" s="132">
        <v>15000</v>
      </c>
      <c r="F46" s="167">
        <v>15000</v>
      </c>
      <c r="G46" s="139"/>
      <c r="H46" s="171">
        <v>15000</v>
      </c>
      <c r="I46" s="172">
        <v>6800.56</v>
      </c>
      <c r="J46" s="74">
        <v>25190.999999999996</v>
      </c>
      <c r="K46" s="152">
        <f>+H46+I46+J46</f>
        <v>46991.56</v>
      </c>
      <c r="L46" s="139"/>
      <c r="M46" s="140"/>
      <c r="N46" s="168">
        <f t="shared" ref="N46:N53" si="9">+K46/C46</f>
        <v>0.40862226086956521</v>
      </c>
      <c r="O46" s="140"/>
      <c r="P46" s="263">
        <v>5</v>
      </c>
      <c r="Q46" s="293" t="s">
        <v>65</v>
      </c>
    </row>
    <row r="47" spans="1:17" ht="18.75" customHeight="1" thickBot="1" x14ac:dyDescent="0.4">
      <c r="A47" s="296" t="s">
        <v>66</v>
      </c>
      <c r="B47" s="297"/>
      <c r="C47" s="133">
        <f>SUM(C46:C46)</f>
        <v>115000</v>
      </c>
      <c r="D47" s="132">
        <f>SUM(D46:D46)</f>
        <v>85000</v>
      </c>
      <c r="E47" s="132">
        <f>SUM(E46:E46)</f>
        <v>15000</v>
      </c>
      <c r="F47" s="132">
        <f>SUM(F46:F46)</f>
        <v>15000</v>
      </c>
      <c r="G47" s="133">
        <f>SUM(G46:G46)</f>
        <v>0</v>
      </c>
      <c r="H47" s="133">
        <f>+SUM(H46:H46)</f>
        <v>15000</v>
      </c>
      <c r="I47" s="133">
        <f>+SUM(I46:I46)</f>
        <v>6800.56</v>
      </c>
      <c r="J47" s="67">
        <f>+SUM(J46:J46)</f>
        <v>25190.999999999996</v>
      </c>
      <c r="K47" s="134">
        <f>+SUM(K46:K46)</f>
        <v>46991.56</v>
      </c>
      <c r="L47" s="133">
        <f>SUM(L46:L46)</f>
        <v>0</v>
      </c>
      <c r="M47" s="133">
        <f>SUM(M46:M46)</f>
        <v>0</v>
      </c>
      <c r="N47" s="145">
        <f t="shared" si="9"/>
        <v>0.40862226086956521</v>
      </c>
      <c r="O47" s="133">
        <f>SUM(O46:O46)</f>
        <v>0</v>
      </c>
      <c r="P47" s="268"/>
      <c r="Q47" s="295"/>
    </row>
    <row r="48" spans="1:17" ht="20.5" customHeight="1" thickBot="1" x14ac:dyDescent="0.4">
      <c r="A48" s="312" t="s">
        <v>10</v>
      </c>
      <c r="B48" s="173" t="s">
        <v>11</v>
      </c>
      <c r="C48" s="174">
        <f>+D48+E48+F48</f>
        <v>20000</v>
      </c>
      <c r="D48" s="166">
        <v>10000</v>
      </c>
      <c r="E48" s="132">
        <v>5000</v>
      </c>
      <c r="F48" s="167">
        <v>5000</v>
      </c>
      <c r="G48" s="139"/>
      <c r="H48" s="171">
        <v>7000</v>
      </c>
      <c r="I48" s="172">
        <v>10117.629999999999</v>
      </c>
      <c r="J48" s="74">
        <v>4778.67</v>
      </c>
      <c r="K48" s="152">
        <f>+H48+J48+I48</f>
        <v>21896.3</v>
      </c>
      <c r="L48" s="139"/>
      <c r="M48" s="140"/>
      <c r="N48" s="141">
        <f t="shared" si="9"/>
        <v>1.0948149999999999</v>
      </c>
      <c r="O48" s="140"/>
      <c r="P48" s="269">
        <v>2</v>
      </c>
      <c r="Q48" s="293" t="s">
        <v>67</v>
      </c>
    </row>
    <row r="49" spans="1:17" ht="90" customHeight="1" thickBot="1" x14ac:dyDescent="0.4">
      <c r="A49" s="312"/>
      <c r="B49" s="175" t="s">
        <v>76</v>
      </c>
      <c r="C49" s="174">
        <f>+D49+E49+F49</f>
        <v>63500</v>
      </c>
      <c r="D49" s="166">
        <v>23500</v>
      </c>
      <c r="E49" s="132">
        <v>20000</v>
      </c>
      <c r="F49" s="167">
        <v>20000</v>
      </c>
      <c r="G49" s="139"/>
      <c r="H49" s="171">
        <v>13117</v>
      </c>
      <c r="I49" s="172">
        <v>13826.45</v>
      </c>
      <c r="J49" s="74">
        <v>17920.640000000003</v>
      </c>
      <c r="K49" s="152">
        <f>+H49+J49+I49</f>
        <v>44864.090000000004</v>
      </c>
      <c r="L49" s="139"/>
      <c r="M49" s="140"/>
      <c r="N49" s="141">
        <f t="shared" si="9"/>
        <v>0.70652110236220478</v>
      </c>
      <c r="O49" s="140"/>
      <c r="P49" s="269">
        <v>7</v>
      </c>
      <c r="Q49" s="294"/>
    </row>
    <row r="50" spans="1:17" ht="34.25" customHeight="1" thickBot="1" x14ac:dyDescent="0.4">
      <c r="A50" s="312"/>
      <c r="B50" s="173" t="s">
        <v>75</v>
      </c>
      <c r="C50" s="174">
        <f>+D50+E50+F50</f>
        <v>35000</v>
      </c>
      <c r="D50" s="166">
        <v>15000</v>
      </c>
      <c r="E50" s="132">
        <v>10000</v>
      </c>
      <c r="F50" s="167">
        <v>10000</v>
      </c>
      <c r="G50" s="139"/>
      <c r="H50" s="171">
        <v>8000</v>
      </c>
      <c r="I50" s="172">
        <v>17929.23</v>
      </c>
      <c r="J50" s="74">
        <v>13322.080000000002</v>
      </c>
      <c r="K50" s="152">
        <f>+H50+J50+I50</f>
        <v>39251.31</v>
      </c>
      <c r="L50" s="140"/>
      <c r="M50" s="140"/>
      <c r="N50" s="141">
        <f t="shared" si="9"/>
        <v>1.1214659999999999</v>
      </c>
      <c r="O50" s="140"/>
      <c r="P50" s="269">
        <v>3</v>
      </c>
      <c r="Q50" s="294"/>
    </row>
    <row r="51" spans="1:17" ht="19.5" customHeight="1" thickBot="1" x14ac:dyDescent="0.4">
      <c r="A51" s="296" t="s">
        <v>12</v>
      </c>
      <c r="B51" s="297"/>
      <c r="C51" s="176">
        <f>SUM(C48:C50)</f>
        <v>118500</v>
      </c>
      <c r="D51" s="177">
        <f>SUM(D48:D50)</f>
        <v>48500</v>
      </c>
      <c r="E51" s="177">
        <f>SUM(E48:E50)</f>
        <v>35000</v>
      </c>
      <c r="F51" s="177">
        <f>SUM(F48:F50)</f>
        <v>35000</v>
      </c>
      <c r="G51" s="176">
        <f>SUM(G48:G50)</f>
        <v>0</v>
      </c>
      <c r="H51" s="176">
        <f>+SUM(H48:H50)</f>
        <v>28117</v>
      </c>
      <c r="I51" s="176">
        <f>+SUM(I48:I50)</f>
        <v>41873.31</v>
      </c>
      <c r="J51" s="75">
        <f>+SUM(J48:J50)</f>
        <v>36021.390000000007</v>
      </c>
      <c r="K51" s="178">
        <f>+SUM(K48:K50)</f>
        <v>106011.7</v>
      </c>
      <c r="L51" s="176">
        <f>SUM(L48:L50)</f>
        <v>0</v>
      </c>
      <c r="M51" s="176">
        <f>SUM(M48:M50)</f>
        <v>0</v>
      </c>
      <c r="N51" s="145">
        <f t="shared" si="9"/>
        <v>0.89461350210970458</v>
      </c>
      <c r="O51" s="176">
        <f>SUM(O48:O50)</f>
        <v>0</v>
      </c>
      <c r="P51" s="270"/>
      <c r="Q51" s="295"/>
    </row>
    <row r="52" spans="1:17" ht="21.75" customHeight="1" thickBot="1" x14ac:dyDescent="0.4">
      <c r="A52" s="339" t="s">
        <v>68</v>
      </c>
      <c r="B52" s="340"/>
      <c r="C52" s="162">
        <f>+D52+E52+F52</f>
        <v>1168500</v>
      </c>
      <c r="D52" s="162">
        <f>D39+D45+D47+D51</f>
        <v>505500</v>
      </c>
      <c r="E52" s="162">
        <f>E39+E45+E47+E51</f>
        <v>348000</v>
      </c>
      <c r="F52" s="162">
        <f>F39+F45+F47+F51</f>
        <v>315000</v>
      </c>
      <c r="G52" s="162"/>
      <c r="H52" s="162">
        <f t="shared" ref="H52:M52" si="10">H39+H45+H47+H51</f>
        <v>299855.64</v>
      </c>
      <c r="I52" s="162">
        <f t="shared" si="10"/>
        <v>320074.94999999995</v>
      </c>
      <c r="J52" s="73">
        <f t="shared" si="10"/>
        <v>228286.91000000003</v>
      </c>
      <c r="K52" s="164">
        <f t="shared" si="10"/>
        <v>791230.3</v>
      </c>
      <c r="L52" s="162">
        <f t="shared" si="10"/>
        <v>0</v>
      </c>
      <c r="M52" s="162">
        <f t="shared" si="10"/>
        <v>0</v>
      </c>
      <c r="N52" s="165">
        <f t="shared" si="9"/>
        <v>0.67713333333333336</v>
      </c>
      <c r="O52" s="162">
        <f>O39+O45+O47+O51</f>
        <v>219413.7591</v>
      </c>
      <c r="P52" s="267"/>
    </row>
    <row r="53" spans="1:17" ht="22.5" customHeight="1" thickBot="1" x14ac:dyDescent="0.4">
      <c r="A53" s="341" t="s">
        <v>13</v>
      </c>
      <c r="B53" s="342"/>
      <c r="C53" s="136">
        <f>C52*0.07</f>
        <v>81795.000000000015</v>
      </c>
      <c r="D53" s="136">
        <f>D52*0.07</f>
        <v>35385</v>
      </c>
      <c r="E53" s="136">
        <f t="shared" ref="E53:K53" si="11">E52*0.07</f>
        <v>24360.000000000004</v>
      </c>
      <c r="F53" s="136">
        <f t="shared" si="11"/>
        <v>22050.000000000004</v>
      </c>
      <c r="G53" s="136">
        <f t="shared" si="11"/>
        <v>0</v>
      </c>
      <c r="H53" s="136">
        <f t="shared" si="11"/>
        <v>20989.894800000002</v>
      </c>
      <c r="I53" s="136">
        <f t="shared" si="11"/>
        <v>22405.246499999997</v>
      </c>
      <c r="J53" s="136">
        <f t="shared" si="11"/>
        <v>15980.083700000005</v>
      </c>
      <c r="K53" s="136">
        <f t="shared" si="11"/>
        <v>55386.121000000006</v>
      </c>
      <c r="L53" s="169"/>
      <c r="M53" s="179"/>
      <c r="N53" s="170">
        <f t="shared" si="9"/>
        <v>0.67713333333333325</v>
      </c>
      <c r="O53" s="179"/>
      <c r="P53" s="271">
        <v>8</v>
      </c>
    </row>
    <row r="54" spans="1:17" ht="30" customHeight="1" thickBot="1" x14ac:dyDescent="0.4">
      <c r="A54" s="343" t="s">
        <v>14</v>
      </c>
      <c r="B54" s="344"/>
      <c r="C54" s="180">
        <f>+C53+C52</f>
        <v>1250295</v>
      </c>
      <c r="D54" s="181">
        <f>+D53+D52</f>
        <v>540885</v>
      </c>
      <c r="E54" s="181">
        <f>+E53+E52</f>
        <v>372360</v>
      </c>
      <c r="F54" s="181">
        <f>+F53+F52</f>
        <v>337050</v>
      </c>
      <c r="G54" s="180"/>
      <c r="H54" s="180">
        <f>+H53+H52</f>
        <v>320845.53480000002</v>
      </c>
      <c r="I54" s="180">
        <f t="shared" ref="I54:O54" si="12">+I53+I52</f>
        <v>342480.19649999996</v>
      </c>
      <c r="J54" s="76">
        <f>+J53+J52</f>
        <v>244266.99370000005</v>
      </c>
      <c r="K54" s="182">
        <f>+K53+K52</f>
        <v>846616.42100000009</v>
      </c>
      <c r="L54" s="180">
        <f t="shared" si="12"/>
        <v>0</v>
      </c>
      <c r="M54" s="180">
        <f t="shared" si="12"/>
        <v>0</v>
      </c>
      <c r="N54" s="183">
        <f>+K54/C54</f>
        <v>0.67713333333333336</v>
      </c>
      <c r="O54" s="180">
        <f t="shared" si="12"/>
        <v>219413.7591</v>
      </c>
      <c r="P54" s="272"/>
    </row>
    <row r="55" spans="1:17" ht="30" customHeight="1" thickBot="1" x14ac:dyDescent="0.4">
      <c r="C55" s="184" t="s">
        <v>116</v>
      </c>
      <c r="D55" s="77" t="s">
        <v>80</v>
      </c>
      <c r="E55" s="77" t="s">
        <v>114</v>
      </c>
      <c r="F55" s="77" t="s">
        <v>115</v>
      </c>
      <c r="G55" s="77"/>
      <c r="H55" s="77"/>
      <c r="I55" s="77"/>
      <c r="J55" s="77" t="s">
        <v>134</v>
      </c>
      <c r="K55" s="77"/>
      <c r="L55" s="77" t="s">
        <v>4</v>
      </c>
      <c r="M55" s="77" t="s">
        <v>5</v>
      </c>
      <c r="N55" s="77"/>
      <c r="O55" s="185"/>
      <c r="Q55" s="92"/>
    </row>
    <row r="56" spans="1:17" ht="12.75" customHeight="1" x14ac:dyDescent="0.35">
      <c r="H56" s="186" t="s">
        <v>80</v>
      </c>
      <c r="I56" s="186" t="s">
        <v>114</v>
      </c>
      <c r="J56" s="78" t="s">
        <v>115</v>
      </c>
      <c r="O56" s="93">
        <f>+SUM(O6:O20)</f>
        <v>197868.59679999997</v>
      </c>
    </row>
    <row r="57" spans="1:17" ht="16" thickBot="1" x14ac:dyDescent="0.4"/>
    <row r="58" spans="1:17" ht="15" customHeight="1" thickBot="1" x14ac:dyDescent="0.4">
      <c r="B58" s="336" t="s">
        <v>15</v>
      </c>
      <c r="C58" s="337"/>
      <c r="D58" s="337"/>
      <c r="E58" s="337"/>
      <c r="F58" s="337"/>
      <c r="G58" s="337"/>
      <c r="H58" s="337"/>
      <c r="I58" s="337"/>
      <c r="J58" s="337"/>
      <c r="K58" s="337"/>
      <c r="L58" s="337"/>
      <c r="M58" s="337"/>
      <c r="N58" s="337"/>
      <c r="O58" s="338"/>
    </row>
    <row r="59" spans="1:17" ht="41.5" customHeight="1" thickBot="1" x14ac:dyDescent="0.4">
      <c r="B59" s="188" t="s">
        <v>16</v>
      </c>
      <c r="C59" s="189" t="s">
        <v>17</v>
      </c>
      <c r="D59" s="190" t="s">
        <v>18</v>
      </c>
      <c r="E59" s="190"/>
      <c r="F59" s="190"/>
      <c r="G59" s="191" t="s">
        <v>136</v>
      </c>
      <c r="H59" s="192"/>
      <c r="I59" s="193"/>
      <c r="J59" s="80" t="s">
        <v>19</v>
      </c>
      <c r="K59" s="80"/>
      <c r="L59" s="194" t="s">
        <v>20</v>
      </c>
      <c r="M59" s="195" t="s">
        <v>21</v>
      </c>
      <c r="N59" s="332" t="s">
        <v>22</v>
      </c>
      <c r="O59" s="333"/>
    </row>
    <row r="60" spans="1:17" ht="18.649999999999999" customHeight="1" thickBot="1" x14ac:dyDescent="0.4">
      <c r="B60" s="196" t="s">
        <v>80</v>
      </c>
      <c r="C60" s="196">
        <f>D54</f>
        <v>540885</v>
      </c>
      <c r="D60" s="197">
        <f>+H54</f>
        <v>320845.53480000002</v>
      </c>
      <c r="E60" s="197"/>
      <c r="F60" s="197"/>
      <c r="G60" s="198">
        <f>D60</f>
        <v>320845.53480000002</v>
      </c>
      <c r="H60" s="83"/>
      <c r="I60" s="198"/>
      <c r="J60" s="81">
        <v>0</v>
      </c>
      <c r="K60" s="82"/>
      <c r="L60" s="83">
        <f>C60-G60</f>
        <v>220039.46519999998</v>
      </c>
      <c r="M60" s="84">
        <f>G60/C60</f>
        <v>0.59318623145400595</v>
      </c>
      <c r="N60" s="334"/>
      <c r="O60" s="335"/>
    </row>
    <row r="61" spans="1:17" ht="18.649999999999999" customHeight="1" thickBot="1" x14ac:dyDescent="0.4">
      <c r="B61" s="196" t="s">
        <v>114</v>
      </c>
      <c r="C61" s="196">
        <f>+E54</f>
        <v>372360</v>
      </c>
      <c r="D61" s="197">
        <f>+I54</f>
        <v>342480.19649999996</v>
      </c>
      <c r="E61" s="197"/>
      <c r="F61" s="197"/>
      <c r="G61" s="198">
        <f>D61</f>
        <v>342480.19649999996</v>
      </c>
      <c r="H61" s="83"/>
      <c r="I61" s="198"/>
      <c r="J61" s="81"/>
      <c r="K61" s="82"/>
      <c r="L61" s="83">
        <f>C61-G61</f>
        <v>29879.803500000038</v>
      </c>
      <c r="M61" s="84">
        <f>G61/C61</f>
        <v>0.91975560344827578</v>
      </c>
      <c r="N61" s="326"/>
      <c r="O61" s="327"/>
    </row>
    <row r="62" spans="1:17" ht="18.649999999999999" customHeight="1" thickBot="1" x14ac:dyDescent="0.4">
      <c r="B62" s="196" t="s">
        <v>115</v>
      </c>
      <c r="C62" s="196">
        <f>F54</f>
        <v>337050</v>
      </c>
      <c r="D62" s="197">
        <f>J54</f>
        <v>244266.99370000005</v>
      </c>
      <c r="E62" s="197"/>
      <c r="F62" s="197"/>
      <c r="G62" s="198">
        <f>D62</f>
        <v>244266.99370000005</v>
      </c>
      <c r="H62" s="83"/>
      <c r="I62" s="198"/>
      <c r="J62" s="85"/>
      <c r="K62" s="82"/>
      <c r="L62" s="83">
        <f>C62-G62</f>
        <v>92783.00629999995</v>
      </c>
      <c r="M62" s="84">
        <f>G62/C62</f>
        <v>0.72472034920634931</v>
      </c>
      <c r="N62" s="326"/>
      <c r="O62" s="327"/>
    </row>
    <row r="63" spans="1:17" ht="21" customHeight="1" thickBot="1" x14ac:dyDescent="0.4">
      <c r="B63" s="87" t="s">
        <v>23</v>
      </c>
      <c r="C63" s="87">
        <f>+C62+C61+C60</f>
        <v>1250295</v>
      </c>
      <c r="D63" s="87">
        <f>+D62+D61+D60</f>
        <v>907592.72500000009</v>
      </c>
      <c r="E63" s="87">
        <f>+E62+E61+E60</f>
        <v>0</v>
      </c>
      <c r="F63" s="87">
        <f>+F62+F61+F60</f>
        <v>0</v>
      </c>
      <c r="G63" s="87">
        <f>+G62+G61+G60</f>
        <v>907592.72500000009</v>
      </c>
      <c r="H63" s="199"/>
      <c r="I63" s="200"/>
      <c r="J63" s="88"/>
      <c r="K63" s="87"/>
      <c r="L63" s="87">
        <f>C63-G63</f>
        <v>342702.27499999991</v>
      </c>
      <c r="M63" s="86">
        <f>G63/C63</f>
        <v>0.72590286692340611</v>
      </c>
      <c r="N63" s="328"/>
      <c r="O63" s="329"/>
    </row>
    <row r="64" spans="1:17" ht="15" customHeight="1" thickBot="1" x14ac:dyDescent="0.4">
      <c r="B64" s="242" t="s">
        <v>127</v>
      </c>
      <c r="C64" s="89">
        <v>384868.3</v>
      </c>
      <c r="D64" s="89">
        <v>157830.26</v>
      </c>
      <c r="E64" s="89"/>
      <c r="F64" s="89"/>
      <c r="G64" s="89">
        <f>+D64</f>
        <v>157830.26</v>
      </c>
      <c r="H64" s="89"/>
      <c r="I64" s="89"/>
      <c r="J64" s="90"/>
      <c r="K64" s="89"/>
      <c r="L64" s="89"/>
      <c r="M64" s="91">
        <f>+G64/C64</f>
        <v>0.4100890096690219</v>
      </c>
      <c r="N64" s="330"/>
      <c r="O64" s="331"/>
    </row>
    <row r="66" spans="2:9" x14ac:dyDescent="0.35">
      <c r="H66" s="93"/>
      <c r="I66" s="93"/>
    </row>
    <row r="67" spans="2:9" x14ac:dyDescent="0.35">
      <c r="B67" s="201"/>
      <c r="H67" s="93"/>
      <c r="I67" s="93"/>
    </row>
    <row r="68" spans="2:9" x14ac:dyDescent="0.35">
      <c r="H68" s="93"/>
      <c r="I68" s="93"/>
    </row>
    <row r="69" spans="2:9" x14ac:dyDescent="0.35">
      <c r="H69" s="93"/>
      <c r="I69" s="93"/>
    </row>
  </sheetData>
  <autoFilter ref="A3:Q56" xr:uid="{00000000-0009-0000-0000-000001000000}"/>
  <mergeCells count="39">
    <mergeCell ref="A33:A36"/>
    <mergeCell ref="N62:O62"/>
    <mergeCell ref="N63:O63"/>
    <mergeCell ref="N64:O64"/>
    <mergeCell ref="N59:O59"/>
    <mergeCell ref="N60:O60"/>
    <mergeCell ref="N61:O61"/>
    <mergeCell ref="B58:O58"/>
    <mergeCell ref="A52:B52"/>
    <mergeCell ref="A53:B53"/>
    <mergeCell ref="A54:B54"/>
    <mergeCell ref="A5:P5"/>
    <mergeCell ref="A6:A9"/>
    <mergeCell ref="A18:A22"/>
    <mergeCell ref="A32:B32"/>
    <mergeCell ref="A24:B24"/>
    <mergeCell ref="A25:P25"/>
    <mergeCell ref="A26:A31"/>
    <mergeCell ref="Q46:Q47"/>
    <mergeCell ref="A47:B47"/>
    <mergeCell ref="A48:A50"/>
    <mergeCell ref="Q48:Q51"/>
    <mergeCell ref="A51:B51"/>
    <mergeCell ref="B1:L1"/>
    <mergeCell ref="Q26:Q31"/>
    <mergeCell ref="A40:A44"/>
    <mergeCell ref="Q40:Q45"/>
    <mergeCell ref="A45:B45"/>
    <mergeCell ref="Q33:Q36"/>
    <mergeCell ref="A37:B37"/>
    <mergeCell ref="A38:B38"/>
    <mergeCell ref="A39:B39"/>
    <mergeCell ref="Q18:Q22"/>
    <mergeCell ref="Q6:Q9"/>
    <mergeCell ref="A10:B10"/>
    <mergeCell ref="A11:A16"/>
    <mergeCell ref="Q11:Q16"/>
    <mergeCell ref="A17:B17"/>
    <mergeCell ref="A23:B2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CATEGORIE BUDGETAIRE TAXI</vt:lpstr>
      <vt:lpstr>PAR RESULTAT TAXI-MOTO 14-06-21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2021-06-22T16:06:30Z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2020-11-06T11:24:43Z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c1675612-ba5d-416f-bb12-d5d436d15e87</vt:lpwstr>
  </property>
  <property fmtid="{D5CDD505-2E9C-101B-9397-08002B2CF9AE}" pid="8" name="MSIP_Label_2059aa38-f392-4105-be92-628035578272_ContentBits">
    <vt:lpwstr>0</vt:lpwstr>
  </property>
</Properties>
</file>