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CB5F4E06-D571-4A4C-BFE4-3B74B608D1A7}" xr6:coauthVersionLast="47" xr6:coauthVersionMax="47" xr10:uidLastSave="{00000000-0000-0000-0000-000000000000}"/>
  <bookViews>
    <workbookView xWindow="-110" yWindow="-110" windowWidth="19420" windowHeight="10420" tabRatio="834" xr2:uid="{00000000-000D-0000-FFFF-FFFF00000000}"/>
  </bookViews>
  <sheets>
    <sheet name="SUIVI BUDGETAIRE 2022_VF (2)" sheetId="5" r:id="rId1"/>
    <sheet name="PAR CATEGORIE BUDGETAIRE GF 22" sheetId="3" r:id="rId2"/>
  </sheets>
  <externalReferences>
    <externalReference r:id="rId3"/>
  </externalReferences>
  <definedNames>
    <definedName name="_xlnm._FilterDatabase" localSheetId="0" hidden="1">'SUIVI BUDGETAIRE 2022_VF (2)'!$A$3:$R$55</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TEST0">#REF!</definedName>
    <definedName name="TESTHKEY">#REF!</definedName>
    <definedName name="TESTKEYS">#REF!</definedName>
    <definedName name="TESTVKE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3" l="1"/>
  <c r="D35" i="3"/>
  <c r="D36" i="3"/>
  <c r="D37" i="3"/>
  <c r="N62" i="5"/>
  <c r="J62" i="5"/>
  <c r="J60" i="5"/>
  <c r="J61" i="5"/>
  <c r="J38" i="5" l="1"/>
  <c r="I62" i="5"/>
  <c r="C62" i="5"/>
  <c r="L48" i="5"/>
  <c r="L49" i="5"/>
  <c r="L47" i="5"/>
  <c r="L45" i="5"/>
  <c r="L46" i="5" s="1"/>
  <c r="L41" i="5"/>
  <c r="L42" i="5"/>
  <c r="L43" i="5"/>
  <c r="L40" i="5"/>
  <c r="L35" i="5"/>
  <c r="L36" i="5"/>
  <c r="L34" i="5"/>
  <c r="L31" i="5"/>
  <c r="L32" i="5"/>
  <c r="L30" i="5"/>
  <c r="L25" i="5"/>
  <c r="L26" i="5"/>
  <c r="L27" i="5"/>
  <c r="L24" i="5"/>
  <c r="L22" i="5"/>
  <c r="L21" i="5"/>
  <c r="L16" i="5"/>
  <c r="L17" i="5"/>
  <c r="L15" i="5"/>
  <c r="L12" i="5"/>
  <c r="L13" i="5"/>
  <c r="L11" i="5"/>
  <c r="L7" i="5"/>
  <c r="L8" i="5"/>
  <c r="L9" i="5"/>
  <c r="L6" i="5"/>
  <c r="I48" i="5"/>
  <c r="I49" i="5"/>
  <c r="E45" i="5"/>
  <c r="E41" i="5"/>
  <c r="E13" i="5"/>
  <c r="D25" i="3"/>
  <c r="D24" i="3"/>
  <c r="D23" i="3"/>
  <c r="J52" i="5"/>
  <c r="E15" i="3"/>
  <c r="E13" i="3"/>
  <c r="E11" i="3"/>
  <c r="E10" i="3"/>
  <c r="F10" i="3" s="1"/>
  <c r="E9" i="3"/>
  <c r="F9" i="3" s="1"/>
  <c r="F14" i="3" s="1"/>
  <c r="F15" i="3" s="1"/>
  <c r="E8" i="3"/>
  <c r="E14" i="3" l="1"/>
  <c r="F16" i="3"/>
  <c r="B12" i="3" l="1"/>
  <c r="H11" i="3" l="1"/>
  <c r="H7" i="3"/>
  <c r="H15" i="3"/>
  <c r="G15" i="3"/>
  <c r="H13" i="3"/>
  <c r="G13" i="3"/>
  <c r="G11" i="3"/>
  <c r="H9" i="3"/>
  <c r="G9" i="3"/>
  <c r="H8" i="3"/>
  <c r="G8" i="3"/>
  <c r="G7" i="3"/>
  <c r="K46" i="5"/>
  <c r="G46" i="5"/>
  <c r="F25" i="3"/>
  <c r="F22" i="3"/>
  <c r="F24" i="3"/>
  <c r="C25" i="3"/>
  <c r="D13" i="3"/>
  <c r="C13" i="3"/>
  <c r="D11" i="3"/>
  <c r="C11" i="3"/>
  <c r="D9" i="3"/>
  <c r="C9" i="3"/>
  <c r="D8" i="3"/>
  <c r="C8" i="3"/>
  <c r="M46" i="5"/>
  <c r="I50" i="5"/>
  <c r="B8" i="3" l="1"/>
  <c r="B11" i="3"/>
  <c r="B9" i="3"/>
  <c r="B13" i="3"/>
  <c r="F30" i="3"/>
  <c r="F23" i="3"/>
  <c r="E28" i="3"/>
  <c r="E26" i="3"/>
  <c r="E24" i="3"/>
  <c r="E23" i="3"/>
  <c r="E22" i="3"/>
  <c r="D30" i="3"/>
  <c r="D28" i="3"/>
  <c r="D26" i="3"/>
  <c r="C28" i="3"/>
  <c r="C24" i="3"/>
  <c r="C23" i="3"/>
  <c r="C22" i="3"/>
  <c r="D6" i="5"/>
  <c r="D7" i="5"/>
  <c r="D8" i="5"/>
  <c r="D9" i="5"/>
  <c r="E10" i="5"/>
  <c r="F10" i="5"/>
  <c r="G10" i="5"/>
  <c r="H10" i="5"/>
  <c r="I10" i="5"/>
  <c r="J10" i="5"/>
  <c r="K10" i="5"/>
  <c r="L10" i="5"/>
  <c r="M10" i="5"/>
  <c r="N10" i="5"/>
  <c r="O10" i="5"/>
  <c r="P10" i="5"/>
  <c r="D11" i="5"/>
  <c r="D12" i="5"/>
  <c r="D13" i="5"/>
  <c r="E14" i="5"/>
  <c r="F14" i="5"/>
  <c r="G14" i="5"/>
  <c r="H14" i="5"/>
  <c r="I14" i="5"/>
  <c r="J14" i="5"/>
  <c r="K14" i="5"/>
  <c r="L14" i="5"/>
  <c r="M14" i="5"/>
  <c r="N14" i="5"/>
  <c r="O14" i="5"/>
  <c r="P14" i="5"/>
  <c r="D15" i="5"/>
  <c r="D16" i="5"/>
  <c r="D17" i="5"/>
  <c r="E18" i="5"/>
  <c r="F18" i="5"/>
  <c r="G18" i="5"/>
  <c r="I18" i="5"/>
  <c r="J18" i="5"/>
  <c r="K18" i="5"/>
  <c r="L18" i="5"/>
  <c r="M18" i="5"/>
  <c r="N18" i="5"/>
  <c r="P18" i="5"/>
  <c r="D21" i="5"/>
  <c r="D22" i="5"/>
  <c r="E23" i="5"/>
  <c r="F23" i="5"/>
  <c r="G23" i="5"/>
  <c r="H23" i="5"/>
  <c r="I23" i="5"/>
  <c r="J23" i="5"/>
  <c r="K23" i="5"/>
  <c r="L23" i="5"/>
  <c r="M23" i="5"/>
  <c r="N23" i="5"/>
  <c r="O23" i="5"/>
  <c r="D24" i="5"/>
  <c r="D25" i="5"/>
  <c r="D26" i="5"/>
  <c r="D27" i="5"/>
  <c r="E28" i="5"/>
  <c r="F28" i="5"/>
  <c r="G28" i="5"/>
  <c r="I28" i="5"/>
  <c r="J28" i="5"/>
  <c r="K28" i="5"/>
  <c r="L28" i="5"/>
  <c r="M28" i="5"/>
  <c r="N28" i="5"/>
  <c r="P28" i="5"/>
  <c r="P38" i="5" s="1"/>
  <c r="D30" i="5"/>
  <c r="D31" i="5"/>
  <c r="D32" i="5"/>
  <c r="E33" i="5"/>
  <c r="F33" i="5"/>
  <c r="G33" i="5"/>
  <c r="I33" i="5"/>
  <c r="J33" i="5"/>
  <c r="K33" i="5"/>
  <c r="L33" i="5"/>
  <c r="M33" i="5"/>
  <c r="N33" i="5"/>
  <c r="P33" i="5"/>
  <c r="D34" i="5"/>
  <c r="D35" i="5"/>
  <c r="D36" i="5"/>
  <c r="E37" i="5"/>
  <c r="F37" i="5"/>
  <c r="G37" i="5"/>
  <c r="I37" i="5"/>
  <c r="J37" i="5"/>
  <c r="K37" i="5"/>
  <c r="L37" i="5"/>
  <c r="M37" i="5"/>
  <c r="N37" i="5"/>
  <c r="P37" i="5"/>
  <c r="D40" i="5"/>
  <c r="E44" i="5"/>
  <c r="D42" i="5"/>
  <c r="D43" i="5"/>
  <c r="F44" i="5"/>
  <c r="G44" i="5"/>
  <c r="H44" i="5"/>
  <c r="I44" i="5"/>
  <c r="J44" i="5"/>
  <c r="K44" i="5"/>
  <c r="L44" i="5"/>
  <c r="M44" i="5"/>
  <c r="N44" i="5"/>
  <c r="P44" i="5"/>
  <c r="D45" i="5"/>
  <c r="E46" i="5"/>
  <c r="F46" i="5"/>
  <c r="I46" i="5"/>
  <c r="J46" i="5"/>
  <c r="D47" i="5"/>
  <c r="E50" i="5"/>
  <c r="D49" i="5"/>
  <c r="F50" i="5"/>
  <c r="G50" i="5"/>
  <c r="H50" i="5"/>
  <c r="J50" i="5"/>
  <c r="K50" i="5"/>
  <c r="L50" i="5"/>
  <c r="M50" i="5"/>
  <c r="N50" i="5"/>
  <c r="P50" i="5"/>
  <c r="D41" i="5"/>
  <c r="D48" i="5"/>
  <c r="K38" i="5" l="1"/>
  <c r="L38" i="5"/>
  <c r="F38" i="5"/>
  <c r="D23" i="5"/>
  <c r="H10" i="3"/>
  <c r="H14" i="3" s="1"/>
  <c r="H16" i="3" s="1"/>
  <c r="G10" i="3"/>
  <c r="G14" i="3" s="1"/>
  <c r="G19" i="5"/>
  <c r="G38" i="5"/>
  <c r="M19" i="5"/>
  <c r="D29" i="3"/>
  <c r="D31" i="3" s="1"/>
  <c r="D10" i="5"/>
  <c r="N38" i="5"/>
  <c r="L19" i="5"/>
  <c r="D28" i="5"/>
  <c r="O28" i="5" s="1"/>
  <c r="E25" i="3"/>
  <c r="E29" i="3" s="1"/>
  <c r="K19" i="5"/>
  <c r="D18" i="5"/>
  <c r="J19" i="5"/>
  <c r="P19" i="5"/>
  <c r="P39" i="5" s="1"/>
  <c r="P51" i="5" s="1"/>
  <c r="P53" i="5" s="1"/>
  <c r="N19" i="5"/>
  <c r="F19" i="5"/>
  <c r="E19" i="5"/>
  <c r="D14" i="5"/>
  <c r="D10" i="3"/>
  <c r="C10" i="3"/>
  <c r="D7" i="3"/>
  <c r="C7" i="3"/>
  <c r="I19" i="5"/>
  <c r="D33" i="5"/>
  <c r="O33" i="5" s="1"/>
  <c r="D44" i="5"/>
  <c r="F31" i="3"/>
  <c r="M38" i="5"/>
  <c r="C29" i="3"/>
  <c r="I38" i="5"/>
  <c r="D50" i="5"/>
  <c r="D37" i="5"/>
  <c r="E38" i="5"/>
  <c r="B10" i="3" l="1"/>
  <c r="G39" i="5"/>
  <c r="G51" i="5" s="1"/>
  <c r="G53" i="5" s="1"/>
  <c r="D61" i="5" s="1"/>
  <c r="F39" i="5"/>
  <c r="F51" i="5" s="1"/>
  <c r="M39" i="5"/>
  <c r="M51" i="5" s="1"/>
  <c r="M53" i="5" s="1"/>
  <c r="I59" i="5" s="1"/>
  <c r="L39" i="5"/>
  <c r="L51" i="5" s="1"/>
  <c r="B7" i="3"/>
  <c r="N39" i="5"/>
  <c r="N51" i="5" s="1"/>
  <c r="J39" i="5"/>
  <c r="J51" i="5" s="1"/>
  <c r="J53" i="5" s="1"/>
  <c r="E60" i="5" s="1"/>
  <c r="H60" i="5" s="1"/>
  <c r="D38" i="5"/>
  <c r="F53" i="5"/>
  <c r="D60" i="5" s="1"/>
  <c r="D14" i="3"/>
  <c r="G16" i="3"/>
  <c r="K39" i="5"/>
  <c r="K51" i="5" s="1"/>
  <c r="K52" i="5" s="1"/>
  <c r="I39" i="5"/>
  <c r="I51" i="5" s="1"/>
  <c r="C30" i="3" s="1"/>
  <c r="C31" i="3" s="1"/>
  <c r="D19" i="5"/>
  <c r="C14" i="3"/>
  <c r="E16" i="3"/>
  <c r="E39" i="5"/>
  <c r="E51" i="5" s="1"/>
  <c r="D51" i="5" l="1"/>
  <c r="D52" i="5" s="1"/>
  <c r="D53" i="5" s="1"/>
  <c r="B14" i="3"/>
  <c r="M60" i="5"/>
  <c r="N60" i="5"/>
  <c r="D39" i="5"/>
  <c r="E52" i="5"/>
  <c r="E53" i="5" s="1"/>
  <c r="D59" i="5" s="1"/>
  <c r="I53" i="5"/>
  <c r="E59" i="5" s="1"/>
  <c r="L52" i="5" l="1"/>
  <c r="L53" i="5" s="1"/>
  <c r="E30" i="3"/>
  <c r="E31" i="3" s="1"/>
  <c r="K53" i="5"/>
  <c r="C15" i="3"/>
  <c r="D15" i="3"/>
  <c r="D16" i="3" s="1"/>
  <c r="D62" i="5"/>
  <c r="H59" i="5"/>
  <c r="N59" i="5" s="1"/>
  <c r="H61" i="5" l="1"/>
  <c r="E61" i="5"/>
  <c r="E62" i="5" s="1"/>
  <c r="M62" i="5" s="1"/>
  <c r="C16" i="3"/>
  <c r="B16" i="3" s="1"/>
  <c r="B15" i="3"/>
  <c r="J59" i="5"/>
  <c r="N61" i="5" l="1"/>
  <c r="M61" i="5"/>
  <c r="H62" i="5"/>
  <c r="M59" i="5"/>
</calcChain>
</file>

<file path=xl/sharedStrings.xml><?xml version="1.0" encoding="utf-8"?>
<sst xmlns="http://schemas.openxmlformats.org/spreadsheetml/2006/main" count="208" uniqueCount="149">
  <si>
    <t>Table 1 - PBF project budget by Outcome, output and activity</t>
  </si>
  <si>
    <t>Nombre de resultat / produit</t>
  </si>
  <si>
    <t>Formulation du resultat/ produit/ activite</t>
  </si>
  <si>
    <t xml:space="preserve">Agences </t>
  </si>
  <si>
    <t>Budget par agence recipiendiaire en USD - Veuillez ajouter une nouvelle colonne par agence recipiendiaire BUDGET TOTAL</t>
  </si>
  <si>
    <t>Budget par agence recipiendiaire en USD - Veuillez ajouter une nouvelle colonne par agence recipiendiaire OIM</t>
  </si>
  <si>
    <t>Budget par agence recipiendiaire en USD - Veuillez ajouter une nouvelle colonne par agence recipiendiaire UNFPA</t>
  </si>
  <si>
    <t>Budget par agence recipiendiaire en USD - Veuillez ajouter une nouvelle colonne par agence recipiendiaire HCDH</t>
  </si>
  <si>
    <t xml:space="preserve">Pourcentage du budget pour chaque produit ou activite reserve pour action directe sur le genre (cas echeant) </t>
  </si>
  <si>
    <t xml:space="preserve">Niveau de depense/ engagement actuel en USD (a remplir au moment des rapports de projet) OIM   </t>
  </si>
  <si>
    <t>Niveau de depense/ engagement actuel en USD (a remplir au moment des rapports de projet) UNFPA</t>
  </si>
  <si>
    <t>Niveau de depense/ engagement actuel en USD (a remplir au moment des rapports de projet)      HCDH</t>
  </si>
  <si>
    <t xml:space="preserve">Total dépensé </t>
  </si>
  <si>
    <t>Commitment /po
OIM</t>
  </si>
  <si>
    <t xml:space="preserve">Avance </t>
  </si>
  <si>
    <t>Taux de Réalisation par ligne budgetaire</t>
  </si>
  <si>
    <t>Notes quelconque le cas echeant (.e.g sur types des entrants ou justification du budget) GEWE</t>
  </si>
  <si>
    <t xml:space="preserve">Catégories  budgétaires </t>
  </si>
  <si>
    <t>PRODUITS</t>
  </si>
  <si>
    <t>ACTIVITES</t>
  </si>
  <si>
    <t>A</t>
  </si>
  <si>
    <t>B</t>
  </si>
  <si>
    <t>D</t>
  </si>
  <si>
    <t>E</t>
  </si>
  <si>
    <t>F</t>
  </si>
  <si>
    <t>G</t>
  </si>
  <si>
    <t>H</t>
  </si>
  <si>
    <t xml:space="preserve">RESULTAT 1: Les jeunes femmes et hommes  se sont mis ensemble et se sont engagés  pour la prévention des conflits, de la cohésion sociale et de la consolidation de la paix  au sein de leurs communautés en Guinée forestière. </t>
  </si>
  <si>
    <r>
      <rPr>
        <b/>
        <sz val="10"/>
        <color theme="1"/>
        <rFont val="Times New Roman"/>
        <family val="1"/>
      </rPr>
      <t>Produit 1.1:</t>
    </r>
    <r>
      <rPr>
        <sz val="10"/>
        <color theme="1"/>
        <rFont val="Times New Roman"/>
        <family val="1"/>
      </rPr>
      <t xml:space="preserve">    Des mécanismes de dialogue intégrant des structures formelles et informelles des filles et femmes intergénérationnels sont créés/renforcés et fonctionnels.</t>
    </r>
  </si>
  <si>
    <t>UNFPA</t>
  </si>
  <si>
    <t>ACT 1</t>
  </si>
  <si>
    <t xml:space="preserve">Organiser des séances de sensibilisation des membres des structures communautaires (y compris celles  des jeunes  filles et femmes) sur l`importance de  l’implication  des jeunes femmes et hommes dans le processus de prévention et de gestion des conflits et la prise de décisions basées sur droits de l`homme. 50000 </t>
  </si>
  <si>
    <t>Sub total Produit 1.1</t>
  </si>
  <si>
    <t xml:space="preserve">Les différentes initiatives   de consolidation de la paix portées par les jeunes d’ici et de la diaspora sont soutenues. </t>
  </si>
  <si>
    <t>ACT 2</t>
  </si>
  <si>
    <t>Soutenir l’organisation de foras  ( 2 sessions dans 14 communautés) à l’échelle communale sur la participation politique des jeunes et les droits de l’homme.</t>
  </si>
  <si>
    <t>HCDH</t>
  </si>
  <si>
    <t>Assurer la mise en place d’une plateforme numérique dénommée « Entente » pour un échange continu d’information et d’expérience entre la communauté et la diaspora.</t>
  </si>
  <si>
    <t>OIM</t>
  </si>
  <si>
    <t>Sub total Produit 1.2</t>
  </si>
  <si>
    <r>
      <rPr>
        <b/>
        <sz val="10"/>
        <color theme="1"/>
        <rFont val="Times New Roman"/>
        <family val="1"/>
      </rPr>
      <t>Produit 1.3:</t>
    </r>
    <r>
      <rPr>
        <sz val="10"/>
        <color theme="1"/>
        <rFont val="Times New Roman"/>
        <family val="1"/>
      </rPr>
      <t xml:space="preserve"> Les capacités de résolutions pacifiques de conflits des jeunes leaders de la Guinée Forestière sont renforcées </t>
    </r>
  </si>
  <si>
    <t>ACT 3</t>
  </si>
  <si>
    <t>Organiser des sessions de formation en direction des jeunes filles/femmes leaders ciblées sur l’alerte, le référencement et la prise en charge des cas d’abus et de violences.  (aide &amp; action) 20000</t>
  </si>
  <si>
    <t>Sub Total OutPut 1.3</t>
  </si>
  <si>
    <t>SOUS TOTAL RESULTAT 1:</t>
  </si>
  <si>
    <t xml:space="preserve">RESULTAT 2: Le cadre juridique en vigueur est la référence des actions des jeunes et cela permet la réduction des conflits intercommunautaires qui menacent la paix en Guinée forestière
</t>
  </si>
  <si>
    <r>
      <rPr>
        <b/>
        <sz val="10"/>
        <color indexed="8"/>
        <rFont val="Times New Roman"/>
        <family val="1"/>
      </rPr>
      <t xml:space="preserve">Produit 2.1 </t>
    </r>
    <r>
      <rPr>
        <sz val="10"/>
        <color indexed="8"/>
        <rFont val="Times New Roman"/>
        <family val="1"/>
      </rPr>
      <t xml:space="preserve"> La législation nationale et les normes internationales relatives aux droits de l’homme  et à la lutte contre les violences sont connues, vulgarisées et valorisées auprès des jeunes </t>
    </r>
  </si>
  <si>
    <t xml:space="preserve">Vulgariser les normes internationales de droit de l’homme et les dispositions du code pénal et du code de procédure pénale relatives à la lutte contre les violences auprès des jeunes leaders et les acteurs communautaires.
</t>
  </si>
  <si>
    <t>ACT 4</t>
  </si>
  <si>
    <t>Plaidoyer auprès des autorités administratives, judiciaires et sécuritaires en faveur de l’application des textes de loi relatifs à la lutte contre la violence et des normes internationales de droit de l’homme.</t>
  </si>
  <si>
    <t>Sub Total OutPut 2.1</t>
  </si>
  <si>
    <r>
      <rPr>
        <b/>
        <sz val="10"/>
        <color indexed="8"/>
        <rFont val="Times New Roman"/>
        <family val="1"/>
      </rPr>
      <t>Produit 2.2</t>
    </r>
    <r>
      <rPr>
        <sz val="10"/>
        <color indexed="8"/>
        <rFont val="Times New Roman"/>
        <family val="1"/>
      </rPr>
      <t xml:space="preserve">  les pratiques ancestrales enfreignant les droits de l’homme et néfastes à la paix et la coexistence pacifique sont découragées</t>
    </r>
  </si>
  <si>
    <t xml:space="preserve">Soutenir les jeunes leaders ciblés des différentes communautés en direction des conservateurs traditionnels, à la production et à la présentation d’activités artistiques et culturelles sur la relation entre les droits de l’homme, les us et coutumes et la cohésion sociale
</t>
  </si>
  <si>
    <t>ACT 5</t>
  </si>
  <si>
    <t xml:space="preserve">Appuyer la réalisation d’émissions radio interactives de sensibilisation en langues locales sur les droits des femmes et pratiques culturelles néfastes à la paix et à la cohésion sociale en Guinée forestière
</t>
  </si>
  <si>
    <t>Appuyer la dissémination auprès du personnel judiciaire et sécuritaires, des dispositions du Code pénal relatives à la lutte contre les pratiques culturelles ancestrales néfastes aux droits des femmes à la paix, et à la coexistence pacifique en Guinée forestières</t>
  </si>
  <si>
    <t xml:space="preserve">Créer et/ou renforcer un mécanisme de prise en charge des jeunes victimes (y compris les jeunes filles et femmes) d’abus et de violations des droits de l’homme en Guinée forestière.  </t>
  </si>
  <si>
    <t>Sub Total OutPut 2.2</t>
  </si>
  <si>
    <t xml:space="preserve">RESULTAT 3: Les relations intercommunautaires, le vivre ensemble, entre les jeunes leaders ciblés issus de différentes catégories sociopolitiques et ethniques sont consolidées autour d’initiatives socioéconomiques.
</t>
  </si>
  <si>
    <r>
      <rPr>
        <b/>
        <sz val="10"/>
        <color indexed="8"/>
        <rFont val="Times New Roman"/>
        <family val="1"/>
      </rPr>
      <t xml:space="preserve">Produit 3.1 </t>
    </r>
    <r>
      <rPr>
        <sz val="10"/>
        <color indexed="8"/>
        <rFont val="Times New Roman"/>
        <family val="1"/>
      </rPr>
      <t xml:space="preserve"> Les capacités socioéconomiques et professionnelles des jeunes leaders communautaires sont renforcées. </t>
    </r>
  </si>
  <si>
    <t xml:space="preserve">
Identifier les membres des groupements d’intérêt économique 13 000</t>
  </si>
  <si>
    <t>ACT 6</t>
  </si>
  <si>
    <t>Former les membres des groupements en microprojet, en vie associative, technique de négociation et de gestion pacifique des conflits. 20000</t>
  </si>
  <si>
    <t xml:space="preserve">Appuyer la mise en place de 14 Groupements d’Intérêt Économiques (GIE) des Jeunes leaders communautaires favorisant la diversité sociopolitique, religieuse et ethnique. 80000 </t>
  </si>
  <si>
    <r>
      <rPr>
        <b/>
        <sz val="10"/>
        <color indexed="8"/>
        <rFont val="Times New Roman"/>
        <family val="1"/>
      </rPr>
      <t>Produit 3.2</t>
    </r>
    <r>
      <rPr>
        <sz val="10"/>
        <color indexed="8"/>
        <rFont val="Times New Roman"/>
        <family val="1"/>
      </rPr>
      <t xml:space="preserve">   Les Initiatives socio-économiques à caractère communautaire sont soutenues </t>
    </r>
  </si>
  <si>
    <t xml:space="preserve">Mettre en place des comités mixtes de jeunes (femmes et hommes) pour l’identification des microprogrammes 10 000 
</t>
  </si>
  <si>
    <t>ACT 7</t>
  </si>
  <si>
    <t xml:space="preserve"> Appuyer l’organisation de sessions d’identification des microprogrammes d’utilité communautaires à travers un comité local mis en place à cet effet  10 000 </t>
  </si>
  <si>
    <t>Accompagner le financement de 14 microprogrammes viables et  à haut impact communautaire en faveur de la paix et de la cohésion sociale. 140 000</t>
  </si>
  <si>
    <t>SOUS TOTAL OUTCOME 2:</t>
  </si>
  <si>
    <t>TOTAL OUTCOME 1+2:</t>
  </si>
  <si>
    <t>Frais du personnel du projet</t>
  </si>
  <si>
    <t>Coordonnateur projet  (OIM)</t>
  </si>
  <si>
    <t>ACT 8</t>
  </si>
  <si>
    <t>Un Chargé de suivi et évaluation  (OIM)</t>
  </si>
  <si>
    <t>Un chargé de projet (UNFPA)</t>
  </si>
  <si>
    <t>Un chargé de projet (HCDH)</t>
  </si>
  <si>
    <t>Sous Total le Cout du Personnel du projet:</t>
  </si>
  <si>
    <t>Budget S&amp;E du projet</t>
  </si>
  <si>
    <t>ACT 9</t>
  </si>
  <si>
    <t>Sous Total S &amp; E du projet:</t>
  </si>
  <si>
    <t>Frais généraux de fonctionnement</t>
  </si>
  <si>
    <t>Founitures et consommables de bureau 6000</t>
  </si>
  <si>
    <t>ACT 10</t>
  </si>
  <si>
    <t xml:space="preserve"> Frais généraux de fonctionnement et autres coûts directs (Locaux       VSAT   Sécurité         
Assurance
Autres charges communes) 20 000</t>
  </si>
  <si>
    <t xml:space="preserve"> Équipement, véhicules et mobilier (compte tenu de la dépréciation) 15000</t>
  </si>
  <si>
    <t>Sous Total Frais généraux</t>
  </si>
  <si>
    <t xml:space="preserve">SUB-TOTAL PROJECT BUDGET:                                                      </t>
  </si>
  <si>
    <t xml:space="preserve">Indirect support costs (7%):                                                                            </t>
  </si>
  <si>
    <t xml:space="preserve">TOTAL PROJECT BUDGET:           </t>
  </si>
  <si>
    <t>TOTAL BUDGET</t>
  </si>
  <si>
    <t>BUDGET OIM</t>
  </si>
  <si>
    <t xml:space="preserve">DEPENSES  </t>
  </si>
  <si>
    <t>Commitment /po</t>
  </si>
  <si>
    <t>RECAP Delivery par Agence par Agence</t>
  </si>
  <si>
    <t>Budget par agence recipiendiaire en USD</t>
  </si>
  <si>
    <t>Montant budget</t>
  </si>
  <si>
    <t>Dépenses</t>
  </si>
  <si>
    <t>Avance non Justifiée</t>
  </si>
  <si>
    <t>Solde</t>
  </si>
  <si>
    <t>%Tage de Réalisation</t>
  </si>
  <si>
    <t xml:space="preserve">Commentaire sur les dépenses / activités </t>
  </si>
  <si>
    <t xml:space="preserve">En commitment,nous avons les engagements actuels </t>
  </si>
  <si>
    <t>Totaux</t>
  </si>
  <si>
    <t>Total dépenses GEWE</t>
  </si>
  <si>
    <t>Tableau 2 - Budget de projet PBF par categorie de cout de l'ONU</t>
  </si>
  <si>
    <t>Note: S'il s'agit d'une revision budgetaire, veuillez inclure des colonnes additionnelles pour montrer les changements</t>
  </si>
  <si>
    <t>CATEGORIES</t>
  </si>
  <si>
    <t>PROJECT TOTAL</t>
  </si>
  <si>
    <t>Amount Recipient  Agency OIM</t>
  </si>
  <si>
    <t>Amount Recipient  Agency UNFPA</t>
  </si>
  <si>
    <t>Amount Recipient  Agency HCHD</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</si>
  <si>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</si>
  <si>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</si>
  <si>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</si>
  <si>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</si>
  <si>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</si>
  <si>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</si>
  <si>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</si>
  <si>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</si>
  <si>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</si>
  <si>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</si>
  <si>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</si>
  <si>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</si>
  <si>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BUDGET GLOBAL</t>
  </si>
  <si>
    <t>TRCHE 1</t>
  </si>
  <si>
    <t>TRCHE 2</t>
  </si>
  <si>
    <t xml:space="preserve">Décaissement OIM </t>
  </si>
  <si>
    <t>Décaissement UNFPA</t>
  </si>
  <si>
    <t xml:space="preserve">Décaissement HCDH </t>
  </si>
  <si>
    <t>Commitment OIM</t>
  </si>
  <si>
    <t>Avances non justifiées</t>
  </si>
  <si>
    <t>SOLDE TOTAL</t>
  </si>
  <si>
    <t>% de Realisation par budget global</t>
  </si>
  <si>
    <t>Délivery OIM</t>
  </si>
  <si>
    <t>Délivery UNFPA</t>
  </si>
  <si>
    <t>Délivery HCDH</t>
  </si>
  <si>
    <t>Total Délivery</t>
  </si>
  <si>
    <t>PBF/IRF-380: Action concertée des jeunes (femmes et hommes) leaders communautaires pour le renforcement de la cohésion sociale et la consolidation de la paix en Guinée Forestière</t>
  </si>
  <si>
    <t xml:space="preserve">Réaliser une étude base pour compléter l’état des lieux des conflits intercommunautaires et cartographier les différentes structures de jeunes œuvrant dans la consolidation de la paix en Guinée Forestière ( initiale et finale) </t>
  </si>
  <si>
    <t>Appuyer la mise en place et le fonctionnement d’un réseau des jeunes en faveur de la consolidation de la paix.</t>
  </si>
  <si>
    <t xml:space="preserve">Assurer des sessions de formation en faveur des jeunes leaders communautaires sur : la citoyenneté, la communication non violente, les droits de l’homme. </t>
  </si>
  <si>
    <t xml:space="preserve">Organiser des sessions d’échanges et de dialogues et de plaidoyer portées par les femmes et les filles sur les problématiques de consolidation de la paix et des droits de l’homme (identification des problèmes, priorisation, et proposition de piste de solution). </t>
  </si>
  <si>
    <t xml:space="preserve">Organiser des forums périodiques de dialogue entre les structures de jeunes femmes et hommes et les structures communautaire  s (Conseil communal, conseil des sages, les autorités coutumières traditionnelles, les Infrastructure de sociales de Paix (ISP) etc)  </t>
  </si>
  <si>
    <t xml:space="preserve">Organiser 2 sessions de revues de pairs pour partager les bonnes pratiques au niveau local et entre jeunes de différentes communautés. </t>
  </si>
  <si>
    <t xml:space="preserve">Suivi du projet </t>
  </si>
  <si>
    <t>Total dépenses  au 30/06/2022</t>
  </si>
  <si>
    <t>Commitment /po au 30/06/2022</t>
  </si>
  <si>
    <t>EXPENSE+Commitment au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</si>
</sst>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quot;$&quot;* #,##0.00_);_(&quot;$&quot;* \(#,##0.00\);_(&quot;$&quot;* &quot;-&quot;??_);_(@_)"/>
    <numFmt numFmtId="166" formatCode="_-* #,##0\ _F_G_-;\-* #,##0\ _F_G_-;_-* &quot;-&quot;\ _F_G_-;_-@_-"/>
    <numFmt numFmtId="167" formatCode="_-* #,##0.00\ _F_G_-;\-* #,##0.00\ _F_G_-;_-* &quot;-&quot;??\ _F_G_-;_-@_-"/>
    <numFmt numFmtId="168" formatCode="_-* #,##0.00\ _F_G_-;\-* #,##0.00\ _F_G_-;_-* &quot;-&quot;\ _F_G_-;_-@_-"/>
    <numFmt numFmtId="169" formatCode="_-* #,##0\ _€_-;\-* #,##0\ _€_-;_-* &quot;-&quot;??\ _€_-;_-@_-"/>
    <numFmt numFmtId="170" formatCode="_-* #,##0.000\ _F_G_-;\-* #,##0.000\ _F_G_-;_-* &quot;-&quot;??\ _F_G_-;_-@_-"/>
  </numFmts>
  <fonts count="33" x14ac:knownFonts="1">
    <font>
      <sz val="11"/>
      <color theme="1"/>
      <name val="Calibri"/>
      <family val="2"/>
      <scheme val="minor"/>
    </font>
    <font>
      <sz val="10"/>
      <color indexed="8"/>
      <name val="Times New Roman"/>
      <family val="1"/>
    </font>
    <font>
      <b/>
      <sz val="10"/>
      <color indexed="8"/>
      <name val="Times New Roman"/>
      <family val="1"/>
    </font>
    <font>
      <sz val="10"/>
      <name val="Times New Roman"/>
      <family val="1"/>
    </font>
    <font>
      <b/>
      <sz val="10"/>
      <name val="Times New Roman"/>
      <family val="1"/>
    </font>
    <font>
      <b/>
      <sz val="8"/>
      <name val="Times New Roman"/>
      <family val="1"/>
    </font>
    <font>
      <sz val="11"/>
      <name val="Times New Roman"/>
      <family val="1"/>
    </font>
    <font>
      <sz val="11"/>
      <name val="Calibri"/>
      <family val="2"/>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sz val="14"/>
      <color theme="1"/>
      <name val="Calibri"/>
      <family val="2"/>
      <scheme val="minor"/>
    </font>
    <font>
      <b/>
      <sz val="12"/>
      <color theme="1"/>
      <name val="Calibri"/>
      <family val="2"/>
      <scheme val="minor"/>
    </font>
    <font>
      <b/>
      <sz val="12"/>
      <color theme="1"/>
      <name val="Calibri"/>
      <family val="2"/>
    </font>
    <font>
      <sz val="11"/>
      <color theme="1"/>
      <name val="Times New Roman"/>
      <family val="1"/>
    </font>
    <font>
      <sz val="12"/>
      <color theme="1"/>
      <name val="Calibri"/>
      <family val="2"/>
    </font>
    <font>
      <b/>
      <sz val="10"/>
      <color theme="1"/>
      <name val="Calibri"/>
      <family val="2"/>
    </font>
    <font>
      <b/>
      <sz val="9"/>
      <color theme="1"/>
      <name val="Calibri"/>
      <family val="2"/>
      <scheme val="minor"/>
    </font>
    <font>
      <sz val="10"/>
      <color theme="1"/>
      <name val="Calibri"/>
      <family val="2"/>
    </font>
    <font>
      <sz val="12"/>
      <color theme="1"/>
      <name val="Times New Roman"/>
      <family val="1"/>
    </font>
    <font>
      <sz val="12"/>
      <color theme="1"/>
      <name val="Calibri"/>
      <family val="2"/>
      <scheme val="minor"/>
    </font>
    <font>
      <b/>
      <sz val="11"/>
      <color theme="1"/>
      <name val="Times New Roman"/>
      <family val="1"/>
    </font>
    <font>
      <sz val="11"/>
      <name val="Calibri"/>
      <family val="2"/>
      <scheme val="minor"/>
    </font>
    <font>
      <b/>
      <sz val="12"/>
      <color theme="1"/>
      <name val="Times New Roman"/>
      <family val="1"/>
    </font>
    <font>
      <sz val="9"/>
      <color rgb="FF000000"/>
      <name val="Calibri"/>
      <family val="2"/>
    </font>
    <font>
      <sz val="11"/>
      <color rgb="FFFF0000"/>
      <name val="Calibri"/>
      <family val="2"/>
      <scheme val="minor"/>
    </font>
    <font>
      <sz val="11"/>
      <color theme="7" tint="0.59999389629810485"/>
      <name val="Calibri"/>
      <family val="2"/>
      <scheme val="minor"/>
    </font>
    <font>
      <b/>
      <sz val="12"/>
      <color rgb="FF003399"/>
      <name val="Tahoma"/>
      <family val="2"/>
    </font>
    <font>
      <sz val="11"/>
      <color rgb="FF002060"/>
      <name val="Calibri"/>
      <family val="2"/>
      <scheme val="minor"/>
    </font>
    <font>
      <sz val="11"/>
      <color rgb="FF000000"/>
      <name val="Times New Roman"/>
      <family val="1"/>
    </font>
  </fonts>
  <fills count="2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BFBFBF"/>
        <bgColor indexed="64"/>
      </patternFill>
    </fill>
    <fill>
      <patternFill patternType="solid">
        <fgColor theme="0" tint="-0.14999847407452621"/>
        <bgColor indexed="64"/>
      </patternFill>
    </fill>
    <fill>
      <patternFill patternType="solid">
        <fgColor rgb="FFD9D9D9"/>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00FFFF"/>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bgColor indexed="64"/>
      </patternFill>
    </fill>
    <fill>
      <patternFill patternType="solid">
        <fgColor theme="4"/>
        <bgColor indexed="64"/>
      </patternFill>
    </fill>
    <fill>
      <patternFill patternType="solid">
        <fgColor rgb="FFFFFF00"/>
        <bgColor indexed="64"/>
      </patternFill>
    </fill>
    <fill>
      <patternFill patternType="solid">
        <fgColor rgb="FFFFC000"/>
        <bgColor indexed="64"/>
      </patternFill>
    </fill>
    <fill>
      <patternFill patternType="solid">
        <fgColor rgb="FFB3B3B3"/>
        <bgColor indexed="64"/>
      </patternFill>
    </fill>
    <fill>
      <patternFill patternType="solid">
        <fgColor rgb="FF00B05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right style="medium">
        <color rgb="FF000000"/>
      </right>
      <top style="medium">
        <color indexed="64"/>
      </top>
      <bottom style="medium">
        <color rgb="FF00000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167"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332">
    <xf numFmtId="0" fontId="0" fillId="0" borderId="0" xfId="0"/>
    <xf numFmtId="0" fontId="10" fillId="0" borderId="0" xfId="0" applyFont="1"/>
    <xf numFmtId="0" fontId="11" fillId="0" borderId="0" xfId="0" applyFont="1"/>
    <xf numFmtId="169" fontId="12" fillId="0" borderId="1" xfId="1" applyNumberFormat="1" applyFont="1" applyBorder="1" applyAlignment="1">
      <alignment horizontal="left" vertical="center" wrapText="1"/>
    </xf>
    <xf numFmtId="0" fontId="11" fillId="2" borderId="0" xfId="0" applyFont="1" applyFill="1"/>
    <xf numFmtId="168" fontId="8" fillId="0" borderId="0" xfId="2" applyNumberFormat="1" applyFont="1"/>
    <xf numFmtId="0" fontId="14" fillId="0" borderId="0" xfId="0" applyFont="1"/>
    <xf numFmtId="0" fontId="0" fillId="0" borderId="0" xfId="0" applyAlignment="1">
      <alignment horizontal="center"/>
    </xf>
    <xf numFmtId="0" fontId="15" fillId="0" borderId="0" xfId="0" applyFont="1"/>
    <xf numFmtId="0" fontId="9" fillId="0" borderId="0" xfId="0" applyFont="1"/>
    <xf numFmtId="0" fontId="16" fillId="4" borderId="23" xfId="0" applyFont="1" applyFill="1" applyBorder="1" applyAlignment="1">
      <alignment horizontal="center" vertical="center" wrapText="1"/>
    </xf>
    <xf numFmtId="167" fontId="17" fillId="0" borderId="1" xfId="1" applyFont="1" applyFill="1" applyBorder="1" applyAlignment="1">
      <alignment horizontal="right" vertical="center" wrapText="1"/>
    </xf>
    <xf numFmtId="169" fontId="18" fillId="0" borderId="23" xfId="1" applyNumberFormat="1" applyFont="1" applyBorder="1" applyAlignment="1">
      <alignment horizontal="left" vertical="center" wrapText="1"/>
    </xf>
    <xf numFmtId="0" fontId="12" fillId="0" borderId="24" xfId="0" applyFont="1" applyBorder="1" applyAlignment="1">
      <alignment vertical="center" wrapText="1"/>
    </xf>
    <xf numFmtId="167" fontId="17" fillId="0" borderId="2" xfId="1" applyFont="1" applyFill="1" applyBorder="1" applyAlignment="1">
      <alignment horizontal="right" vertical="center" wrapText="1"/>
    </xf>
    <xf numFmtId="0" fontId="12" fillId="0" borderId="25" xfId="0" applyFont="1" applyBorder="1" applyAlignment="1">
      <alignment vertical="center" wrapText="1"/>
    </xf>
    <xf numFmtId="167" fontId="17" fillId="0" borderId="4" xfId="1" applyFont="1" applyFill="1" applyBorder="1" applyAlignment="1">
      <alignment horizontal="right" vertical="center" wrapText="1"/>
    </xf>
    <xf numFmtId="167" fontId="17" fillId="0" borderId="1" xfId="1" applyFont="1" applyFill="1" applyBorder="1" applyAlignment="1">
      <alignment vertical="center" wrapText="1"/>
    </xf>
    <xf numFmtId="167" fontId="13" fillId="5" borderId="4" xfId="1" applyFont="1" applyFill="1" applyBorder="1" applyAlignment="1">
      <alignment horizontal="right" vertical="center" wrapText="1"/>
    </xf>
    <xf numFmtId="167" fontId="12" fillId="0" borderId="4" xfId="1" applyFont="1" applyFill="1" applyBorder="1" applyAlignment="1">
      <alignment horizontal="right" vertical="center" wrapText="1"/>
    </xf>
    <xf numFmtId="169" fontId="13" fillId="5" borderId="4" xfId="1" applyNumberFormat="1"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2" xfId="0" applyFont="1" applyFill="1" applyBorder="1" applyAlignment="1">
      <alignment horizontal="center" vertical="center" wrapText="1"/>
    </xf>
    <xf numFmtId="167" fontId="17" fillId="0" borderId="0" xfId="1" applyFont="1" applyFill="1" applyBorder="1" applyAlignment="1">
      <alignment horizontal="center" wrapText="1"/>
    </xf>
    <xf numFmtId="164" fontId="0" fillId="0" borderId="2" xfId="0" applyNumberFormat="1" applyBorder="1" applyAlignment="1">
      <alignment horizontal="center"/>
    </xf>
    <xf numFmtId="167" fontId="17" fillId="0" borderId="3" xfId="1" applyFont="1" applyFill="1" applyBorder="1" applyAlignment="1">
      <alignment horizontal="center" wrapText="1"/>
    </xf>
    <xf numFmtId="167" fontId="12" fillId="0" borderId="1" xfId="1" applyFont="1" applyFill="1" applyBorder="1" applyAlignment="1">
      <alignment horizontal="center" wrapText="1"/>
    </xf>
    <xf numFmtId="167" fontId="12" fillId="0" borderId="6" xfId="1" applyFont="1" applyFill="1" applyBorder="1" applyAlignment="1">
      <alignment horizontal="center" wrapText="1"/>
    </xf>
    <xf numFmtId="167" fontId="12" fillId="0" borderId="4" xfId="1" applyFont="1" applyFill="1" applyBorder="1" applyAlignment="1">
      <alignment horizontal="center" wrapText="1"/>
    </xf>
    <xf numFmtId="0" fontId="13" fillId="6" borderId="24" xfId="0" applyFont="1" applyFill="1" applyBorder="1" applyAlignment="1">
      <alignment vertical="center" wrapText="1"/>
    </xf>
    <xf numFmtId="167" fontId="13" fillId="5" borderId="1" xfId="1" applyFont="1" applyFill="1" applyBorder="1" applyAlignment="1">
      <alignment horizontal="right" vertical="center" wrapText="1"/>
    </xf>
    <xf numFmtId="164" fontId="0" fillId="5" borderId="1" xfId="0" applyNumberFormat="1" applyFill="1" applyBorder="1" applyAlignment="1">
      <alignment horizontal="center"/>
    </xf>
    <xf numFmtId="164" fontId="9" fillId="0" borderId="4" xfId="0" applyNumberFormat="1" applyFont="1" applyBorder="1"/>
    <xf numFmtId="164" fontId="0" fillId="0" borderId="0" xfId="0" applyNumberFormat="1"/>
    <xf numFmtId="167" fontId="8" fillId="0" borderId="0" xfId="1" applyFont="1"/>
    <xf numFmtId="0" fontId="0" fillId="0" borderId="1" xfId="0" applyBorder="1"/>
    <xf numFmtId="9" fontId="8" fillId="7" borderId="1" xfId="4" applyFont="1" applyFill="1" applyBorder="1" applyAlignment="1">
      <alignment horizontal="center" vertical="center"/>
    </xf>
    <xf numFmtId="9" fontId="8" fillId="0" borderId="5" xfId="4" applyFont="1" applyBorder="1" applyAlignment="1">
      <alignment horizontal="center" vertical="center"/>
    </xf>
    <xf numFmtId="9" fontId="8" fillId="5" borderId="1" xfId="4" applyFont="1" applyFill="1" applyBorder="1" applyAlignment="1">
      <alignment horizontal="center" vertical="center"/>
    </xf>
    <xf numFmtId="0" fontId="11" fillId="0" borderId="0" xfId="0" applyFont="1" applyAlignment="1">
      <alignment wrapText="1"/>
    </xf>
    <xf numFmtId="167" fontId="3" fillId="0" borderId="2" xfId="1" applyFont="1" applyBorder="1" applyAlignment="1">
      <alignment vertical="center" wrapText="1"/>
    </xf>
    <xf numFmtId="164" fontId="11" fillId="0" borderId="0" xfId="0" applyNumberFormat="1" applyFont="1"/>
    <xf numFmtId="166" fontId="11" fillId="0" borderId="0" xfId="2" applyFont="1"/>
    <xf numFmtId="167" fontId="11" fillId="0" borderId="0" xfId="0" applyNumberFormat="1" applyFont="1"/>
    <xf numFmtId="0" fontId="10" fillId="14" borderId="5" xfId="0" applyFont="1" applyFill="1" applyBorder="1" applyAlignment="1">
      <alignment horizontal="center" vertical="center" wrapText="1"/>
    </xf>
    <xf numFmtId="0" fontId="10" fillId="0" borderId="7" xfId="0" applyFont="1" applyBorder="1" applyAlignment="1">
      <alignment horizontal="center" vertical="center"/>
    </xf>
    <xf numFmtId="9" fontId="11" fillId="14" borderId="5" xfId="4" applyFont="1" applyFill="1" applyBorder="1" applyAlignment="1">
      <alignment horizontal="center" vertical="center" wrapText="1"/>
    </xf>
    <xf numFmtId="167" fontId="17" fillId="3" borderId="3" xfId="1" applyFont="1" applyFill="1" applyBorder="1" applyAlignment="1">
      <alignment horizontal="center" wrapText="1"/>
    </xf>
    <xf numFmtId="167" fontId="12" fillId="3" borderId="4" xfId="1" applyFont="1" applyFill="1" applyBorder="1" applyAlignment="1">
      <alignment horizontal="center" vertical="center" wrapText="1"/>
    </xf>
    <xf numFmtId="0" fontId="20" fillId="14" borderId="8" xfId="0" applyFont="1" applyFill="1" applyBorder="1" applyAlignment="1">
      <alignment horizontal="center" vertical="center" wrapText="1"/>
    </xf>
    <xf numFmtId="0" fontId="10" fillId="14" borderId="7" xfId="0" applyFont="1" applyFill="1" applyBorder="1" applyAlignment="1">
      <alignment horizontal="center" vertical="center"/>
    </xf>
    <xf numFmtId="164" fontId="20" fillId="0" borderId="7" xfId="1" applyNumberFormat="1" applyFont="1" applyBorder="1" applyAlignment="1">
      <alignment horizontal="center" vertical="center"/>
    </xf>
    <xf numFmtId="167" fontId="11" fillId="0" borderId="5" xfId="1" applyFont="1" applyFill="1" applyBorder="1" applyAlignment="1">
      <alignment horizontal="center" vertical="center"/>
    </xf>
    <xf numFmtId="0" fontId="10" fillId="14" borderId="9" xfId="0" applyFont="1" applyFill="1" applyBorder="1" applyAlignment="1">
      <alignment horizontal="center" vertical="center" wrapText="1"/>
    </xf>
    <xf numFmtId="9" fontId="11" fillId="0" borderId="9" xfId="4" applyFont="1" applyFill="1" applyBorder="1" applyAlignment="1">
      <alignment horizontal="center" vertical="center"/>
    </xf>
    <xf numFmtId="168" fontId="10" fillId="0" borderId="5" xfId="2" applyNumberFormat="1" applyFont="1" applyFill="1" applyBorder="1" applyAlignment="1">
      <alignment horizontal="center" vertical="center"/>
    </xf>
    <xf numFmtId="0" fontId="11" fillId="0" borderId="0" xfId="0" applyFont="1" applyAlignment="1">
      <alignment horizontal="center"/>
    </xf>
    <xf numFmtId="15" fontId="11" fillId="0" borderId="0" xfId="0" applyNumberFormat="1" applyFont="1" applyAlignment="1">
      <alignment horizontal="center"/>
    </xf>
    <xf numFmtId="9" fontId="12" fillId="0" borderId="2" xfId="4" applyFont="1" applyBorder="1" applyAlignment="1">
      <alignment horizontal="center" vertical="center" wrapText="1"/>
    </xf>
    <xf numFmtId="0" fontId="12" fillId="0" borderId="3" xfId="0" applyFont="1" applyBorder="1" applyAlignment="1">
      <alignment vertical="center" wrapText="1"/>
    </xf>
    <xf numFmtId="167" fontId="12" fillId="0" borderId="10" xfId="1" applyFont="1" applyBorder="1" applyAlignment="1">
      <alignment vertical="center" wrapText="1"/>
    </xf>
    <xf numFmtId="164" fontId="10" fillId="0" borderId="8" xfId="4" applyNumberFormat="1" applyFont="1" applyFill="1" applyBorder="1" applyAlignment="1">
      <alignment horizontal="center" vertical="center"/>
    </xf>
    <xf numFmtId="168" fontId="11" fillId="0" borderId="8" xfId="2" applyNumberFormat="1" applyFont="1" applyFill="1" applyBorder="1" applyAlignment="1">
      <alignment horizontal="center" vertical="center"/>
    </xf>
    <xf numFmtId="167" fontId="13" fillId="3" borderId="2" xfId="1" applyFont="1" applyFill="1" applyBorder="1" applyAlignment="1">
      <alignment vertical="center" wrapText="1"/>
    </xf>
    <xf numFmtId="0" fontId="10" fillId="15" borderId="10" xfId="0" applyFont="1" applyFill="1" applyBorder="1" applyAlignment="1">
      <alignment horizontal="center"/>
    </xf>
    <xf numFmtId="0" fontId="11" fillId="15" borderId="10" xfId="0" applyFont="1" applyFill="1" applyBorder="1" applyAlignment="1">
      <alignment horizontal="center" vertical="center"/>
    </xf>
    <xf numFmtId="167" fontId="10" fillId="15" borderId="10" xfId="1" applyFont="1" applyFill="1" applyBorder="1" applyAlignment="1">
      <alignment horizontal="center" vertical="center"/>
    </xf>
    <xf numFmtId="0" fontId="10" fillId="15" borderId="10" xfId="0" applyFont="1" applyFill="1" applyBorder="1" applyAlignment="1">
      <alignment horizontal="center" vertical="center"/>
    </xf>
    <xf numFmtId="9" fontId="12" fillId="0" borderId="10" xfId="4" applyFont="1" applyBorder="1" applyAlignment="1">
      <alignment horizontal="center" vertical="center" wrapText="1"/>
    </xf>
    <xf numFmtId="167" fontId="13" fillId="0" borderId="10" xfId="0" applyNumberFormat="1"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3" fillId="0" borderId="12" xfId="0" applyFont="1" applyBorder="1" applyAlignment="1">
      <alignment vertical="center" wrapText="1"/>
    </xf>
    <xf numFmtId="0" fontId="12" fillId="0" borderId="12" xfId="0" applyFont="1" applyBorder="1" applyAlignment="1">
      <alignment horizontal="center" vertical="center" wrapText="1"/>
    </xf>
    <xf numFmtId="0" fontId="10" fillId="15" borderId="14" xfId="0" applyFont="1" applyFill="1" applyBorder="1" applyAlignment="1">
      <alignment horizontal="center"/>
    </xf>
    <xf numFmtId="0" fontId="10" fillId="5" borderId="15" xfId="0" applyFont="1" applyFill="1" applyBorder="1" applyAlignment="1">
      <alignment horizontal="center"/>
    </xf>
    <xf numFmtId="169" fontId="12" fillId="0" borderId="15" xfId="1" applyNumberFormat="1" applyFont="1" applyBorder="1" applyAlignment="1">
      <alignment horizontal="left" vertical="center" wrapText="1"/>
    </xf>
    <xf numFmtId="166" fontId="11" fillId="0" borderId="0" xfId="2" applyFont="1" applyFill="1"/>
    <xf numFmtId="168" fontId="10" fillId="0" borderId="7" xfId="2" applyNumberFormat="1" applyFont="1" applyFill="1" applyBorder="1" applyAlignment="1">
      <alignment horizontal="center" vertical="center" wrapText="1"/>
    </xf>
    <xf numFmtId="167" fontId="17" fillId="3" borderId="6" xfId="1" applyFont="1" applyFill="1" applyBorder="1" applyAlignment="1">
      <alignment horizontal="center" wrapText="1"/>
    </xf>
    <xf numFmtId="167" fontId="6" fillId="0" borderId="16" xfId="1" applyFont="1" applyFill="1" applyBorder="1" applyAlignment="1">
      <alignment horizontal="center" wrapText="1"/>
    </xf>
    <xf numFmtId="167" fontId="6" fillId="0" borderId="5" xfId="1" applyFont="1" applyFill="1" applyBorder="1" applyAlignment="1">
      <alignment horizontal="center" wrapText="1"/>
    </xf>
    <xf numFmtId="167" fontId="6" fillId="0" borderId="1" xfId="1" applyFont="1" applyFill="1" applyBorder="1" applyAlignment="1">
      <alignment horizontal="center" wrapText="1"/>
    </xf>
    <xf numFmtId="167" fontId="6" fillId="0" borderId="17" xfId="1" applyFont="1" applyFill="1" applyBorder="1" applyAlignment="1">
      <alignment horizontal="center" wrapText="1"/>
    </xf>
    <xf numFmtId="0" fontId="16" fillId="4" borderId="26" xfId="0" applyFont="1" applyFill="1" applyBorder="1" applyAlignment="1">
      <alignment horizontal="center" vertical="center" wrapText="1"/>
    </xf>
    <xf numFmtId="169" fontId="18" fillId="0" borderId="26" xfId="1" applyNumberFormat="1" applyFont="1" applyBorder="1" applyAlignment="1">
      <alignment horizontal="left" vertical="center" wrapText="1"/>
    </xf>
    <xf numFmtId="0" fontId="12" fillId="0" borderId="27" xfId="0" applyFont="1" applyBorder="1" applyAlignment="1">
      <alignment vertical="center" wrapText="1"/>
    </xf>
    <xf numFmtId="0" fontId="12" fillId="0" borderId="28" xfId="0" applyFont="1" applyBorder="1" applyAlignment="1">
      <alignment vertical="center" wrapText="1"/>
    </xf>
    <xf numFmtId="0" fontId="13" fillId="6" borderId="29" xfId="0" applyFont="1" applyFill="1" applyBorder="1" applyAlignment="1">
      <alignment vertical="center" wrapText="1"/>
    </xf>
    <xf numFmtId="0" fontId="12" fillId="0" borderId="18" xfId="0" applyFont="1" applyBorder="1" applyAlignment="1">
      <alignment vertical="center" wrapText="1"/>
    </xf>
    <xf numFmtId="0" fontId="16" fillId="4" borderId="30" xfId="0" applyFont="1" applyFill="1" applyBorder="1" applyAlignment="1">
      <alignment horizontal="center" vertical="center" wrapText="1"/>
    </xf>
    <xf numFmtId="167" fontId="17" fillId="0" borderId="19" xfId="1" applyFont="1" applyFill="1" applyBorder="1" applyAlignment="1">
      <alignment horizontal="right" vertical="center" wrapText="1"/>
    </xf>
    <xf numFmtId="3" fontId="21" fillId="0" borderId="1" xfId="0" applyNumberFormat="1" applyFont="1" applyBorder="1" applyAlignment="1">
      <alignment horizontal="right" vertical="center" wrapText="1"/>
    </xf>
    <xf numFmtId="0" fontId="22" fillId="0" borderId="10" xfId="0" applyFont="1" applyBorder="1" applyAlignment="1">
      <alignment vertical="top" wrapText="1"/>
    </xf>
    <xf numFmtId="0" fontId="22" fillId="0" borderId="10" xfId="0" applyFont="1" applyBorder="1" applyAlignment="1">
      <alignment vertical="center" wrapText="1"/>
    </xf>
    <xf numFmtId="9" fontId="23" fillId="0" borderId="10" xfId="4" applyFont="1" applyBorder="1" applyAlignment="1" applyProtection="1">
      <alignment horizontal="center" vertical="center" wrapText="1"/>
      <protection locked="0"/>
    </xf>
    <xf numFmtId="49" fontId="23" fillId="0" borderId="10" xfId="3" applyNumberFormat="1" applyFont="1" applyBorder="1" applyAlignment="1" applyProtection="1">
      <alignment horizontal="right" wrapText="1"/>
      <protection locked="0"/>
    </xf>
    <xf numFmtId="167" fontId="13" fillId="3" borderId="4" xfId="0" applyNumberFormat="1" applyFont="1" applyFill="1" applyBorder="1" applyAlignment="1">
      <alignment horizontal="center" vertical="center" wrapText="1"/>
    </xf>
    <xf numFmtId="0" fontId="23" fillId="0" borderId="0" xfId="0" applyFont="1" applyAlignment="1">
      <alignment wrapText="1"/>
    </xf>
    <xf numFmtId="44" fontId="23" fillId="2" borderId="0" xfId="3" applyFont="1" applyFill="1" applyBorder="1" applyAlignment="1" applyProtection="1">
      <alignment vertical="center" wrapText="1"/>
      <protection locked="0"/>
    </xf>
    <xf numFmtId="165" fontId="15" fillId="2" borderId="0" xfId="0" applyNumberFormat="1" applyFont="1" applyFill="1" applyAlignment="1">
      <alignment vertical="center" wrapText="1"/>
    </xf>
    <xf numFmtId="3" fontId="0" fillId="0" borderId="0" xfId="0" applyNumberFormat="1"/>
    <xf numFmtId="9" fontId="23" fillId="0" borderId="10" xfId="4" applyFont="1" applyFill="1" applyBorder="1" applyAlignment="1" applyProtection="1">
      <alignment horizontal="center" vertical="center" wrapText="1"/>
      <protection locked="0"/>
    </xf>
    <xf numFmtId="0" fontId="12" fillId="16" borderId="12" xfId="0" applyFont="1" applyFill="1" applyBorder="1" applyAlignment="1">
      <alignment vertical="center" wrapText="1"/>
    </xf>
    <xf numFmtId="167" fontId="8" fillId="16" borderId="10" xfId="1" applyFont="1" applyFill="1" applyBorder="1" applyAlignment="1">
      <alignment vertical="center"/>
    </xf>
    <xf numFmtId="169" fontId="8" fillId="16" borderId="10" xfId="1" applyNumberFormat="1" applyFont="1" applyFill="1" applyBorder="1" applyAlignment="1">
      <alignment vertical="center"/>
    </xf>
    <xf numFmtId="2" fontId="8" fillId="16" borderId="10" xfId="1" applyNumberFormat="1" applyFont="1" applyFill="1" applyBorder="1" applyAlignment="1">
      <alignment vertical="center"/>
    </xf>
    <xf numFmtId="0" fontId="12" fillId="3" borderId="12" xfId="0" applyFont="1" applyFill="1" applyBorder="1" applyAlignment="1">
      <alignment vertical="center" wrapText="1"/>
    </xf>
    <xf numFmtId="2" fontId="8" fillId="3" borderId="10" xfId="1" applyNumberFormat="1" applyFont="1" applyFill="1" applyBorder="1" applyAlignment="1">
      <alignment vertical="center"/>
    </xf>
    <xf numFmtId="167" fontId="24" fillId="3" borderId="10" xfId="1" applyFont="1" applyFill="1" applyBorder="1" applyAlignment="1">
      <alignment horizontal="center" vertical="center" wrapText="1"/>
    </xf>
    <xf numFmtId="167" fontId="8" fillId="3" borderId="10" xfId="1" applyFont="1" applyFill="1" applyBorder="1" applyAlignment="1">
      <alignment vertical="center"/>
    </xf>
    <xf numFmtId="2" fontId="25" fillId="3" borderId="10" xfId="1" applyNumberFormat="1" applyFont="1" applyFill="1" applyBorder="1" applyAlignment="1">
      <alignment vertical="center"/>
    </xf>
    <xf numFmtId="0" fontId="12" fillId="17" borderId="12" xfId="0" applyFont="1" applyFill="1" applyBorder="1" applyAlignment="1">
      <alignment vertical="center" wrapText="1"/>
    </xf>
    <xf numFmtId="2" fontId="8" fillId="17" borderId="10" xfId="1" applyNumberFormat="1" applyFont="1" applyFill="1" applyBorder="1" applyAlignment="1">
      <alignment vertical="center"/>
    </xf>
    <xf numFmtId="169" fontId="8" fillId="17" borderId="10" xfId="1" applyNumberFormat="1" applyFont="1" applyFill="1" applyBorder="1" applyAlignment="1">
      <alignment vertical="center"/>
    </xf>
    <xf numFmtId="168" fontId="12" fillId="17" borderId="12" xfId="2" applyNumberFormat="1" applyFont="1" applyFill="1" applyBorder="1" applyAlignment="1">
      <alignment vertical="center" wrapText="1"/>
    </xf>
    <xf numFmtId="167" fontId="8" fillId="17" borderId="10" xfId="1" applyFont="1" applyFill="1" applyBorder="1" applyAlignment="1">
      <alignment vertical="center"/>
    </xf>
    <xf numFmtId="167" fontId="24" fillId="17" borderId="10" xfId="1" applyFont="1" applyFill="1" applyBorder="1" applyAlignment="1">
      <alignment horizontal="center" vertical="center" wrapText="1"/>
    </xf>
    <xf numFmtId="0" fontId="0" fillId="0" borderId="5" xfId="0" applyBorder="1"/>
    <xf numFmtId="9" fontId="8" fillId="7" borderId="5" xfId="4" applyFont="1" applyFill="1" applyBorder="1" applyAlignment="1">
      <alignment horizontal="center" vertical="center"/>
    </xf>
    <xf numFmtId="9" fontId="10" fillId="18" borderId="7" xfId="4" applyFont="1" applyFill="1" applyBorder="1" applyAlignment="1">
      <alignment horizontal="center" vertical="center"/>
    </xf>
    <xf numFmtId="9" fontId="10" fillId="19" borderId="7" xfId="4" applyFont="1" applyFill="1" applyBorder="1" applyAlignment="1">
      <alignment horizontal="center" vertical="center"/>
    </xf>
    <xf numFmtId="0" fontId="10" fillId="18" borderId="7" xfId="4" applyNumberFormat="1" applyFont="1" applyFill="1" applyBorder="1" applyAlignment="1">
      <alignment horizontal="center" vertical="center"/>
    </xf>
    <xf numFmtId="168" fontId="13" fillId="6" borderId="25" xfId="2" applyNumberFormat="1" applyFont="1" applyFill="1" applyBorder="1" applyAlignment="1">
      <alignment horizontal="center" vertical="center" wrapText="1"/>
    </xf>
    <xf numFmtId="168" fontId="26" fillId="5" borderId="4" xfId="2" applyNumberFormat="1" applyFont="1" applyFill="1" applyBorder="1" applyAlignment="1">
      <alignment vertical="center" wrapText="1"/>
    </xf>
    <xf numFmtId="168" fontId="26" fillId="5" borderId="19" xfId="2" applyNumberFormat="1" applyFont="1" applyFill="1" applyBorder="1" applyAlignment="1">
      <alignment vertical="center" wrapText="1"/>
    </xf>
    <xf numFmtId="168" fontId="13" fillId="5" borderId="4" xfId="2" applyNumberFormat="1" applyFont="1" applyFill="1" applyBorder="1" applyAlignment="1">
      <alignment horizontal="right" vertical="center" wrapText="1"/>
    </xf>
    <xf numFmtId="168" fontId="8" fillId="0" borderId="0" xfId="2" applyNumberFormat="1" applyFont="1" applyAlignment="1">
      <alignment horizontal="center"/>
    </xf>
    <xf numFmtId="168" fontId="10" fillId="18" borderId="7" xfId="2" applyNumberFormat="1" applyFont="1" applyFill="1" applyBorder="1" applyAlignment="1">
      <alignment horizontal="center" vertical="center"/>
    </xf>
    <xf numFmtId="168" fontId="10" fillId="19" borderId="3" xfId="2" applyNumberFormat="1" applyFont="1" applyFill="1" applyBorder="1" applyAlignment="1">
      <alignment horizontal="center" vertical="center"/>
    </xf>
    <xf numFmtId="0" fontId="10" fillId="19" borderId="3" xfId="4" applyNumberFormat="1" applyFont="1" applyFill="1" applyBorder="1" applyAlignment="1">
      <alignment horizontal="center" vertical="center"/>
    </xf>
    <xf numFmtId="164" fontId="10" fillId="0" borderId="5" xfId="4" applyNumberFormat="1" applyFont="1" applyFill="1" applyBorder="1" applyAlignment="1">
      <alignment horizontal="center" vertical="center"/>
    </xf>
    <xf numFmtId="168" fontId="11" fillId="0" borderId="5" xfId="2" applyNumberFormat="1" applyFont="1" applyFill="1" applyBorder="1" applyAlignment="1">
      <alignment horizontal="center" vertical="center"/>
    </xf>
    <xf numFmtId="168" fontId="11" fillId="0" borderId="1" xfId="2" applyNumberFormat="1" applyFont="1" applyFill="1" applyBorder="1" applyAlignment="1">
      <alignment horizontal="center" vertical="center"/>
    </xf>
    <xf numFmtId="164" fontId="13" fillId="5" borderId="4" xfId="1" applyNumberFormat="1" applyFont="1" applyFill="1" applyBorder="1" applyAlignment="1">
      <alignment horizontal="center" vertical="center" wrapText="1"/>
    </xf>
    <xf numFmtId="167" fontId="17" fillId="0" borderId="1" xfId="1" applyFont="1" applyFill="1" applyBorder="1" applyAlignment="1">
      <alignment horizontal="center" wrapText="1"/>
    </xf>
    <xf numFmtId="168" fontId="12" fillId="0" borderId="12" xfId="2" applyNumberFormat="1" applyFont="1" applyFill="1" applyBorder="1" applyAlignment="1">
      <alignment horizontal="center" vertical="center" wrapText="1"/>
    </xf>
    <xf numFmtId="167" fontId="8" fillId="0" borderId="10" xfId="1" applyFont="1" applyFill="1" applyBorder="1" applyAlignment="1">
      <alignment horizontal="center" vertical="center"/>
    </xf>
    <xf numFmtId="2" fontId="8" fillId="0" borderId="1" xfId="1" applyNumberFormat="1" applyFont="1" applyFill="1" applyBorder="1" applyAlignment="1">
      <alignment horizontal="center" vertical="center"/>
    </xf>
    <xf numFmtId="169" fontId="0" fillId="0" borderId="0" xfId="0" applyNumberFormat="1"/>
    <xf numFmtId="0" fontId="10" fillId="14" borderId="7" xfId="0" applyFont="1" applyFill="1" applyBorder="1" applyAlignment="1">
      <alignment horizontal="center" vertical="center" wrapText="1"/>
    </xf>
    <xf numFmtId="167" fontId="13" fillId="0" borderId="19" xfId="0" applyNumberFormat="1" applyFont="1" applyBorder="1" applyAlignment="1">
      <alignment vertical="center" wrapText="1"/>
    </xf>
    <xf numFmtId="0" fontId="22" fillId="2" borderId="10" xfId="0" applyFont="1" applyFill="1" applyBorder="1" applyAlignment="1">
      <alignment vertical="center" wrapText="1"/>
    </xf>
    <xf numFmtId="0" fontId="23" fillId="0" borderId="10" xfId="0" applyFont="1" applyBorder="1" applyAlignment="1" applyProtection="1">
      <alignment horizontal="left" vertical="top" wrapText="1"/>
      <protection locked="0"/>
    </xf>
    <xf numFmtId="0" fontId="23" fillId="2" borderId="10" xfId="0" applyFont="1" applyFill="1" applyBorder="1" applyAlignment="1" applyProtection="1">
      <alignment horizontal="left" vertical="top" wrapText="1"/>
      <protection locked="0"/>
    </xf>
    <xf numFmtId="0" fontId="22" fillId="0" borderId="10" xfId="0" applyFont="1" applyBorder="1" applyAlignment="1">
      <alignment horizontal="justify" vertical="center"/>
    </xf>
    <xf numFmtId="0" fontId="22" fillId="2" borderId="10" xfId="0" applyFont="1" applyFill="1" applyBorder="1" applyAlignment="1">
      <alignment vertical="top" wrapText="1"/>
    </xf>
    <xf numFmtId="167" fontId="13" fillId="3" borderId="5" xfId="1" applyFont="1" applyFill="1" applyBorder="1" applyAlignment="1">
      <alignment vertical="center" wrapText="1"/>
    </xf>
    <xf numFmtId="169" fontId="12" fillId="0" borderId="5" xfId="1" applyNumberFormat="1" applyFont="1" applyBorder="1" applyAlignment="1">
      <alignment horizontal="left" vertical="center" wrapText="1"/>
    </xf>
    <xf numFmtId="2" fontId="8" fillId="0" borderId="10" xfId="1" applyNumberFormat="1" applyFont="1" applyFill="1" applyBorder="1" applyAlignment="1">
      <alignment horizontal="center" vertical="center"/>
    </xf>
    <xf numFmtId="167" fontId="3" fillId="0" borderId="10" xfId="1" applyFont="1" applyBorder="1" applyAlignment="1">
      <alignment vertical="center" wrapText="1"/>
    </xf>
    <xf numFmtId="169" fontId="12" fillId="0" borderId="10" xfId="1" applyNumberFormat="1" applyFont="1" applyBorder="1" applyAlignment="1">
      <alignment horizontal="left" vertical="center" wrapText="1"/>
    </xf>
    <xf numFmtId="167" fontId="13" fillId="3" borderId="10" xfId="1" applyFont="1" applyFill="1" applyBorder="1" applyAlignment="1">
      <alignment vertical="center" wrapText="1"/>
    </xf>
    <xf numFmtId="167" fontId="12" fillId="3" borderId="10" xfId="1" applyFont="1" applyFill="1" applyBorder="1" applyAlignment="1">
      <alignment vertical="center" wrapText="1"/>
    </xf>
    <xf numFmtId="167" fontId="13" fillId="3" borderId="10" xfId="1" applyFont="1" applyFill="1" applyBorder="1" applyAlignment="1">
      <alignment horizontal="center" vertical="center" wrapText="1"/>
    </xf>
    <xf numFmtId="9" fontId="13" fillId="3" borderId="10" xfId="4" applyFont="1" applyFill="1" applyBorder="1" applyAlignment="1">
      <alignment horizontal="center" vertical="center" wrapText="1"/>
    </xf>
    <xf numFmtId="0" fontId="11" fillId="0" borderId="10" xfId="0" applyFont="1" applyBorder="1"/>
    <xf numFmtId="167" fontId="13" fillId="10" borderId="10" xfId="1" applyFont="1" applyFill="1" applyBorder="1" applyAlignment="1">
      <alignment vertical="center" wrapText="1"/>
    </xf>
    <xf numFmtId="167" fontId="12" fillId="10" borderId="10" xfId="1" applyFont="1" applyFill="1" applyBorder="1" applyAlignment="1">
      <alignment vertical="center" wrapText="1"/>
    </xf>
    <xf numFmtId="164" fontId="13" fillId="10" borderId="10" xfId="1" applyNumberFormat="1" applyFont="1" applyFill="1" applyBorder="1" applyAlignment="1">
      <alignment vertical="center" wrapText="1"/>
    </xf>
    <xf numFmtId="167" fontId="13" fillId="10" borderId="10" xfId="1" applyFont="1" applyFill="1" applyBorder="1" applyAlignment="1">
      <alignment horizontal="center" vertical="center" wrapText="1"/>
    </xf>
    <xf numFmtId="9" fontId="13" fillId="10" borderId="10" xfId="4" applyFont="1" applyFill="1" applyBorder="1" applyAlignment="1">
      <alignment horizontal="center" vertical="center" wrapText="1"/>
    </xf>
    <xf numFmtId="167" fontId="12" fillId="2" borderId="10" xfId="1" applyFont="1" applyFill="1" applyBorder="1" applyAlignment="1">
      <alignment vertical="center" wrapText="1"/>
    </xf>
    <xf numFmtId="167" fontId="4" fillId="0" borderId="10" xfId="1" applyFont="1" applyFill="1" applyBorder="1" applyAlignment="1">
      <alignment horizontal="center" vertical="center" wrapText="1"/>
    </xf>
    <xf numFmtId="0" fontId="11" fillId="11" borderId="10" xfId="0" applyFont="1" applyFill="1" applyBorder="1" applyAlignment="1">
      <alignment vertical="center"/>
    </xf>
    <xf numFmtId="167" fontId="4" fillId="0" borderId="10" xfId="0" applyNumberFormat="1" applyFont="1" applyBorder="1" applyAlignment="1">
      <alignment horizontal="left" vertical="center" wrapText="1"/>
    </xf>
    <xf numFmtId="167" fontId="12" fillId="3" borderId="10" xfId="1" applyFont="1" applyFill="1" applyBorder="1" applyAlignment="1">
      <alignment horizontal="center" vertical="center" wrapText="1"/>
    </xf>
    <xf numFmtId="0" fontId="12" fillId="10" borderId="10" xfId="0" applyFont="1" applyFill="1" applyBorder="1" applyAlignment="1">
      <alignment vertical="center" wrapText="1"/>
    </xf>
    <xf numFmtId="167" fontId="13" fillId="12" borderId="10" xfId="1" applyFont="1" applyFill="1" applyBorder="1" applyAlignment="1">
      <alignment vertical="center" wrapText="1"/>
    </xf>
    <xf numFmtId="167" fontId="12" fillId="12" borderId="10" xfId="1" applyFont="1" applyFill="1" applyBorder="1" applyAlignment="1">
      <alignment vertical="center" wrapText="1"/>
    </xf>
    <xf numFmtId="167" fontId="13" fillId="12" borderId="10" xfId="1" applyFont="1" applyFill="1" applyBorder="1" applyAlignment="1">
      <alignment horizontal="center" vertical="center" wrapText="1"/>
    </xf>
    <xf numFmtId="9" fontId="13" fillId="12" borderId="10" xfId="4" applyFont="1" applyFill="1" applyBorder="1" applyAlignment="1">
      <alignment horizontal="center" vertical="center" wrapText="1"/>
    </xf>
    <xf numFmtId="4" fontId="13" fillId="12" borderId="10" xfId="0" applyNumberFormat="1" applyFont="1" applyFill="1" applyBorder="1" applyAlignment="1">
      <alignment vertical="center" wrapText="1"/>
    </xf>
    <xf numFmtId="0" fontId="11" fillId="2" borderId="10" xfId="0" applyFont="1" applyFill="1" applyBorder="1"/>
    <xf numFmtId="0" fontId="3" fillId="0" borderId="10" xfId="0" applyFont="1" applyBorder="1" applyAlignment="1">
      <alignment vertical="center" wrapText="1"/>
    </xf>
    <xf numFmtId="167" fontId="4" fillId="0" borderId="10" xfId="0" applyNumberFormat="1" applyFont="1" applyBorder="1" applyAlignment="1">
      <alignment vertical="center" wrapText="1"/>
    </xf>
    <xf numFmtId="167" fontId="12" fillId="17" borderId="10" xfId="1" applyFont="1" applyFill="1" applyBorder="1" applyAlignment="1">
      <alignment vertical="center" wrapText="1"/>
    </xf>
    <xf numFmtId="9" fontId="13" fillId="0" borderId="10" xfId="4" applyFont="1" applyFill="1" applyBorder="1" applyAlignment="1">
      <alignment horizontal="center" vertical="center" wrapText="1"/>
    </xf>
    <xf numFmtId="0" fontId="12" fillId="0" borderId="10" xfId="0" applyFont="1" applyBorder="1" applyAlignment="1">
      <alignment vertical="center" wrapText="1"/>
    </xf>
    <xf numFmtId="167" fontId="12" fillId="16" borderId="10" xfId="1" applyFont="1" applyFill="1" applyBorder="1" applyAlignment="1">
      <alignment vertical="center" wrapText="1"/>
    </xf>
    <xf numFmtId="0" fontId="13" fillId="3" borderId="10" xfId="0" applyFont="1" applyFill="1" applyBorder="1" applyAlignment="1">
      <alignment vertical="center" wrapText="1"/>
    </xf>
    <xf numFmtId="3" fontId="3" fillId="0" borderId="10" xfId="0" applyNumberFormat="1" applyFont="1" applyBorder="1" applyAlignment="1">
      <alignment vertical="center" wrapText="1"/>
    </xf>
    <xf numFmtId="167" fontId="3" fillId="3" borderId="10" xfId="1" applyFont="1" applyFill="1" applyBorder="1" applyAlignment="1">
      <alignment vertical="center" wrapText="1"/>
    </xf>
    <xf numFmtId="167" fontId="4" fillId="17" borderId="10" xfId="1" applyFont="1" applyFill="1" applyBorder="1" applyAlignment="1">
      <alignment vertical="center" wrapText="1"/>
    </xf>
    <xf numFmtId="0" fontId="12" fillId="0" borderId="10" xfId="0" applyFont="1" applyBorder="1" applyAlignment="1">
      <alignment vertical="center"/>
    </xf>
    <xf numFmtId="167" fontId="13" fillId="0" borderId="10" xfId="0" applyNumberFormat="1" applyFont="1" applyBorder="1" applyAlignment="1">
      <alignment vertical="center"/>
    </xf>
    <xf numFmtId="169" fontId="13" fillId="0" borderId="10" xfId="1" applyNumberFormat="1" applyFont="1" applyBorder="1" applyAlignment="1">
      <alignment vertical="center" wrapText="1"/>
    </xf>
    <xf numFmtId="167" fontId="4" fillId="3" borderId="10" xfId="1" applyFont="1" applyFill="1" applyBorder="1" applyAlignment="1">
      <alignment vertical="center" wrapText="1"/>
    </xf>
    <xf numFmtId="167" fontId="4" fillId="3" borderId="10" xfId="1" applyFont="1" applyFill="1" applyBorder="1" applyAlignment="1">
      <alignment horizontal="center" vertical="center" wrapText="1"/>
    </xf>
    <xf numFmtId="0" fontId="13" fillId="12" borderId="10" xfId="0" applyFont="1" applyFill="1" applyBorder="1" applyAlignment="1">
      <alignment vertical="center" wrapText="1"/>
    </xf>
    <xf numFmtId="167" fontId="13" fillId="0" borderId="10" xfId="1" applyFont="1" applyBorder="1" applyAlignment="1">
      <alignment vertical="center" wrapText="1"/>
    </xf>
    <xf numFmtId="167" fontId="13" fillId="0" borderId="10" xfId="1" applyFont="1" applyFill="1" applyBorder="1" applyAlignment="1">
      <alignment horizontal="center" vertical="center" wrapText="1"/>
    </xf>
    <xf numFmtId="167" fontId="13" fillId="13" borderId="10" xfId="1" applyFont="1" applyFill="1" applyBorder="1" applyAlignment="1">
      <alignment vertical="center" wrapText="1"/>
    </xf>
    <xf numFmtId="167" fontId="12" fillId="13" borderId="10" xfId="1" applyFont="1" applyFill="1" applyBorder="1" applyAlignment="1">
      <alignment vertical="center" wrapText="1"/>
    </xf>
    <xf numFmtId="167" fontId="13" fillId="13" borderId="10" xfId="1" applyFont="1" applyFill="1" applyBorder="1" applyAlignment="1">
      <alignment horizontal="center" vertical="center" wrapText="1"/>
    </xf>
    <xf numFmtId="9" fontId="13" fillId="13" borderId="10" xfId="4" applyFont="1" applyFill="1" applyBorder="1" applyAlignment="1">
      <alignment horizontal="center" vertical="center" wrapText="1"/>
    </xf>
    <xf numFmtId="0" fontId="11" fillId="13" borderId="10" xfId="0" applyFont="1" applyFill="1" applyBorder="1"/>
    <xf numFmtId="167" fontId="5" fillId="9" borderId="10" xfId="1" applyFont="1" applyFill="1" applyBorder="1" applyAlignment="1">
      <alignment horizontal="center" vertical="center" wrapText="1"/>
    </xf>
    <xf numFmtId="0" fontId="4" fillId="8" borderId="10" xfId="0" applyFont="1" applyFill="1" applyBorder="1" applyAlignment="1">
      <alignment horizontal="center" vertical="center" wrapText="1"/>
    </xf>
    <xf numFmtId="167" fontId="4" fillId="8" borderId="10" xfId="1" applyFont="1" applyFill="1" applyBorder="1" applyAlignment="1">
      <alignment horizontal="center" vertical="center" wrapText="1"/>
    </xf>
    <xf numFmtId="0" fontId="19" fillId="8" borderId="10" xfId="0" applyFont="1" applyFill="1" applyBorder="1" applyAlignment="1">
      <alignment horizontal="center" vertical="center" wrapText="1"/>
    </xf>
    <xf numFmtId="9" fontId="10" fillId="0" borderId="10" xfId="4" applyFont="1" applyBorder="1"/>
    <xf numFmtId="0" fontId="10" fillId="0" borderId="10" xfId="0" applyFont="1" applyBorder="1"/>
    <xf numFmtId="164" fontId="11" fillId="0" borderId="10" xfId="0" applyNumberFormat="1" applyFont="1" applyBorder="1"/>
    <xf numFmtId="0" fontId="11" fillId="0" borderId="10" xfId="0" applyFont="1" applyBorder="1" applyAlignment="1">
      <alignment horizontal="center"/>
    </xf>
    <xf numFmtId="167" fontId="11" fillId="0" borderId="10" xfId="0" applyNumberFormat="1" applyFont="1" applyBorder="1"/>
    <xf numFmtId="0" fontId="13" fillId="3" borderId="22" xfId="0" applyFont="1" applyFill="1" applyBorder="1" applyAlignment="1">
      <alignment horizontal="center" vertical="center" wrapText="1"/>
    </xf>
    <xf numFmtId="2" fontId="8" fillId="3" borderId="10" xfId="1" applyNumberFormat="1" applyFont="1" applyFill="1" applyBorder="1" applyAlignment="1">
      <alignment horizontal="center" vertical="center"/>
    </xf>
    <xf numFmtId="2" fontId="11" fillId="0" borderId="0" xfId="0" applyNumberFormat="1" applyFont="1" applyAlignment="1">
      <alignment horizontal="center" wrapText="1"/>
    </xf>
    <xf numFmtId="2" fontId="12" fillId="3" borderId="12" xfId="0" applyNumberFormat="1" applyFont="1" applyFill="1" applyBorder="1" applyAlignment="1">
      <alignment horizontal="center" vertical="center" wrapText="1"/>
    </xf>
    <xf numFmtId="2" fontId="12" fillId="3" borderId="10" xfId="1" applyNumberFormat="1" applyFont="1" applyFill="1" applyBorder="1" applyAlignment="1">
      <alignment horizontal="center" vertical="center" wrapText="1"/>
    </xf>
    <xf numFmtId="2" fontId="11" fillId="0" borderId="0" xfId="0" applyNumberFormat="1" applyFont="1" applyAlignment="1">
      <alignment horizontal="center"/>
    </xf>
    <xf numFmtId="2" fontId="11" fillId="14" borderId="5" xfId="4" applyNumberFormat="1" applyFont="1" applyFill="1" applyBorder="1" applyAlignment="1">
      <alignment horizontal="center" vertical="center" wrapText="1"/>
    </xf>
    <xf numFmtId="2" fontId="11" fillId="0" borderId="5" xfId="1" applyNumberFormat="1" applyFont="1" applyFill="1" applyBorder="1" applyAlignment="1">
      <alignment horizontal="center" vertical="center"/>
    </xf>
    <xf numFmtId="2" fontId="10" fillId="18" borderId="7" xfId="4" applyNumberFormat="1" applyFont="1" applyFill="1" applyBorder="1" applyAlignment="1">
      <alignment horizontal="center" vertical="center"/>
    </xf>
    <xf numFmtId="2" fontId="10" fillId="19" borderId="3" xfId="4" applyNumberFormat="1" applyFont="1" applyFill="1" applyBorder="1" applyAlignment="1">
      <alignment horizontal="center" vertical="center"/>
    </xf>
    <xf numFmtId="0" fontId="22" fillId="2" borderId="20" xfId="0" applyFont="1" applyFill="1" applyBorder="1" applyAlignment="1">
      <alignment vertical="center" wrapText="1"/>
    </xf>
    <xf numFmtId="9" fontId="10" fillId="0" borderId="0" xfId="4" applyFont="1"/>
    <xf numFmtId="170" fontId="13" fillId="5" borderId="4" xfId="1" applyNumberFormat="1" applyFont="1" applyFill="1" applyBorder="1" applyAlignment="1">
      <alignment horizontal="right" vertical="center" wrapText="1"/>
    </xf>
    <xf numFmtId="2" fontId="0" fillId="0" borderId="0" xfId="0" applyNumberFormat="1"/>
    <xf numFmtId="2" fontId="17" fillId="0" borderId="4" xfId="1" applyNumberFormat="1" applyFont="1" applyFill="1" applyBorder="1" applyAlignment="1">
      <alignment horizontal="right" vertical="center" wrapText="1"/>
    </xf>
    <xf numFmtId="0" fontId="12" fillId="3"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3" borderId="10" xfId="0" applyFont="1" applyFill="1" applyBorder="1" applyAlignment="1">
      <alignment horizontal="left" vertical="center" wrapText="1"/>
    </xf>
    <xf numFmtId="0" fontId="13" fillId="10" borderId="10"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2" fillId="0" borderId="10" xfId="0" applyFont="1" applyBorder="1" applyAlignment="1">
      <alignment horizontal="left" vertical="center" wrapText="1"/>
    </xf>
    <xf numFmtId="9" fontId="10" fillId="19" borderId="3" xfId="4" applyFont="1" applyFill="1" applyBorder="1" applyAlignment="1">
      <alignment horizontal="center" vertical="center"/>
    </xf>
    <xf numFmtId="0" fontId="13" fillId="12" borderId="10" xfId="0" applyFont="1" applyFill="1" applyBorder="1" applyAlignment="1">
      <alignment horizontal="left" vertical="center" wrapText="1"/>
    </xf>
    <xf numFmtId="0" fontId="13" fillId="13" borderId="10" xfId="0" applyFont="1" applyFill="1" applyBorder="1" applyAlignment="1">
      <alignment horizontal="left" vertical="center" wrapText="1"/>
    </xf>
    <xf numFmtId="0" fontId="10" fillId="14" borderId="3" xfId="0" applyFont="1" applyFill="1" applyBorder="1" applyAlignment="1">
      <alignment horizontal="center" vertical="center" wrapText="1"/>
    </xf>
    <xf numFmtId="0" fontId="10" fillId="0" borderId="0" xfId="0" applyFont="1" applyAlignment="1">
      <alignment horizontal="center"/>
    </xf>
    <xf numFmtId="0" fontId="20" fillId="0" borderId="8" xfId="0" applyFont="1" applyBorder="1" applyAlignment="1">
      <alignment horizontal="center" vertical="center" wrapText="1"/>
    </xf>
    <xf numFmtId="167" fontId="10" fillId="0" borderId="0" xfId="0" applyNumberFormat="1" applyFont="1" applyAlignment="1">
      <alignment horizontal="center"/>
    </xf>
    <xf numFmtId="167" fontId="10" fillId="0" borderId="0" xfId="0" applyNumberFormat="1" applyFont="1"/>
    <xf numFmtId="0" fontId="10" fillId="0" borderId="10" xfId="0" applyFont="1" applyBorder="1" applyAlignment="1">
      <alignment horizontal="center"/>
    </xf>
    <xf numFmtId="0" fontId="22" fillId="2" borderId="0" xfId="0" applyFont="1" applyFill="1" applyAlignment="1">
      <alignment vertical="center" wrapText="1"/>
    </xf>
    <xf numFmtId="0" fontId="22" fillId="0" borderId="0" xfId="0" applyFont="1" applyAlignment="1">
      <alignment vertical="center" wrapText="1"/>
    </xf>
    <xf numFmtId="0" fontId="12" fillId="0" borderId="13" xfId="0" applyFont="1" applyBorder="1" applyAlignment="1">
      <alignment vertical="center" wrapText="1"/>
    </xf>
    <xf numFmtId="0" fontId="11" fillId="0" borderId="12"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wrapText="1"/>
    </xf>
    <xf numFmtId="168" fontId="10" fillId="18" borderId="7" xfId="2" applyNumberFormat="1" applyFont="1" applyFill="1" applyBorder="1" applyAlignment="1">
      <alignment horizontal="right" vertical="center"/>
    </xf>
    <xf numFmtId="164" fontId="10" fillId="18" borderId="7" xfId="4" applyNumberFormat="1" applyFont="1" applyFill="1" applyBorder="1" applyAlignment="1">
      <alignment horizontal="center" vertical="center"/>
    </xf>
    <xf numFmtId="9" fontId="0" fillId="0" borderId="0" xfId="0" applyNumberFormat="1"/>
    <xf numFmtId="0" fontId="0" fillId="21" borderId="10" xfId="0" applyFill="1" applyBorder="1"/>
    <xf numFmtId="0" fontId="10" fillId="0" borderId="0" xfId="0" applyFont="1" applyAlignment="1">
      <alignment vertical="center" wrapText="1"/>
    </xf>
    <xf numFmtId="2" fontId="28" fillId="16" borderId="10" xfId="1" applyNumberFormat="1" applyFont="1" applyFill="1" applyBorder="1" applyAlignment="1">
      <alignment vertical="center"/>
    </xf>
    <xf numFmtId="2" fontId="29" fillId="16" borderId="10" xfId="1" applyNumberFormat="1" applyFont="1" applyFill="1" applyBorder="1" applyAlignment="1">
      <alignment horizontal="center" vertical="center"/>
    </xf>
    <xf numFmtId="167" fontId="29" fillId="16" borderId="10" xfId="1" applyFont="1" applyFill="1" applyBorder="1" applyAlignment="1">
      <alignment horizontal="right" vertical="center"/>
    </xf>
    <xf numFmtId="167" fontId="29" fillId="16" borderId="10" xfId="1" applyFont="1" applyFill="1" applyBorder="1" applyAlignment="1">
      <alignment vertical="center"/>
    </xf>
    <xf numFmtId="2" fontId="29" fillId="16" borderId="10" xfId="1" applyNumberFormat="1" applyFont="1" applyFill="1" applyBorder="1" applyAlignment="1">
      <alignment vertical="center"/>
    </xf>
    <xf numFmtId="168" fontId="26" fillId="5" borderId="21" xfId="2" applyNumberFormat="1" applyFont="1" applyFill="1" applyBorder="1" applyAlignment="1">
      <alignment vertical="center" wrapText="1"/>
    </xf>
    <xf numFmtId="167" fontId="13" fillId="5" borderId="20" xfId="1" applyFont="1" applyFill="1" applyBorder="1" applyAlignment="1">
      <alignment horizontal="right" vertical="center" wrapText="1"/>
    </xf>
    <xf numFmtId="167" fontId="12" fillId="3" borderId="20" xfId="1" applyFont="1" applyFill="1" applyBorder="1" applyAlignment="1">
      <alignment horizontal="center" vertical="center" wrapText="1"/>
    </xf>
    <xf numFmtId="167" fontId="17" fillId="3" borderId="44" xfId="1" applyFont="1" applyFill="1" applyBorder="1" applyAlignment="1">
      <alignment horizontal="center" wrapText="1"/>
    </xf>
    <xf numFmtId="167" fontId="17" fillId="3" borderId="45" xfId="1" applyFont="1" applyFill="1" applyBorder="1" applyAlignment="1">
      <alignment horizontal="center" wrapText="1"/>
    </xf>
    <xf numFmtId="167" fontId="13" fillId="5" borderId="2" xfId="1" applyFont="1" applyFill="1" applyBorder="1" applyAlignment="1">
      <alignment horizontal="right" vertical="center" wrapText="1"/>
    </xf>
    <xf numFmtId="164" fontId="9" fillId="0" borderId="17" xfId="0" applyNumberFormat="1" applyFont="1" applyBorder="1"/>
    <xf numFmtId="167" fontId="17" fillId="3" borderId="46" xfId="1" applyFont="1" applyFill="1" applyBorder="1" applyAlignment="1">
      <alignment horizontal="center" wrapText="1"/>
    </xf>
    <xf numFmtId="9" fontId="10" fillId="0" borderId="0" xfId="4" applyFont="1" applyAlignment="1">
      <alignment horizontal="center"/>
    </xf>
    <xf numFmtId="167" fontId="11" fillId="0" borderId="0" xfId="1" applyFont="1"/>
    <xf numFmtId="4" fontId="11" fillId="0" borderId="0" xfId="0" applyNumberFormat="1" applyFont="1"/>
    <xf numFmtId="9" fontId="11" fillId="0" borderId="0" xfId="4" applyFont="1"/>
    <xf numFmtId="2" fontId="31" fillId="16" borderId="10" xfId="1" applyNumberFormat="1" applyFont="1" applyFill="1" applyBorder="1" applyAlignment="1">
      <alignment vertical="center"/>
    </xf>
    <xf numFmtId="3" fontId="32" fillId="0" borderId="0" xfId="0" applyNumberFormat="1" applyFont="1" applyAlignment="1">
      <alignment horizontal="justify" vertical="center"/>
    </xf>
    <xf numFmtId="3" fontId="23" fillId="0" borderId="0" xfId="0" applyNumberFormat="1" applyFont="1" applyAlignment="1">
      <alignment wrapText="1"/>
    </xf>
    <xf numFmtId="164" fontId="20" fillId="0" borderId="8" xfId="1" applyNumberFormat="1" applyFont="1" applyBorder="1" applyAlignment="1">
      <alignment horizontal="center" vertical="center"/>
    </xf>
    <xf numFmtId="0" fontId="10" fillId="0" borderId="10" xfId="0" applyFont="1" applyBorder="1" applyAlignment="1">
      <alignment horizontal="center" vertical="center"/>
    </xf>
    <xf numFmtId="1" fontId="10" fillId="18" borderId="18" xfId="4" applyNumberFormat="1" applyFont="1" applyFill="1" applyBorder="1" applyAlignment="1">
      <alignment horizontal="center" vertical="center"/>
    </xf>
    <xf numFmtId="0" fontId="13" fillId="12"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13" fillId="13" borderId="10" xfId="0" applyFont="1" applyFill="1" applyBorder="1" applyAlignment="1">
      <alignment horizontal="left" vertical="center" wrapText="1"/>
    </xf>
    <xf numFmtId="0" fontId="10" fillId="14" borderId="3" xfId="0" applyFont="1" applyFill="1" applyBorder="1" applyAlignment="1">
      <alignment horizontal="center" vertical="center" wrapText="1"/>
    </xf>
    <xf numFmtId="0" fontId="10" fillId="14" borderId="19" xfId="0" applyFont="1" applyFill="1" applyBorder="1" applyAlignment="1">
      <alignment horizontal="center" vertical="center" wrapText="1"/>
    </xf>
    <xf numFmtId="164" fontId="11" fillId="0" borderId="7" xfId="4" applyNumberFormat="1" applyFont="1" applyFill="1" applyBorder="1" applyAlignment="1">
      <alignment horizontal="left" vertical="top" wrapText="1"/>
    </xf>
    <xf numFmtId="164" fontId="11" fillId="0" borderId="9" xfId="4" applyNumberFormat="1" applyFont="1" applyFill="1" applyBorder="1" applyAlignment="1">
      <alignment horizontal="left" vertical="top" wrapText="1"/>
    </xf>
    <xf numFmtId="0" fontId="10" fillId="0" borderId="3" xfId="0" applyFont="1" applyBorder="1" applyAlignment="1">
      <alignment horizontal="center"/>
    </xf>
    <xf numFmtId="0" fontId="10" fillId="0" borderId="21" xfId="0" applyFont="1" applyBorder="1" applyAlignment="1">
      <alignment horizontal="center"/>
    </xf>
    <xf numFmtId="2" fontId="10" fillId="0" borderId="21" xfId="0" applyNumberFormat="1" applyFont="1" applyBorder="1" applyAlignment="1">
      <alignment horizontal="center"/>
    </xf>
    <xf numFmtId="0" fontId="10" fillId="0" borderId="19" xfId="0" applyFont="1" applyBorder="1" applyAlignment="1">
      <alignment horizontal="center"/>
    </xf>
    <xf numFmtId="2" fontId="27" fillId="0" borderId="0" xfId="0" applyNumberFormat="1" applyFont="1" applyAlignment="1">
      <alignment horizontal="center" vertical="top" wrapText="1" readingOrder="1"/>
    </xf>
    <xf numFmtId="0" fontId="7" fillId="0" borderId="0" xfId="0" applyFont="1" applyAlignment="1"/>
    <xf numFmtId="164" fontId="11" fillId="0" borderId="3" xfId="4" applyNumberFormat="1" applyFont="1" applyFill="1" applyBorder="1" applyAlignment="1">
      <alignment horizontal="center" vertical="center"/>
    </xf>
    <xf numFmtId="164" fontId="11" fillId="0" borderId="19" xfId="4" applyNumberFormat="1" applyFont="1" applyFill="1" applyBorder="1" applyAlignment="1">
      <alignment horizontal="center" vertical="center"/>
    </xf>
    <xf numFmtId="9" fontId="10" fillId="18" borderId="3" xfId="4" applyFont="1" applyFill="1" applyBorder="1" applyAlignment="1">
      <alignment horizontal="center" vertical="center"/>
    </xf>
    <xf numFmtId="9" fontId="10" fillId="18" borderId="19" xfId="4" applyFont="1" applyFill="1" applyBorder="1" applyAlignment="1">
      <alignment horizontal="center" vertical="center"/>
    </xf>
    <xf numFmtId="9" fontId="10" fillId="19" borderId="3" xfId="4" applyFont="1" applyFill="1" applyBorder="1" applyAlignment="1">
      <alignment horizontal="center" vertical="center"/>
    </xf>
    <xf numFmtId="9" fontId="10" fillId="19" borderId="19" xfId="4" applyFont="1" applyFill="1" applyBorder="1" applyAlignment="1">
      <alignment horizontal="center" vertical="center"/>
    </xf>
    <xf numFmtId="0" fontId="11" fillId="11" borderId="10" xfId="0" applyFont="1" applyFill="1" applyBorder="1" applyAlignment="1">
      <alignment horizontal="center" vertical="center"/>
    </xf>
    <xf numFmtId="0" fontId="12" fillId="3" borderId="10"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8" borderId="41" xfId="0" applyFont="1" applyFill="1" applyBorder="1" applyAlignment="1">
      <alignment horizontal="left" vertical="center" wrapText="1"/>
    </xf>
    <xf numFmtId="0" fontId="13" fillId="8" borderId="42" xfId="0" applyFont="1" applyFill="1" applyBorder="1" applyAlignment="1">
      <alignment horizontal="left" vertical="center" wrapText="1"/>
    </xf>
    <xf numFmtId="0" fontId="13" fillId="8" borderId="43" xfId="0" applyFont="1" applyFill="1" applyBorder="1" applyAlignment="1">
      <alignment horizontal="left" vertical="center" wrapText="1"/>
    </xf>
    <xf numFmtId="0" fontId="12" fillId="0" borderId="38" xfId="0" applyFont="1" applyBorder="1" applyAlignment="1">
      <alignment horizontal="left" vertical="top" wrapText="1"/>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10" xfId="0" applyFont="1" applyBorder="1" applyAlignment="1">
      <alignment horizontal="left" vertical="top" wrapText="1"/>
    </xf>
    <xf numFmtId="0" fontId="13" fillId="10" borderId="10" xfId="0" applyFont="1" applyFill="1" applyBorder="1" applyAlignment="1">
      <alignment horizontal="center" vertical="center" wrapText="1"/>
    </xf>
    <xf numFmtId="0" fontId="13" fillId="8" borderId="10" xfId="0" applyFont="1" applyFill="1" applyBorder="1" applyAlignment="1">
      <alignment horizontal="left" vertical="center" wrapText="1"/>
    </xf>
    <xf numFmtId="0" fontId="12" fillId="0" borderId="7" xfId="0" applyFont="1" applyBorder="1" applyAlignment="1">
      <alignment horizontal="left" vertical="top" wrapText="1"/>
    </xf>
    <xf numFmtId="0" fontId="12" fillId="0" borderId="18" xfId="0" applyFont="1" applyBorder="1" applyAlignment="1">
      <alignment horizontal="left" vertical="top" wrapText="1"/>
    </xf>
    <xf numFmtId="0" fontId="11" fillId="11" borderId="9" xfId="0" applyFont="1" applyFill="1" applyBorder="1" applyAlignment="1">
      <alignment horizontal="center" vertical="center"/>
    </xf>
    <xf numFmtId="0" fontId="11" fillId="11" borderId="22" xfId="0"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 fillId="0" borderId="10" xfId="0" applyFont="1" applyBorder="1" applyAlignment="1">
      <alignment horizontal="left" vertical="top" wrapText="1"/>
    </xf>
    <xf numFmtId="0" fontId="12" fillId="0" borderId="10" xfId="0" applyFont="1" applyBorder="1" applyAlignment="1">
      <alignment horizontal="center" vertical="center" wrapText="1"/>
    </xf>
    <xf numFmtId="0" fontId="13" fillId="12" borderId="10" xfId="0" applyFont="1" applyFill="1" applyBorder="1" applyAlignment="1">
      <alignment horizontal="center" vertical="center" wrapText="1"/>
    </xf>
    <xf numFmtId="0" fontId="30" fillId="0" borderId="3" xfId="0" applyFont="1" applyBorder="1" applyAlignment="1">
      <alignment horizontal="center"/>
    </xf>
    <xf numFmtId="0" fontId="30" fillId="0" borderId="21" xfId="0" applyFont="1" applyBorder="1" applyAlignment="1">
      <alignment horizontal="center"/>
    </xf>
    <xf numFmtId="0" fontId="30" fillId="0" borderId="19" xfId="0" applyFont="1" applyBorder="1" applyAlignment="1">
      <alignment horizontal="center"/>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17" xfId="0"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6" fillId="20" borderId="33" xfId="0" applyFont="1" applyFill="1" applyBorder="1" applyAlignment="1">
      <alignment horizontal="center" vertical="center" wrapText="1"/>
    </xf>
    <xf numFmtId="0" fontId="16" fillId="20" borderId="34" xfId="0" applyFont="1" applyFill="1" applyBorder="1" applyAlignment="1">
      <alignment horizontal="center" vertical="center" wrapText="1"/>
    </xf>
    <xf numFmtId="0" fontId="16" fillId="20" borderId="35" xfId="0" applyFont="1" applyFill="1" applyBorder="1" applyAlignment="1">
      <alignment horizontal="center" vertical="center" wrapText="1"/>
    </xf>
    <xf numFmtId="0" fontId="16" fillId="20" borderId="36" xfId="0" applyFont="1" applyFill="1" applyBorder="1" applyAlignment="1">
      <alignment horizontal="center" vertical="center" wrapText="1"/>
    </xf>
    <xf numFmtId="0" fontId="16" fillId="20" borderId="31" xfId="0" applyFont="1" applyFill="1" applyBorder="1" applyAlignment="1">
      <alignment horizontal="center" vertical="center" wrapText="1"/>
    </xf>
    <xf numFmtId="0" fontId="16" fillId="20" borderId="37" xfId="0" applyFont="1" applyFill="1" applyBorder="1" applyAlignment="1">
      <alignment horizontal="center" vertical="center" wrapText="1"/>
    </xf>
    <xf numFmtId="0" fontId="0" fillId="9" borderId="3" xfId="0" applyFill="1" applyBorder="1" applyAlignment="1">
      <alignment horizontal="center"/>
    </xf>
    <xf numFmtId="0" fontId="0" fillId="9" borderId="21" xfId="0" applyFill="1" applyBorder="1" applyAlignment="1">
      <alignment horizontal="center"/>
    </xf>
    <xf numFmtId="0" fontId="0" fillId="9" borderId="19" xfId="0" applyFill="1" applyBorder="1" applyAlignment="1">
      <alignment horizontal="center"/>
    </xf>
    <xf numFmtId="0" fontId="16" fillId="20" borderId="32" xfId="0" applyFont="1" applyFill="1" applyBorder="1" applyAlignment="1">
      <alignment horizontal="center" vertical="center" wrapText="1"/>
    </xf>
    <xf numFmtId="9" fontId="8" fillId="21" borderId="10" xfId="4" applyNumberFormat="1" applyFont="1" applyFill="1" applyBorder="1" applyAlignment="1">
      <alignment horizontal="center"/>
    </xf>
    <xf numFmtId="9" fontId="10" fillId="18" borderId="7" xfId="4" applyNumberFormat="1" applyFont="1" applyFill="1" applyBorder="1" applyAlignment="1">
      <alignment horizontal="center" vertical="center"/>
    </xf>
  </cellXfs>
  <cellStyles count="5">
    <cellStyle name="Milliers" xfId="1" builtinId="3"/>
    <cellStyle name="Milliers [0]" xfId="2" builtinId="6"/>
    <cellStyle name="Monétaire" xfId="3" builtinId="4"/>
    <cellStyle name="Normal" xfId="0" builtinId="0"/>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pha.o.telly.diallo/OneDrive/Bureau/OIM_UNFPA_HCDH_Rapport_financier_Projet%20GF%20Mai%202022-F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BUDGETAIRE 2022_VF (2)"/>
      <sheetName val="PAR CATEGORIE BUDGETAIRE GF 22"/>
    </sheetNames>
    <sheetDataSet>
      <sheetData sheetId="0">
        <row r="6">
          <cell r="F6">
            <v>40000</v>
          </cell>
        </row>
        <row r="7">
          <cell r="F7">
            <v>30000</v>
          </cell>
        </row>
        <row r="8">
          <cell r="F8">
            <v>50000</v>
          </cell>
        </row>
        <row r="9">
          <cell r="F9">
            <v>30000</v>
          </cell>
        </row>
        <row r="11">
          <cell r="F11">
            <v>20000</v>
          </cell>
        </row>
        <row r="15">
          <cell r="F15">
            <v>30000</v>
          </cell>
        </row>
        <row r="16">
          <cell r="F16">
            <v>20000</v>
          </cell>
        </row>
        <row r="17">
          <cell r="F17">
            <v>20000</v>
          </cell>
        </row>
        <row r="42">
          <cell r="F42">
            <v>30000</v>
          </cell>
        </row>
        <row r="45">
          <cell r="F45">
            <v>20000</v>
          </cell>
        </row>
        <row r="47">
          <cell r="F47">
            <v>5000</v>
          </cell>
        </row>
        <row r="48">
          <cell r="F48">
            <v>15000</v>
          </cell>
        </row>
        <row r="49">
          <cell r="F49">
            <v>10250</v>
          </cell>
        </row>
        <row r="52">
          <cell r="F52">
            <v>22417.500000000004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9"/>
  <sheetViews>
    <sheetView tabSelected="1" topLeftCell="B1" zoomScale="80" zoomScaleNormal="80" workbookViewId="0">
      <pane xSplit="2" ySplit="5" topLeftCell="G57" activePane="bottomRight" state="frozen"/>
      <selection activeCell="B1" sqref="B1"/>
      <selection pane="topRight" activeCell="D1" sqref="D1"/>
      <selection pane="bottomLeft" activeCell="B6" sqref="B6"/>
      <selection pane="bottomRight" activeCell="N62" sqref="N62"/>
    </sheetView>
  </sheetViews>
  <sheetFormatPr baseColWidth="10" defaultColWidth="9.1796875" defaultRowHeight="13" x14ac:dyDescent="0.3"/>
  <cols>
    <col min="1" max="1" width="10.453125" style="2" customWidth="1"/>
    <col min="2" max="2" width="36.81640625" style="2" customWidth="1"/>
    <col min="3" max="3" width="16.54296875" style="2" customWidth="1"/>
    <col min="4" max="4" width="21.1796875" style="1" customWidth="1"/>
    <col min="5" max="5" width="19.453125" style="2" customWidth="1"/>
    <col min="6" max="6" width="19.453125" style="211" customWidth="1"/>
    <col min="7" max="7" width="17.1796875" style="2" customWidth="1"/>
    <col min="8" max="8" width="18.81640625" style="2" customWidth="1"/>
    <col min="9" max="9" width="15.81640625" style="2" customWidth="1"/>
    <col min="10" max="10" width="19.81640625" style="2" customWidth="1"/>
    <col min="11" max="11" width="17.1796875" style="1" customWidth="1"/>
    <col min="12" max="12" width="17.1796875" style="232" customWidth="1"/>
    <col min="13" max="13" width="18.81640625" style="2" customWidth="1"/>
    <col min="14" max="14" width="14.1796875" style="2" customWidth="1"/>
    <col min="15" max="15" width="14.1796875" style="56" customWidth="1"/>
    <col min="16" max="16" width="17.81640625" style="2" customWidth="1"/>
    <col min="17" max="17" width="12.1796875" style="2" customWidth="1"/>
    <col min="18" max="18" width="9.1796875" style="2"/>
    <col min="19" max="19" width="12.453125" style="2" bestFit="1" customWidth="1"/>
    <col min="20" max="20" width="13.54296875" style="2" bestFit="1" customWidth="1"/>
    <col min="21" max="16384" width="9.1796875" style="2"/>
  </cols>
  <sheetData>
    <row r="1" spans="1:18" ht="32.25" customHeight="1" thickBot="1" x14ac:dyDescent="0.35">
      <c r="A1" s="1"/>
      <c r="B1" s="311" t="s">
        <v>138</v>
      </c>
      <c r="C1" s="312"/>
      <c r="D1" s="312"/>
      <c r="E1" s="312"/>
      <c r="F1" s="312"/>
      <c r="G1" s="312"/>
      <c r="H1" s="312"/>
      <c r="I1" s="312"/>
      <c r="J1" s="312"/>
      <c r="K1" s="312"/>
      <c r="L1" s="312"/>
      <c r="M1" s="312"/>
      <c r="N1" s="312"/>
      <c r="O1" s="312"/>
      <c r="P1" s="312"/>
      <c r="Q1" s="313"/>
    </row>
    <row r="2" spans="1:18" ht="26.15" customHeight="1" thickBot="1" x14ac:dyDescent="0.35">
      <c r="A2" s="1" t="s">
        <v>0</v>
      </c>
      <c r="E2" s="39"/>
      <c r="F2" s="208"/>
      <c r="G2" s="39"/>
      <c r="H2" s="39"/>
      <c r="I2" s="39"/>
      <c r="J2" s="39"/>
      <c r="K2" s="242"/>
      <c r="L2" s="241"/>
      <c r="M2" s="39"/>
      <c r="O2" s="57"/>
    </row>
    <row r="3" spans="1:18" ht="99" customHeight="1" x14ac:dyDescent="0.3">
      <c r="A3" s="70" t="s">
        <v>1</v>
      </c>
      <c r="B3" s="71" t="s">
        <v>2</v>
      </c>
      <c r="C3" s="71" t="s">
        <v>3</v>
      </c>
      <c r="D3" s="72" t="s">
        <v>4</v>
      </c>
      <c r="E3" s="103" t="s">
        <v>5</v>
      </c>
      <c r="F3" s="209" t="s">
        <v>6</v>
      </c>
      <c r="G3" s="112" t="s">
        <v>7</v>
      </c>
      <c r="H3" s="71" t="s">
        <v>8</v>
      </c>
      <c r="I3" s="103" t="s">
        <v>9</v>
      </c>
      <c r="J3" s="107" t="s">
        <v>10</v>
      </c>
      <c r="K3" s="115" t="s">
        <v>11</v>
      </c>
      <c r="L3" s="136" t="s">
        <v>12</v>
      </c>
      <c r="M3" s="103" t="s">
        <v>13</v>
      </c>
      <c r="N3" s="240" t="s">
        <v>14</v>
      </c>
      <c r="O3" s="73" t="s">
        <v>15</v>
      </c>
      <c r="P3" s="71" t="s">
        <v>16</v>
      </c>
      <c r="Q3" s="239" t="s">
        <v>17</v>
      </c>
    </row>
    <row r="4" spans="1:18" ht="19.5" customHeight="1" x14ac:dyDescent="0.3">
      <c r="A4" s="74" t="s">
        <v>18</v>
      </c>
      <c r="B4" s="64" t="s">
        <v>19</v>
      </c>
      <c r="C4" s="64"/>
      <c r="D4" s="64" t="s">
        <v>20</v>
      </c>
      <c r="E4" s="65" t="s">
        <v>21</v>
      </c>
      <c r="F4" s="65"/>
      <c r="G4" s="65"/>
      <c r="H4" s="66" t="s">
        <v>22</v>
      </c>
      <c r="I4" s="66"/>
      <c r="J4" s="66"/>
      <c r="K4" s="66" t="s">
        <v>23</v>
      </c>
      <c r="L4" s="66"/>
      <c r="M4" s="67" t="s">
        <v>24</v>
      </c>
      <c r="N4" s="67" t="s">
        <v>25</v>
      </c>
      <c r="O4" s="67" t="s">
        <v>26</v>
      </c>
      <c r="P4" s="67"/>
      <c r="Q4" s="75"/>
    </row>
    <row r="5" spans="1:18" ht="24.65" customHeight="1" thickBot="1" x14ac:dyDescent="0.35">
      <c r="A5" s="293" t="s">
        <v>27</v>
      </c>
      <c r="B5" s="294"/>
      <c r="C5" s="294"/>
      <c r="D5" s="294"/>
      <c r="E5" s="294"/>
      <c r="F5" s="294"/>
      <c r="G5" s="294"/>
      <c r="H5" s="294"/>
      <c r="I5" s="294"/>
      <c r="J5" s="294"/>
      <c r="K5" s="294"/>
      <c r="L5" s="294"/>
      <c r="M5" s="294"/>
      <c r="N5" s="294"/>
      <c r="O5" s="294"/>
      <c r="P5" s="294"/>
      <c r="Q5" s="295"/>
    </row>
    <row r="6" spans="1:18" ht="108.65" customHeight="1" thickBot="1" x14ac:dyDescent="0.35">
      <c r="A6" s="296" t="s">
        <v>28</v>
      </c>
      <c r="B6" s="146" t="s">
        <v>139</v>
      </c>
      <c r="C6" s="93" t="s">
        <v>29</v>
      </c>
      <c r="D6" s="60">
        <f>+SUM(E6:G6)</f>
        <v>70000</v>
      </c>
      <c r="E6" s="104"/>
      <c r="F6" s="207">
        <v>70000</v>
      </c>
      <c r="G6" s="116"/>
      <c r="H6" s="102"/>
      <c r="I6" s="106"/>
      <c r="J6" s="110">
        <v>70000</v>
      </c>
      <c r="K6" s="116"/>
      <c r="L6" s="137">
        <f>I6+J6+K6</f>
        <v>70000</v>
      </c>
      <c r="M6" s="103"/>
      <c r="N6" s="60"/>
      <c r="O6" s="68"/>
      <c r="P6" s="60"/>
      <c r="Q6" s="76">
        <v>4</v>
      </c>
      <c r="R6" s="304" t="s">
        <v>30</v>
      </c>
    </row>
    <row r="7" spans="1:18" ht="143.5" customHeight="1" thickBot="1" x14ac:dyDescent="0.35">
      <c r="A7" s="297"/>
      <c r="B7" s="146" t="s">
        <v>143</v>
      </c>
      <c r="C7" s="93" t="s">
        <v>29</v>
      </c>
      <c r="D7" s="60">
        <f>+SUM(E7:G7)</f>
        <v>40000</v>
      </c>
      <c r="E7" s="104"/>
      <c r="F7" s="207">
        <v>40000</v>
      </c>
      <c r="G7" s="116"/>
      <c r="H7" s="102"/>
      <c r="I7" s="106"/>
      <c r="J7" s="110">
        <v>40000</v>
      </c>
      <c r="K7" s="116"/>
      <c r="L7" s="137">
        <f t="shared" ref="L7:L9" si="0">I7+J7+K7</f>
        <v>40000</v>
      </c>
      <c r="M7" s="103"/>
      <c r="N7" s="60"/>
      <c r="O7" s="68"/>
      <c r="P7" s="60"/>
      <c r="Q7" s="76">
        <v>4</v>
      </c>
      <c r="R7" s="305"/>
    </row>
    <row r="8" spans="1:18" ht="140" thickBot="1" x14ac:dyDescent="0.35">
      <c r="A8" s="297"/>
      <c r="B8" s="146" t="s">
        <v>31</v>
      </c>
      <c r="C8" s="93" t="s">
        <v>29</v>
      </c>
      <c r="D8" s="60">
        <f>+SUM(E8:G8)</f>
        <v>50000</v>
      </c>
      <c r="E8" s="104"/>
      <c r="F8" s="207">
        <v>50000</v>
      </c>
      <c r="G8" s="116"/>
      <c r="H8" s="102"/>
      <c r="I8" s="106"/>
      <c r="J8" s="110">
        <v>46500</v>
      </c>
      <c r="K8" s="116"/>
      <c r="L8" s="137">
        <f t="shared" si="0"/>
        <v>46500</v>
      </c>
      <c r="M8" s="103"/>
      <c r="N8" s="60"/>
      <c r="O8" s="68"/>
      <c r="P8" s="60"/>
      <c r="Q8" s="76">
        <v>4</v>
      </c>
      <c r="R8" s="305"/>
    </row>
    <row r="9" spans="1:18" ht="124" x14ac:dyDescent="0.3">
      <c r="A9" s="298"/>
      <c r="B9" s="142" t="s">
        <v>142</v>
      </c>
      <c r="C9" s="238" t="s">
        <v>29</v>
      </c>
      <c r="D9" s="60">
        <f>+SUM(E9:G9)</f>
        <v>30000</v>
      </c>
      <c r="E9" s="104"/>
      <c r="F9" s="207">
        <v>30000</v>
      </c>
      <c r="G9" s="116"/>
      <c r="H9" s="102"/>
      <c r="I9" s="106"/>
      <c r="J9" s="110">
        <v>30000</v>
      </c>
      <c r="K9" s="116"/>
      <c r="L9" s="137">
        <f t="shared" si="0"/>
        <v>30000</v>
      </c>
      <c r="M9" s="103"/>
      <c r="N9" s="60"/>
      <c r="O9" s="68"/>
      <c r="P9" s="60"/>
      <c r="Q9" s="76">
        <v>4</v>
      </c>
      <c r="R9" s="305"/>
    </row>
    <row r="10" spans="1:18" ht="21.75" customHeight="1" thickBot="1" x14ac:dyDescent="0.35">
      <c r="A10" s="314" t="s">
        <v>32</v>
      </c>
      <c r="B10" s="315"/>
      <c r="C10" s="206"/>
      <c r="D10" s="97">
        <f t="shared" ref="D10:P10" si="1">+SUM(D6:D9)</f>
        <v>190000</v>
      </c>
      <c r="E10" s="97">
        <f t="shared" si="1"/>
        <v>0</v>
      </c>
      <c r="F10" s="97">
        <f t="shared" si="1"/>
        <v>190000</v>
      </c>
      <c r="G10" s="97">
        <f t="shared" si="1"/>
        <v>0</v>
      </c>
      <c r="H10" s="97">
        <f t="shared" si="1"/>
        <v>0</v>
      </c>
      <c r="I10" s="97">
        <f t="shared" si="1"/>
        <v>0</v>
      </c>
      <c r="J10" s="97">
        <f t="shared" si="1"/>
        <v>186500</v>
      </c>
      <c r="K10" s="97">
        <f t="shared" si="1"/>
        <v>0</v>
      </c>
      <c r="L10" s="97">
        <f t="shared" si="1"/>
        <v>186500</v>
      </c>
      <c r="M10" s="97">
        <f t="shared" si="1"/>
        <v>0</v>
      </c>
      <c r="N10" s="97">
        <f t="shared" si="1"/>
        <v>0</v>
      </c>
      <c r="O10" s="97">
        <f t="shared" si="1"/>
        <v>0</v>
      </c>
      <c r="P10" s="97">
        <f t="shared" si="1"/>
        <v>0</v>
      </c>
      <c r="Q10" s="63"/>
    </row>
    <row r="11" spans="1:18" ht="84" customHeight="1" thickBot="1" x14ac:dyDescent="0.35">
      <c r="A11" s="302" t="s">
        <v>33</v>
      </c>
      <c r="B11" s="216" t="s">
        <v>140</v>
      </c>
      <c r="C11" s="94" t="s">
        <v>29</v>
      </c>
      <c r="D11" s="141">
        <f>+E11+F11+G11</f>
        <v>50000</v>
      </c>
      <c r="E11" s="104"/>
      <c r="F11" s="207">
        <v>50000</v>
      </c>
      <c r="G11" s="113"/>
      <c r="H11" s="102"/>
      <c r="I11" s="106"/>
      <c r="J11" s="111">
        <v>44000</v>
      </c>
      <c r="K11" s="113"/>
      <c r="L11" s="138">
        <f>+I11+J11+K11</f>
        <v>44000</v>
      </c>
      <c r="M11" s="106"/>
      <c r="N11" s="40"/>
      <c r="O11" s="58"/>
      <c r="P11" s="60"/>
      <c r="Q11" s="3">
        <v>4</v>
      </c>
      <c r="R11" s="304" t="s">
        <v>34</v>
      </c>
    </row>
    <row r="12" spans="1:18" ht="78" thickBot="1" x14ac:dyDescent="0.35">
      <c r="A12" s="303"/>
      <c r="B12" s="237" t="s">
        <v>35</v>
      </c>
      <c r="C12" s="94" t="s">
        <v>36</v>
      </c>
      <c r="D12" s="141">
        <f>+E12+F12+G12</f>
        <v>30000</v>
      </c>
      <c r="E12" s="104"/>
      <c r="F12" s="108"/>
      <c r="G12" s="113">
        <v>30000</v>
      </c>
      <c r="H12" s="102"/>
      <c r="I12" s="248"/>
      <c r="J12" s="111"/>
      <c r="K12" s="113">
        <v>30000</v>
      </c>
      <c r="L12" s="138">
        <f t="shared" ref="L12:L13" si="2">+I12+J12+K12</f>
        <v>30000</v>
      </c>
      <c r="M12" s="106"/>
      <c r="N12" s="28"/>
      <c r="O12" s="58"/>
      <c r="P12" s="60"/>
      <c r="Q12" s="3">
        <v>4</v>
      </c>
      <c r="R12" s="305"/>
    </row>
    <row r="13" spans="1:18" ht="78" thickBot="1" x14ac:dyDescent="0.35">
      <c r="A13" s="303"/>
      <c r="B13" s="142" t="s">
        <v>37</v>
      </c>
      <c r="C13" s="142" t="s">
        <v>38</v>
      </c>
      <c r="D13" s="141">
        <f>+E13+F13+G13</f>
        <v>39999.96</v>
      </c>
      <c r="E13" s="104">
        <f>39999.96</f>
        <v>39999.96</v>
      </c>
      <c r="F13" s="108"/>
      <c r="G13" s="113"/>
      <c r="H13" s="102"/>
      <c r="I13" s="265">
        <v>41768.28</v>
      </c>
      <c r="J13" s="111"/>
      <c r="K13" s="113"/>
      <c r="L13" s="138">
        <f t="shared" si="2"/>
        <v>41768.28</v>
      </c>
      <c r="M13" s="106"/>
      <c r="N13" s="28"/>
      <c r="O13" s="58"/>
      <c r="P13" s="60"/>
      <c r="Q13" s="3">
        <v>4</v>
      </c>
      <c r="R13" s="305"/>
    </row>
    <row r="14" spans="1:18" ht="28.5" customHeight="1" x14ac:dyDescent="0.3">
      <c r="A14" s="306" t="s">
        <v>39</v>
      </c>
      <c r="B14" s="307"/>
      <c r="C14" s="226"/>
      <c r="D14" s="147">
        <f t="shared" ref="D14:P14" si="3">+SUM(D11:D13)</f>
        <v>119999.95999999999</v>
      </c>
      <c r="E14" s="147">
        <f t="shared" si="3"/>
        <v>39999.96</v>
      </c>
      <c r="F14" s="147">
        <f t="shared" si="3"/>
        <v>50000</v>
      </c>
      <c r="G14" s="147">
        <f t="shared" si="3"/>
        <v>30000</v>
      </c>
      <c r="H14" s="147">
        <f t="shared" si="3"/>
        <v>0</v>
      </c>
      <c r="I14" s="147">
        <f t="shared" si="3"/>
        <v>41768.28</v>
      </c>
      <c r="J14" s="147">
        <f t="shared" si="3"/>
        <v>44000</v>
      </c>
      <c r="K14" s="147">
        <f t="shared" si="3"/>
        <v>30000</v>
      </c>
      <c r="L14" s="147">
        <f t="shared" si="3"/>
        <v>115768.28</v>
      </c>
      <c r="M14" s="147">
        <f t="shared" si="3"/>
        <v>0</v>
      </c>
      <c r="N14" s="147">
        <f t="shared" si="3"/>
        <v>0</v>
      </c>
      <c r="O14" s="147">
        <f t="shared" si="3"/>
        <v>0</v>
      </c>
      <c r="P14" s="147">
        <f t="shared" si="3"/>
        <v>0</v>
      </c>
      <c r="Q14" s="148"/>
    </row>
    <row r="15" spans="1:18" ht="77.5" x14ac:dyDescent="0.3">
      <c r="A15" s="299" t="s">
        <v>40</v>
      </c>
      <c r="B15" s="142" t="s">
        <v>141</v>
      </c>
      <c r="C15" s="94" t="s">
        <v>29</v>
      </c>
      <c r="D15" s="69">
        <f>+E15+F15+G15</f>
        <v>46500</v>
      </c>
      <c r="E15" s="105"/>
      <c r="F15" s="207">
        <v>46500</v>
      </c>
      <c r="G15" s="113"/>
      <c r="H15" s="95"/>
      <c r="I15" s="106"/>
      <c r="J15" s="108">
        <v>46500</v>
      </c>
      <c r="K15" s="113"/>
      <c r="L15" s="149">
        <f>+I15+J15+K15</f>
        <v>46500</v>
      </c>
      <c r="M15" s="106"/>
      <c r="N15" s="150"/>
      <c r="O15" s="68"/>
      <c r="P15" s="150"/>
      <c r="Q15" s="151">
        <v>4</v>
      </c>
      <c r="R15" s="290" t="s">
        <v>41</v>
      </c>
    </row>
    <row r="16" spans="1:18" ht="93" x14ac:dyDescent="0.3">
      <c r="A16" s="299"/>
      <c r="B16" s="142" t="s">
        <v>42</v>
      </c>
      <c r="C16" s="94" t="s">
        <v>29</v>
      </c>
      <c r="D16" s="69">
        <f>+SUM(E16:G16)</f>
        <v>20000</v>
      </c>
      <c r="E16" s="105"/>
      <c r="F16" s="207">
        <v>20000</v>
      </c>
      <c r="G16" s="114"/>
      <c r="H16" s="95"/>
      <c r="I16" s="106"/>
      <c r="J16" s="108">
        <v>20000</v>
      </c>
      <c r="K16" s="113"/>
      <c r="L16" s="149">
        <f t="shared" ref="L16:L17" si="4">+I16+J16+K16</f>
        <v>20000</v>
      </c>
      <c r="M16" s="106"/>
      <c r="N16" s="150"/>
      <c r="O16" s="68"/>
      <c r="P16" s="60"/>
      <c r="Q16" s="151">
        <v>4</v>
      </c>
      <c r="R16" s="290"/>
    </row>
    <row r="17" spans="1:18" ht="62.5" customHeight="1" x14ac:dyDescent="0.3">
      <c r="A17" s="299"/>
      <c r="B17" s="142" t="s">
        <v>144</v>
      </c>
      <c r="C17" s="94" t="s">
        <v>29</v>
      </c>
      <c r="D17" s="69">
        <f>+SUM(E17:G17)</f>
        <v>40000</v>
      </c>
      <c r="E17" s="104"/>
      <c r="F17" s="207">
        <v>40000</v>
      </c>
      <c r="G17" s="114"/>
      <c r="H17" s="95"/>
      <c r="I17" s="106"/>
      <c r="J17" s="108">
        <v>40000</v>
      </c>
      <c r="K17" s="113"/>
      <c r="L17" s="149">
        <f t="shared" si="4"/>
        <v>40000</v>
      </c>
      <c r="M17" s="106"/>
      <c r="N17" s="150"/>
      <c r="O17" s="68"/>
      <c r="P17" s="60"/>
      <c r="Q17" s="151">
        <v>4</v>
      </c>
      <c r="R17" s="290"/>
    </row>
    <row r="18" spans="1:18" ht="18" customHeight="1" x14ac:dyDescent="0.3">
      <c r="A18" s="292" t="s">
        <v>43</v>
      </c>
      <c r="B18" s="292"/>
      <c r="C18" s="221"/>
      <c r="D18" s="152">
        <f>SUM(D15:D17)</f>
        <v>106500</v>
      </c>
      <c r="E18" s="153">
        <f>SUM(E15:E17)</f>
        <v>0</v>
      </c>
      <c r="F18" s="153">
        <f>SUM(F15:F17)</f>
        <v>106500</v>
      </c>
      <c r="G18" s="153">
        <f>SUM(G15:G17)</f>
        <v>0</v>
      </c>
      <c r="H18" s="152"/>
      <c r="I18" s="152">
        <f>+SUM(I15:I17)</f>
        <v>0</v>
      </c>
      <c r="J18" s="152">
        <f>+SUM(J15:J17)</f>
        <v>106500</v>
      </c>
      <c r="K18" s="152">
        <f>+SUM(K15:K17)</f>
        <v>0</v>
      </c>
      <c r="L18" s="154">
        <f>+SUM(L15:L17)</f>
        <v>106500</v>
      </c>
      <c r="M18" s="152">
        <f>SUM(M15:M17)</f>
        <v>0</v>
      </c>
      <c r="N18" s="152">
        <f>SUM(N15:N17)</f>
        <v>0</v>
      </c>
      <c r="O18" s="155"/>
      <c r="P18" s="152">
        <f>SUM(P15:P17)</f>
        <v>0</v>
      </c>
      <c r="Q18" s="151"/>
      <c r="R18" s="156"/>
    </row>
    <row r="19" spans="1:18" ht="19.5" customHeight="1" x14ac:dyDescent="0.3">
      <c r="A19" s="300" t="s">
        <v>44</v>
      </c>
      <c r="B19" s="300"/>
      <c r="C19" s="224"/>
      <c r="D19" s="157">
        <f>D10+D14+D18</f>
        <v>416499.95999999996</v>
      </c>
      <c r="E19" s="158">
        <f>E10+E14+E18</f>
        <v>39999.96</v>
      </c>
      <c r="F19" s="158">
        <f>F10+F14+F18</f>
        <v>346500</v>
      </c>
      <c r="G19" s="158">
        <f>G10+G14+G18</f>
        <v>30000</v>
      </c>
      <c r="H19" s="159"/>
      <c r="I19" s="157">
        <f>+I18+I14+I10</f>
        <v>41768.28</v>
      </c>
      <c r="J19" s="157">
        <f>+J18+J14+J10</f>
        <v>337000</v>
      </c>
      <c r="K19" s="157">
        <f>+K18+K14+K10</f>
        <v>30000</v>
      </c>
      <c r="L19" s="160">
        <f>+L18+L14+L10</f>
        <v>408768.28</v>
      </c>
      <c r="M19" s="157">
        <f>M10+M14+M18</f>
        <v>0</v>
      </c>
      <c r="N19" s="157">
        <f>N10+N14+N18</f>
        <v>0</v>
      </c>
      <c r="O19" s="161"/>
      <c r="P19" s="157">
        <f>P10+P14+P18</f>
        <v>0</v>
      </c>
      <c r="Q19" s="162"/>
      <c r="R19" s="156"/>
    </row>
    <row r="20" spans="1:18" ht="24.75" customHeight="1" x14ac:dyDescent="0.3">
      <c r="A20" s="301" t="s">
        <v>45</v>
      </c>
      <c r="B20" s="301"/>
      <c r="C20" s="301"/>
      <c r="D20" s="301"/>
      <c r="E20" s="301"/>
      <c r="F20" s="301"/>
      <c r="G20" s="301"/>
      <c r="H20" s="301"/>
      <c r="I20" s="301"/>
      <c r="J20" s="301"/>
      <c r="K20" s="301"/>
      <c r="L20" s="301"/>
      <c r="M20" s="301"/>
      <c r="N20" s="301"/>
      <c r="O20" s="301"/>
      <c r="P20" s="301"/>
      <c r="Q20" s="301"/>
      <c r="R20" s="156"/>
    </row>
    <row r="21" spans="1:18" ht="108.5" x14ac:dyDescent="0.3">
      <c r="A21" s="308" t="s">
        <v>46</v>
      </c>
      <c r="B21" s="143" t="s">
        <v>47</v>
      </c>
      <c r="C21" s="94" t="s">
        <v>36</v>
      </c>
      <c r="D21" s="69">
        <f>+SUM(E21:G21)</f>
        <v>35000</v>
      </c>
      <c r="E21" s="104"/>
      <c r="F21" s="110"/>
      <c r="G21" s="116">
        <v>35000</v>
      </c>
      <c r="H21" s="102"/>
      <c r="I21" s="106"/>
      <c r="J21" s="110"/>
      <c r="K21" s="116">
        <v>25500</v>
      </c>
      <c r="L21" s="163">
        <f>+I21+J21+K21</f>
        <v>25500</v>
      </c>
      <c r="M21" s="104"/>
      <c r="N21" s="150"/>
      <c r="O21" s="68"/>
      <c r="P21" s="60"/>
      <c r="Q21" s="151"/>
      <c r="R21" s="290" t="s">
        <v>48</v>
      </c>
    </row>
    <row r="22" spans="1:18" ht="93" x14ac:dyDescent="0.3">
      <c r="A22" s="299"/>
      <c r="B22" s="144" t="s">
        <v>49</v>
      </c>
      <c r="C22" s="142" t="s">
        <v>36</v>
      </c>
      <c r="D22" s="69">
        <f>+SUM(E22:G22)</f>
        <v>15000</v>
      </c>
      <c r="E22" s="104"/>
      <c r="F22" s="110"/>
      <c r="G22" s="116">
        <v>15000</v>
      </c>
      <c r="H22" s="102"/>
      <c r="I22" s="106"/>
      <c r="J22" s="110"/>
      <c r="K22" s="116">
        <v>14850</v>
      </c>
      <c r="L22" s="163">
        <f>+I22+J22+K22</f>
        <v>14850</v>
      </c>
      <c r="M22" s="104"/>
      <c r="N22" s="150"/>
      <c r="O22" s="68"/>
      <c r="P22" s="60"/>
      <c r="Q22" s="151"/>
      <c r="R22" s="290"/>
    </row>
    <row r="23" spans="1:18" ht="40.4" customHeight="1" x14ac:dyDescent="0.3">
      <c r="A23" s="292" t="s">
        <v>50</v>
      </c>
      <c r="B23" s="292"/>
      <c r="C23" s="221"/>
      <c r="D23" s="152">
        <f t="shared" ref="D23:O23" si="5">+SUM(D21:D22)</f>
        <v>50000</v>
      </c>
      <c r="E23" s="152">
        <f t="shared" si="5"/>
        <v>0</v>
      </c>
      <c r="F23" s="152">
        <f t="shared" si="5"/>
        <v>0</v>
      </c>
      <c r="G23" s="152">
        <f t="shared" si="5"/>
        <v>50000</v>
      </c>
      <c r="H23" s="152">
        <f t="shared" si="5"/>
        <v>0</v>
      </c>
      <c r="I23" s="152">
        <f t="shared" si="5"/>
        <v>0</v>
      </c>
      <c r="J23" s="152">
        <f t="shared" si="5"/>
        <v>0</v>
      </c>
      <c r="K23" s="152">
        <f t="shared" si="5"/>
        <v>40350</v>
      </c>
      <c r="L23" s="152">
        <f t="shared" si="5"/>
        <v>40350</v>
      </c>
      <c r="M23" s="152">
        <f t="shared" si="5"/>
        <v>0</v>
      </c>
      <c r="N23" s="152">
        <f t="shared" si="5"/>
        <v>0</v>
      </c>
      <c r="O23" s="152">
        <f t="shared" si="5"/>
        <v>0</v>
      </c>
      <c r="P23" s="152"/>
      <c r="Q23" s="152"/>
      <c r="R23" s="164"/>
    </row>
    <row r="24" spans="1:18" ht="155" x14ac:dyDescent="0.35">
      <c r="A24" s="308" t="s">
        <v>51</v>
      </c>
      <c r="B24" s="143" t="s">
        <v>52</v>
      </c>
      <c r="C24" s="145" t="s">
        <v>36</v>
      </c>
      <c r="D24" s="165">
        <f>+SUM(E24:G24)</f>
        <v>40000</v>
      </c>
      <c r="E24" s="104"/>
      <c r="F24" s="110"/>
      <c r="G24" s="116">
        <v>40000</v>
      </c>
      <c r="H24" s="102"/>
      <c r="I24" s="106"/>
      <c r="J24" s="110"/>
      <c r="K24" s="116">
        <v>30500</v>
      </c>
      <c r="L24" s="137">
        <f>+I24+J24+K24</f>
        <v>30500</v>
      </c>
      <c r="M24" s="106"/>
      <c r="N24" s="150"/>
      <c r="O24" s="68"/>
      <c r="P24" s="60"/>
      <c r="Q24" s="96"/>
      <c r="R24" s="290" t="s">
        <v>53</v>
      </c>
    </row>
    <row r="25" spans="1:18" ht="108.5" x14ac:dyDescent="0.35">
      <c r="A25" s="299"/>
      <c r="B25" s="143" t="s">
        <v>54</v>
      </c>
      <c r="C25" s="145" t="s">
        <v>36</v>
      </c>
      <c r="D25" s="165">
        <f>+SUM(E25:G25)</f>
        <v>35000</v>
      </c>
      <c r="E25" s="104"/>
      <c r="F25" s="110"/>
      <c r="G25" s="116">
        <v>35000</v>
      </c>
      <c r="H25" s="102"/>
      <c r="I25" s="106"/>
      <c r="J25" s="110"/>
      <c r="K25" s="116">
        <v>30000</v>
      </c>
      <c r="L25" s="137">
        <f t="shared" ref="L25:L27" si="6">+I25+J25+K25</f>
        <v>30000</v>
      </c>
      <c r="M25" s="106"/>
      <c r="N25" s="150"/>
      <c r="O25" s="68"/>
      <c r="P25" s="60"/>
      <c r="Q25" s="96"/>
      <c r="R25" s="290"/>
    </row>
    <row r="26" spans="1:18" ht="108.5" x14ac:dyDescent="0.35">
      <c r="A26" s="299"/>
      <c r="B26" s="143" t="s">
        <v>55</v>
      </c>
      <c r="C26" s="145" t="s">
        <v>36</v>
      </c>
      <c r="D26" s="165">
        <f>+SUM(E26:G26)</f>
        <v>45000</v>
      </c>
      <c r="E26" s="104"/>
      <c r="F26" s="110"/>
      <c r="G26" s="116">
        <v>45000</v>
      </c>
      <c r="H26" s="102"/>
      <c r="I26" s="106"/>
      <c r="J26" s="110"/>
      <c r="K26" s="116">
        <v>38000</v>
      </c>
      <c r="L26" s="137">
        <f t="shared" si="6"/>
        <v>38000</v>
      </c>
      <c r="M26" s="106"/>
      <c r="N26" s="150"/>
      <c r="O26" s="68"/>
      <c r="P26" s="150"/>
      <c r="Q26" s="96"/>
      <c r="R26" s="290"/>
    </row>
    <row r="27" spans="1:18" ht="98.5" customHeight="1" x14ac:dyDescent="0.35">
      <c r="A27" s="299"/>
      <c r="B27" s="143" t="s">
        <v>56</v>
      </c>
      <c r="C27" s="145" t="s">
        <v>36</v>
      </c>
      <c r="D27" s="165">
        <f>+SUM(E27:G27)</f>
        <v>40000</v>
      </c>
      <c r="E27" s="104"/>
      <c r="F27" s="110"/>
      <c r="G27" s="116">
        <v>40000</v>
      </c>
      <c r="H27" s="102"/>
      <c r="I27" s="106"/>
      <c r="J27" s="110"/>
      <c r="K27" s="116">
        <v>38000</v>
      </c>
      <c r="L27" s="137">
        <f t="shared" si="6"/>
        <v>38000</v>
      </c>
      <c r="M27" s="106"/>
      <c r="N27" s="150"/>
      <c r="O27" s="68"/>
      <c r="P27" s="150"/>
      <c r="Q27" s="96"/>
      <c r="R27" s="290"/>
    </row>
    <row r="28" spans="1:18" ht="21" customHeight="1" x14ac:dyDescent="0.3">
      <c r="A28" s="292" t="s">
        <v>57</v>
      </c>
      <c r="B28" s="292"/>
      <c r="C28" s="221"/>
      <c r="D28" s="152">
        <f>SUM(D24:D27)</f>
        <v>160000</v>
      </c>
      <c r="E28" s="153">
        <f>SUM(E24:E27)</f>
        <v>0</v>
      </c>
      <c r="F28" s="153">
        <f>SUM(F24:F27)</f>
        <v>0</v>
      </c>
      <c r="G28" s="153">
        <f>SUM(G24:G27)</f>
        <v>160000</v>
      </c>
      <c r="H28" s="152"/>
      <c r="I28" s="153">
        <f>+SUM(I24:I27)</f>
        <v>0</v>
      </c>
      <c r="J28" s="153">
        <f>+SUM(J24:J27)</f>
        <v>0</v>
      </c>
      <c r="K28" s="153">
        <f>+SUM(K24:K27)</f>
        <v>136500</v>
      </c>
      <c r="L28" s="166">
        <f>+SUM(L24:L27)</f>
        <v>136500</v>
      </c>
      <c r="M28" s="152">
        <f>SUM(M24:M27)</f>
        <v>0</v>
      </c>
      <c r="N28" s="152">
        <f>SUM(N24:N27)</f>
        <v>0</v>
      </c>
      <c r="O28" s="155">
        <f>+L28/D28</f>
        <v>0.85312500000000002</v>
      </c>
      <c r="P28" s="152">
        <f>SUM(P24:P27)</f>
        <v>0</v>
      </c>
      <c r="Q28" s="151"/>
      <c r="R28" s="164"/>
    </row>
    <row r="29" spans="1:18" ht="24.75" customHeight="1" x14ac:dyDescent="0.3">
      <c r="A29" s="301" t="s">
        <v>58</v>
      </c>
      <c r="B29" s="301"/>
      <c r="C29" s="301"/>
      <c r="D29" s="301"/>
      <c r="E29" s="301"/>
      <c r="F29" s="301"/>
      <c r="G29" s="301"/>
      <c r="H29" s="301"/>
      <c r="I29" s="301"/>
      <c r="J29" s="301"/>
      <c r="K29" s="301"/>
      <c r="L29" s="301"/>
      <c r="M29" s="301"/>
      <c r="N29" s="301"/>
      <c r="O29" s="301"/>
      <c r="P29" s="301"/>
      <c r="Q29" s="301"/>
      <c r="R29" s="156"/>
    </row>
    <row r="30" spans="1:18" ht="62" x14ac:dyDescent="0.3">
      <c r="A30" s="308" t="s">
        <v>59</v>
      </c>
      <c r="B30" s="143" t="s">
        <v>60</v>
      </c>
      <c r="C30" s="94" t="s">
        <v>38</v>
      </c>
      <c r="D30" s="69">
        <f>+SUM(E30:G30)</f>
        <v>13000</v>
      </c>
      <c r="E30" s="104">
        <v>13000</v>
      </c>
      <c r="F30" s="110"/>
      <c r="G30" s="116"/>
      <c r="H30" s="102"/>
      <c r="I30" s="252">
        <v>13583.22</v>
      </c>
      <c r="J30" s="110"/>
      <c r="K30" s="116"/>
      <c r="L30" s="163">
        <f>+I30+J30+K30</f>
        <v>13583.22</v>
      </c>
      <c r="M30" s="104"/>
      <c r="N30" s="150"/>
      <c r="O30" s="68"/>
      <c r="P30" s="60"/>
      <c r="Q30" s="151"/>
      <c r="R30" s="290" t="s">
        <v>61</v>
      </c>
    </row>
    <row r="31" spans="1:18" ht="62" x14ac:dyDescent="0.3">
      <c r="A31" s="299"/>
      <c r="B31" s="143" t="s">
        <v>62</v>
      </c>
      <c r="C31" s="142" t="s">
        <v>38</v>
      </c>
      <c r="D31" s="69">
        <f>+SUM(E31:G31)</f>
        <v>20000</v>
      </c>
      <c r="E31" s="104">
        <v>20000</v>
      </c>
      <c r="F31" s="110"/>
      <c r="G31" s="116"/>
      <c r="H31" s="102"/>
      <c r="I31" s="252">
        <v>18843.87</v>
      </c>
      <c r="J31" s="110"/>
      <c r="K31" s="116"/>
      <c r="L31" s="163">
        <f t="shared" ref="L31:L32" si="7">+I31+J31+K31</f>
        <v>18843.87</v>
      </c>
      <c r="M31" s="104"/>
      <c r="N31" s="150"/>
      <c r="O31" s="68"/>
      <c r="P31" s="60"/>
      <c r="Q31" s="151"/>
      <c r="R31" s="290"/>
    </row>
    <row r="32" spans="1:18" ht="93" x14ac:dyDescent="0.3">
      <c r="A32" s="299"/>
      <c r="B32" s="143" t="s">
        <v>63</v>
      </c>
      <c r="C32" s="94" t="s">
        <v>38</v>
      </c>
      <c r="D32" s="69">
        <f>+SUM(E32:G32)</f>
        <v>80000</v>
      </c>
      <c r="E32" s="104">
        <v>80000</v>
      </c>
      <c r="F32" s="110"/>
      <c r="G32" s="116"/>
      <c r="H32" s="102"/>
      <c r="I32" s="252">
        <v>84223.54</v>
      </c>
      <c r="J32" s="110"/>
      <c r="K32" s="116"/>
      <c r="L32" s="163">
        <f t="shared" si="7"/>
        <v>84223.54</v>
      </c>
      <c r="M32" s="104"/>
      <c r="N32" s="150"/>
      <c r="O32" s="68"/>
      <c r="P32" s="60"/>
      <c r="Q32" s="151"/>
      <c r="R32" s="290"/>
    </row>
    <row r="33" spans="1:18" ht="40.4" customHeight="1" x14ac:dyDescent="0.3">
      <c r="A33" s="292" t="s">
        <v>50</v>
      </c>
      <c r="B33" s="292"/>
      <c r="C33" s="221"/>
      <c r="D33" s="152">
        <f>SUM(D30:D32)</f>
        <v>113000</v>
      </c>
      <c r="E33" s="152">
        <f>SUM(E30:E32)</f>
        <v>113000</v>
      </c>
      <c r="F33" s="152">
        <f>SUM(F30:F32)</f>
        <v>0</v>
      </c>
      <c r="G33" s="152">
        <f>SUM(G30:G32)</f>
        <v>0</v>
      </c>
      <c r="H33" s="152"/>
      <c r="I33" s="152">
        <f>+SUM(I30:I32)</f>
        <v>116650.62999999999</v>
      </c>
      <c r="J33" s="152">
        <f>+SUM(J30:J32)</f>
        <v>0</v>
      </c>
      <c r="K33" s="152">
        <f>+SUM(K30:K32)</f>
        <v>0</v>
      </c>
      <c r="L33" s="154">
        <f>+SUM(L30:L32)</f>
        <v>116650.62999999999</v>
      </c>
      <c r="M33" s="152">
        <f>SUM(M30:M32)</f>
        <v>0</v>
      </c>
      <c r="N33" s="152">
        <f>SUM(N30:N32)</f>
        <v>0</v>
      </c>
      <c r="O33" s="152">
        <f>+L33/D33</f>
        <v>1.0323064601769911</v>
      </c>
      <c r="P33" s="152">
        <f>SUM(P30:P32)</f>
        <v>0</v>
      </c>
      <c r="Q33" s="152"/>
      <c r="R33" s="164"/>
    </row>
    <row r="34" spans="1:18" ht="77.5" x14ac:dyDescent="0.35">
      <c r="A34" s="308" t="s">
        <v>64</v>
      </c>
      <c r="B34" s="143" t="s">
        <v>65</v>
      </c>
      <c r="C34" s="145" t="s">
        <v>38</v>
      </c>
      <c r="D34" s="165">
        <f>+SUM(E34:G34)</f>
        <v>10000.02</v>
      </c>
      <c r="E34" s="104">
        <v>10000.02</v>
      </c>
      <c r="F34" s="110"/>
      <c r="G34" s="116"/>
      <c r="H34" s="102"/>
      <c r="I34" s="252">
        <v>10713.53</v>
      </c>
      <c r="J34" s="110"/>
      <c r="K34" s="116"/>
      <c r="L34" s="137">
        <f>+I34+J34+K34</f>
        <v>10713.53</v>
      </c>
      <c r="M34" s="106">
        <v>0</v>
      </c>
      <c r="N34" s="150"/>
      <c r="O34" s="68"/>
      <c r="P34" s="60"/>
      <c r="Q34" s="96"/>
      <c r="R34" s="290" t="s">
        <v>66</v>
      </c>
    </row>
    <row r="35" spans="1:18" ht="77.5" x14ac:dyDescent="0.35">
      <c r="A35" s="299"/>
      <c r="B35" s="143" t="s">
        <v>67</v>
      </c>
      <c r="C35" s="145" t="s">
        <v>38</v>
      </c>
      <c r="D35" s="165">
        <f>+SUM(E35:G35)</f>
        <v>9999.99</v>
      </c>
      <c r="E35" s="104">
        <v>9999.99</v>
      </c>
      <c r="F35" s="110"/>
      <c r="G35" s="116"/>
      <c r="H35" s="102"/>
      <c r="I35" s="252">
        <v>10713.52</v>
      </c>
      <c r="J35" s="110"/>
      <c r="K35" s="116"/>
      <c r="L35" s="137">
        <f t="shared" ref="L35:L36" si="8">+I35+J35+K35</f>
        <v>10713.52</v>
      </c>
      <c r="M35" s="106">
        <v>0</v>
      </c>
      <c r="N35" s="150"/>
      <c r="O35" s="68"/>
      <c r="P35" s="60"/>
      <c r="Q35" s="96"/>
      <c r="R35" s="290"/>
    </row>
    <row r="36" spans="1:18" ht="62" x14ac:dyDescent="0.35">
      <c r="A36" s="299"/>
      <c r="B36" s="143" t="s">
        <v>68</v>
      </c>
      <c r="C36" s="145" t="s">
        <v>38</v>
      </c>
      <c r="D36" s="165">
        <f>+SUM(E36:G36)</f>
        <v>140000.04</v>
      </c>
      <c r="E36" s="104">
        <v>140000.04</v>
      </c>
      <c r="F36" s="110"/>
      <c r="G36" s="116"/>
      <c r="H36" s="102"/>
      <c r="I36" s="252">
        <v>86538.44</v>
      </c>
      <c r="J36" s="110"/>
      <c r="K36" s="116"/>
      <c r="L36" s="137">
        <f t="shared" si="8"/>
        <v>86538.44</v>
      </c>
      <c r="M36" s="106">
        <v>56563.24</v>
      </c>
      <c r="N36" s="150"/>
      <c r="O36" s="68"/>
      <c r="P36" s="150"/>
      <c r="Q36" s="96"/>
      <c r="R36" s="290"/>
    </row>
    <row r="37" spans="1:18" ht="21" customHeight="1" x14ac:dyDescent="0.3">
      <c r="A37" s="292" t="s">
        <v>57</v>
      </c>
      <c r="B37" s="292"/>
      <c r="C37" s="221"/>
      <c r="D37" s="152">
        <f>SUM(D34:D36)</f>
        <v>160000.05000000002</v>
      </c>
      <c r="E37" s="153">
        <f>SUM(E34:E36)</f>
        <v>160000.05000000002</v>
      </c>
      <c r="F37" s="153">
        <f>SUM(F34:F36)</f>
        <v>0</v>
      </c>
      <c r="G37" s="153">
        <f>SUM(G34:G36)</f>
        <v>0</v>
      </c>
      <c r="H37" s="152"/>
      <c r="I37" s="153">
        <f>+SUM(I34:I36)</f>
        <v>107965.49</v>
      </c>
      <c r="J37" s="153">
        <f>+SUM(J34:J36)</f>
        <v>0</v>
      </c>
      <c r="K37" s="153">
        <f>+SUM(K34:K36)</f>
        <v>0</v>
      </c>
      <c r="L37" s="166">
        <f>+SUM(L34:L36)</f>
        <v>107965.49</v>
      </c>
      <c r="M37" s="152">
        <f>SUM(M34:M36)</f>
        <v>56563.24</v>
      </c>
      <c r="N37" s="152">
        <f>SUM(N34:N36)</f>
        <v>0</v>
      </c>
      <c r="O37" s="155"/>
      <c r="P37" s="152">
        <f>SUM(P34:P36)</f>
        <v>0</v>
      </c>
      <c r="Q37" s="151"/>
      <c r="R37" s="164"/>
    </row>
    <row r="38" spans="1:18" s="4" customFormat="1" ht="30" customHeight="1" x14ac:dyDescent="0.3">
      <c r="A38" s="300" t="s">
        <v>69</v>
      </c>
      <c r="B38" s="300"/>
      <c r="C38" s="224"/>
      <c r="D38" s="157">
        <f>D23+D28</f>
        <v>210000</v>
      </c>
      <c r="E38" s="157">
        <f>+E37+E33+E28+E23</f>
        <v>273000.05000000005</v>
      </c>
      <c r="F38" s="157">
        <f>F23+F28</f>
        <v>0</v>
      </c>
      <c r="G38" s="157">
        <f>G23+G28+G33+G37</f>
        <v>210000</v>
      </c>
      <c r="H38" s="157"/>
      <c r="I38" s="157">
        <f>I23+I28+I33+I37</f>
        <v>224616.12</v>
      </c>
      <c r="J38" s="157">
        <f>J23+J28+J33+J37</f>
        <v>0</v>
      </c>
      <c r="K38" s="157">
        <f>K23+K28+K33+K37</f>
        <v>176850</v>
      </c>
      <c r="L38" s="160">
        <f>L23+L28+L33+L37</f>
        <v>401466.12</v>
      </c>
      <c r="M38" s="157">
        <f>M23+M28+M33+M37</f>
        <v>56563.24</v>
      </c>
      <c r="N38" s="157">
        <f t="shared" ref="N38" si="9">N23+N28</f>
        <v>0</v>
      </c>
      <c r="O38" s="161"/>
      <c r="P38" s="157">
        <f>P23+P28</f>
        <v>0</v>
      </c>
      <c r="Q38" s="167"/>
      <c r="R38" s="156"/>
    </row>
    <row r="39" spans="1:18" ht="21.75" customHeight="1" x14ac:dyDescent="0.3">
      <c r="A39" s="310" t="s">
        <v>70</v>
      </c>
      <c r="B39" s="310"/>
      <c r="C39" s="225"/>
      <c r="D39" s="168">
        <f>D38+D19</f>
        <v>626499.96</v>
      </c>
      <c r="E39" s="169">
        <f>E38+E19</f>
        <v>313000.01000000007</v>
      </c>
      <c r="F39" s="169">
        <f>F38+F19</f>
        <v>346500</v>
      </c>
      <c r="G39" s="169">
        <f>G38+G19</f>
        <v>240000</v>
      </c>
      <c r="H39" s="168"/>
      <c r="I39" s="168">
        <f t="shared" ref="I39:N39" si="10">I38+I19</f>
        <v>266384.40000000002</v>
      </c>
      <c r="J39" s="168">
        <f t="shared" si="10"/>
        <v>337000</v>
      </c>
      <c r="K39" s="168">
        <f t="shared" si="10"/>
        <v>206850</v>
      </c>
      <c r="L39" s="170">
        <f t="shared" si="10"/>
        <v>810234.4</v>
      </c>
      <c r="M39" s="168">
        <f t="shared" si="10"/>
        <v>56563.24</v>
      </c>
      <c r="N39" s="168">
        <f t="shared" si="10"/>
        <v>0</v>
      </c>
      <c r="O39" s="171"/>
      <c r="P39" s="168">
        <f>P38+P19</f>
        <v>0</v>
      </c>
      <c r="Q39" s="172"/>
      <c r="R39" s="173"/>
    </row>
    <row r="40" spans="1:18" ht="49.5" customHeight="1" x14ac:dyDescent="0.3">
      <c r="A40" s="309" t="s">
        <v>71</v>
      </c>
      <c r="B40" s="174" t="s">
        <v>72</v>
      </c>
      <c r="C40" s="174" t="s">
        <v>38</v>
      </c>
      <c r="D40" s="175">
        <f>+E40+F40+G40</f>
        <v>41400.050000000003</v>
      </c>
      <c r="E40" s="104">
        <v>41400.050000000003</v>
      </c>
      <c r="F40" s="153"/>
      <c r="G40" s="176"/>
      <c r="H40" s="150">
        <v>1</v>
      </c>
      <c r="I40" s="249">
        <v>41214.92</v>
      </c>
      <c r="J40" s="110"/>
      <c r="K40" s="116"/>
      <c r="L40" s="137">
        <f>+I40+J40+K40</f>
        <v>41214.92</v>
      </c>
      <c r="M40" s="252">
        <v>0</v>
      </c>
      <c r="N40" s="150"/>
      <c r="O40" s="177"/>
      <c r="P40" s="60"/>
      <c r="Q40" s="151"/>
      <c r="R40" s="290" t="s">
        <v>73</v>
      </c>
    </row>
    <row r="41" spans="1:18" ht="43.5" customHeight="1" x14ac:dyDescent="0.3">
      <c r="A41" s="309"/>
      <c r="B41" s="178" t="s">
        <v>74</v>
      </c>
      <c r="C41" s="178" t="s">
        <v>38</v>
      </c>
      <c r="D41" s="175">
        <f>+E41+F41+G41</f>
        <v>31600.04</v>
      </c>
      <c r="E41" s="104">
        <f>19800.09+11799.95</f>
        <v>31600.04</v>
      </c>
      <c r="F41" s="153"/>
      <c r="G41" s="176"/>
      <c r="H41" s="150">
        <v>2</v>
      </c>
      <c r="I41" s="250">
        <v>61637.48</v>
      </c>
      <c r="J41" s="110"/>
      <c r="K41" s="116"/>
      <c r="L41" s="137">
        <f t="shared" ref="L41:L43" si="11">+I41+J41+K41</f>
        <v>61637.48</v>
      </c>
      <c r="M41" s="252">
        <v>0</v>
      </c>
      <c r="N41" s="150"/>
      <c r="O41" s="177"/>
      <c r="P41" s="60"/>
      <c r="Q41" s="151"/>
      <c r="R41" s="290"/>
    </row>
    <row r="42" spans="1:18" ht="42" customHeight="1" x14ac:dyDescent="0.3">
      <c r="A42" s="309"/>
      <c r="B42" s="178" t="s">
        <v>75</v>
      </c>
      <c r="C42" s="178" t="s">
        <v>29</v>
      </c>
      <c r="D42" s="175">
        <f>+E42+F42+G42</f>
        <v>40000</v>
      </c>
      <c r="E42" s="179"/>
      <c r="F42" s="210">
        <v>40000</v>
      </c>
      <c r="G42" s="176"/>
      <c r="H42" s="150"/>
      <c r="I42" s="106"/>
      <c r="J42" s="110">
        <v>28850</v>
      </c>
      <c r="K42" s="116"/>
      <c r="L42" s="137">
        <f t="shared" si="11"/>
        <v>28850</v>
      </c>
      <c r="M42" s="106"/>
      <c r="N42" s="150"/>
      <c r="O42" s="177"/>
      <c r="P42" s="150"/>
      <c r="Q42" s="151">
        <v>4</v>
      </c>
      <c r="R42" s="290"/>
    </row>
    <row r="43" spans="1:18" ht="42" customHeight="1" x14ac:dyDescent="0.3">
      <c r="A43" s="309"/>
      <c r="B43" s="178" t="s">
        <v>76</v>
      </c>
      <c r="C43" s="178" t="s">
        <v>36</v>
      </c>
      <c r="D43" s="175">
        <f>+E43+F43+G43</f>
        <v>40000</v>
      </c>
      <c r="E43" s="179"/>
      <c r="F43" s="153"/>
      <c r="G43" s="176">
        <v>40000</v>
      </c>
      <c r="H43" s="150"/>
      <c r="I43" s="106"/>
      <c r="J43" s="110"/>
      <c r="K43" s="116">
        <v>38000</v>
      </c>
      <c r="L43" s="137">
        <f t="shared" si="11"/>
        <v>38000</v>
      </c>
      <c r="M43" s="106"/>
      <c r="N43" s="150"/>
      <c r="O43" s="177"/>
      <c r="P43" s="60"/>
      <c r="Q43" s="151"/>
      <c r="R43" s="290"/>
    </row>
    <row r="44" spans="1:18" ht="30" customHeight="1" x14ac:dyDescent="0.3">
      <c r="A44" s="291" t="s">
        <v>77</v>
      </c>
      <c r="B44" s="291"/>
      <c r="C44" s="223"/>
      <c r="D44" s="152">
        <f>SUM(D40:D43)</f>
        <v>153000.09</v>
      </c>
      <c r="E44" s="153">
        <f>SUM(E40:E43)</f>
        <v>73000.09</v>
      </c>
      <c r="F44" s="153">
        <f>SUM(F40:F43)</f>
        <v>40000</v>
      </c>
      <c r="G44" s="153">
        <f>SUM(G40:G43)</f>
        <v>40000</v>
      </c>
      <c r="H44" s="152">
        <f>SUM(H40:H43)</f>
        <v>3</v>
      </c>
      <c r="I44" s="152">
        <f>+SUM(I40:I43)</f>
        <v>102852.4</v>
      </c>
      <c r="J44" s="152">
        <f>+SUM(J40:J43)</f>
        <v>28850</v>
      </c>
      <c r="K44" s="152">
        <f>+SUM(K40:K43)</f>
        <v>38000</v>
      </c>
      <c r="L44" s="154">
        <f>+SUM(L40:L43)</f>
        <v>169702.39999999999</v>
      </c>
      <c r="M44" s="152">
        <f>SUM(M40:M43)</f>
        <v>0</v>
      </c>
      <c r="N44" s="152">
        <f>SUM(N40:N43)</f>
        <v>0</v>
      </c>
      <c r="O44" s="155"/>
      <c r="P44" s="152">
        <f>SUM(P40:P43)</f>
        <v>0</v>
      </c>
      <c r="Q44" s="180"/>
      <c r="R44" s="290"/>
    </row>
    <row r="45" spans="1:18" ht="26" x14ac:dyDescent="0.3">
      <c r="A45" s="222" t="s">
        <v>78</v>
      </c>
      <c r="B45" s="181" t="s">
        <v>145</v>
      </c>
      <c r="C45" s="181" t="s">
        <v>29</v>
      </c>
      <c r="D45" s="69">
        <f>+SUM(E45:G45)</f>
        <v>135000.03</v>
      </c>
      <c r="E45" s="179">
        <f>39999.94+35000.09</f>
        <v>75000.03</v>
      </c>
      <c r="F45" s="210">
        <v>30000</v>
      </c>
      <c r="G45" s="176">
        <v>30000</v>
      </c>
      <c r="H45" s="150">
        <v>7</v>
      </c>
      <c r="I45" s="251">
        <v>35306.22</v>
      </c>
      <c r="J45" s="182">
        <v>18500</v>
      </c>
      <c r="K45" s="183">
        <v>15000</v>
      </c>
      <c r="L45" s="163">
        <f>+I45+J45+K45</f>
        <v>68806.22</v>
      </c>
      <c r="M45" s="106">
        <v>0</v>
      </c>
      <c r="N45" s="150"/>
      <c r="O45" s="177"/>
      <c r="P45" s="150"/>
      <c r="Q45" s="151">
        <v>5</v>
      </c>
      <c r="R45" s="290" t="s">
        <v>79</v>
      </c>
    </row>
    <row r="46" spans="1:18" ht="18.75" customHeight="1" x14ac:dyDescent="0.3">
      <c r="A46" s="291" t="s">
        <v>80</v>
      </c>
      <c r="B46" s="291"/>
      <c r="C46" s="223"/>
      <c r="D46" s="152"/>
      <c r="E46" s="153">
        <f>SUM(E45)</f>
        <v>75000.03</v>
      </c>
      <c r="F46" s="153">
        <f>+SUM(F45)</f>
        <v>30000</v>
      </c>
      <c r="G46" s="153">
        <f>+SUM(G45)</f>
        <v>30000</v>
      </c>
      <c r="H46" s="152"/>
      <c r="I46" s="152">
        <f>SUM(I45)</f>
        <v>35306.22</v>
      </c>
      <c r="J46" s="152">
        <f>+J45</f>
        <v>18500</v>
      </c>
      <c r="K46" s="152">
        <f>+K45</f>
        <v>15000</v>
      </c>
      <c r="L46" s="154">
        <f>+L45</f>
        <v>68806.22</v>
      </c>
      <c r="M46" s="152">
        <f>+M45</f>
        <v>0</v>
      </c>
      <c r="N46" s="152"/>
      <c r="O46" s="155"/>
      <c r="P46" s="152"/>
      <c r="Q46" s="180"/>
      <c r="R46" s="290"/>
    </row>
    <row r="47" spans="1:18" ht="20.5" customHeight="1" x14ac:dyDescent="0.3">
      <c r="A47" s="272" t="s">
        <v>81</v>
      </c>
      <c r="B47" s="184" t="s">
        <v>82</v>
      </c>
      <c r="C47" s="184" t="s">
        <v>29</v>
      </c>
      <c r="D47" s="185">
        <f>+SUM(E47:G47)</f>
        <v>23810.35</v>
      </c>
      <c r="E47" s="104">
        <v>11810.35</v>
      </c>
      <c r="F47" s="210">
        <v>6000</v>
      </c>
      <c r="G47" s="176">
        <v>6000</v>
      </c>
      <c r="H47" s="150">
        <v>4</v>
      </c>
      <c r="I47" s="251">
        <v>8435.89</v>
      </c>
      <c r="J47" s="182">
        <v>6000</v>
      </c>
      <c r="K47" s="183">
        <v>4500</v>
      </c>
      <c r="L47" s="163">
        <f>+I47+J47+K47</f>
        <v>18935.89</v>
      </c>
      <c r="M47" s="106"/>
      <c r="N47" s="150"/>
      <c r="O47" s="68"/>
      <c r="P47" s="150"/>
      <c r="Q47" s="186">
        <v>2</v>
      </c>
      <c r="R47" s="290" t="s">
        <v>83</v>
      </c>
    </row>
    <row r="48" spans="1:18" ht="69.650000000000006" customHeight="1" x14ac:dyDescent="0.3">
      <c r="A48" s="272"/>
      <c r="B48" s="178" t="s">
        <v>84</v>
      </c>
      <c r="C48" s="178" t="s">
        <v>29</v>
      </c>
      <c r="D48" s="185">
        <f>+SUM(E48:G48)</f>
        <v>68189.52</v>
      </c>
      <c r="E48" s="104">
        <v>28189.52</v>
      </c>
      <c r="F48" s="210">
        <v>20000</v>
      </c>
      <c r="G48" s="176">
        <v>20000</v>
      </c>
      <c r="H48" s="150">
        <v>6</v>
      </c>
      <c r="I48" s="251">
        <f>7542.06+7826.79</f>
        <v>15368.85</v>
      </c>
      <c r="J48" s="182">
        <v>20000</v>
      </c>
      <c r="K48" s="183">
        <v>18000</v>
      </c>
      <c r="L48" s="163">
        <f t="shared" ref="L48:L49" si="12">+I48+J48+K48</f>
        <v>53368.85</v>
      </c>
      <c r="M48" s="106">
        <v>0</v>
      </c>
      <c r="N48" s="150"/>
      <c r="O48" s="68"/>
      <c r="P48" s="150"/>
      <c r="Q48" s="186">
        <v>7</v>
      </c>
      <c r="R48" s="290"/>
    </row>
    <row r="49" spans="1:20" ht="26" x14ac:dyDescent="0.3">
      <c r="A49" s="272"/>
      <c r="B49" s="178" t="s">
        <v>85</v>
      </c>
      <c r="C49" s="184" t="s">
        <v>29</v>
      </c>
      <c r="D49" s="185">
        <f>+SUM(E49:G49)</f>
        <v>55000</v>
      </c>
      <c r="E49" s="104">
        <v>25000</v>
      </c>
      <c r="F49" s="210">
        <v>15000</v>
      </c>
      <c r="G49" s="176">
        <v>15000</v>
      </c>
      <c r="H49" s="150">
        <v>5</v>
      </c>
      <c r="I49" s="251">
        <f>9223.87+2579.23+10220.82</f>
        <v>22023.919999999998</v>
      </c>
      <c r="J49" s="182">
        <v>15000</v>
      </c>
      <c r="K49" s="183">
        <v>14285.51</v>
      </c>
      <c r="L49" s="163">
        <f t="shared" si="12"/>
        <v>51309.43</v>
      </c>
      <c r="M49" s="106">
        <v>0</v>
      </c>
      <c r="N49" s="150"/>
      <c r="O49" s="68"/>
      <c r="P49" s="150"/>
      <c r="Q49" s="186">
        <v>3</v>
      </c>
      <c r="R49" s="290"/>
    </row>
    <row r="50" spans="1:20" ht="19.5" customHeight="1" x14ac:dyDescent="0.3">
      <c r="A50" s="291" t="s">
        <v>86</v>
      </c>
      <c r="B50" s="291"/>
      <c r="C50" s="223"/>
      <c r="D50" s="187">
        <f>SUM(D47:D49)</f>
        <v>146999.87</v>
      </c>
      <c r="E50" s="182">
        <f>SUM(E47:E49)</f>
        <v>64999.87</v>
      </c>
      <c r="F50" s="182">
        <f>SUM(F47:F49)</f>
        <v>41000</v>
      </c>
      <c r="G50" s="182">
        <f>SUM(G47:G49)</f>
        <v>41000</v>
      </c>
      <c r="H50" s="187">
        <f>SUM(H47:H49)</f>
        <v>15</v>
      </c>
      <c r="I50" s="187">
        <f>+SUM(I47:I49)</f>
        <v>45828.659999999996</v>
      </c>
      <c r="J50" s="187">
        <f>+SUM(J47:J49)</f>
        <v>41000</v>
      </c>
      <c r="K50" s="187">
        <f>+SUM(K47:K49)</f>
        <v>36785.51</v>
      </c>
      <c r="L50" s="188">
        <f>+SUM(L47:L49)</f>
        <v>123614.16999999998</v>
      </c>
      <c r="M50" s="187">
        <f>SUM(M47:M49)</f>
        <v>0</v>
      </c>
      <c r="N50" s="187">
        <f>SUM(N47:N49)</f>
        <v>0</v>
      </c>
      <c r="O50" s="155"/>
      <c r="P50" s="187">
        <f>SUM(P47:P49)</f>
        <v>0</v>
      </c>
      <c r="Q50" s="180"/>
      <c r="R50" s="290"/>
    </row>
    <row r="51" spans="1:20" ht="21.75" customHeight="1" x14ac:dyDescent="0.3">
      <c r="A51" s="271" t="s">
        <v>87</v>
      </c>
      <c r="B51" s="271"/>
      <c r="C51" s="229"/>
      <c r="D51" s="168">
        <f>+E51+F51+G51</f>
        <v>1334500</v>
      </c>
      <c r="E51" s="168">
        <f>E39+E44+E46+E50</f>
        <v>526000.00000000012</v>
      </c>
      <c r="F51" s="168">
        <f>F39+F44+F46+F50</f>
        <v>457500</v>
      </c>
      <c r="G51" s="168">
        <f>G39+G44+G46+G50</f>
        <v>351000</v>
      </c>
      <c r="H51" s="168"/>
      <c r="I51" s="168">
        <f t="shared" ref="I51:N51" si="13">I39+I44+I46+I50</f>
        <v>450371.68</v>
      </c>
      <c r="J51" s="168">
        <f t="shared" si="13"/>
        <v>425350</v>
      </c>
      <c r="K51" s="168">
        <f t="shared" si="13"/>
        <v>296635.51</v>
      </c>
      <c r="L51" s="170">
        <f t="shared" si="13"/>
        <v>1172357.19</v>
      </c>
      <c r="M51" s="168">
        <f t="shared" si="13"/>
        <v>56563.24</v>
      </c>
      <c r="N51" s="168">
        <f t="shared" si="13"/>
        <v>0</v>
      </c>
      <c r="O51" s="171"/>
      <c r="P51" s="168">
        <f>P39+P44+P46+P50</f>
        <v>0</v>
      </c>
      <c r="Q51" s="189"/>
      <c r="R51" s="156"/>
    </row>
    <row r="52" spans="1:20" ht="22.5" customHeight="1" x14ac:dyDescent="0.3">
      <c r="A52" s="272" t="s">
        <v>88</v>
      </c>
      <c r="B52" s="272"/>
      <c r="C52" s="227" t="s">
        <v>29</v>
      </c>
      <c r="D52" s="190">
        <f>+D51*0.07</f>
        <v>93415.000000000015</v>
      </c>
      <c r="E52" s="104">
        <f>+E51*7%</f>
        <v>36820.000000000015</v>
      </c>
      <c r="F52" s="210">
        <v>32025</v>
      </c>
      <c r="G52" s="210">
        <v>24570</v>
      </c>
      <c r="H52" s="60">
        <v>8</v>
      </c>
      <c r="I52" s="104">
        <v>25444.25</v>
      </c>
      <c r="J52" s="109">
        <f>+F52</f>
        <v>32025</v>
      </c>
      <c r="K52" s="117">
        <f>+K51*7%</f>
        <v>20764.485700000001</v>
      </c>
      <c r="L52" s="191">
        <f>+I52+J52+K52</f>
        <v>78233.735700000005</v>
      </c>
      <c r="M52" s="104">
        <v>0</v>
      </c>
      <c r="N52" s="60"/>
      <c r="O52" s="68"/>
      <c r="P52" s="60"/>
      <c r="Q52" s="178">
        <v>8</v>
      </c>
      <c r="R52" s="156"/>
    </row>
    <row r="53" spans="1:20" ht="40.5" customHeight="1" x14ac:dyDescent="0.3">
      <c r="A53" s="273" t="s">
        <v>89</v>
      </c>
      <c r="B53" s="273"/>
      <c r="C53" s="230"/>
      <c r="D53" s="192">
        <f>+D52+D51</f>
        <v>1427915</v>
      </c>
      <c r="E53" s="193">
        <f>+E51+E52</f>
        <v>562820.00000000012</v>
      </c>
      <c r="F53" s="193">
        <f>+F52+F51</f>
        <v>489525</v>
      </c>
      <c r="G53" s="193">
        <f>+G52+G51</f>
        <v>375570</v>
      </c>
      <c r="H53" s="192"/>
      <c r="I53" s="192">
        <f>+I51+I52</f>
        <v>475815.93</v>
      </c>
      <c r="J53" s="192">
        <f>+J52+J51</f>
        <v>457375</v>
      </c>
      <c r="K53" s="192">
        <f>+K51+K52</f>
        <v>317399.99570000003</v>
      </c>
      <c r="L53" s="194">
        <f>+L51+L52</f>
        <v>1250590.9257</v>
      </c>
      <c r="M53" s="192">
        <f>+M51+M52</f>
        <v>56563.24</v>
      </c>
      <c r="N53" s="192"/>
      <c r="O53" s="195"/>
      <c r="P53" s="192">
        <f>+P52+P51</f>
        <v>0</v>
      </c>
      <c r="Q53" s="196"/>
      <c r="R53" s="156"/>
    </row>
    <row r="54" spans="1:20" ht="27.5" customHeight="1" x14ac:dyDescent="0.3">
      <c r="A54" s="156"/>
      <c r="B54" s="156"/>
      <c r="C54" s="156"/>
      <c r="D54" s="197" t="s">
        <v>90</v>
      </c>
      <c r="E54" s="198" t="s">
        <v>91</v>
      </c>
      <c r="F54" s="198" t="s">
        <v>29</v>
      </c>
      <c r="G54" s="198" t="s">
        <v>36</v>
      </c>
      <c r="H54" s="199"/>
      <c r="I54" s="198"/>
      <c r="J54" s="198"/>
      <c r="K54" s="198" t="s">
        <v>92</v>
      </c>
      <c r="L54" s="198"/>
      <c r="M54" s="198" t="s">
        <v>93</v>
      </c>
      <c r="N54" s="198" t="s">
        <v>14</v>
      </c>
      <c r="O54" s="198"/>
      <c r="P54" s="200"/>
      <c r="Q54" s="156"/>
      <c r="R54" s="201"/>
    </row>
    <row r="55" spans="1:20" ht="19.5" customHeight="1" x14ac:dyDescent="0.3">
      <c r="A55" s="156"/>
      <c r="B55" s="156"/>
      <c r="C55" s="156"/>
      <c r="D55" s="202"/>
      <c r="E55" s="203"/>
      <c r="F55" s="203"/>
      <c r="G55" s="203"/>
      <c r="H55" s="203"/>
      <c r="I55" s="236" t="s">
        <v>38</v>
      </c>
      <c r="J55" s="236" t="s">
        <v>29</v>
      </c>
      <c r="K55" s="236" t="s">
        <v>36</v>
      </c>
      <c r="L55" s="236"/>
      <c r="M55" s="156"/>
      <c r="N55" s="156"/>
      <c r="O55" s="204"/>
      <c r="P55" s="205"/>
      <c r="Q55" s="156"/>
      <c r="R55" s="156"/>
      <c r="T55" s="43"/>
    </row>
    <row r="56" spans="1:20" ht="13.5" thickBot="1" x14ac:dyDescent="0.35">
      <c r="H56" s="42"/>
      <c r="I56" s="77"/>
      <c r="J56" s="77"/>
      <c r="K56" s="235"/>
      <c r="L56" s="234"/>
      <c r="M56" s="43"/>
      <c r="N56" s="43"/>
    </row>
    <row r="57" spans="1:20" ht="15" customHeight="1" thickBot="1" x14ac:dyDescent="0.35">
      <c r="B57" s="278" t="s">
        <v>94</v>
      </c>
      <c r="C57" s="279"/>
      <c r="D57" s="279"/>
      <c r="E57" s="279"/>
      <c r="F57" s="280"/>
      <c r="G57" s="279"/>
      <c r="H57" s="279"/>
      <c r="I57" s="279"/>
      <c r="J57" s="279"/>
      <c r="K57" s="279"/>
      <c r="L57" s="279"/>
      <c r="M57" s="279"/>
      <c r="N57" s="279"/>
      <c r="O57" s="279"/>
      <c r="P57" s="281"/>
    </row>
    <row r="58" spans="1:20" ht="41.5" customHeight="1" thickBot="1" x14ac:dyDescent="0.35">
      <c r="B58" s="231" t="s">
        <v>95</v>
      </c>
      <c r="C58" s="140"/>
      <c r="D58" s="50" t="s">
        <v>96</v>
      </c>
      <c r="E58" s="46" t="s">
        <v>97</v>
      </c>
      <c r="F58" s="212"/>
      <c r="G58" s="46"/>
      <c r="H58" s="49" t="s">
        <v>146</v>
      </c>
      <c r="I58" s="233" t="s">
        <v>147</v>
      </c>
      <c r="J58" s="247" t="s">
        <v>148</v>
      </c>
      <c r="K58" s="78" t="s">
        <v>98</v>
      </c>
      <c r="L58" s="78"/>
      <c r="M58" s="44" t="s">
        <v>99</v>
      </c>
      <c r="N58" s="53" t="s">
        <v>100</v>
      </c>
      <c r="O58" s="274" t="s">
        <v>101</v>
      </c>
      <c r="P58" s="275"/>
      <c r="S58" s="41"/>
    </row>
    <row r="59" spans="1:20" ht="30" customHeight="1" thickBot="1" x14ac:dyDescent="0.35">
      <c r="B59" s="45" t="s">
        <v>38</v>
      </c>
      <c r="C59" s="45">
        <v>562820</v>
      </c>
      <c r="D59" s="51">
        <f>E53</f>
        <v>562820.00000000012</v>
      </c>
      <c r="E59" s="52">
        <f>+I53</f>
        <v>475815.93</v>
      </c>
      <c r="F59" s="213"/>
      <c r="G59" s="52"/>
      <c r="H59" s="61">
        <f>E59</f>
        <v>475815.93</v>
      </c>
      <c r="I59" s="131">
        <f>M53</f>
        <v>56563.24</v>
      </c>
      <c r="J59" s="61">
        <f>H59+I59</f>
        <v>532379.17000000004</v>
      </c>
      <c r="K59" s="132">
        <v>0</v>
      </c>
      <c r="L59" s="62"/>
      <c r="M59" s="55">
        <f>D59-J59</f>
        <v>30440.830000000075</v>
      </c>
      <c r="N59" s="54">
        <f>(H59+I59)/D59</f>
        <v>0.94591373796240352</v>
      </c>
      <c r="O59" s="276" t="s">
        <v>102</v>
      </c>
      <c r="P59" s="277"/>
    </row>
    <row r="60" spans="1:20" ht="18.649999999999999" customHeight="1" thickBot="1" x14ac:dyDescent="0.35">
      <c r="B60" s="45" t="s">
        <v>29</v>
      </c>
      <c r="C60" s="269">
        <v>489525</v>
      </c>
      <c r="D60" s="268">
        <f>+F53</f>
        <v>489525</v>
      </c>
      <c r="E60" s="52">
        <f>+J53</f>
        <v>457375</v>
      </c>
      <c r="F60" s="213"/>
      <c r="G60" s="52"/>
      <c r="H60" s="61">
        <f>E60</f>
        <v>457375</v>
      </c>
      <c r="I60" s="131"/>
      <c r="J60" s="61">
        <f t="shared" ref="J60:J61" si="14">H60+I60</f>
        <v>457375</v>
      </c>
      <c r="K60" s="132"/>
      <c r="L60" s="62"/>
      <c r="M60" s="55">
        <f>D60-H60</f>
        <v>32150</v>
      </c>
      <c r="N60" s="54">
        <f t="shared" ref="N60:N61" si="15">+H60/D60</f>
        <v>0.93432408967877023</v>
      </c>
      <c r="O60" s="284"/>
      <c r="P60" s="285"/>
    </row>
    <row r="61" spans="1:20" ht="18.649999999999999" customHeight="1" thickBot="1" x14ac:dyDescent="0.35">
      <c r="B61" s="45" t="s">
        <v>36</v>
      </c>
      <c r="C61" s="269">
        <v>375570</v>
      </c>
      <c r="D61" s="268">
        <f>+G53</f>
        <v>375570</v>
      </c>
      <c r="E61" s="52">
        <f>+K53</f>
        <v>317399.99570000003</v>
      </c>
      <c r="F61" s="213"/>
      <c r="G61" s="52"/>
      <c r="H61" s="61">
        <f>+K53</f>
        <v>317399.99570000003</v>
      </c>
      <c r="I61" s="131"/>
      <c r="J61" s="61">
        <f t="shared" si="14"/>
        <v>317399.99570000003</v>
      </c>
      <c r="K61" s="133"/>
      <c r="L61" s="62"/>
      <c r="M61" s="55">
        <f>D61-H61</f>
        <v>58170.004299999971</v>
      </c>
      <c r="N61" s="54">
        <f t="shared" si="15"/>
        <v>0.84511541310541316</v>
      </c>
      <c r="O61" s="284"/>
      <c r="P61" s="285"/>
    </row>
    <row r="62" spans="1:20" ht="21" customHeight="1" thickBot="1" x14ac:dyDescent="0.35">
      <c r="B62" s="120" t="s">
        <v>103</v>
      </c>
      <c r="C62" s="270">
        <f>+C59+C60+C61</f>
        <v>1427915</v>
      </c>
      <c r="D62" s="128">
        <f>+D61+D60+D59</f>
        <v>1427915</v>
      </c>
      <c r="E62" s="128">
        <f>+E61+E60+E59</f>
        <v>1250590.9257</v>
      </c>
      <c r="F62" s="214"/>
      <c r="G62" s="122"/>
      <c r="H62" s="243">
        <f>+H61+H60+H59</f>
        <v>1250590.9257</v>
      </c>
      <c r="I62" s="243">
        <f t="shared" ref="I62" si="16">+I61+I60+I59</f>
        <v>56563.24</v>
      </c>
      <c r="J62" s="243">
        <f>J59+J60+J61</f>
        <v>1307154.1657</v>
      </c>
      <c r="K62" s="122"/>
      <c r="L62" s="122"/>
      <c r="M62" s="244">
        <f>D62-E62-I62</f>
        <v>120760.83429999999</v>
      </c>
      <c r="N62" s="331">
        <f>(H62+I62)/D62</f>
        <v>0.91542855541121149</v>
      </c>
      <c r="O62" s="286"/>
      <c r="P62" s="287"/>
    </row>
    <row r="63" spans="1:20" ht="15" customHeight="1" thickBot="1" x14ac:dyDescent="0.35">
      <c r="B63" s="121" t="s">
        <v>104</v>
      </c>
      <c r="C63" s="121"/>
      <c r="D63" s="129"/>
      <c r="E63" s="129"/>
      <c r="F63" s="215"/>
      <c r="G63" s="130"/>
      <c r="H63" s="129"/>
      <c r="I63" s="130"/>
      <c r="J63" s="130"/>
      <c r="K63" s="130"/>
      <c r="L63" s="130"/>
      <c r="M63" s="130"/>
      <c r="N63" s="228"/>
      <c r="O63" s="288"/>
      <c r="P63" s="289"/>
    </row>
    <row r="64" spans="1:20" ht="18.5" x14ac:dyDescent="0.45">
      <c r="B64" s="6"/>
      <c r="C64" s="6"/>
      <c r="E64" s="41"/>
    </row>
    <row r="65" spans="2:17" ht="14.5" x14ac:dyDescent="0.35">
      <c r="B65"/>
      <c r="C65"/>
      <c r="D65" s="269"/>
      <c r="E65" s="41"/>
      <c r="F65" s="282"/>
      <c r="G65" s="283"/>
      <c r="H65" s="283"/>
      <c r="I65" s="283"/>
      <c r="J65" s="283"/>
      <c r="K65" s="283"/>
      <c r="L65" s="283"/>
      <c r="M65" s="283"/>
      <c r="N65" s="283"/>
      <c r="O65" s="283"/>
      <c r="P65" s="283"/>
      <c r="Q65" s="283"/>
    </row>
    <row r="66" spans="2:17" x14ac:dyDescent="0.3">
      <c r="C66" s="41"/>
      <c r="H66" s="263"/>
      <c r="I66" s="41"/>
      <c r="J66" s="41"/>
      <c r="K66" s="217"/>
      <c r="L66" s="261"/>
    </row>
    <row r="67" spans="2:17" x14ac:dyDescent="0.3">
      <c r="H67" s="263"/>
    </row>
    <row r="68" spans="2:17" x14ac:dyDescent="0.3">
      <c r="G68" s="41"/>
      <c r="H68" s="263"/>
    </row>
    <row r="69" spans="2:17" x14ac:dyDescent="0.3">
      <c r="H69" s="264"/>
      <c r="I69" s="262"/>
    </row>
  </sheetData>
  <autoFilter ref="A3:R55" xr:uid="{00000000-0009-0000-0000-000000000000}"/>
  <mergeCells count="47">
    <mergeCell ref="B1:Q1"/>
    <mergeCell ref="R21:R22"/>
    <mergeCell ref="R15:R17"/>
    <mergeCell ref="R6:R9"/>
    <mergeCell ref="A10:B10"/>
    <mergeCell ref="A21:A22"/>
    <mergeCell ref="A24:A27"/>
    <mergeCell ref="A30:A32"/>
    <mergeCell ref="A40:A43"/>
    <mergeCell ref="R40:R44"/>
    <mergeCell ref="A44:B44"/>
    <mergeCell ref="R24:R27"/>
    <mergeCell ref="A28:B28"/>
    <mergeCell ref="A38:B38"/>
    <mergeCell ref="A39:B39"/>
    <mergeCell ref="R30:R32"/>
    <mergeCell ref="A33:B33"/>
    <mergeCell ref="A34:A36"/>
    <mergeCell ref="R34:R36"/>
    <mergeCell ref="A37:B37"/>
    <mergeCell ref="A47:A49"/>
    <mergeCell ref="R47:R50"/>
    <mergeCell ref="A50:B50"/>
    <mergeCell ref="A18:B18"/>
    <mergeCell ref="A5:Q5"/>
    <mergeCell ref="A6:A9"/>
    <mergeCell ref="A15:A17"/>
    <mergeCell ref="A23:B23"/>
    <mergeCell ref="A19:B19"/>
    <mergeCell ref="A20:Q20"/>
    <mergeCell ref="A11:A13"/>
    <mergeCell ref="R11:R13"/>
    <mergeCell ref="A14:B14"/>
    <mergeCell ref="A29:Q29"/>
    <mergeCell ref="R45:R46"/>
    <mergeCell ref="A46:B46"/>
    <mergeCell ref="F65:Q65"/>
    <mergeCell ref="O61:P61"/>
    <mergeCell ref="O62:P62"/>
    <mergeCell ref="O63:P63"/>
    <mergeCell ref="O60:P60"/>
    <mergeCell ref="A51:B51"/>
    <mergeCell ref="A52:B52"/>
    <mergeCell ref="A53:B53"/>
    <mergeCell ref="O58:P58"/>
    <mergeCell ref="O59:P59"/>
    <mergeCell ref="B57:P57"/>
  </mergeCells>
  <dataValidations count="1">
    <dataValidation allowBlank="1" showInputMessage="1" showErrorMessage="1" prompt="Insert *text* description of Activity here" sqref="B21 B24 B30 B34" xr:uid="{00000000-0002-0000-0000-000000000000}"/>
  </dataValidations>
  <pageMargins left="0.25" right="0.25" top="0.75" bottom="0.75" header="0.3" footer="0.3"/>
  <pageSetup paperSize="9" scale="93" orientation="landscape"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8"/>
  <sheetViews>
    <sheetView view="pageBreakPreview" topLeftCell="A21" zoomScaleNormal="100" zoomScaleSheetLayoutView="100" workbookViewId="0">
      <selection activeCell="D38" sqref="D38"/>
    </sheetView>
  </sheetViews>
  <sheetFormatPr baseColWidth="10" defaultColWidth="9.1796875" defaultRowHeight="14.5" x14ac:dyDescent="0.35"/>
  <cols>
    <col min="1" max="1" width="33.81640625" customWidth="1"/>
    <col min="2" max="2" width="17.1796875" customWidth="1"/>
    <col min="3" max="3" width="16.1796875" customWidth="1"/>
    <col min="4" max="4" width="16.81640625" customWidth="1"/>
    <col min="5" max="5" width="16.1796875" customWidth="1"/>
    <col min="6" max="6" width="14.453125" customWidth="1"/>
    <col min="7" max="7" width="16.81640625" customWidth="1"/>
    <col min="8" max="8" width="15.81640625" customWidth="1"/>
    <col min="9" max="9" width="12.453125" customWidth="1"/>
    <col min="10" max="10" width="12" bestFit="1" customWidth="1"/>
  </cols>
  <sheetData>
    <row r="1" spans="1:10" ht="15.5" x14ac:dyDescent="0.35">
      <c r="A1" s="8" t="s">
        <v>105</v>
      </c>
      <c r="B1" s="8"/>
      <c r="C1" s="8"/>
      <c r="D1" s="8"/>
    </row>
    <row r="2" spans="1:10" x14ac:dyDescent="0.35">
      <c r="A2" s="9"/>
      <c r="B2" s="9"/>
      <c r="C2" s="9"/>
      <c r="D2" s="9"/>
    </row>
    <row r="3" spans="1:10" x14ac:dyDescent="0.35">
      <c r="A3" s="9" t="s">
        <v>106</v>
      </c>
      <c r="B3" s="9"/>
      <c r="C3" s="9"/>
      <c r="D3" s="9"/>
    </row>
    <row r="4" spans="1:10" ht="14.15" customHeight="1" thickBot="1" x14ac:dyDescent="0.4"/>
    <row r="5" spans="1:10" ht="37.4" customHeight="1" thickBot="1" x14ac:dyDescent="0.4">
      <c r="A5" s="320" t="s">
        <v>107</v>
      </c>
      <c r="B5" s="322" t="s">
        <v>108</v>
      </c>
      <c r="C5" s="324" t="s">
        <v>109</v>
      </c>
      <c r="D5" s="325"/>
      <c r="E5" s="324" t="s">
        <v>110</v>
      </c>
      <c r="F5" s="325"/>
      <c r="G5" s="324" t="s">
        <v>111</v>
      </c>
      <c r="H5" s="329"/>
    </row>
    <row r="6" spans="1:10" ht="31.5" thickBot="1" x14ac:dyDescent="0.4">
      <c r="A6" s="321"/>
      <c r="B6" s="323"/>
      <c r="C6" s="90" t="s">
        <v>112</v>
      </c>
      <c r="D6" s="90" t="s">
        <v>113</v>
      </c>
      <c r="E6" s="90" t="s">
        <v>112</v>
      </c>
      <c r="F6" s="10" t="s">
        <v>113</v>
      </c>
      <c r="G6" s="10" t="s">
        <v>112</v>
      </c>
      <c r="H6" s="84" t="s">
        <v>113</v>
      </c>
    </row>
    <row r="7" spans="1:10" ht="16" thickBot="1" x14ac:dyDescent="0.4">
      <c r="A7" s="59" t="s">
        <v>114</v>
      </c>
      <c r="B7" s="17">
        <f>SUM(C7:H7)</f>
        <v>113000.09</v>
      </c>
      <c r="C7" s="11">
        <f>+'SUIVI BUDGETAIRE 2022_VF (2)'!E44*70%</f>
        <v>51100.062999999995</v>
      </c>
      <c r="D7" s="11">
        <f>+'SUIVI BUDGETAIRE 2022_VF (2)'!E44*30%</f>
        <v>21900.026999999998</v>
      </c>
      <c r="E7" s="91"/>
      <c r="F7" s="12"/>
      <c r="G7" s="11">
        <f>+'SUIVI BUDGETAIRE 2022_VF (2)'!G43*70%</f>
        <v>28000</v>
      </c>
      <c r="H7" s="11">
        <f>+'SUIVI BUDGETAIRE 2022_VF (2)'!G43*30%</f>
        <v>12000</v>
      </c>
      <c r="I7" s="98"/>
      <c r="J7" s="33"/>
    </row>
    <row r="8" spans="1:10" ht="16" thickBot="1" x14ac:dyDescent="0.4">
      <c r="A8" s="89" t="s">
        <v>115</v>
      </c>
      <c r="B8" s="17">
        <f t="shared" ref="B8:B15" si="0">SUM(C8:H8)</f>
        <v>23810.35</v>
      </c>
      <c r="C8" s="92">
        <f>+'SUIVI BUDGETAIRE 2022_VF (2)'!E47*70%</f>
        <v>8267.244999999999</v>
      </c>
      <c r="D8" s="92">
        <f>+'SUIVI BUDGETAIRE 2022_VF (2)'!E47*30%</f>
        <v>3543.105</v>
      </c>
      <c r="E8" s="16">
        <f>+'[1]SUIVI BUDGETAIRE 2022_VF (2)'!F47</f>
        <v>5000</v>
      </c>
      <c r="F8" s="12">
        <v>1000</v>
      </c>
      <c r="G8" s="14">
        <f>+'SUIVI BUDGETAIRE 2022_VF (2)'!G47*70%</f>
        <v>4200</v>
      </c>
      <c r="H8" s="14">
        <f>+'SUIVI BUDGETAIRE 2022_VF (2)'!G47*30%</f>
        <v>1800</v>
      </c>
      <c r="I8" s="266"/>
      <c r="J8" s="101"/>
    </row>
    <row r="9" spans="1:10" ht="26.5" thickBot="1" x14ac:dyDescent="0.4">
      <c r="A9" s="59" t="s">
        <v>116</v>
      </c>
      <c r="B9" s="17">
        <f t="shared" si="0"/>
        <v>55000</v>
      </c>
      <c r="C9" s="92">
        <f>+'SUIVI BUDGETAIRE 2022_VF (2)'!E49*70%</f>
        <v>17500</v>
      </c>
      <c r="D9" s="92">
        <f>+'SUIVI BUDGETAIRE 2022_VF (2)'!E49*30%</f>
        <v>7500</v>
      </c>
      <c r="E9" s="16">
        <f>+'[1]SUIVI BUDGETAIRE 2022_VF (2)'!F49</f>
        <v>10250</v>
      </c>
      <c r="F9" s="12">
        <f>15000-E9</f>
        <v>4750</v>
      </c>
      <c r="G9" s="14">
        <f>+'SUIVI BUDGETAIRE 2022_VF (2)'!G49*70%</f>
        <v>10500</v>
      </c>
      <c r="H9" s="14">
        <f>+'SUIVI BUDGETAIRE 2022_VF (2)'!G49*30%</f>
        <v>4500</v>
      </c>
      <c r="I9" s="267"/>
      <c r="J9" s="101"/>
    </row>
    <row r="10" spans="1:10" ht="16" thickBot="1" x14ac:dyDescent="0.4">
      <c r="A10" s="86" t="s">
        <v>117</v>
      </c>
      <c r="B10" s="17">
        <f t="shared" si="0"/>
        <v>939500.01</v>
      </c>
      <c r="C10" s="92">
        <f>(+'SUIVI BUDGETAIRE 2022_VF (2)'!E10+'SUIVI BUDGETAIRE 2022_VF (2)'!E14+'SUIVI BUDGETAIRE 2022_VF (2)'!E18+'SUIVI BUDGETAIRE 2022_VF (2)'!E23+'SUIVI BUDGETAIRE 2022_VF (2)'!E28+'SUIVI BUDGETAIRE 2022_VF (2)'!E33+'SUIVI BUDGETAIRE 2022_VF (2)'!E37)*70%</f>
        <v>219100.00699999998</v>
      </c>
      <c r="D10" s="92">
        <f>(+'SUIVI BUDGETAIRE 2022_VF (2)'!E10+'SUIVI BUDGETAIRE 2022_VF (2)'!E14+'SUIVI BUDGETAIRE 2022_VF (2)'!E18+'SUIVI BUDGETAIRE 2022_VF (2)'!E23+'SUIVI BUDGETAIRE 2022_VF (2)'!E28+'SUIVI BUDGETAIRE 2022_VF (2)'!E33+'SUIVI BUDGETAIRE 2022_VF (2)'!E37)*30%</f>
        <v>93900.002999999997</v>
      </c>
      <c r="E10" s="220">
        <f>+'[1]SUIVI BUDGETAIRE 2022_VF (2)'!F6+'[1]SUIVI BUDGETAIRE 2022_VF (2)'!F7+'[1]SUIVI BUDGETAIRE 2022_VF (2)'!F8+'[1]SUIVI BUDGETAIRE 2022_VF (2)'!F9+'[1]SUIVI BUDGETAIRE 2022_VF (2)'!F11+'[1]SUIVI BUDGETAIRE 2022_VF (2)'!F15+'[1]SUIVI BUDGETAIRE 2022_VF (2)'!F16+'[1]SUIVI BUDGETAIRE 2022_VF (2)'!F17+'[1]SUIVI BUDGETAIRE 2022_VF (2)'!F42</f>
        <v>270000</v>
      </c>
      <c r="F10" s="12">
        <f>386500-E10</f>
        <v>116500</v>
      </c>
      <c r="G10" s="16">
        <f>(+'SUIVI BUDGETAIRE 2022_VF (2)'!G10+'SUIVI BUDGETAIRE 2022_VF (2)'!G14+'SUIVI BUDGETAIRE 2022_VF (2)'!G18+'SUIVI BUDGETAIRE 2022_VF (2)'!G23+'SUIVI BUDGETAIRE 2022_VF (2)'!G28+'SUIVI BUDGETAIRE 2022_VF (2)'!G33+'SUIVI BUDGETAIRE 2022_VF (2)'!G37)*70%</f>
        <v>168000</v>
      </c>
      <c r="H10" s="16">
        <f>(+'SUIVI BUDGETAIRE 2022_VF (2)'!G10+'SUIVI BUDGETAIRE 2022_VF (2)'!G14+'SUIVI BUDGETAIRE 2022_VF (2)'!G18+'SUIVI BUDGETAIRE 2022_VF (2)'!G23+'SUIVI BUDGETAIRE 2022_VF (2)'!G28+'SUIVI BUDGETAIRE 2022_VF (2)'!G33+'SUIVI BUDGETAIRE 2022_VF (2)'!G37)*30%</f>
        <v>72000</v>
      </c>
      <c r="I10" s="98"/>
      <c r="J10" s="101"/>
    </row>
    <row r="11" spans="1:10" ht="16" thickBot="1" x14ac:dyDescent="0.4">
      <c r="A11" s="86" t="s">
        <v>118</v>
      </c>
      <c r="B11" s="17">
        <f t="shared" si="0"/>
        <v>135000.03</v>
      </c>
      <c r="C11" s="92">
        <f>+'SUIVI BUDGETAIRE 2022_VF (2)'!E45*70%</f>
        <v>52500.020999999993</v>
      </c>
      <c r="D11" s="92">
        <f>+'SUIVI BUDGETAIRE 2022_VF (2)'!E45*30%</f>
        <v>22500.008999999998</v>
      </c>
      <c r="E11" s="220">
        <f>+'[1]SUIVI BUDGETAIRE 2022_VF (2)'!F45</f>
        <v>20000</v>
      </c>
      <c r="F11" s="12">
        <v>10000</v>
      </c>
      <c r="G11" s="16">
        <f>+'SUIVI BUDGETAIRE 2022_VF (2)'!G45*70%</f>
        <v>21000</v>
      </c>
      <c r="H11" s="16">
        <f>+'SUIVI BUDGETAIRE 2022_VF (2)'!G45*30%</f>
        <v>9000</v>
      </c>
      <c r="I11" s="99"/>
      <c r="J11" s="101"/>
    </row>
    <row r="12" spans="1:10" ht="16" thickBot="1" x14ac:dyDescent="0.4">
      <c r="A12" s="86" t="s">
        <v>119</v>
      </c>
      <c r="B12" s="17">
        <f t="shared" si="0"/>
        <v>0</v>
      </c>
      <c r="C12" s="92"/>
      <c r="D12" s="92"/>
      <c r="E12" s="16"/>
      <c r="F12" s="12"/>
      <c r="G12" s="16"/>
      <c r="H12" s="85"/>
      <c r="I12" s="99"/>
      <c r="J12" s="101"/>
    </row>
    <row r="13" spans="1:10" ht="26.5" thickBot="1" x14ac:dyDescent="0.4">
      <c r="A13" s="86" t="s">
        <v>120</v>
      </c>
      <c r="B13" s="17">
        <f t="shared" si="0"/>
        <v>68189.52</v>
      </c>
      <c r="C13" s="92">
        <f>+'SUIVI BUDGETAIRE 2022_VF (2)'!E48*70%</f>
        <v>19732.664000000001</v>
      </c>
      <c r="D13" s="92">
        <f>+'SUIVI BUDGETAIRE 2022_VF (2)'!E48*30%</f>
        <v>8456.8559999999998</v>
      </c>
      <c r="E13" s="16">
        <f>+'[1]SUIVI BUDGETAIRE 2022_VF (2)'!F48</f>
        <v>15000</v>
      </c>
      <c r="F13" s="12">
        <v>5000</v>
      </c>
      <c r="G13" s="16">
        <f>+'SUIVI BUDGETAIRE 2022_VF (2)'!G48*70%</f>
        <v>14000</v>
      </c>
      <c r="H13" s="16">
        <f>+'SUIVI BUDGETAIRE 2022_VF (2)'!G48*30%</f>
        <v>6000</v>
      </c>
      <c r="I13" s="99"/>
      <c r="J13" s="101"/>
    </row>
    <row r="14" spans="1:10" ht="16" thickBot="1" x14ac:dyDescent="0.4">
      <c r="A14" s="88" t="s">
        <v>121</v>
      </c>
      <c r="B14" s="17">
        <f t="shared" si="0"/>
        <v>1334500</v>
      </c>
      <c r="C14" s="18">
        <f>+SUM(C7:C13)</f>
        <v>368199.99999999994</v>
      </c>
      <c r="D14" s="18">
        <f>+SUM(D7:D13)</f>
        <v>157800</v>
      </c>
      <c r="E14" s="18">
        <f>+SUM(E7:E13)</f>
        <v>320250</v>
      </c>
      <c r="F14" s="18">
        <f>SUM(F8:F13)</f>
        <v>137250</v>
      </c>
      <c r="G14" s="18">
        <f>SUM(G7:G13)</f>
        <v>245700</v>
      </c>
      <c r="H14" s="18">
        <f>SUM(H7:H13)</f>
        <v>105300</v>
      </c>
      <c r="I14" s="99"/>
      <c r="J14" s="101"/>
    </row>
    <row r="15" spans="1:10" ht="16" thickBot="1" x14ac:dyDescent="0.4">
      <c r="A15" s="87" t="s">
        <v>122</v>
      </c>
      <c r="B15" s="17">
        <f t="shared" si="0"/>
        <v>93415.000000000015</v>
      </c>
      <c r="C15" s="19">
        <f>+'SUIVI BUDGETAIRE 2022_VF (2)'!E52*70%</f>
        <v>25774.000000000007</v>
      </c>
      <c r="D15" s="19">
        <f>+'SUIVI BUDGETAIRE 2022_VF (2)'!E52*30%</f>
        <v>11046.000000000004</v>
      </c>
      <c r="E15" s="219">
        <f>+'[1]SUIVI BUDGETAIRE 2022_VF (2)'!F52</f>
        <v>22417.500000000004</v>
      </c>
      <c r="F15" s="19">
        <f>+F14*0.07</f>
        <v>9607.5000000000018</v>
      </c>
      <c r="G15" s="19">
        <f>+'SUIVI BUDGETAIRE 2022_VF (2)'!G52*70%</f>
        <v>17199</v>
      </c>
      <c r="H15" s="19">
        <f>+'SUIVI BUDGETAIRE 2022_VF (2)'!G52*30%</f>
        <v>7371</v>
      </c>
      <c r="I15" s="100"/>
      <c r="J15" s="101"/>
    </row>
    <row r="16" spans="1:10" ht="16" thickBot="1" x14ac:dyDescent="0.4">
      <c r="A16" s="88" t="s">
        <v>123</v>
      </c>
      <c r="B16" s="17">
        <f>SUM(C16:H16)</f>
        <v>1427915</v>
      </c>
      <c r="C16" s="134">
        <f>SUM(C14:C15)</f>
        <v>393973.99999999994</v>
      </c>
      <c r="D16" s="20">
        <f t="shared" ref="D16:H16" si="1">SUM(D14:D15)</f>
        <v>168846</v>
      </c>
      <c r="E16" s="134">
        <f>SUM(E14:E15)</f>
        <v>342667.5</v>
      </c>
      <c r="F16" s="20">
        <f>SUM(F14:F15)</f>
        <v>146857.5</v>
      </c>
      <c r="G16" s="20">
        <f t="shared" si="1"/>
        <v>262899</v>
      </c>
      <c r="H16" s="20">
        <f t="shared" si="1"/>
        <v>112671</v>
      </c>
      <c r="I16" s="100"/>
    </row>
    <row r="17" spans="1:9" x14ac:dyDescent="0.35">
      <c r="B17" s="7" t="s">
        <v>124</v>
      </c>
      <c r="C17" s="7" t="s">
        <v>125</v>
      </c>
      <c r="D17" s="7" t="s">
        <v>126</v>
      </c>
      <c r="E17" s="7" t="s">
        <v>125</v>
      </c>
      <c r="F17" s="7" t="s">
        <v>126</v>
      </c>
      <c r="G17" s="7" t="s">
        <v>125</v>
      </c>
      <c r="H17" s="7" t="s">
        <v>126</v>
      </c>
    </row>
    <row r="18" spans="1:9" ht="15" thickBot="1" x14ac:dyDescent="0.4"/>
    <row r="19" spans="1:9" ht="15" thickBot="1" x14ac:dyDescent="0.4">
      <c r="A19" s="326"/>
      <c r="B19" s="327"/>
      <c r="C19" s="327"/>
      <c r="D19" s="327"/>
      <c r="E19" s="327"/>
      <c r="F19" s="327"/>
      <c r="G19" s="328"/>
    </row>
    <row r="20" spans="1:9" ht="27.65" customHeight="1" x14ac:dyDescent="0.35">
      <c r="A20" s="318" t="s">
        <v>107</v>
      </c>
      <c r="B20" s="318" t="s">
        <v>124</v>
      </c>
      <c r="C20" s="318" t="s">
        <v>127</v>
      </c>
      <c r="D20" s="318" t="s">
        <v>128</v>
      </c>
      <c r="E20" s="318" t="s">
        <v>129</v>
      </c>
      <c r="F20" s="21" t="s">
        <v>130</v>
      </c>
      <c r="G20" s="21" t="s">
        <v>131</v>
      </c>
      <c r="H20" s="318" t="s">
        <v>132</v>
      </c>
      <c r="I20" s="316" t="s">
        <v>133</v>
      </c>
    </row>
    <row r="21" spans="1:9" ht="15" thickBot="1" x14ac:dyDescent="0.4">
      <c r="A21" s="319"/>
      <c r="B21" s="319"/>
      <c r="C21" s="319"/>
      <c r="D21" s="319"/>
      <c r="E21" s="319"/>
      <c r="F21" s="22"/>
      <c r="G21" s="22"/>
      <c r="H21" s="319"/>
      <c r="I21" s="317"/>
    </row>
    <row r="22" spans="1:9" ht="15" thickBot="1" x14ac:dyDescent="0.4">
      <c r="A22" s="13" t="s">
        <v>114</v>
      </c>
      <c r="B22" s="135"/>
      <c r="C22" s="23">
        <f>+'SUIVI BUDGETAIRE 2022_VF (2)'!I40+'SUIVI BUDGETAIRE 2022_VF (2)'!I41</f>
        <v>102852.4</v>
      </c>
      <c r="D22" s="135"/>
      <c r="E22" s="23">
        <f>+'SUIVI BUDGETAIRE 2022_VF (2)'!K43</f>
        <v>38000</v>
      </c>
      <c r="F22" s="23">
        <f>+'SUIVI BUDGETAIRE 2022_VF (2)'!M40+'SUIVI BUDGETAIRE 2022_VF (2)'!M41</f>
        <v>0</v>
      </c>
      <c r="G22" s="23"/>
      <c r="H22" s="24"/>
      <c r="I22" s="37"/>
    </row>
    <row r="23" spans="1:9" ht="15" thickBot="1" x14ac:dyDescent="0.4">
      <c r="A23" s="13" t="s">
        <v>115</v>
      </c>
      <c r="B23" s="25"/>
      <c r="C23" s="47">
        <f>+'SUIVI BUDGETAIRE 2022_VF (2)'!I47</f>
        <v>8435.89</v>
      </c>
      <c r="D23" s="47">
        <f>+'SUIVI BUDGETAIRE 2022_VF (2)'!J47</f>
        <v>6000</v>
      </c>
      <c r="E23" s="47">
        <f>+'SUIVI BUDGETAIRE 2022_VF (2)'!K47</f>
        <v>4500</v>
      </c>
      <c r="F23" s="47">
        <f>+'SUIVI BUDGETAIRE 2022_VF (2)'!M47</f>
        <v>0</v>
      </c>
      <c r="G23" s="26"/>
      <c r="H23" s="24"/>
      <c r="I23" s="37"/>
    </row>
    <row r="24" spans="1:9" ht="26.5" thickBot="1" x14ac:dyDescent="0.4">
      <c r="A24" s="15" t="s">
        <v>116</v>
      </c>
      <c r="B24" s="80"/>
      <c r="C24" s="47">
        <f>+'SUIVI BUDGETAIRE 2022_VF (2)'!I49</f>
        <v>22023.919999999998</v>
      </c>
      <c r="D24" s="79">
        <f>+'SUIVI BUDGETAIRE 2022_VF (2)'!J49</f>
        <v>15000</v>
      </c>
      <c r="E24" s="79">
        <f>+'SUIVI BUDGETAIRE 2022_VF (2)'!K49</f>
        <v>14285.51</v>
      </c>
      <c r="F24" s="79">
        <f>+'SUIVI BUDGETAIRE 2022_VF (2)'!M49</f>
        <v>0</v>
      </c>
      <c r="G24" s="27"/>
      <c r="H24" s="24"/>
      <c r="I24" s="37"/>
    </row>
    <row r="25" spans="1:9" ht="15" thickBot="1" x14ac:dyDescent="0.4">
      <c r="A25" s="13" t="s">
        <v>117</v>
      </c>
      <c r="B25" s="81"/>
      <c r="C25" s="47">
        <f>+'SUIVI BUDGETAIRE 2022_VF (2)'!I45+'SUIVI BUDGETAIRE 2022_VF (2)'!I31+'SUIVI BUDGETAIRE 2022_VF (2)'!I30+'SUIVI BUDGETAIRE 2022_VF (2)'!I32+'SUIVI BUDGETAIRE 2022_VF (2)'!I13+'SUIVI BUDGETAIRE 2022_VF (2)'!I34+'SUIVI BUDGETAIRE 2022_VF (2)'!I35+'SUIVI BUDGETAIRE 2022_VF (2)'!I36</f>
        <v>301690.62</v>
      </c>
      <c r="D25" s="47">
        <f>+'SUIVI BUDGETAIRE 2022_VF (2)'!J6+'SUIVI BUDGETAIRE 2022_VF (2)'!J7+'SUIVI BUDGETAIRE 2022_VF (2)'!J8+'SUIVI BUDGETAIRE 2022_VF (2)'!J9+'SUIVI BUDGETAIRE 2022_VF (2)'!J11+'SUIVI BUDGETAIRE 2022_VF (2)'!J15+'SUIVI BUDGETAIRE 2022_VF (2)'!J16+'SUIVI BUDGETAIRE 2022_VF (2)'!J17+'SUIVI BUDGETAIRE 2022_VF (2)'!J42</f>
        <v>365850</v>
      </c>
      <c r="E25" s="47">
        <f>+'SUIVI BUDGETAIRE 2022_VF (2)'!K10+'SUIVI BUDGETAIRE 2022_VF (2)'!K14+'SUIVI BUDGETAIRE 2022_VF (2)'!K18+'SUIVI BUDGETAIRE 2022_VF (2)'!K23+'SUIVI BUDGETAIRE 2022_VF (2)'!K28+'SUIVI BUDGETAIRE 2022_VF (2)'!K33+'SUIVI BUDGETAIRE 2022_VF (2)'!K37</f>
        <v>206850</v>
      </c>
      <c r="F25" s="256">
        <f>+'SUIVI BUDGETAIRE 2022_VF (2)'!M31+'SUIVI BUDGETAIRE 2022_VF (2)'!M32+'SUIVI BUDGETAIRE 2022_VF (2)'!M45+'SUIVI BUDGETAIRE 2022_VF (2)'!M30+'SUIVI BUDGETAIRE 2022_VF (2)'!M34+'SUIVI BUDGETAIRE 2022_VF (2)'!M35+'SUIVI BUDGETAIRE 2022_VF (2)'!M36+'SUIVI BUDGETAIRE 2022_VF (2)'!M13</f>
        <v>56563.24</v>
      </c>
      <c r="G25" s="28"/>
      <c r="H25" s="24"/>
      <c r="I25" s="37"/>
    </row>
    <row r="26" spans="1:9" ht="15" thickBot="1" x14ac:dyDescent="0.4">
      <c r="A26" s="15" t="s">
        <v>118</v>
      </c>
      <c r="B26" s="82"/>
      <c r="C26" s="47">
        <v>0</v>
      </c>
      <c r="D26" s="79">
        <f>+'SUIVI BUDGETAIRE 2022_VF (2)'!J45</f>
        <v>18500</v>
      </c>
      <c r="E26" s="79">
        <f>+'SUIVI BUDGETAIRE 2022_VF (2)'!K45</f>
        <v>15000</v>
      </c>
      <c r="F26" s="257"/>
      <c r="G26" s="28"/>
      <c r="H26" s="24"/>
      <c r="I26" s="37"/>
    </row>
    <row r="27" spans="1:9" ht="15" thickBot="1" x14ac:dyDescent="0.4">
      <c r="A27" s="13" t="s">
        <v>119</v>
      </c>
      <c r="B27" s="83"/>
      <c r="C27" s="47">
        <v>0</v>
      </c>
      <c r="D27" s="47"/>
      <c r="E27" s="47">
        <v>0</v>
      </c>
      <c r="F27" s="257"/>
      <c r="G27" s="28"/>
      <c r="H27" s="24"/>
      <c r="I27" s="37"/>
    </row>
    <row r="28" spans="1:9" ht="26.5" thickBot="1" x14ac:dyDescent="0.4">
      <c r="A28" s="15" t="s">
        <v>120</v>
      </c>
      <c r="B28" s="82"/>
      <c r="C28" s="47">
        <f>+'SUIVI BUDGETAIRE 2022_VF (2)'!I48</f>
        <v>15368.85</v>
      </c>
      <c r="D28" s="79">
        <f>+'SUIVI BUDGETAIRE 2022_VF (2)'!J48</f>
        <v>20000</v>
      </c>
      <c r="E28" s="79">
        <f>+'SUIVI BUDGETAIRE 2022_VF (2)'!K48</f>
        <v>18000</v>
      </c>
      <c r="F28" s="257"/>
      <c r="G28" s="28"/>
      <c r="H28" s="24"/>
      <c r="I28" s="37"/>
    </row>
    <row r="29" spans="1:9" ht="15" thickBot="1" x14ac:dyDescent="0.4">
      <c r="A29" s="29" t="s">
        <v>121</v>
      </c>
      <c r="B29" s="30"/>
      <c r="C29" s="218">
        <f>SUM(C22:C28)</f>
        <v>450371.67999999993</v>
      </c>
      <c r="D29" s="18">
        <f>+SUM(D22:D28)</f>
        <v>425350</v>
      </c>
      <c r="E29" s="254">
        <f>SUM(E22:E28)</f>
        <v>296635.51</v>
      </c>
      <c r="F29" s="258"/>
      <c r="G29" s="18"/>
      <c r="H29" s="31"/>
      <c r="I29" s="38"/>
    </row>
    <row r="30" spans="1:9" ht="15" thickBot="1" x14ac:dyDescent="0.4">
      <c r="A30" s="15" t="s">
        <v>122</v>
      </c>
      <c r="B30" s="19"/>
      <c r="C30" s="48">
        <f>+'SUIVI BUDGETAIRE 2022_VF (2)'!I52</f>
        <v>25444.25</v>
      </c>
      <c r="D30" s="48">
        <f>+'SUIVI BUDGETAIRE 2022_VF (2)'!J52</f>
        <v>32025</v>
      </c>
      <c r="E30" s="255">
        <f>+'SUIVI BUDGETAIRE 2022_VF (2)'!K52</f>
        <v>20764.485700000001</v>
      </c>
      <c r="F30" s="259">
        <f>+'SUIVI BUDGETAIRE 2022_VF (2)'!M52</f>
        <v>0</v>
      </c>
      <c r="G30" s="32"/>
      <c r="H30" s="24"/>
      <c r="I30" s="37"/>
    </row>
    <row r="31" spans="1:9" s="127" customFormat="1" ht="15.5" thickBot="1" x14ac:dyDescent="0.4">
      <c r="A31" s="123" t="s">
        <v>123</v>
      </c>
      <c r="B31" s="124"/>
      <c r="C31" s="125">
        <f>+C29+C30</f>
        <v>475815.92999999993</v>
      </c>
      <c r="D31" s="125">
        <f>+SUM(D29+D30)</f>
        <v>457375</v>
      </c>
      <c r="E31" s="253">
        <f>+E29+E30</f>
        <v>317399.99570000003</v>
      </c>
      <c r="F31" s="260">
        <f>SUM(F22:F30)</f>
        <v>56563.24</v>
      </c>
      <c r="G31" s="126"/>
      <c r="H31" s="124"/>
      <c r="I31" s="38"/>
    </row>
    <row r="32" spans="1:9" s="7" customFormat="1" x14ac:dyDescent="0.35"/>
    <row r="33" spans="2:8" x14ac:dyDescent="0.35">
      <c r="B33" s="33"/>
      <c r="C33" s="34"/>
      <c r="D33" s="34"/>
      <c r="E33" s="34"/>
      <c r="F33" s="5"/>
      <c r="H33" s="33"/>
    </row>
    <row r="34" spans="2:8" ht="15" thickBot="1" x14ac:dyDescent="0.4">
      <c r="F34" s="33"/>
      <c r="H34" s="33"/>
    </row>
    <row r="35" spans="2:8" ht="15" thickBot="1" x14ac:dyDescent="0.4">
      <c r="C35" s="35" t="s">
        <v>134</v>
      </c>
      <c r="D35" s="36">
        <f>(C31+F31)/(C16+D16)</f>
        <v>0.94591373796240352</v>
      </c>
    </row>
    <row r="36" spans="2:8" ht="15" thickBot="1" x14ac:dyDescent="0.4">
      <c r="C36" s="35" t="s">
        <v>135</v>
      </c>
      <c r="D36" s="36">
        <f>+D31/(E16+F16)</f>
        <v>0.93432408967877023</v>
      </c>
      <c r="F36" s="139"/>
      <c r="G36" s="33"/>
    </row>
    <row r="37" spans="2:8" x14ac:dyDescent="0.35">
      <c r="C37" s="118" t="s">
        <v>136</v>
      </c>
      <c r="D37" s="119">
        <f>+E31/(G16+H16)</f>
        <v>0.84511541310541316</v>
      </c>
      <c r="G37" s="33"/>
    </row>
    <row r="38" spans="2:8" x14ac:dyDescent="0.35">
      <c r="C38" s="246" t="s">
        <v>137</v>
      </c>
      <c r="D38" s="330">
        <f>(C31+D31+E31+F31)/B16</f>
        <v>0.91542855541121149</v>
      </c>
      <c r="E38" s="245"/>
    </row>
  </sheetData>
  <mergeCells count="13">
    <mergeCell ref="I20:I21"/>
    <mergeCell ref="H20:H21"/>
    <mergeCell ref="A5:A6"/>
    <mergeCell ref="B5:B6"/>
    <mergeCell ref="C5:D5"/>
    <mergeCell ref="A20:A21"/>
    <mergeCell ref="B20:B21"/>
    <mergeCell ref="C20:C21"/>
    <mergeCell ref="A19:G19"/>
    <mergeCell ref="E5:F5"/>
    <mergeCell ref="G5:H5"/>
    <mergeCell ref="D20:D21"/>
    <mergeCell ref="E20:E21"/>
  </mergeCells>
  <pageMargins left="0.25" right="0.25"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SUIVI BUDGETAIRE 2022_VF (2)</vt:lpstr>
      <vt:lpstr>PAR CATEGORIE BUDGETAIRE GF 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2022-07-01T17:25:02Z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2021-06-14T15:54:52Z</vt:lpwstr>
  </property>
  <property fmtid="{D5CDD505-2E9C-101B-9397-08002B2CF9AE}" pid="4" name="MSIP_Label_2059aa38-f392-4105-be92-628035578272_Method">
    <vt:lpwstr>Privileged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c1675612-ba5d-416f-bb12-d5d436d15e87</vt:lpwstr>
  </property>
  <property fmtid="{D5CDD505-2E9C-101B-9397-08002B2CF9AE}" pid="8" name="MSIP_Label_2059aa38-f392-4105-be92-628035578272_ContentBits">
    <vt:lpwstr>0</vt:lpwstr>
  </property>
</Properties>
</file>