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9425" windowHeight="10425" activeTab="1"/>
  </bookViews>
  <sheets>
    <sheet name="ANNEXE D" sheetId="1" r:id="rId1"/>
    <sheet name="Tableau 2" sheetId="2" r:id="rId2"/>
  </sheets>
  <externalReferences>
    <externalReference r:id="rId3"/>
    <externalReference r:id="rId4"/>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6" i="2" l="1"/>
  <c r="M74" i="1"/>
  <c r="M67" i="1"/>
  <c r="L67" i="1"/>
  <c r="M64" i="1"/>
  <c r="M65" i="1"/>
  <c r="M62" i="1"/>
  <c r="M63" i="1"/>
  <c r="M61" i="1"/>
  <c r="M59" i="1"/>
  <c r="M57" i="1"/>
  <c r="M58" i="1"/>
  <c r="M54" i="1"/>
  <c r="M55" i="1"/>
  <c r="M56" i="1"/>
  <c r="M53" i="1"/>
  <c r="M51" i="1"/>
  <c r="M49" i="1"/>
  <c r="M50" i="1"/>
  <c r="M48" i="1"/>
  <c r="M46" i="1"/>
  <c r="L46" i="1"/>
  <c r="M44" i="1"/>
  <c r="M45" i="1"/>
  <c r="M43" i="1"/>
  <c r="M39" i="1"/>
  <c r="M38" i="1"/>
  <c r="L38" i="1"/>
  <c r="M34" i="1"/>
  <c r="M35" i="1"/>
  <c r="M36" i="1"/>
  <c r="M37" i="1"/>
  <c r="M33" i="1"/>
  <c r="M31" i="1"/>
  <c r="L31" i="1"/>
  <c r="M27" i="1"/>
  <c r="M28" i="1"/>
  <c r="M29" i="1"/>
  <c r="M30" i="1"/>
  <c r="M26" i="1"/>
  <c r="M21" i="1"/>
  <c r="M22" i="1" s="1"/>
  <c r="M18" i="1"/>
  <c r="M19" i="1"/>
  <c r="M20" i="1"/>
  <c r="M17" i="1"/>
  <c r="M15" i="1"/>
  <c r="M12" i="1"/>
  <c r="M13" i="1"/>
  <c r="M14" i="1"/>
  <c r="M11" i="1"/>
  <c r="L230" i="2"/>
  <c r="L223" i="2" l="1"/>
  <c r="J208" i="2"/>
  <c r="J205" i="2"/>
  <c r="J63" i="1"/>
  <c r="J62" i="1"/>
  <c r="J127" i="2"/>
  <c r="J50" i="1"/>
  <c r="J71" i="2"/>
  <c r="J29" i="1"/>
  <c r="J14" i="1"/>
  <c r="J27" i="2"/>
  <c r="J26" i="2"/>
  <c r="J13" i="1"/>
  <c r="J12" i="1"/>
  <c r="K216" i="2"/>
  <c r="K217" i="2"/>
  <c r="K218" i="2"/>
  <c r="K219" i="2"/>
  <c r="K220" i="2"/>
  <c r="K221" i="2"/>
  <c r="K215" i="2"/>
  <c r="K140" i="2"/>
  <c r="K73" i="2"/>
  <c r="K39" i="2"/>
  <c r="K62" i="1" l="1"/>
  <c r="K26" i="1"/>
  <c r="K21" i="1"/>
  <c r="K20" i="1"/>
  <c r="L221" i="2" l="1"/>
  <c r="L220" i="2"/>
  <c r="L218" i="2"/>
  <c r="L217" i="2"/>
  <c r="L216" i="2"/>
  <c r="L22" i="2"/>
  <c r="G221" i="2"/>
  <c r="G220" i="2"/>
  <c r="G219" i="2"/>
  <c r="G218" i="2"/>
  <c r="G217" i="2"/>
  <c r="G216" i="2"/>
  <c r="G215" i="2"/>
  <c r="G222" i="2" s="1"/>
  <c r="G209" i="2"/>
  <c r="G201" i="2" s="1"/>
  <c r="G131" i="2"/>
  <c r="G123" i="2"/>
  <c r="G120" i="2"/>
  <c r="G112" i="2"/>
  <c r="G86" i="2"/>
  <c r="G78" i="2"/>
  <c r="G75" i="2"/>
  <c r="G67" i="2"/>
  <c r="G30" i="2"/>
  <c r="G22" i="2"/>
  <c r="H65" i="1"/>
  <c r="H58" i="1"/>
  <c r="H59" i="1" s="1"/>
  <c r="H51" i="1"/>
  <c r="H46" i="1"/>
  <c r="H38" i="1"/>
  <c r="H39" i="1" s="1"/>
  <c r="H31" i="1"/>
  <c r="H21" i="1"/>
  <c r="H22" i="1" s="1"/>
  <c r="H15" i="1"/>
  <c r="J202" i="2"/>
  <c r="J138" i="2"/>
  <c r="J61" i="1"/>
  <c r="J56" i="1"/>
  <c r="G223" i="2" l="1"/>
  <c r="G224" i="2"/>
  <c r="G214" i="2" s="1"/>
  <c r="H67" i="1"/>
  <c r="K30" i="2"/>
  <c r="K22" i="2" s="1"/>
  <c r="L30" i="2"/>
  <c r="J30" i="2" l="1"/>
  <c r="J11" i="1"/>
  <c r="J82" i="2"/>
  <c r="J35" i="1" l="1"/>
  <c r="G85" i="1"/>
  <c r="H23" i="2" l="1"/>
  <c r="H24" i="2"/>
  <c r="H25" i="2"/>
  <c r="H26" i="2"/>
  <c r="H27" i="2"/>
  <c r="H28" i="2"/>
  <c r="H29" i="2"/>
  <c r="D30" i="2"/>
  <c r="D22" i="2" s="1"/>
  <c r="E30" i="2"/>
  <c r="E22" i="2" s="1"/>
  <c r="F30" i="2"/>
  <c r="F22" i="2" s="1"/>
  <c r="H34" i="2"/>
  <c r="H35" i="2"/>
  <c r="H36" i="2"/>
  <c r="H37" i="2"/>
  <c r="H38" i="2"/>
  <c r="H39" i="2"/>
  <c r="H40" i="2"/>
  <c r="D41" i="2"/>
  <c r="D33" i="2" s="1"/>
  <c r="E41" i="2"/>
  <c r="E33" i="2" s="1"/>
  <c r="F41" i="2"/>
  <c r="F33" i="2" s="1"/>
  <c r="D44" i="2"/>
  <c r="E44" i="2"/>
  <c r="F44" i="2"/>
  <c r="H45" i="2"/>
  <c r="H46" i="2"/>
  <c r="H47" i="2"/>
  <c r="H48" i="2"/>
  <c r="H49" i="2"/>
  <c r="H50" i="2"/>
  <c r="H51" i="2"/>
  <c r="D52" i="2"/>
  <c r="E52" i="2"/>
  <c r="F52" i="2"/>
  <c r="D55" i="2"/>
  <c r="E55" i="2"/>
  <c r="F55" i="2"/>
  <c r="H56" i="2"/>
  <c r="H57" i="2"/>
  <c r="H58" i="2"/>
  <c r="H59" i="2"/>
  <c r="H60" i="2"/>
  <c r="H61" i="2"/>
  <c r="H62" i="2"/>
  <c r="D63" i="2"/>
  <c r="E63" i="2"/>
  <c r="F63" i="2"/>
  <c r="H68" i="2"/>
  <c r="H69" i="2"/>
  <c r="H70" i="2"/>
  <c r="H71" i="2"/>
  <c r="H72" i="2"/>
  <c r="H73" i="2"/>
  <c r="H74" i="2"/>
  <c r="D75" i="2"/>
  <c r="D67" i="2" s="1"/>
  <c r="E75" i="2"/>
  <c r="E67" i="2" s="1"/>
  <c r="F75" i="2"/>
  <c r="F67" i="2" s="1"/>
  <c r="H79" i="2"/>
  <c r="H80" i="2"/>
  <c r="H81" i="2"/>
  <c r="H82" i="2"/>
  <c r="H83" i="2"/>
  <c r="H84" i="2"/>
  <c r="H85" i="2"/>
  <c r="D86" i="2"/>
  <c r="D78" i="2" s="1"/>
  <c r="E86" i="2"/>
  <c r="E78" i="2" s="1"/>
  <c r="F86" i="2"/>
  <c r="F78" i="2" s="1"/>
  <c r="D89" i="2"/>
  <c r="E89" i="2"/>
  <c r="F89" i="2"/>
  <c r="H90" i="2"/>
  <c r="H91" i="2"/>
  <c r="H92" i="2"/>
  <c r="H93" i="2"/>
  <c r="H94" i="2"/>
  <c r="H95" i="2"/>
  <c r="H96" i="2"/>
  <c r="D97" i="2"/>
  <c r="E97" i="2"/>
  <c r="F97" i="2"/>
  <c r="D100" i="2"/>
  <c r="E100" i="2"/>
  <c r="F100" i="2"/>
  <c r="H101" i="2"/>
  <c r="H102" i="2"/>
  <c r="H103" i="2"/>
  <c r="H104" i="2"/>
  <c r="H105" i="2"/>
  <c r="H106" i="2"/>
  <c r="H107" i="2"/>
  <c r="D108" i="2"/>
  <c r="E108" i="2"/>
  <c r="F108" i="2"/>
  <c r="H113" i="2"/>
  <c r="H114" i="2"/>
  <c r="H115" i="2"/>
  <c r="H116" i="2"/>
  <c r="H117" i="2"/>
  <c r="H118" i="2"/>
  <c r="H119" i="2"/>
  <c r="D120" i="2"/>
  <c r="D112" i="2" s="1"/>
  <c r="E120" i="2"/>
  <c r="E112" i="2" s="1"/>
  <c r="F120" i="2"/>
  <c r="F112" i="2" s="1"/>
  <c r="H124" i="2"/>
  <c r="H125" i="2"/>
  <c r="H126" i="2"/>
  <c r="H127" i="2"/>
  <c r="H128" i="2"/>
  <c r="H129" i="2"/>
  <c r="H130" i="2"/>
  <c r="D131" i="2"/>
  <c r="D123" i="2" s="1"/>
  <c r="E131" i="2"/>
  <c r="E123" i="2" s="1"/>
  <c r="F131" i="2"/>
  <c r="F123" i="2" s="1"/>
  <c r="H135" i="2"/>
  <c r="H136" i="2"/>
  <c r="H137" i="2"/>
  <c r="H138" i="2"/>
  <c r="H139" i="2"/>
  <c r="H140" i="2"/>
  <c r="H141" i="2"/>
  <c r="D142" i="2"/>
  <c r="D134" i="2" s="1"/>
  <c r="E142" i="2"/>
  <c r="E134" i="2" s="1"/>
  <c r="F142" i="2"/>
  <c r="F134" i="2" s="1"/>
  <c r="D145" i="2"/>
  <c r="E145" i="2"/>
  <c r="F145" i="2"/>
  <c r="H146" i="2"/>
  <c r="H147" i="2"/>
  <c r="H148" i="2"/>
  <c r="H149" i="2"/>
  <c r="H150" i="2"/>
  <c r="H151" i="2"/>
  <c r="H152" i="2"/>
  <c r="D153" i="2"/>
  <c r="E153" i="2"/>
  <c r="F153" i="2"/>
  <c r="D157" i="2"/>
  <c r="E157" i="2"/>
  <c r="F157" i="2"/>
  <c r="H158" i="2"/>
  <c r="H159" i="2"/>
  <c r="H160" i="2"/>
  <c r="H161" i="2"/>
  <c r="H162" i="2"/>
  <c r="H163" i="2"/>
  <c r="H164" i="2"/>
  <c r="D165" i="2"/>
  <c r="E165" i="2"/>
  <c r="F165" i="2"/>
  <c r="D168" i="2"/>
  <c r="E168" i="2"/>
  <c r="F168" i="2"/>
  <c r="H169" i="2"/>
  <c r="H170" i="2"/>
  <c r="H171" i="2"/>
  <c r="H172" i="2"/>
  <c r="H173" i="2"/>
  <c r="H174" i="2"/>
  <c r="H175" i="2"/>
  <c r="D176" i="2"/>
  <c r="E176" i="2"/>
  <c r="F176" i="2"/>
  <c r="D179" i="2"/>
  <c r="E179" i="2"/>
  <c r="F179" i="2"/>
  <c r="H180" i="2"/>
  <c r="H181" i="2"/>
  <c r="H182" i="2"/>
  <c r="H183" i="2"/>
  <c r="H184" i="2"/>
  <c r="H185" i="2"/>
  <c r="H186" i="2"/>
  <c r="D187" i="2"/>
  <c r="E187" i="2"/>
  <c r="F187" i="2"/>
  <c r="D190" i="2"/>
  <c r="E190" i="2"/>
  <c r="F190" i="2"/>
  <c r="H191" i="2"/>
  <c r="H192" i="2"/>
  <c r="H193" i="2"/>
  <c r="H194" i="2"/>
  <c r="H195" i="2"/>
  <c r="H196" i="2"/>
  <c r="H197" i="2"/>
  <c r="D198" i="2"/>
  <c r="E198" i="2"/>
  <c r="F198" i="2"/>
  <c r="H202" i="2"/>
  <c r="H203" i="2"/>
  <c r="H204" i="2"/>
  <c r="H206" i="2"/>
  <c r="H207" i="2"/>
  <c r="H208" i="2"/>
  <c r="D209" i="2"/>
  <c r="D201" i="2" s="1"/>
  <c r="E209" i="2"/>
  <c r="E201" i="2" s="1"/>
  <c r="F209" i="2"/>
  <c r="F201" i="2" s="1"/>
  <c r="D214" i="2"/>
  <c r="E214" i="2"/>
  <c r="F214" i="2"/>
  <c r="D215" i="2"/>
  <c r="E215" i="2"/>
  <c r="F215" i="2"/>
  <c r="D216" i="2"/>
  <c r="E216" i="2"/>
  <c r="F216" i="2"/>
  <c r="D217" i="2"/>
  <c r="E217" i="2"/>
  <c r="F217" i="2"/>
  <c r="D218" i="2"/>
  <c r="E218" i="2"/>
  <c r="F218" i="2"/>
  <c r="D219" i="2"/>
  <c r="E219" i="2"/>
  <c r="F219" i="2"/>
  <c r="D220" i="2"/>
  <c r="E220" i="2"/>
  <c r="F220" i="2"/>
  <c r="D221" i="2"/>
  <c r="E221" i="2"/>
  <c r="F221" i="2"/>
  <c r="D64" i="1"/>
  <c r="D50" i="1"/>
  <c r="H165" i="2" l="1"/>
  <c r="H198" i="2"/>
  <c r="H187" i="2"/>
  <c r="H179" i="2"/>
  <c r="H153" i="2"/>
  <c r="H97" i="2"/>
  <c r="H44" i="2"/>
  <c r="F222" i="2"/>
  <c r="F223" i="2" s="1"/>
  <c r="F224" i="2" s="1"/>
  <c r="H52" i="2"/>
  <c r="H112" i="2"/>
  <c r="H89" i="2"/>
  <c r="H215" i="2"/>
  <c r="H22" i="2"/>
  <c r="H216" i="2"/>
  <c r="E222" i="2"/>
  <c r="E223" i="2" s="1"/>
  <c r="E224" i="2" s="1"/>
  <c r="H220" i="2"/>
  <c r="H134" i="2"/>
  <c r="H217" i="2"/>
  <c r="H176" i="2"/>
  <c r="H108" i="2"/>
  <c r="H41" i="2"/>
  <c r="H219" i="2"/>
  <c r="H63" i="2"/>
  <c r="H123" i="2"/>
  <c r="H221" i="2"/>
  <c r="H120" i="2"/>
  <c r="H33" i="2"/>
  <c r="H218" i="2"/>
  <c r="H67" i="2"/>
  <c r="H209" i="2"/>
  <c r="H142" i="2"/>
  <c r="H131" i="2"/>
  <c r="H86" i="2"/>
  <c r="H75" i="2"/>
  <c r="H100" i="2"/>
  <c r="H157" i="2"/>
  <c r="H190" i="2"/>
  <c r="H168" i="2"/>
  <c r="H30" i="2"/>
  <c r="D222" i="2"/>
  <c r="H55" i="2"/>
  <c r="H145" i="2"/>
  <c r="H78" i="2"/>
  <c r="H201" i="2"/>
  <c r="H222" i="2" l="1"/>
  <c r="H223" i="2" s="1"/>
  <c r="H224" i="2" s="1"/>
  <c r="D223" i="2"/>
  <c r="D224" i="2" s="1"/>
  <c r="J215" i="2"/>
  <c r="D35" i="1" l="1"/>
  <c r="J220" i="2" l="1"/>
  <c r="J219" i="2"/>
  <c r="J217" i="2"/>
  <c r="J216" i="2"/>
  <c r="L21" i="1"/>
  <c r="J21" i="1"/>
  <c r="L65" i="1" l="1"/>
  <c r="K65" i="1"/>
  <c r="J65" i="1"/>
  <c r="L58" i="1"/>
  <c r="K58" i="1"/>
  <c r="J58" i="1"/>
  <c r="L51" i="1"/>
  <c r="K51" i="1"/>
  <c r="J51" i="1"/>
  <c r="K46" i="1"/>
  <c r="J46" i="1"/>
  <c r="K38" i="1"/>
  <c r="J38" i="1"/>
  <c r="J31" i="1"/>
  <c r="L39" i="1" l="1"/>
  <c r="L59" i="1"/>
  <c r="J59" i="1"/>
  <c r="K59" i="1"/>
  <c r="J39" i="1"/>
  <c r="K31" i="1"/>
  <c r="K39" i="1" s="1"/>
  <c r="L15" i="1" l="1"/>
  <c r="L22" i="1" s="1"/>
  <c r="K15" i="1"/>
  <c r="K22" i="1" s="1"/>
  <c r="K67" i="1" s="1"/>
  <c r="J15" i="1"/>
  <c r="J22" i="1" s="1"/>
  <c r="J67" i="1" s="1"/>
  <c r="Q70" i="1" s="1"/>
  <c r="M162" i="2" l="1"/>
  <c r="M158" i="2"/>
  <c r="M118" i="2"/>
  <c r="M117" i="2"/>
  <c r="M116" i="2"/>
  <c r="M115" i="2"/>
  <c r="M114" i="2"/>
  <c r="M113" i="2"/>
  <c r="K165" i="2"/>
  <c r="K157" i="2" s="1"/>
  <c r="M157" i="2" s="1"/>
  <c r="K142" i="2"/>
  <c r="K134" i="2" s="1"/>
  <c r="K120" i="2"/>
  <c r="K112" i="2" s="1"/>
  <c r="K86" i="2"/>
  <c r="K78" i="2" s="1"/>
  <c r="K75" i="2"/>
  <c r="K67" i="2" s="1"/>
  <c r="M52" i="2"/>
  <c r="K52" i="2"/>
  <c r="K44" i="2" s="1"/>
  <c r="M44" i="2" s="1"/>
  <c r="M40" i="2"/>
  <c r="M39" i="2"/>
  <c r="M38" i="2"/>
  <c r="M37" i="2"/>
  <c r="M36" i="2"/>
  <c r="M35" i="2"/>
  <c r="M34" i="2"/>
  <c r="K41" i="2"/>
  <c r="M41" i="2" s="1"/>
  <c r="M165" i="2" l="1"/>
  <c r="K33" i="2"/>
  <c r="M33" i="2" s="1"/>
  <c r="K222" i="2"/>
  <c r="K224" i="2" s="1"/>
  <c r="M119" i="2" l="1"/>
  <c r="L209" i="2"/>
  <c r="L201" i="2" s="1"/>
  <c r="L131" i="2"/>
  <c r="L123" i="2" s="1"/>
  <c r="L120" i="2"/>
  <c r="M120" i="2" s="1"/>
  <c r="L86" i="2"/>
  <c r="L78" i="2" s="1"/>
  <c r="L75" i="2"/>
  <c r="L67" i="2" s="1"/>
  <c r="L112" i="2" l="1"/>
  <c r="M112" i="2" s="1"/>
  <c r="M203" i="2"/>
  <c r="M204" i="2"/>
  <c r="M206" i="2"/>
  <c r="M207" i="2"/>
  <c r="K209" i="2"/>
  <c r="K201" i="2" s="1"/>
  <c r="M136" i="2"/>
  <c r="M137" i="2"/>
  <c r="M139" i="2"/>
  <c r="M140" i="2"/>
  <c r="M141" i="2"/>
  <c r="L142" i="2"/>
  <c r="L134" i="2" s="1"/>
  <c r="M135" i="2"/>
  <c r="M125" i="2"/>
  <c r="M126" i="2"/>
  <c r="M128" i="2"/>
  <c r="M129" i="2"/>
  <c r="M130" i="2"/>
  <c r="M124" i="2"/>
  <c r="K131" i="2"/>
  <c r="K123" i="2" s="1"/>
  <c r="M69" i="2"/>
  <c r="M70" i="2"/>
  <c r="M72" i="2"/>
  <c r="M73" i="2"/>
  <c r="M74" i="2"/>
  <c r="M68" i="2"/>
  <c r="M80" i="2"/>
  <c r="M81" i="2"/>
  <c r="M83" i="2"/>
  <c r="M84" i="2"/>
  <c r="M85" i="2"/>
  <c r="M79" i="2"/>
  <c r="M24" i="2"/>
  <c r="M25" i="2"/>
  <c r="M27" i="2"/>
  <c r="M28" i="2"/>
  <c r="M29" i="2"/>
  <c r="M23" i="2"/>
  <c r="M205" i="2" l="1"/>
  <c r="J218" i="2"/>
  <c r="M208" i="2" l="1"/>
  <c r="J221" i="2"/>
  <c r="J209" i="2"/>
  <c r="J201" i="2" s="1"/>
  <c r="M201" i="2" s="1"/>
  <c r="M202" i="2"/>
  <c r="J75" i="2"/>
  <c r="J67" i="2" s="1"/>
  <c r="M67" i="2" s="1"/>
  <c r="M71" i="2"/>
  <c r="M75" i="2" s="1"/>
  <c r="J86" i="2"/>
  <c r="J78" i="2" s="1"/>
  <c r="M78" i="2" s="1"/>
  <c r="M82" i="2"/>
  <c r="M86" i="2" s="1"/>
  <c r="J131" i="2"/>
  <c r="J123" i="2" s="1"/>
  <c r="M123" i="2" s="1"/>
  <c r="M127" i="2"/>
  <c r="M131" i="2" s="1"/>
  <c r="J22" i="2"/>
  <c r="M22" i="2" s="1"/>
  <c r="M26" i="2"/>
  <c r="J142" i="2"/>
  <c r="J134" i="2" s="1"/>
  <c r="M134" i="2" s="1"/>
  <c r="M138" i="2"/>
  <c r="M142" i="2" s="1"/>
  <c r="M209" i="2" l="1"/>
  <c r="M217" i="2"/>
  <c r="M216" i="2"/>
  <c r="M215" i="2"/>
  <c r="M218" i="2"/>
  <c r="L222" i="2"/>
  <c r="M219" i="2"/>
  <c r="M220" i="2"/>
  <c r="M221" i="2"/>
  <c r="J222" i="2"/>
  <c r="L224" i="2" l="1"/>
  <c r="M222" i="2"/>
  <c r="J223" i="2"/>
  <c r="M223" i="2" l="1"/>
  <c r="M224" i="2" s="1"/>
  <c r="J224" i="2"/>
  <c r="G14" i="1" l="1"/>
  <c r="G28" i="1" l="1"/>
  <c r="D62" i="1" l="1"/>
  <c r="F65" i="1" l="1"/>
  <c r="E65" i="1"/>
  <c r="G64" i="1"/>
  <c r="G63" i="1"/>
  <c r="G62" i="1"/>
  <c r="D61" i="1"/>
  <c r="F58" i="1"/>
  <c r="E58" i="1"/>
  <c r="G57" i="1"/>
  <c r="D58" i="1"/>
  <c r="G55" i="1"/>
  <c r="G54" i="1"/>
  <c r="G53" i="1"/>
  <c r="F51" i="1"/>
  <c r="E51" i="1"/>
  <c r="D51" i="1"/>
  <c r="G50" i="1"/>
  <c r="G49" i="1"/>
  <c r="G48" i="1"/>
  <c r="F46" i="1"/>
  <c r="E46" i="1"/>
  <c r="D46" i="1"/>
  <c r="G45" i="1"/>
  <c r="G44" i="1"/>
  <c r="G43" i="1"/>
  <c r="F38" i="1"/>
  <c r="E38" i="1"/>
  <c r="D38" i="1"/>
  <c r="G37" i="1"/>
  <c r="G36" i="1"/>
  <c r="G35" i="1"/>
  <c r="G34" i="1"/>
  <c r="G33" i="1"/>
  <c r="F31" i="1"/>
  <c r="D31" i="1"/>
  <c r="E30" i="1"/>
  <c r="E29" i="1"/>
  <c r="G27" i="1"/>
  <c r="G26" i="1"/>
  <c r="F21" i="1"/>
  <c r="E21" i="1"/>
  <c r="D21" i="1"/>
  <c r="G20" i="1"/>
  <c r="G19" i="1"/>
  <c r="G17" i="1"/>
  <c r="F15" i="1"/>
  <c r="E15" i="1"/>
  <c r="D15" i="1"/>
  <c r="G13" i="1"/>
  <c r="G12" i="1"/>
  <c r="G11" i="1"/>
  <c r="G15" i="1" l="1"/>
  <c r="G51" i="1"/>
  <c r="G38" i="1"/>
  <c r="G46" i="1"/>
  <c r="I46" i="1"/>
  <c r="I38" i="1"/>
  <c r="I39" i="1" s="1"/>
  <c r="I15" i="1"/>
  <c r="I21" i="1"/>
  <c r="I51" i="1"/>
  <c r="E59" i="1"/>
  <c r="D59" i="1"/>
  <c r="F59" i="1"/>
  <c r="D65" i="1"/>
  <c r="D39" i="1"/>
  <c r="F39" i="1"/>
  <c r="D22" i="1"/>
  <c r="E22" i="1"/>
  <c r="F22" i="1"/>
  <c r="G30" i="1"/>
  <c r="E31" i="1"/>
  <c r="E39" i="1" s="1"/>
  <c r="G21" i="1"/>
  <c r="G29" i="1"/>
  <c r="G31" i="1" s="1"/>
  <c r="G39" i="1" s="1"/>
  <c r="G61" i="1"/>
  <c r="G56" i="1"/>
  <c r="I58" i="1" s="1"/>
  <c r="I65" i="1" l="1"/>
  <c r="G65" i="1"/>
  <c r="I59" i="1"/>
  <c r="F67" i="1"/>
  <c r="F73" i="1" s="1"/>
  <c r="I22" i="1"/>
  <c r="N65" i="1"/>
  <c r="E67" i="1"/>
  <c r="E73" i="1" s="1"/>
  <c r="D67" i="1"/>
  <c r="D73" i="1" s="1"/>
  <c r="G22" i="1"/>
  <c r="G58" i="1"/>
  <c r="G59" i="1" s="1"/>
  <c r="G67" i="1" l="1"/>
  <c r="G73" i="1" s="1"/>
  <c r="E74" i="1"/>
  <c r="E75" i="1" s="1"/>
  <c r="D74" i="1"/>
  <c r="D75" i="1" s="1"/>
  <c r="F74" i="1"/>
  <c r="F75" i="1" s="1"/>
  <c r="I67" i="1"/>
  <c r="E81" i="1" l="1"/>
  <c r="E82" i="1"/>
  <c r="G74" i="1"/>
  <c r="G75" i="1" s="1"/>
  <c r="G86" i="1" s="1"/>
  <c r="D82" i="1"/>
  <c r="D81" i="1"/>
  <c r="F82" i="1"/>
  <c r="F81" i="1"/>
  <c r="M30" i="2"/>
  <c r="G81" i="1" l="1"/>
  <c r="D83" i="1"/>
  <c r="G82" i="1"/>
  <c r="F83" i="1"/>
  <c r="E83" i="1"/>
  <c r="G83" i="1" l="1"/>
</calcChain>
</file>

<file path=xl/sharedStrings.xml><?xml version="1.0" encoding="utf-8"?>
<sst xmlns="http://schemas.openxmlformats.org/spreadsheetml/2006/main" count="366" uniqueCount="183">
  <si>
    <t xml:space="preserve">Annexe D - Révision budgétaire </t>
  </si>
  <si>
    <t>Nombre de resultat/ produit</t>
  </si>
  <si>
    <t>Formulation du resultat/ produit/activite</t>
  </si>
  <si>
    <t>Total</t>
  </si>
  <si>
    <t xml:space="preserve">Budget revisé (en USD) </t>
  </si>
  <si>
    <t xml:space="preserve">Total nouveau budget revisé du projet </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</si>
  <si>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</si>
  <si>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</si>
  <si>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ILO</t>
  </si>
  <si>
    <t>UNICEF</t>
  </si>
  <si>
    <t>UNFPA</t>
  </si>
  <si>
    <t xml:space="preserve">RESULTAT 1: </t>
  </si>
  <si>
    <t>Les autorités institutionnelles locales, régionales et nationales, les partenaires sociaux et la société civile, promeuvent plus de transparence et d’inclusion dans les décisions autour de la chaine d’approvisionnement de la filière vanille et les enjeux de la violence et de l’insécurité y afférents</t>
  </si>
  <si>
    <t>Produit 1.1:</t>
  </si>
  <si>
    <t>Un processus de concertation et de prise de décision (dialogue social) inclusif des acteurs clefs concernant la chaîne d’approvisionnement de la filière vanille est facilité</t>
  </si>
  <si>
    <t>Activite 1.1.1:</t>
  </si>
  <si>
    <t>Réaliser une cartographie des acteurs et des interventions autour de la chaîne d’approvisionnement de la filière vanille</t>
  </si>
  <si>
    <t>Activite 1.1.2:</t>
  </si>
  <si>
    <t xml:space="preserve">Mener des activités de renforcement de capacités des structures et groupes d’acteurs clefs (OSC, partenaires sociaux, producteurs, secteur privé, etc) pour une meilleure inclusivité </t>
  </si>
  <si>
    <t>Activite 1.1.3:</t>
  </si>
  <si>
    <t>Organiser des séries de dialogue social inclusif sur les questions clés de la filière vanille, notamment les questions de réglementation du secteur (Etat, opérateurs économiques, producteurs, collectivités, société civile)</t>
  </si>
  <si>
    <t>Activite 1.1.4</t>
  </si>
  <si>
    <t>Produit total</t>
  </si>
  <si>
    <t>Produit 1.2:</t>
  </si>
  <si>
    <t>Les institutions locales veillent plus aux risques de corruption dans le système de la chaîne d’approvisionnement de la filière vanil</t>
  </si>
  <si>
    <t>Activite 1.2.1</t>
  </si>
  <si>
    <t>Mener des actions de plaidoyer auprès des autorités régionales et nationales pour la révision des normes et politiques plus inclusives, transparentes et respectueuses des Droits de l’Homme sur les enjeux de la cohésion sociale dans les régions-cible.</t>
  </si>
  <si>
    <t>Mener des interventions pour soutenir la lutte anti-corruption dans la filière vanille</t>
  </si>
  <si>
    <t>Activite 1.2.2</t>
  </si>
  <si>
    <t>Mener des interventions pour soutenir la lutte anti-corruption (appui au BIANCO en partenariat avec le projet Gouvernance financé par PBF, appui technique et renforcement de capacités des autorités, des Forces de Défense et de Sécurité (FDS) et des Tribunaux de Première Instance des zones d’intervention en matière de lutte anti-corruption) dans la filière vanille</t>
  </si>
  <si>
    <t>Activite 1.2.3</t>
  </si>
  <si>
    <t>Appuyer les FDS pour renforcer leur contrôle dans les trois points de passage principaux de la vanille volée (Sava)</t>
  </si>
  <si>
    <t xml:space="preserve">RESULTAT 2: </t>
  </si>
  <si>
    <t>Les communautés affectées par la violence et l’insécurité liées au secteur de la vanille cherchent des réponses communes et collaborent avec les forces de défense et de sécurité</t>
  </si>
  <si>
    <t>Produit 2.1</t>
  </si>
  <si>
    <t>Les populations ont une compréhension et un rapprochement communautaire de qualité sur les questions de prévention de la violence dans le secteur de la vanille et les enjeux y afférents</t>
  </si>
  <si>
    <t>Activite 2.1.1</t>
  </si>
  <si>
    <t>Sensibiliser les communautés et le secteur privé sur les causes et les conséquences de la violence dans le secteur de la vanille, le respect mutuel, la solidarité et l’entraide, à travers les médias de proximité, les réseaux sociaux, les plateformes numériques et les pairs éducateurs</t>
  </si>
  <si>
    <t>Activite 2.1.2</t>
  </si>
  <si>
    <t>Organiser des dialogues communautaires et intergénérationnels sur les thématiques de la prévention de la délinquance, la violence, l’insécurité et la promotion de la cohésion sociale</t>
  </si>
  <si>
    <t>Activite 2.1.3</t>
  </si>
  <si>
    <t>Appuyer le renforcement des mécanismes de coordination et renforcement des capacités  des différents structures et acteurs communautaires dans la prévention de la délinquance des jeunes à travers la création d’un système de référencement, la dotation d’outils de travail, la formation sur le suivi et l’évaluation, y compris le suivi des « dinam-paritra » (convention collective locale)</t>
  </si>
  <si>
    <t>Appuyer le renforcement des mécanismes de coordination des différentes structures et acteurs communautaires dans la prévention de la délinquance des jeunes à travers la création d’un système de référencement au niveau des sites d’interventions.</t>
  </si>
  <si>
    <t>Activite 2.1.4</t>
  </si>
  <si>
    <t>Renforcer les capacités des structures mises en place par la dotation d’outils de travail, la formation sur le suivi et l’évaluation, y compris le suivi des « dinam-paritra » (convention collective locale).</t>
  </si>
  <si>
    <t>Produit 2.2</t>
  </si>
  <si>
    <t>Les communautés et les forces de défense et de sécurité collaborent dans la prévention de la violence dans le secteur de la vanille</t>
  </si>
  <si>
    <t>Activite 2.2.1</t>
  </si>
  <si>
    <t xml:space="preserve">Appuyer la mise en place de plateformes d’échanges, l’élaboration et la mise en œuvre de plan d’action pour la prévention et les réponses à la violence dans les communautés </t>
  </si>
  <si>
    <t>Appuyer la mise en place de plateformes d’échanges regroupant tous les acteurs (comités communautaires de vigilance, FDS, représentants des communautés et de la société civile, représentants des institutions étatiques clefs, secteur privé)</t>
  </si>
  <si>
    <t>Activite 2.2.2</t>
  </si>
  <si>
    <t xml:space="preserve">Appuyer l’élaboration et la mise en œuvre de plan d’action pour la prévention et les réponses à la violence dans les communautés par les plateformes d’échanges mises en place. </t>
  </si>
  <si>
    <t>Activite' 2.2.3</t>
  </si>
  <si>
    <t>Renforcer la collaboration entre les comités de vigilance et les FDS (dont par la mise en place des procédures opérationnelles standards)</t>
  </si>
  <si>
    <t>Activite 2.2.4</t>
  </si>
  <si>
    <t>Appuyer les associations de femmes et de jeunes pour une planification et un suivi de qualité de la mise en œuvre du plan d’actions pour la prévention et les réponses à la violence au sein des communautés</t>
  </si>
  <si>
    <t>Produit 2.3</t>
  </si>
  <si>
    <t>Produit 2.4</t>
  </si>
  <si>
    <t xml:space="preserve">RESULTAT 3: </t>
  </si>
  <si>
    <t xml:space="preserve">Les jeunes filles et garçons vulnérables sont encouragés et soutenus pour prévenir leur enrôlement dans la délinquance et la violence </t>
  </si>
  <si>
    <t>Produit 3.1</t>
  </si>
  <si>
    <t xml:space="preserve">L’expansion du phénomène « foroche » vers les zones de production de vanille est mieux connue et appréhendée par les acteurs locaux et nationaux </t>
  </si>
  <si>
    <t>Activite 3.1.1</t>
  </si>
  <si>
    <t>Mener une étude anthropologique sur le phénomène « Foroches », ses manifestations actuelles, ses mutations et son flux migratoire</t>
  </si>
  <si>
    <t>Activite 3.1.2</t>
  </si>
  <si>
    <t>Organiser des dialogues avec les jeunes membres des groupes « Foroches » en vue de véhiculer des messages liés à la non-violence, à la culture du vivre ensemble, etc,</t>
  </si>
  <si>
    <t>Activite 3.1.3</t>
  </si>
  <si>
    <t>Organiser des activités culturelles et sportives à destination des jeunes, en particulier les membres des différents groupes « Foroches »</t>
  </si>
  <si>
    <t>Produit 3.2:</t>
  </si>
  <si>
    <t xml:space="preserve">La résilience des jeunes vulnérables et à risque de s’engager dans la criminalité et violence liée à la filière vanille est renforcée </t>
  </si>
  <si>
    <t>Activite 3.2.1</t>
  </si>
  <si>
    <t>Renforcer les capacités des jeunes en matière de compétences pour la vie, de culture de non-violence et de vivre ensemble</t>
  </si>
  <si>
    <t>Activite 3.2.2</t>
  </si>
  <si>
    <t xml:space="preserve">Soutenir les jeunes vulnérables à travers le renforcement des capacités des structures et associations de jeunesse (ceci comprendra les activités culturelles et sportives) </t>
  </si>
  <si>
    <t>Activite 3.2.3</t>
  </si>
  <si>
    <t>Organiser des formations professionnelles sur mesure et mener un suivi-accompagnement post formation pour les jeunes vulnérables et à risque</t>
  </si>
  <si>
    <t>Produit 3.3</t>
  </si>
  <si>
    <t>Les jeunes en conflit avec la loi sont accompagnés pour prévenir leur récidive</t>
  </si>
  <si>
    <t>Activite 3.3.1</t>
  </si>
  <si>
    <t xml:space="preserve">Appuyer l’application des mesures alternatives à la détention pour les enfants en conflit avec la loi (exemple, liberté surveillée) </t>
  </si>
  <si>
    <t>Activite 3.3.2</t>
  </si>
  <si>
    <t>Soutenir les programmes d’accompagnement psychosocial pour les jeunes en conflit avec la loi et leurs familles pendant et après la détention ou les mesures alternatives à la détention, pour éviter la récidive</t>
  </si>
  <si>
    <t>Activite 3.3.3</t>
  </si>
  <si>
    <t>Renforcer les capacités des jeunes en conflit avec la loi en matière de compétences pour la vie, de culture de non-violence et de vivre ensemble</t>
  </si>
  <si>
    <t>Activite 3.3.4</t>
  </si>
  <si>
    <t>Organiser des formations professionnelles sur mesure et mener un suivi-accompagnement post formation pour les jeunes en conflit avec la loi</t>
  </si>
  <si>
    <t>Activite 3.3.5</t>
  </si>
  <si>
    <t>Mener des actions de plaidoyer auprès des autorités nationales pour l'application des mesures alternatives à la détention</t>
  </si>
  <si>
    <t>Produit 3.4</t>
  </si>
  <si>
    <t>Produit 4.1</t>
  </si>
  <si>
    <t>Produit 4.2</t>
  </si>
  <si>
    <t>Produit 4.3</t>
  </si>
  <si>
    <t>Produit 4.4</t>
  </si>
  <si>
    <t>Cout de personnel du projet si pas inclus dans les activites si-dessus</t>
  </si>
  <si>
    <t>OIT : Coordonnateur, Assitant Administratif et financier
UNICEF : Field Officer Protection de l'enfant Sava, Field Officer Protection de l'enfant Diana, Spécialiste communication, Spécialiste suivi et évaluation
UNFPA : Spécialiste jeune et consolidation de la paix, Chargé de programme adolescents, jeunes et VIH/SIDA</t>
  </si>
  <si>
    <t>Couts operationnels si pas inclus dans les activites si-dessus</t>
  </si>
  <si>
    <t>Budget de suivi</t>
  </si>
  <si>
    <t>Enquêtes de référence et de perception, Missions de suivi de terrain, Communication</t>
  </si>
  <si>
    <t>Budget pour l'évaluation finale indépendante</t>
  </si>
  <si>
    <t>Evaluation finale à la fin du projet</t>
  </si>
  <si>
    <t>Coûts supplémentaires total</t>
  </si>
  <si>
    <t xml:space="preserve">COUT TOTAL DU PROJET </t>
  </si>
  <si>
    <t>Totaux</t>
  </si>
  <si>
    <t>Agence recipendaire 1</t>
  </si>
  <si>
    <t>Agence recipiendaire 2</t>
  </si>
  <si>
    <t>Agence recipiendaire 3</t>
  </si>
  <si>
    <t>TOTAL</t>
  </si>
  <si>
    <t>Sous-budget total du projet</t>
  </si>
  <si>
    <t>Coûts indirects (7%):</t>
  </si>
  <si>
    <t>Répartition des tranches basée sur la performance</t>
  </si>
  <si>
    <t>Tranche %</t>
  </si>
  <si>
    <t>Première tranche</t>
  </si>
  <si>
    <t>Deuxième tranche</t>
  </si>
  <si>
    <t>$ alloué à S&amp;E</t>
  </si>
  <si>
    <t>% alloué à S&amp;E</t>
  </si>
  <si>
    <r>
      <t xml:space="preserve">Note: Le PBF n'accepte pas les projets avec moins de 5% pour le S&amp;E et moins 15% pour le GEWE. Ces chiffres apparaîtront </t>
    </r>
    <r>
      <rPr>
        <sz val="12"/>
        <color rgb="FFFF0000"/>
        <rFont val="Arial Narrow"/>
        <family val="2"/>
      </rPr>
      <t>en rouge</t>
    </r>
    <r>
      <rPr>
        <sz val="12"/>
        <color theme="1"/>
        <rFont val="Arial Narrow"/>
        <family val="2"/>
      </rPr>
      <t xml:space="preserve"> si ce seuil minimum n'est pas atteint.</t>
    </r>
  </si>
  <si>
    <t>Annexe D - REVISION BUDGETAIRE DU PROJET VANILLE</t>
  </si>
  <si>
    <t>Titre du Projet</t>
  </si>
  <si>
    <t>Prévention de la violence, de la délinquance juvénile et de l'insécurité dans les Régions DIANA et SAVA du Nord de Madagascar</t>
  </si>
  <si>
    <t xml:space="preserve">Agences de mise en œuvre </t>
  </si>
  <si>
    <t>OIT, UNICEF, UNFPA</t>
  </si>
  <si>
    <t xml:space="preserve">Zones d’intervention </t>
  </si>
  <si>
    <t>Brève description du projet:</t>
  </si>
  <si>
    <t xml:space="preserve">Contribuant à la consolidation d’un environnement favorable à la cohésion sociale, à la sécurité et au maintien de la performance de la filière vanille, l'intervention du projet porte sur la promotion du dialogue social et de la prise de décision transparente et inclusive ; la responsabilisation et l’appui à la participation et la coopération communautaire ainsi que l’appui à la résilience des enfants et des jeunes. </t>
  </si>
  <si>
    <t>Instructions:</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</si>
  <si>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2"/>
        <color rgb="FFFF0000"/>
        <rFont val="Arial Narrow"/>
        <family val="2"/>
      </rPr>
      <t xml:space="preserve"> en rouge</t>
    </r>
    <r>
      <rPr>
        <b/>
        <sz val="12"/>
        <color theme="1"/>
        <rFont val="Arial Narrow"/>
        <family val="2"/>
      </rPr>
      <t>.</t>
    </r>
  </si>
  <si>
    <t>Tableau 2 - Répartition des produits par catégories de budget de l’ONU</t>
  </si>
  <si>
    <t>Organisation recipiendiaire 1</t>
  </si>
  <si>
    <t>Organisation recipiendiaire 2</t>
  </si>
  <si>
    <t>Organisation recipiendiaire 3</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</si>
  <si>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</si>
  <si>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</si>
  <si>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</si>
  <si>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</si>
  <si>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</si>
  <si>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</si>
  <si>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</si>
  <si>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</si>
  <si>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</si>
  <si>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</si>
  <si>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</si>
  <si>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</si>
  <si>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</si>
  <si>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</si>
  <si>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</si>
  <si>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</si>
  <si>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</si>
  <si>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</si>
  <si>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</si>
  <si>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</si>
  <si>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</si>
  <si>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</si>
  <si>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</si>
  <si>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</si>
  <si>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</si>
  <si>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</si>
  <si>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</si>
  <si>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</si>
  <si>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</si>
  <si>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</si>
  <si>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</si>
  <si>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</si>
  <si>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</si>
  <si>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</si>
  <si>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</si>
  <si>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r>
      <t>Mener un plaidoyer au niveau national pour la révision de la politique pénale de la vanille,</t>
    </r>
    <r>
      <rPr>
        <strike/>
        <sz val="12"/>
        <color theme="1"/>
        <rFont val="Arial Narrow"/>
        <family val="2"/>
      </rPr>
      <t xml:space="preserve"> et au niveau régional pour une gouvernance plus transparente et inclusive des ristournes de la vanille  </t>
    </r>
  </si>
  <si>
    <t>TOTAL RESULTAT 1</t>
  </si>
  <si>
    <t>Total pour résultat 2</t>
  </si>
  <si>
    <t>Total Résultat 3</t>
  </si>
  <si>
    <t>Totaux (inchangés)</t>
  </si>
  <si>
    <t>Tableau 1 - Révision budgétaire du Projet Vanille par résultat, produit et activité</t>
  </si>
  <si>
    <t>Dépenses (en USD)</t>
  </si>
  <si>
    <t>Organisation recipiendaire 1</t>
  </si>
  <si>
    <t>Organisation recipiendaire 2</t>
  </si>
  <si>
    <t>TOTAL DEPENSES</t>
  </si>
  <si>
    <t>Organisation recipiendaire 3</t>
  </si>
  <si>
    <t>Totaux des dépenses (en USD)</t>
  </si>
  <si>
    <t>Région DIANA : Commune Urbaine d'Antsiranana, Commune urbaine d'Ambanja et Communes Rurale d'Ambohimena
Région SAVA : Communes Urbaines de Sambava et Antalaha, Communes Rurales de Bemanevika et Ampohibe</t>
  </si>
  <si>
    <r>
      <t>Niveau de depense/ engagement actuel en USD (a remplir au moment des rapports de projet)</t>
    </r>
    <r>
      <rPr>
        <b/>
        <sz val="10"/>
        <rFont val="Calibri"/>
        <family val="2"/>
      </rPr>
      <t xml:space="preserve"> </t>
    </r>
  </si>
  <si>
    <t>Budget révisé (en USD)</t>
  </si>
  <si>
    <t>Totaux budget révisé (en USD)</t>
  </si>
  <si>
    <t>Total niveau de dépense / engagement actuel en USD</t>
  </si>
  <si>
    <t>Budget 2020 2021 
Juin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</si>
</sst>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164" formatCode="_-* #,##0.00\ &quot;€&quot;_-;\-* #,##0.00\ &quot;€&quot;_-;_-* &quot;-&quot;??\ &quot;€&quot;_-;_-@_-"/>
    <numFmt numFmtId="165" formatCode="_-* #,##0.00_-;\-* #,##0.00_-;_-* &quot;-&quot;??_-;_-@_-"/>
    <numFmt numFmtId="166" formatCode="_-* #,##0\ _€_-;\-* #,##0\ _€_-;_-* &quot;-&quot;\ _€_-;_-@_-"/>
    <numFmt numFmtId="167" formatCode="_-* #,##0.00\ _€_-;\-* #,##0.00\ _€_-;_-* &quot;-&quot;??\ _€_-;_-@_-"/>
    <numFmt numFmtId="168" formatCode="_-[$$-409]* #,##0.00_ ;_-[$$-409]* \-#,##0.00\ ;_-[$$-409]* &quot;-&quot;??_ ;_-@_ "/>
    <numFmt numFmtId="169" formatCode="_-&quot;$&quot;* #,##0.00_-;\-&quot;$&quot;* #,##0.00_-;_-&quot;$&quot;* &quot;-&quot;??_-;_-@_-"/>
    <numFmt numFmtId="170" formatCode="[$$-409]#,##0.00"/>
    <numFmt numFmtId="171" formatCode="_-[$$-C09]* #,##0.00_-;\-[$$-C09]* #,##0.00_-;_-[$$-C09]* &quot;-&quot;??_-;_-@_-"/>
    <numFmt numFmtId="172" formatCode="_-* #,##0.00_-;\-* #,##0.00_-;_-* &quot;-&quot;_-;_-@_-"/>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2"/>
      <color rgb="FF00B0F0"/>
      <name val="Arial Narrow"/>
      <family val="2"/>
    </font>
    <font>
      <sz val="12"/>
      <color theme="1"/>
      <name val="Arial Narrow"/>
      <family val="2"/>
    </font>
    <font>
      <b/>
      <sz val="12"/>
      <color theme="1"/>
      <name val="Arial Narrow"/>
      <family val="2"/>
    </font>
    <font>
      <b/>
      <sz val="12"/>
      <color rgb="FFFF0000"/>
      <name val="Arial Narrow"/>
      <family val="2"/>
    </font>
    <font>
      <sz val="12"/>
      <color rgb="FFFF0000"/>
      <name val="Arial Narrow"/>
      <family val="2"/>
    </font>
    <font>
      <sz val="12"/>
      <name val="Arial Narrow"/>
      <family val="2"/>
    </font>
    <font>
      <sz val="12"/>
      <color theme="1"/>
      <name val="Calibri"/>
      <family val="2"/>
      <scheme val="minor"/>
    </font>
    <font>
      <b/>
      <sz val="12"/>
      <name val="Arial Narrow"/>
      <family val="2"/>
    </font>
    <font>
      <b/>
      <sz val="12"/>
      <color theme="1"/>
      <name val="Calibri"/>
      <family val="2"/>
      <scheme val="minor"/>
    </font>
    <font>
      <strike/>
      <sz val="12"/>
      <color theme="1"/>
      <name val="Arial Narrow"/>
      <family val="2"/>
    </font>
    <font>
      <b/>
      <sz val="16"/>
      <color rgb="FF00B0F0"/>
      <name val="Arial Narrow"/>
      <family val="2"/>
    </font>
    <font>
      <b/>
      <sz val="14"/>
      <color theme="1"/>
      <name val="Arial Narrow"/>
      <family val="2"/>
    </font>
    <font>
      <sz val="14"/>
      <color theme="1"/>
      <name val="Arial Narrow"/>
      <family val="2"/>
    </font>
    <font>
      <b/>
      <sz val="12"/>
      <name val="Calibri"/>
      <family val="2"/>
      <scheme val="minor"/>
    </font>
    <font>
      <sz val="12"/>
      <name val="Calibri"/>
      <family val="2"/>
      <scheme val="minor"/>
    </font>
    <font>
      <i/>
      <sz val="12"/>
      <color theme="1"/>
      <name val="Arial Narrow"/>
      <family val="2"/>
    </font>
    <font>
      <i/>
      <sz val="12"/>
      <name val="Calibri"/>
      <family val="2"/>
      <scheme val="minor"/>
    </font>
    <font>
      <b/>
      <sz val="12"/>
      <color theme="1"/>
      <name val="Tahoma"/>
      <family val="2"/>
    </font>
    <font>
      <b/>
      <sz val="14"/>
      <color theme="1"/>
      <name val="Tahoma"/>
      <family val="2"/>
    </font>
    <font>
      <sz val="14"/>
      <color theme="1"/>
      <name val="Calibri"/>
      <family val="2"/>
      <scheme val="minor"/>
    </font>
    <font>
      <sz val="10"/>
      <name val="Calibri"/>
      <family val="2"/>
    </font>
    <font>
      <b/>
      <sz val="10"/>
      <name val="Calibri"/>
      <family val="2"/>
    </font>
    <font>
      <b/>
      <sz val="20"/>
      <color rgb="FFFF0000"/>
      <name val="Arial Narrow"/>
      <family val="2"/>
    </font>
    <font>
      <b/>
      <sz val="16"/>
      <color rgb="FFFF0000"/>
      <name val="Arial Narrow"/>
      <family val="2"/>
    </font>
    <font>
      <b/>
      <i/>
      <sz val="16"/>
      <color rgb="FFFF0000"/>
      <name val="Arial Narrow"/>
      <family val="2"/>
    </font>
    <font>
      <i/>
      <sz val="12"/>
      <color rgb="FFFF0000"/>
      <name val="Arial Narrow"/>
      <family val="2"/>
    </font>
    <font>
      <b/>
      <sz val="14"/>
      <color rgb="FFFF0000"/>
      <name val="Arial Narrow"/>
      <family val="2"/>
    </font>
  </fonts>
  <fills count="1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6795556505021"/>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bottom style="thin">
        <color indexed="64"/>
      </bottom>
      <diagonal/>
    </border>
    <border>
      <left/>
      <right style="medium">
        <color indexed="64"/>
      </right>
      <top style="medium">
        <color indexed="64"/>
      </top>
      <bottom/>
      <diagonal/>
    </border>
    <border>
      <left style="thin">
        <color auto="1"/>
      </left>
      <right style="thin">
        <color auto="1"/>
      </right>
      <top style="medium">
        <color auto="1"/>
      </top>
      <bottom style="thin">
        <color auto="1"/>
      </bottom>
      <diagonal/>
    </border>
    <border>
      <left style="thin">
        <color auto="1"/>
      </left>
      <right/>
      <top/>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auto="1"/>
      </right>
      <top style="medium">
        <color auto="1"/>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thin">
        <color auto="1"/>
      </left>
      <right/>
      <top style="thin">
        <color auto="1"/>
      </top>
      <bottom style="medium">
        <color auto="1"/>
      </bottom>
      <diagonal/>
    </border>
    <border>
      <left style="thin">
        <color auto="1"/>
      </left>
      <right/>
      <top style="medium">
        <color auto="1"/>
      </top>
      <bottom/>
      <diagonal/>
    </border>
  </borders>
  <cellStyleXfs count="9">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405">
    <xf numFmtId="0" fontId="0" fillId="0" borderId="0" xfId="0"/>
    <xf numFmtId="0" fontId="4" fillId="0" borderId="0" xfId="0" applyFont="1" applyBorder="1" applyAlignment="1">
      <alignment wrapText="1"/>
    </xf>
    <xf numFmtId="0" fontId="3" fillId="0" borderId="0" xfId="0" applyFont="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wrapText="1"/>
    </xf>
    <xf numFmtId="0" fontId="4" fillId="3" borderId="0" xfId="0" applyFont="1" applyFill="1" applyBorder="1" applyAlignment="1">
      <alignment wrapText="1"/>
    </xf>
    <xf numFmtId="0" fontId="5" fillId="4" borderId="8" xfId="0" applyFont="1" applyFill="1" applyBorder="1" applyAlignment="1" applyProtection="1">
      <alignment horizontal="center" vertical="center" wrapText="1"/>
      <protection locked="0"/>
    </xf>
    <xf numFmtId="0" fontId="5" fillId="5" borderId="8" xfId="0" applyFont="1" applyFill="1" applyBorder="1" applyAlignment="1" applyProtection="1">
      <alignment horizontal="center" vertical="center" wrapText="1"/>
      <protection locked="0"/>
    </xf>
    <xf numFmtId="0" fontId="5" fillId="6" borderId="8" xfId="0" applyFont="1" applyFill="1" applyBorder="1" applyAlignment="1" applyProtection="1">
      <alignment vertical="center" wrapText="1"/>
    </xf>
    <xf numFmtId="164" fontId="5" fillId="0" borderId="0" xfId="2" applyFont="1" applyFill="1" applyBorder="1" applyAlignment="1" applyProtection="1">
      <alignment vertical="center" wrapText="1"/>
    </xf>
    <xf numFmtId="0" fontId="4" fillId="6" borderId="8" xfId="0" applyFont="1" applyFill="1" applyBorder="1" applyAlignment="1" applyProtection="1">
      <alignment vertical="center" wrapText="1"/>
    </xf>
    <xf numFmtId="0" fontId="4" fillId="0" borderId="8" xfId="0" applyFont="1" applyBorder="1" applyAlignment="1" applyProtection="1">
      <alignment vertical="center" wrapText="1"/>
      <protection locked="0"/>
    </xf>
    <xf numFmtId="44" fontId="8" fillId="5" borderId="8" xfId="2" applyNumberFormat="1" applyFont="1" applyFill="1" applyBorder="1" applyAlignment="1" applyProtection="1">
      <alignment horizontal="center" vertical="center" wrapText="1"/>
    </xf>
    <xf numFmtId="49" fontId="4" fillId="0" borderId="8" xfId="2" applyNumberFormat="1"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4" fillId="0" borderId="8" xfId="0" applyFont="1" applyBorder="1" applyAlignment="1" applyProtection="1">
      <alignment horizontal="left" vertical="top" wrapText="1"/>
      <protection locked="0"/>
    </xf>
    <xf numFmtId="44" fontId="4" fillId="3" borderId="8" xfId="4" applyNumberFormat="1" applyFont="1" applyFill="1" applyBorder="1" applyAlignment="1" applyProtection="1">
      <alignment horizontal="center" vertical="center" wrapText="1"/>
      <protection locked="0"/>
    </xf>
    <xf numFmtId="44" fontId="4" fillId="3" borderId="8" xfId="2" applyNumberFormat="1" applyFont="1" applyFill="1" applyBorder="1" applyAlignment="1" applyProtection="1">
      <alignment horizontal="center" vertical="center" wrapText="1"/>
      <protection locked="0"/>
    </xf>
    <xf numFmtId="49" fontId="4" fillId="3" borderId="8" xfId="2" applyNumberFormat="1" applyFont="1" applyFill="1" applyBorder="1" applyAlignment="1" applyProtection="1">
      <alignment horizontal="left" wrapText="1"/>
      <protection locked="0"/>
    </xf>
    <xf numFmtId="0" fontId="5" fillId="4" borderId="8" xfId="0" applyFont="1" applyFill="1" applyBorder="1" applyAlignment="1" applyProtection="1">
      <alignment vertical="center" wrapText="1"/>
    </xf>
    <xf numFmtId="44" fontId="5" fillId="4" borderId="8" xfId="2" applyNumberFormat="1" applyFont="1" applyFill="1" applyBorder="1" applyAlignment="1" applyProtection="1">
      <alignment horizontal="center" vertical="center" wrapText="1"/>
    </xf>
    <xf numFmtId="44" fontId="10" fillId="5" borderId="8" xfId="2" applyNumberFormat="1" applyFont="1" applyFill="1" applyBorder="1" applyAlignment="1" applyProtection="1">
      <alignment horizontal="center" vertical="center" wrapText="1"/>
    </xf>
    <xf numFmtId="44" fontId="11" fillId="4" borderId="8" xfId="4" applyFont="1" applyFill="1" applyBorder="1" applyAlignment="1" applyProtection="1">
      <alignment horizontal="center" vertical="center" wrapText="1"/>
    </xf>
    <xf numFmtId="164" fontId="5" fillId="4" borderId="8" xfId="2" applyFont="1" applyFill="1" applyBorder="1" applyAlignment="1" applyProtection="1">
      <alignment horizontal="center" vertical="center" wrapText="1"/>
    </xf>
    <xf numFmtId="0" fontId="12" fillId="0" borderId="8" xfId="0" applyFont="1" applyBorder="1" applyAlignment="1" applyProtection="1">
      <alignment horizontal="left" vertical="top" wrapText="1"/>
      <protection locked="0"/>
    </xf>
    <xf numFmtId="0" fontId="0" fillId="3" borderId="0" xfId="0" applyFont="1" applyFill="1" applyBorder="1" applyAlignment="1">
      <alignment wrapText="1"/>
    </xf>
    <xf numFmtId="0" fontId="2" fillId="0" borderId="8" xfId="0" applyFont="1" applyBorder="1" applyAlignment="1" applyProtection="1">
      <alignment horizontal="left" vertical="top" wrapText="1"/>
      <protection locked="0"/>
    </xf>
    <xf numFmtId="0" fontId="0" fillId="0" borderId="0" xfId="0" applyFont="1" applyBorder="1" applyAlignment="1">
      <alignment wrapText="1"/>
    </xf>
    <xf numFmtId="44" fontId="10" fillId="5" borderId="4" xfId="2" applyNumberFormat="1" applyFont="1" applyFill="1" applyBorder="1" applyAlignment="1" applyProtection="1">
      <alignment horizontal="center" vertical="center" wrapText="1"/>
    </xf>
    <xf numFmtId="0" fontId="4" fillId="3" borderId="0" xfId="0" applyFont="1" applyFill="1" applyBorder="1" applyAlignment="1" applyProtection="1">
      <alignment vertical="center" wrapText="1"/>
      <protection locked="0"/>
    </xf>
    <xf numFmtId="0" fontId="4" fillId="3" borderId="0" xfId="0" applyFont="1" applyFill="1" applyBorder="1" applyAlignment="1" applyProtection="1">
      <alignment horizontal="left" vertical="top" wrapText="1"/>
      <protection locked="0"/>
    </xf>
    <xf numFmtId="164" fontId="4" fillId="3" borderId="0" xfId="2" applyFont="1" applyFill="1" applyBorder="1" applyAlignment="1" applyProtection="1">
      <alignment horizontal="center" vertical="center" wrapText="1"/>
      <protection locked="0"/>
    </xf>
    <xf numFmtId="0" fontId="7" fillId="0" borderId="8" xfId="0" applyFont="1" applyBorder="1" applyAlignment="1" applyProtection="1">
      <alignment horizontal="left" vertical="top" wrapText="1"/>
      <protection locked="0"/>
    </xf>
    <xf numFmtId="0" fontId="7" fillId="0" borderId="8" xfId="0" applyFont="1" applyBorder="1" applyAlignment="1" applyProtection="1">
      <alignment horizontal="center" vertical="top" wrapText="1"/>
      <protection locked="0"/>
    </xf>
    <xf numFmtId="0" fontId="5" fillId="3" borderId="0" xfId="0" applyFont="1" applyFill="1" applyBorder="1" applyAlignment="1" applyProtection="1">
      <alignment vertical="center" wrapText="1"/>
    </xf>
    <xf numFmtId="164" fontId="4" fillId="3" borderId="0" xfId="2"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4" fillId="0" borderId="8" xfId="0" applyFont="1" applyBorder="1" applyAlignment="1" applyProtection="1">
      <alignment horizontal="left" vertical="top" wrapText="1"/>
    </xf>
    <xf numFmtId="0" fontId="4" fillId="3" borderId="6" xfId="0" applyFont="1" applyFill="1" applyBorder="1" applyAlignment="1" applyProtection="1">
      <alignment vertical="center" wrapText="1"/>
      <protection locked="0"/>
    </xf>
    <xf numFmtId="0" fontId="4" fillId="3" borderId="8" xfId="0" applyFont="1" applyFill="1" applyBorder="1" applyAlignment="1" applyProtection="1">
      <alignment vertical="center" wrapText="1"/>
      <protection locked="0"/>
    </xf>
    <xf numFmtId="168" fontId="8" fillId="5" borderId="8" xfId="2" applyNumberFormat="1" applyFont="1" applyFill="1" applyBorder="1" applyAlignment="1" applyProtection="1">
      <alignment vertical="center" wrapText="1"/>
    </xf>
    <xf numFmtId="169" fontId="8" fillId="5" borderId="8" xfId="2" applyNumberFormat="1" applyFont="1" applyFill="1" applyBorder="1" applyAlignment="1" applyProtection="1">
      <alignment vertical="center" wrapText="1"/>
    </xf>
    <xf numFmtId="49" fontId="4" fillId="0" borderId="8" xfId="0" applyNumberFormat="1" applyFont="1" applyBorder="1" applyAlignment="1" applyProtection="1">
      <alignment horizontal="left" wrapText="1"/>
      <protection locked="0"/>
    </xf>
    <xf numFmtId="0" fontId="4" fillId="3" borderId="7" xfId="0" applyFont="1" applyFill="1" applyBorder="1" applyAlignment="1" applyProtection="1">
      <alignment vertical="center" wrapText="1"/>
      <protection locked="0"/>
    </xf>
    <xf numFmtId="0" fontId="5" fillId="4" borderId="9" xfId="0" applyFont="1" applyFill="1" applyBorder="1" applyAlignment="1" applyProtection="1">
      <alignment vertical="center" wrapText="1"/>
    </xf>
    <xf numFmtId="0" fontId="5" fillId="7" borderId="8" xfId="0" applyFont="1" applyFill="1" applyBorder="1" applyAlignment="1" applyProtection="1">
      <alignment vertical="center" wrapText="1"/>
      <protection locked="0"/>
    </xf>
    <xf numFmtId="44" fontId="10" fillId="5" borderId="10" xfId="2" applyNumberFormat="1" applyFont="1" applyFill="1" applyBorder="1" applyAlignment="1" applyProtection="1">
      <alignment horizontal="center" vertical="center" wrapText="1"/>
    </xf>
    <xf numFmtId="0" fontId="5" fillId="3" borderId="0" xfId="0" applyFont="1" applyFill="1" applyBorder="1" applyAlignment="1" applyProtection="1">
      <alignment vertical="center" wrapText="1"/>
      <protection locked="0"/>
    </xf>
    <xf numFmtId="164" fontId="8" fillId="3" borderId="0" xfId="2" applyFont="1" applyFill="1" applyBorder="1" applyAlignment="1" applyProtection="1">
      <alignment vertical="center" wrapText="1"/>
      <protection locked="0"/>
    </xf>
    <xf numFmtId="0" fontId="5" fillId="5" borderId="11" xfId="0" applyFont="1" applyFill="1" applyBorder="1" applyAlignment="1" applyProtection="1">
      <alignment vertical="center" wrapText="1"/>
      <protection locked="0"/>
    </xf>
    <xf numFmtId="44" fontId="5" fillId="5" borderId="10" xfId="2" applyNumberFormat="1" applyFont="1" applyFill="1" applyBorder="1" applyAlignment="1" applyProtection="1">
      <alignment horizontal="center" vertical="center" wrapText="1"/>
    </xf>
    <xf numFmtId="0" fontId="5" fillId="5" borderId="12" xfId="0" applyFont="1" applyFill="1" applyBorder="1" applyAlignment="1" applyProtection="1">
      <alignment vertical="center" wrapText="1"/>
      <protection locked="0"/>
    </xf>
    <xf numFmtId="0" fontId="9" fillId="4" borderId="8" xfId="0" applyFont="1" applyFill="1" applyBorder="1" applyAlignment="1" applyProtection="1">
      <alignment horizontal="center" vertical="center" wrapText="1"/>
    </xf>
    <xf numFmtId="0" fontId="4" fillId="3" borderId="0" xfId="0" applyFont="1" applyFill="1" applyBorder="1" applyAlignment="1" applyProtection="1">
      <alignment vertical="center" wrapText="1"/>
    </xf>
    <xf numFmtId="0" fontId="4" fillId="3"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wrapText="1"/>
    </xf>
    <xf numFmtId="171" fontId="5" fillId="4" borderId="24" xfId="2" applyNumberFormat="1" applyFont="1" applyFill="1" applyBorder="1" applyAlignment="1" applyProtection="1">
      <alignment vertical="center" wrapText="1"/>
    </xf>
    <xf numFmtId="44" fontId="5" fillId="3" borderId="0" xfId="0" applyNumberFormat="1" applyFont="1" applyFill="1" applyBorder="1" applyAlignment="1">
      <alignment vertical="center" wrapText="1"/>
    </xf>
    <xf numFmtId="171" fontId="5" fillId="4" borderId="8" xfId="2" applyNumberFormat="1" applyFont="1" applyFill="1" applyBorder="1" applyAlignment="1" applyProtection="1">
      <alignment vertical="center" wrapText="1"/>
    </xf>
    <xf numFmtId="9" fontId="5" fillId="3" borderId="21" xfId="3" applyFont="1" applyFill="1" applyBorder="1" applyAlignment="1" applyProtection="1">
      <alignment vertical="center" wrapText="1"/>
      <protection locked="0"/>
    </xf>
    <xf numFmtId="171" fontId="5" fillId="4" borderId="23" xfId="2" applyNumberFormat="1" applyFont="1" applyFill="1" applyBorder="1" applyAlignment="1" applyProtection="1">
      <alignment vertical="center" wrapText="1"/>
    </xf>
    <xf numFmtId="9" fontId="5" fillId="4" borderId="24" xfId="3" applyFont="1" applyFill="1" applyBorder="1" applyAlignment="1" applyProtection="1">
      <alignment vertical="center" wrapText="1"/>
    </xf>
    <xf numFmtId="10" fontId="5" fillId="4" borderId="21" xfId="3" applyNumberFormat="1" applyFont="1" applyFill="1" applyBorder="1" applyAlignment="1" applyProtection="1">
      <alignment wrapText="1"/>
    </xf>
    <xf numFmtId="44" fontId="5" fillId="4" borderId="21" xfId="3" applyNumberFormat="1" applyFont="1" applyFill="1" applyBorder="1" applyAlignment="1" applyProtection="1">
      <alignment wrapText="1"/>
    </xf>
    <xf numFmtId="44" fontId="5" fillId="3" borderId="0" xfId="3" applyNumberFormat="1" applyFont="1" applyFill="1" applyBorder="1" applyAlignment="1">
      <alignment wrapText="1"/>
    </xf>
    <xf numFmtId="0" fontId="14" fillId="3" borderId="26" xfId="0" applyFont="1" applyFill="1" applyBorder="1" applyAlignment="1">
      <alignment horizontal="justify" vertical="center" wrapText="1"/>
    </xf>
    <xf numFmtId="0" fontId="14" fillId="3" borderId="20" xfId="0" applyFont="1" applyFill="1" applyBorder="1" applyAlignment="1">
      <alignment horizontal="left" vertical="center" wrapText="1"/>
    </xf>
    <xf numFmtId="0" fontId="5" fillId="0" borderId="0" xfId="0" applyFont="1" applyBorder="1" applyAlignment="1">
      <alignment wrapText="1"/>
    </xf>
    <xf numFmtId="0" fontId="5" fillId="3" borderId="0" xfId="0" applyFont="1" applyFill="1" applyBorder="1" applyAlignment="1">
      <alignment horizontal="left" wrapText="1"/>
    </xf>
    <xf numFmtId="0" fontId="5" fillId="0" borderId="0" xfId="0" applyFont="1" applyFill="1" applyBorder="1" applyAlignment="1">
      <alignment horizontal="left" wrapText="1"/>
    </xf>
    <xf numFmtId="0" fontId="5" fillId="3" borderId="0" xfId="0" applyFont="1" applyFill="1" applyBorder="1" applyAlignment="1">
      <alignment horizontal="left" vertical="center" wrapText="1"/>
    </xf>
    <xf numFmtId="0" fontId="9" fillId="4" borderId="20" xfId="0" applyFont="1" applyFill="1" applyBorder="1" applyAlignment="1" applyProtection="1">
      <alignment horizontal="center" vertical="center" wrapText="1"/>
    </xf>
    <xf numFmtId="164" fontId="5" fillId="4" borderId="20" xfId="2" applyFont="1" applyFill="1" applyBorder="1" applyAlignment="1" applyProtection="1">
      <alignment horizontal="center" vertical="center" wrapText="1"/>
    </xf>
    <xf numFmtId="0" fontId="5" fillId="4" borderId="30" xfId="0" applyFont="1" applyFill="1" applyBorder="1" applyAlignment="1">
      <alignment horizontal="left" wrapText="1"/>
    </xf>
    <xf numFmtId="44" fontId="5" fillId="4" borderId="20" xfId="0" applyNumberFormat="1" applyFont="1" applyFill="1" applyBorder="1" applyAlignment="1">
      <alignment horizontal="center" wrapText="1"/>
    </xf>
    <xf numFmtId="44" fontId="5" fillId="4" borderId="21" xfId="0" applyNumberFormat="1" applyFont="1" applyFill="1" applyBorder="1" applyAlignment="1">
      <alignment wrapText="1"/>
    </xf>
    <xf numFmtId="44" fontId="16" fillId="10" borderId="20" xfId="0" applyNumberFormat="1" applyFont="1" applyFill="1" applyBorder="1" applyAlignment="1">
      <alignment horizontal="center" wrapText="1"/>
    </xf>
    <xf numFmtId="44" fontId="16" fillId="13" borderId="21" xfId="0" applyNumberFormat="1" applyFont="1" applyFill="1" applyBorder="1" applyAlignment="1">
      <alignment horizontal="center" wrapText="1"/>
    </xf>
    <xf numFmtId="0" fontId="4" fillId="4" borderId="47" xfId="0" applyFont="1" applyFill="1" applyBorder="1" applyAlignment="1" applyProtection="1">
      <alignment vertical="center" wrapText="1"/>
    </xf>
    <xf numFmtId="44" fontId="4" fillId="0" borderId="20" xfId="0" applyNumberFormat="1" applyFont="1" applyBorder="1" applyAlignment="1" applyProtection="1">
      <alignment wrapText="1"/>
      <protection locked="0"/>
    </xf>
    <xf numFmtId="44" fontId="4" fillId="3" borderId="9" xfId="4" applyNumberFormat="1" applyFont="1" applyFill="1" applyBorder="1" applyAlignment="1" applyProtection="1">
      <alignment horizontal="center" vertical="center" wrapText="1"/>
      <protection locked="0"/>
    </xf>
    <xf numFmtId="0" fontId="4" fillId="4" borderId="28" xfId="0" applyFont="1" applyFill="1" applyBorder="1" applyAlignment="1" applyProtection="1">
      <alignment vertical="center" wrapText="1"/>
    </xf>
    <xf numFmtId="44" fontId="4" fillId="0" borderId="8" xfId="0" applyNumberFormat="1" applyFont="1" applyBorder="1" applyAlignment="1" applyProtection="1">
      <alignment wrapText="1"/>
      <protection locked="0"/>
    </xf>
    <xf numFmtId="0" fontId="4" fillId="4" borderId="28" xfId="0" applyFont="1" applyFill="1" applyBorder="1" applyAlignment="1" applyProtection="1">
      <alignment vertical="center" wrapText="1"/>
      <protection locked="0"/>
    </xf>
    <xf numFmtId="164" fontId="5" fillId="7" borderId="30" xfId="2" applyFont="1" applyFill="1" applyBorder="1" applyAlignment="1" applyProtection="1">
      <alignment wrapText="1"/>
    </xf>
    <xf numFmtId="44" fontId="5" fillId="7" borderId="22" xfId="2" applyNumberFormat="1" applyFont="1" applyFill="1" applyBorder="1" applyAlignment="1">
      <alignment wrapText="1"/>
    </xf>
    <xf numFmtId="44" fontId="5" fillId="7" borderId="23" xfId="2" applyNumberFormat="1" applyFont="1" applyFill="1" applyBorder="1" applyAlignment="1">
      <alignment wrapText="1"/>
    </xf>
    <xf numFmtId="44" fontId="5" fillId="7" borderId="24" xfId="2" applyNumberFormat="1" applyFont="1" applyFill="1" applyBorder="1" applyAlignment="1">
      <alignment wrapText="1"/>
    </xf>
    <xf numFmtId="44" fontId="16" fillId="10" borderId="22" xfId="2" applyNumberFormat="1" applyFont="1" applyFill="1" applyBorder="1" applyAlignment="1">
      <alignment wrapText="1"/>
    </xf>
    <xf numFmtId="44" fontId="16" fillId="10" borderId="23" xfId="2" applyNumberFormat="1" applyFont="1" applyFill="1" applyBorder="1" applyAlignment="1">
      <alignment wrapText="1"/>
    </xf>
    <xf numFmtId="44" fontId="16" fillId="10" borderId="24" xfId="2" applyNumberFormat="1" applyFont="1" applyFill="1" applyBorder="1" applyAlignment="1">
      <alignment wrapText="1"/>
    </xf>
    <xf numFmtId="0" fontId="4" fillId="0" borderId="0" xfId="0" applyFont="1" applyBorder="1" applyAlignment="1">
      <alignment vertical="center" wrapText="1"/>
    </xf>
    <xf numFmtId="0" fontId="5" fillId="4" borderId="38" xfId="0" applyFont="1" applyFill="1" applyBorder="1" applyAlignment="1">
      <alignment vertical="center" wrapText="1"/>
    </xf>
    <xf numFmtId="0" fontId="5" fillId="4" borderId="39" xfId="0" applyFont="1" applyFill="1" applyBorder="1" applyAlignment="1">
      <alignment vertical="center" wrapText="1"/>
    </xf>
    <xf numFmtId="0" fontId="5" fillId="4" borderId="48" xfId="0" applyFont="1" applyFill="1" applyBorder="1" applyAlignment="1">
      <alignment vertical="center" wrapText="1"/>
    </xf>
    <xf numFmtId="44" fontId="11" fillId="14" borderId="27" xfId="0" applyNumberFormat="1" applyFont="1" applyFill="1" applyBorder="1" applyAlignment="1">
      <alignment horizontal="center" vertical="center" wrapText="1"/>
    </xf>
    <xf numFmtId="0" fontId="5" fillId="4" borderId="30" xfId="0" applyFont="1" applyFill="1" applyBorder="1" applyAlignment="1">
      <alignment horizontal="left" vertical="center" wrapText="1"/>
    </xf>
    <xf numFmtId="44" fontId="5" fillId="4" borderId="20" xfId="0" applyNumberFormat="1" applyFont="1" applyFill="1" applyBorder="1" applyAlignment="1">
      <alignment horizontal="center" vertical="center" wrapText="1"/>
    </xf>
    <xf numFmtId="44" fontId="5" fillId="4" borderId="21" xfId="0" applyNumberFormat="1" applyFont="1" applyFill="1" applyBorder="1" applyAlignment="1">
      <alignment vertical="center" wrapText="1"/>
    </xf>
    <xf numFmtId="44" fontId="4" fillId="0" borderId="20" xfId="0" applyNumberFormat="1" applyFont="1" applyBorder="1" applyAlignment="1" applyProtection="1">
      <alignment vertical="center" wrapText="1"/>
      <protection locked="0"/>
    </xf>
    <xf numFmtId="44" fontId="4" fillId="0" borderId="8" xfId="0" applyNumberFormat="1" applyFont="1" applyBorder="1" applyAlignment="1" applyProtection="1">
      <alignment vertical="center" wrapText="1"/>
      <protection locked="0"/>
    </xf>
    <xf numFmtId="164" fontId="5" fillId="7" borderId="30" xfId="2" applyFont="1" applyFill="1" applyBorder="1" applyAlignment="1" applyProtection="1">
      <alignment vertical="center" wrapText="1"/>
    </xf>
    <xf numFmtId="44" fontId="5" fillId="7" borderId="22" xfId="2" applyNumberFormat="1" applyFont="1" applyFill="1" applyBorder="1" applyAlignment="1">
      <alignment vertical="center" wrapText="1"/>
    </xf>
    <xf numFmtId="44" fontId="5" fillId="7" borderId="23" xfId="2" applyNumberFormat="1" applyFont="1" applyFill="1" applyBorder="1" applyAlignment="1">
      <alignment vertical="center" wrapText="1"/>
    </xf>
    <xf numFmtId="44" fontId="5" fillId="7" borderId="24" xfId="2" applyNumberFormat="1" applyFont="1" applyFill="1" applyBorder="1" applyAlignment="1">
      <alignment vertical="center" wrapText="1"/>
    </xf>
    <xf numFmtId="164" fontId="5" fillId="3" borderId="50" xfId="2" applyFont="1" applyFill="1" applyBorder="1" applyAlignment="1" applyProtection="1">
      <alignment wrapText="1"/>
    </xf>
    <xf numFmtId="0" fontId="5" fillId="4" borderId="38" xfId="0" applyFont="1" applyFill="1" applyBorder="1" applyAlignment="1">
      <alignment wrapText="1"/>
    </xf>
    <xf numFmtId="0" fontId="5" fillId="4" borderId="39" xfId="0" applyFont="1" applyFill="1" applyBorder="1" applyAlignment="1">
      <alignment wrapText="1"/>
    </xf>
    <xf numFmtId="0" fontId="5" fillId="4" borderId="48" xfId="0" applyFont="1" applyFill="1" applyBorder="1" applyAlignment="1">
      <alignment wrapText="1"/>
    </xf>
    <xf numFmtId="44" fontId="5" fillId="4" borderId="8" xfId="0" applyNumberFormat="1" applyFont="1" applyFill="1" applyBorder="1" applyAlignment="1">
      <alignment horizontal="center" wrapText="1"/>
    </xf>
    <xf numFmtId="44" fontId="16" fillId="10" borderId="26" xfId="0" applyNumberFormat="1" applyFont="1" applyFill="1" applyBorder="1" applyAlignment="1">
      <alignment horizontal="center" wrapText="1"/>
    </xf>
    <xf numFmtId="44" fontId="16" fillId="10" borderId="49" xfId="0" applyNumberFormat="1" applyFont="1" applyFill="1" applyBorder="1" applyAlignment="1">
      <alignment horizontal="center" wrapText="1"/>
    </xf>
    <xf numFmtId="44" fontId="5" fillId="4" borderId="24" xfId="0" applyNumberFormat="1" applyFont="1" applyFill="1" applyBorder="1" applyAlignment="1">
      <alignment wrapText="1"/>
    </xf>
    <xf numFmtId="0" fontId="5" fillId="4" borderId="13" xfId="0" applyFont="1" applyFill="1" applyBorder="1" applyAlignment="1">
      <alignment wrapText="1"/>
    </xf>
    <xf numFmtId="0" fontId="5" fillId="4" borderId="14" xfId="0" applyFont="1" applyFill="1" applyBorder="1" applyAlignment="1">
      <alignment wrapText="1"/>
    </xf>
    <xf numFmtId="0" fontId="5" fillId="4" borderId="15" xfId="0" applyFont="1" applyFill="1" applyBorder="1" applyAlignment="1">
      <alignment wrapText="1"/>
    </xf>
    <xf numFmtId="44" fontId="5" fillId="4" borderId="8" xfId="0" applyNumberFormat="1" applyFont="1" applyFill="1" applyBorder="1" applyAlignment="1">
      <alignment horizontal="center" vertical="center" wrapText="1"/>
    </xf>
    <xf numFmtId="44" fontId="5" fillId="4" borderId="24" xfId="0" applyNumberFormat="1" applyFont="1" applyFill="1" applyBorder="1" applyAlignment="1">
      <alignment vertical="center" wrapText="1"/>
    </xf>
    <xf numFmtId="3" fontId="4" fillId="0" borderId="8" xfId="0" applyNumberFormat="1" applyFont="1" applyBorder="1" applyAlignment="1">
      <alignment horizontal="center" vertical="center" wrapText="1"/>
    </xf>
    <xf numFmtId="0" fontId="5" fillId="4" borderId="41" xfId="0" applyFont="1" applyFill="1" applyBorder="1" applyAlignment="1">
      <alignment horizontal="center" vertical="center" wrapText="1"/>
    </xf>
    <xf numFmtId="164" fontId="5" fillId="4" borderId="26" xfId="2" applyFont="1" applyFill="1" applyBorder="1" applyAlignment="1" applyProtection="1">
      <alignment horizontal="center" vertical="center" wrapText="1"/>
    </xf>
    <xf numFmtId="164" fontId="5" fillId="4" borderId="49" xfId="2" applyFont="1" applyFill="1" applyBorder="1" applyAlignment="1" applyProtection="1">
      <alignment horizontal="center" vertical="center" wrapText="1"/>
    </xf>
    <xf numFmtId="0" fontId="5" fillId="4" borderId="47" xfId="0" applyFont="1" applyFill="1" applyBorder="1" applyAlignment="1">
      <alignment horizontal="center" vertical="center" wrapText="1"/>
    </xf>
    <xf numFmtId="0" fontId="5" fillId="4" borderId="47" xfId="0" applyFont="1" applyFill="1" applyBorder="1" applyAlignment="1" applyProtection="1">
      <alignment vertical="center" wrapText="1"/>
    </xf>
    <xf numFmtId="44" fontId="4" fillId="4" borderId="20" xfId="0" applyNumberFormat="1" applyFont="1" applyFill="1" applyBorder="1" applyAlignment="1">
      <alignment vertical="center" wrapText="1"/>
    </xf>
    <xf numFmtId="44" fontId="4" fillId="4" borderId="8" xfId="0" applyNumberFormat="1" applyFont="1" applyFill="1" applyBorder="1" applyAlignment="1">
      <alignment vertical="center" wrapText="1"/>
    </xf>
    <xf numFmtId="0" fontId="5" fillId="4" borderId="28" xfId="0" applyFont="1" applyFill="1" applyBorder="1" applyAlignment="1" applyProtection="1">
      <alignment vertical="center" wrapText="1"/>
    </xf>
    <xf numFmtId="0" fontId="5" fillId="4" borderId="28" xfId="0" applyFont="1" applyFill="1" applyBorder="1" applyAlignment="1" applyProtection="1">
      <alignment vertical="center" wrapText="1"/>
      <protection locked="0"/>
    </xf>
    <xf numFmtId="0" fontId="18" fillId="4" borderId="28" xfId="0" applyFont="1" applyFill="1" applyBorder="1" applyAlignment="1" applyProtection="1">
      <alignment vertical="center" wrapText="1"/>
    </xf>
    <xf numFmtId="44" fontId="18" fillId="4" borderId="20" xfId="2" applyNumberFormat="1" applyFont="1" applyFill="1" applyBorder="1" applyAlignment="1">
      <alignment vertical="center" wrapText="1"/>
    </xf>
    <xf numFmtId="44" fontId="18" fillId="4" borderId="8" xfId="2" applyNumberFormat="1" applyFont="1" applyFill="1" applyBorder="1" applyAlignment="1">
      <alignment vertical="center" wrapText="1"/>
    </xf>
    <xf numFmtId="44" fontId="18" fillId="4" borderId="21" xfId="0" applyNumberFormat="1" applyFont="1" applyFill="1" applyBorder="1" applyAlignment="1">
      <alignment vertical="center" wrapText="1"/>
    </xf>
    <xf numFmtId="44" fontId="18" fillId="4" borderId="16" xfId="0" applyNumberFormat="1" applyFont="1" applyFill="1" applyBorder="1" applyAlignment="1">
      <alignment vertical="center" wrapText="1"/>
    </xf>
    <xf numFmtId="44" fontId="18" fillId="4" borderId="4" xfId="0" applyNumberFormat="1" applyFont="1" applyFill="1" applyBorder="1" applyAlignment="1">
      <alignment vertical="center" wrapText="1"/>
    </xf>
    <xf numFmtId="44" fontId="18" fillId="4" borderId="17" xfId="0" applyNumberFormat="1" applyFont="1" applyFill="1" applyBorder="1" applyAlignment="1">
      <alignment vertical="center" wrapText="1"/>
    </xf>
    <xf numFmtId="0" fontId="5" fillId="4" borderId="43" xfId="0" applyFont="1" applyFill="1" applyBorder="1" applyAlignment="1">
      <alignment vertical="center" wrapText="1"/>
    </xf>
    <xf numFmtId="44" fontId="5" fillId="4" borderId="11" xfId="0" applyNumberFormat="1" applyFont="1" applyFill="1" applyBorder="1" applyAlignment="1">
      <alignment vertical="center" wrapText="1"/>
    </xf>
    <xf numFmtId="44" fontId="5" fillId="4" borderId="10" xfId="0" applyNumberFormat="1" applyFont="1" applyFill="1" applyBorder="1" applyAlignment="1">
      <alignment vertical="center" wrapText="1"/>
    </xf>
    <xf numFmtId="44" fontId="5" fillId="4" borderId="12" xfId="0" applyNumberFormat="1" applyFont="1" applyFill="1" applyBorder="1" applyAlignment="1">
      <alignment vertical="center" wrapText="1"/>
    </xf>
    <xf numFmtId="44" fontId="16" fillId="5" borderId="12" xfId="0" applyNumberFormat="1" applyFont="1" applyFill="1" applyBorder="1" applyAlignment="1">
      <alignment vertical="center" wrapText="1"/>
    </xf>
    <xf numFmtId="167" fontId="5" fillId="4" borderId="8" xfId="0" applyNumberFormat="1" applyFont="1" applyFill="1" applyBorder="1" applyAlignment="1" applyProtection="1">
      <alignment vertical="center" wrapText="1"/>
    </xf>
    <xf numFmtId="164" fontId="6" fillId="4" borderId="8" xfId="2" applyFont="1" applyFill="1" applyBorder="1" applyAlignment="1" applyProtection="1">
      <alignment horizontal="center" vertical="center" wrapText="1"/>
    </xf>
    <xf numFmtId="172" fontId="11" fillId="4" borderId="8" xfId="1" applyNumberFormat="1"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2" applyNumberFormat="1" applyFont="1" applyFill="1" applyBorder="1" applyAlignment="1" applyProtection="1">
      <alignment vertical="center" wrapText="1"/>
    </xf>
    <xf numFmtId="167" fontId="4" fillId="0" borderId="0" xfId="0" applyNumberFormat="1" applyFont="1" applyBorder="1" applyAlignment="1">
      <alignment wrapText="1"/>
    </xf>
    <xf numFmtId="165" fontId="4" fillId="0" borderId="8" xfId="5" applyFont="1" applyBorder="1" applyAlignment="1" applyProtection="1">
      <alignment horizontal="left" wrapText="1"/>
      <protection locked="0"/>
    </xf>
    <xf numFmtId="165" fontId="9" fillId="0" borderId="8" xfId="5" applyFont="1" applyBorder="1" applyAlignment="1" applyProtection="1">
      <alignment horizontal="center" vertical="center" wrapText="1"/>
      <protection locked="0"/>
    </xf>
    <xf numFmtId="165" fontId="9" fillId="0" borderId="4" xfId="5" applyFont="1" applyBorder="1" applyAlignment="1" applyProtection="1">
      <alignment vertical="center" wrapText="1"/>
      <protection locked="0"/>
    </xf>
    <xf numFmtId="164" fontId="6" fillId="0" borderId="8" xfId="2" applyFont="1" applyBorder="1" applyAlignment="1" applyProtection="1">
      <alignment vertical="center" wrapText="1"/>
      <protection locked="0"/>
    </xf>
    <xf numFmtId="0" fontId="16" fillId="10" borderId="16" xfId="0" applyFont="1" applyFill="1" applyBorder="1" applyAlignment="1">
      <alignment horizontal="center" vertical="center" wrapText="1"/>
    </xf>
    <xf numFmtId="44" fontId="17" fillId="0" borderId="20" xfId="0" applyNumberFormat="1" applyFont="1" applyBorder="1" applyAlignment="1">
      <alignment wrapText="1"/>
    </xf>
    <xf numFmtId="44" fontId="19" fillId="0" borderId="23" xfId="0" applyNumberFormat="1" applyFont="1" applyBorder="1" applyAlignment="1">
      <alignment wrapText="1"/>
    </xf>
    <xf numFmtId="44" fontId="16" fillId="5" borderId="53" xfId="0" applyNumberFormat="1" applyFont="1" applyFill="1" applyBorder="1" applyAlignment="1">
      <alignment wrapText="1"/>
    </xf>
    <xf numFmtId="44" fontId="16" fillId="10" borderId="33" xfId="0" applyNumberFormat="1" applyFont="1" applyFill="1" applyBorder="1" applyAlignment="1">
      <alignment horizontal="center" wrapText="1"/>
    </xf>
    <xf numFmtId="44" fontId="17" fillId="0" borderId="20" xfId="0" applyNumberFormat="1" applyFont="1" applyBorder="1" applyAlignment="1" applyProtection="1">
      <alignment wrapText="1"/>
      <protection locked="0"/>
    </xf>
    <xf numFmtId="44" fontId="17" fillId="0" borderId="8" xfId="0" applyNumberFormat="1" applyFont="1" applyBorder="1" applyAlignment="1" applyProtection="1">
      <alignment wrapText="1"/>
      <protection locked="0"/>
    </xf>
    <xf numFmtId="44" fontId="17" fillId="0" borderId="7" xfId="0" applyNumberFormat="1" applyFont="1" applyBorder="1" applyAlignment="1" applyProtection="1">
      <alignment wrapText="1"/>
      <protection locked="0"/>
    </xf>
    <xf numFmtId="44" fontId="16" fillId="10" borderId="58" xfId="2" applyNumberFormat="1" applyFont="1" applyFill="1" applyBorder="1" applyAlignment="1">
      <alignment wrapText="1"/>
    </xf>
    <xf numFmtId="44" fontId="16" fillId="10" borderId="52" xfId="0" applyNumberFormat="1" applyFont="1" applyFill="1" applyBorder="1" applyAlignment="1">
      <alignment horizontal="center" wrapText="1"/>
    </xf>
    <xf numFmtId="44" fontId="4" fillId="3" borderId="0" xfId="0" applyNumberFormat="1" applyFont="1" applyFill="1" applyBorder="1" applyAlignment="1">
      <alignment wrapText="1"/>
    </xf>
    <xf numFmtId="168" fontId="20" fillId="12" borderId="8" xfId="0" applyNumberFormat="1" applyFont="1" applyFill="1" applyBorder="1"/>
    <xf numFmtId="168" fontId="9" fillId="12" borderId="8" xfId="2" applyNumberFormat="1" applyFont="1" applyFill="1" applyBorder="1"/>
    <xf numFmtId="168" fontId="4" fillId="12" borderId="8" xfId="0" applyNumberFormat="1" applyFont="1" applyFill="1" applyBorder="1" applyAlignment="1">
      <alignment wrapText="1"/>
    </xf>
    <xf numFmtId="168" fontId="9" fillId="12" borderId="8" xfId="0" applyNumberFormat="1" applyFont="1" applyFill="1" applyBorder="1"/>
    <xf numFmtId="168" fontId="5" fillId="12" borderId="8" xfId="0" applyNumberFormat="1" applyFont="1" applyFill="1" applyBorder="1" applyAlignment="1">
      <alignment wrapText="1"/>
    </xf>
    <xf numFmtId="168" fontId="21" fillId="12" borderId="8" xfId="0" applyNumberFormat="1" applyFont="1" applyFill="1" applyBorder="1"/>
    <xf numFmtId="168" fontId="22" fillId="12" borderId="8" xfId="0" applyNumberFormat="1" applyFont="1" applyFill="1" applyBorder="1"/>
    <xf numFmtId="168" fontId="14" fillId="12" borderId="8" xfId="0" applyNumberFormat="1" applyFont="1" applyFill="1" applyBorder="1" applyAlignment="1">
      <alignment wrapText="1"/>
    </xf>
    <xf numFmtId="44" fontId="9" fillId="0" borderId="20" xfId="0" applyNumberFormat="1" applyFont="1" applyBorder="1" applyAlignment="1" applyProtection="1">
      <alignment wrapText="1"/>
      <protection locked="0"/>
    </xf>
    <xf numFmtId="44" fontId="11" fillId="11" borderId="22" xfId="4" applyFont="1" applyFill="1" applyBorder="1" applyAlignment="1">
      <alignment wrapText="1"/>
    </xf>
    <xf numFmtId="44" fontId="9" fillId="0" borderId="20" xfId="0" applyNumberFormat="1" applyFont="1" applyBorder="1" applyAlignment="1" applyProtection="1">
      <alignment vertical="center" wrapText="1"/>
      <protection locked="0"/>
    </xf>
    <xf numFmtId="44" fontId="17" fillId="0" borderId="20" xfId="0" applyNumberFormat="1" applyFont="1" applyBorder="1" applyAlignment="1" applyProtection="1">
      <alignment vertical="center" wrapText="1"/>
      <protection locked="0"/>
    </xf>
    <xf numFmtId="44" fontId="11" fillId="11" borderId="21" xfId="4" applyFont="1" applyFill="1" applyBorder="1" applyAlignment="1">
      <alignment vertical="center" wrapText="1"/>
    </xf>
    <xf numFmtId="44" fontId="19" fillId="0" borderId="24" xfId="0" applyNumberFormat="1" applyFont="1" applyBorder="1" applyAlignment="1">
      <alignment vertical="center" wrapText="1"/>
    </xf>
    <xf numFmtId="44" fontId="5" fillId="5" borderId="59" xfId="2" applyNumberFormat="1" applyFont="1" applyFill="1" applyBorder="1" applyAlignment="1" applyProtection="1">
      <alignment horizontal="center" vertical="center" wrapText="1"/>
    </xf>
    <xf numFmtId="0" fontId="11" fillId="15" borderId="8" xfId="0" applyFont="1" applyFill="1" applyBorder="1" applyAlignment="1" applyProtection="1">
      <alignment horizontal="center" vertical="center" wrapText="1"/>
      <protection locked="0"/>
    </xf>
    <xf numFmtId="165" fontId="17" fillId="0" borderId="8" xfId="5" applyFont="1" applyBorder="1" applyAlignment="1" applyProtection="1">
      <alignment horizontal="center" vertical="center" wrapText="1"/>
      <protection locked="0"/>
    </xf>
    <xf numFmtId="165" fontId="5" fillId="4" borderId="8" xfId="5" applyFont="1" applyFill="1" applyBorder="1" applyAlignment="1" applyProtection="1">
      <alignment horizontal="right" vertical="center" wrapText="1"/>
    </xf>
    <xf numFmtId="165" fontId="9" fillId="0" borderId="8" xfId="5" applyFont="1" applyFill="1" applyBorder="1" applyAlignment="1" applyProtection="1">
      <alignment horizontal="center" vertical="center" wrapText="1"/>
      <protection locked="0"/>
    </xf>
    <xf numFmtId="165" fontId="9" fillId="0" borderId="8" xfId="5" applyFont="1" applyFill="1" applyBorder="1" applyAlignment="1" applyProtection="1">
      <alignment vertical="center" wrapText="1"/>
      <protection locked="0"/>
    </xf>
    <xf numFmtId="44" fontId="16" fillId="4" borderId="8" xfId="4" applyFont="1" applyFill="1" applyBorder="1" applyAlignment="1" applyProtection="1">
      <alignment horizontal="center" vertical="center" wrapText="1"/>
    </xf>
    <xf numFmtId="44" fontId="10" fillId="4" borderId="8" xfId="2" applyNumberFormat="1" applyFont="1" applyFill="1" applyBorder="1" applyAlignment="1" applyProtection="1">
      <alignment horizontal="center" vertical="center" wrapText="1"/>
    </xf>
    <xf numFmtId="0" fontId="7" fillId="0" borderId="0" xfId="0" applyFont="1" applyBorder="1" applyAlignment="1">
      <alignment wrapText="1"/>
    </xf>
    <xf numFmtId="167" fontId="7" fillId="0" borderId="0" xfId="0" applyNumberFormat="1" applyFont="1" applyBorder="1" applyAlignment="1">
      <alignment wrapText="1"/>
    </xf>
    <xf numFmtId="165" fontId="9" fillId="3" borderId="8" xfId="5" applyFont="1" applyFill="1" applyBorder="1" applyAlignment="1" applyProtection="1">
      <alignment horizontal="center" vertical="center" wrapText="1"/>
      <protection locked="0"/>
    </xf>
    <xf numFmtId="167" fontId="4" fillId="3" borderId="0" xfId="0" applyNumberFormat="1" applyFont="1" applyFill="1" applyBorder="1" applyAlignment="1">
      <alignment wrapText="1"/>
    </xf>
    <xf numFmtId="164" fontId="5" fillId="0" borderId="0" xfId="2" applyFont="1" applyFill="1" applyBorder="1" applyAlignment="1" applyProtection="1">
      <alignment horizontal="center" vertical="center" wrapText="1"/>
    </xf>
    <xf numFmtId="167" fontId="4" fillId="0" borderId="0" xfId="0" applyNumberFormat="1" applyFont="1" applyFill="1" applyBorder="1" applyAlignment="1">
      <alignment vertical="center" wrapText="1"/>
    </xf>
    <xf numFmtId="0" fontId="5" fillId="0" borderId="0" xfId="0" applyFont="1" applyAlignment="1">
      <alignment vertical="center" wrapText="1"/>
    </xf>
    <xf numFmtId="0" fontId="9" fillId="4" borderId="8" xfId="0" applyFont="1" applyFill="1" applyBorder="1" applyAlignment="1">
      <alignment horizontal="center" vertical="center" wrapText="1"/>
    </xf>
    <xf numFmtId="0" fontId="4" fillId="4" borderId="20" xfId="0" applyFont="1" applyFill="1" applyBorder="1" applyAlignment="1">
      <alignment vertical="center" wrapText="1"/>
    </xf>
    <xf numFmtId="170" fontId="9" fillId="4" borderId="8" xfId="0" applyNumberFormat="1" applyFont="1" applyFill="1" applyBorder="1" applyAlignment="1">
      <alignment vertical="center" wrapText="1"/>
    </xf>
    <xf numFmtId="44" fontId="4" fillId="4" borderId="21" xfId="0" applyNumberFormat="1" applyFont="1" applyFill="1" applyBorder="1" applyAlignment="1">
      <alignment vertical="center" wrapText="1"/>
    </xf>
    <xf numFmtId="44" fontId="4" fillId="0" borderId="0" xfId="0" applyNumberFormat="1" applyFont="1" applyAlignment="1">
      <alignment vertical="center" wrapText="1"/>
    </xf>
    <xf numFmtId="0" fontId="5" fillId="4" borderId="22" xfId="0" applyFont="1" applyFill="1" applyBorder="1" applyAlignment="1">
      <alignment vertical="center" wrapText="1"/>
    </xf>
    <xf numFmtId="170" fontId="11" fillId="4" borderId="23" xfId="0" applyNumberFormat="1" applyFont="1" applyFill="1" applyBorder="1" applyAlignment="1">
      <alignment vertical="center" wrapText="1"/>
    </xf>
    <xf numFmtId="0" fontId="4" fillId="0" borderId="0" xfId="0" applyFont="1" applyAlignment="1">
      <alignment wrapText="1"/>
    </xf>
    <xf numFmtId="170" fontId="4" fillId="0" borderId="0" xfId="0" applyNumberFormat="1" applyFont="1" applyAlignment="1">
      <alignment wrapText="1"/>
    </xf>
    <xf numFmtId="0" fontId="5" fillId="3" borderId="0" xfId="0" applyFont="1" applyFill="1" applyAlignment="1">
      <alignment vertical="center" wrapText="1"/>
    </xf>
    <xf numFmtId="44" fontId="5" fillId="3" borderId="0" xfId="0" applyNumberFormat="1" applyFont="1" applyFill="1" applyAlignment="1">
      <alignment vertical="center" wrapText="1"/>
    </xf>
    <xf numFmtId="0" fontId="5" fillId="4" borderId="20" xfId="0" applyFont="1" applyFill="1" applyBorder="1" applyAlignment="1">
      <alignment horizontal="center" vertical="center" wrapText="1"/>
    </xf>
    <xf numFmtId="0" fontId="5" fillId="4" borderId="20" xfId="0" applyFont="1" applyFill="1" applyBorder="1" applyAlignment="1">
      <alignment vertical="center" wrapText="1"/>
    </xf>
    <xf numFmtId="172" fontId="11" fillId="4" borderId="8" xfId="0" applyNumberFormat="1" applyFont="1" applyFill="1" applyBorder="1" applyAlignment="1">
      <alignment vertical="center" wrapText="1"/>
    </xf>
    <xf numFmtId="172" fontId="11" fillId="4" borderId="23" xfId="0" applyNumberFormat="1" applyFont="1" applyFill="1" applyBorder="1" applyAlignment="1">
      <alignment vertical="center" wrapText="1"/>
    </xf>
    <xf numFmtId="0" fontId="5" fillId="3" borderId="0" xfId="0" applyFont="1" applyFill="1" applyAlignment="1">
      <alignment horizontal="center" vertical="center" wrapText="1"/>
    </xf>
    <xf numFmtId="0" fontId="5" fillId="4" borderId="2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4" fillId="3" borderId="0" xfId="0" applyFont="1" applyFill="1" applyAlignment="1">
      <alignment horizontal="center" vertical="center" wrapText="1"/>
    </xf>
    <xf numFmtId="165" fontId="9" fillId="16" borderId="8" xfId="5" applyFont="1" applyFill="1" applyBorder="1" applyAlignment="1" applyProtection="1">
      <alignment horizontal="center" vertical="center" wrapText="1"/>
      <protection locked="0"/>
    </xf>
    <xf numFmtId="165" fontId="23" fillId="15" borderId="49" xfId="5" applyFont="1" applyFill="1" applyBorder="1" applyAlignment="1">
      <alignment horizontal="center" vertical="center" wrapText="1"/>
    </xf>
    <xf numFmtId="165" fontId="6" fillId="16" borderId="8" xfId="5" applyFont="1" applyFill="1" applyBorder="1" applyAlignment="1" applyProtection="1">
      <alignment horizontal="center" vertical="center" wrapText="1"/>
    </xf>
    <xf numFmtId="164" fontId="4" fillId="0" borderId="0" xfId="2" applyFont="1" applyFill="1" applyBorder="1" applyAlignment="1" applyProtection="1">
      <alignment horizontal="center" vertical="center" wrapText="1"/>
      <protection locked="0"/>
    </xf>
    <xf numFmtId="44" fontId="8" fillId="16" borderId="8" xfId="2" applyNumberFormat="1" applyFont="1" applyFill="1" applyBorder="1" applyAlignment="1" applyProtection="1">
      <alignment horizontal="center" vertical="center" wrapText="1"/>
    </xf>
    <xf numFmtId="0" fontId="4" fillId="16" borderId="8" xfId="0" applyFont="1" applyFill="1" applyBorder="1" applyAlignment="1" applyProtection="1">
      <alignment vertical="center" wrapText="1"/>
    </xf>
    <xf numFmtId="0" fontId="7" fillId="16" borderId="8" xfId="0" applyFont="1" applyFill="1" applyBorder="1" applyAlignment="1" applyProtection="1">
      <alignment horizontal="center" vertical="top" wrapText="1"/>
      <protection locked="0"/>
    </xf>
    <xf numFmtId="0" fontId="4" fillId="16" borderId="8" xfId="0" applyFont="1" applyFill="1" applyBorder="1" applyAlignment="1" applyProtection="1">
      <alignment horizontal="left" vertical="top" wrapText="1"/>
      <protection locked="0"/>
    </xf>
    <xf numFmtId="164" fontId="6" fillId="16" borderId="8" xfId="2" applyFont="1" applyFill="1" applyBorder="1" applyAlignment="1" applyProtection="1">
      <alignment horizontal="center" vertical="center" wrapText="1"/>
    </xf>
    <xf numFmtId="168" fontId="8" fillId="16" borderId="8" xfId="2" applyNumberFormat="1" applyFont="1" applyFill="1" applyBorder="1" applyAlignment="1" applyProtection="1">
      <alignment vertical="center" wrapText="1"/>
    </xf>
    <xf numFmtId="169" fontId="8" fillId="16" borderId="8" xfId="2" applyNumberFormat="1" applyFont="1" applyFill="1" applyBorder="1" applyAlignment="1" applyProtection="1">
      <alignment vertical="center" wrapText="1"/>
    </xf>
    <xf numFmtId="44" fontId="6" fillId="16" borderId="8" xfId="2" applyNumberFormat="1" applyFont="1" applyFill="1" applyBorder="1" applyAlignment="1" applyProtection="1">
      <alignment horizontal="center" vertical="center" wrapText="1"/>
    </xf>
    <xf numFmtId="44" fontId="7" fillId="0" borderId="8" xfId="6" applyNumberFormat="1" applyFont="1" applyBorder="1" applyAlignment="1" applyProtection="1">
      <alignment wrapText="1"/>
      <protection locked="0"/>
    </xf>
    <xf numFmtId="44" fontId="16" fillId="12" borderId="20" xfId="0" applyNumberFormat="1" applyFont="1" applyFill="1" applyBorder="1" applyAlignment="1">
      <alignment horizontal="center" wrapText="1"/>
    </xf>
    <xf numFmtId="44" fontId="16" fillId="12" borderId="22" xfId="2" applyNumberFormat="1" applyFont="1" applyFill="1" applyBorder="1" applyAlignment="1">
      <alignment wrapText="1"/>
    </xf>
    <xf numFmtId="0" fontId="4" fillId="0" borderId="0" xfId="6" applyFont="1" applyAlignment="1">
      <alignment wrapText="1"/>
    </xf>
    <xf numFmtId="0" fontId="4" fillId="0" borderId="0" xfId="6" applyFont="1" applyAlignment="1">
      <alignment horizontal="center" wrapText="1"/>
    </xf>
    <xf numFmtId="0" fontId="25" fillId="0" borderId="4" xfId="6" applyFont="1" applyBorder="1" applyAlignment="1">
      <alignment horizontal="center" vertical="center" wrapText="1"/>
    </xf>
    <xf numFmtId="0" fontId="6" fillId="0" borderId="9" xfId="6" applyFont="1" applyBorder="1" applyAlignment="1">
      <alignment horizontal="center" vertical="center" wrapText="1"/>
    </xf>
    <xf numFmtId="44" fontId="7" fillId="0" borderId="8" xfId="7" applyNumberFormat="1" applyFont="1" applyFill="1" applyBorder="1" applyAlignment="1" applyProtection="1">
      <alignment horizontal="center" vertical="center" wrapText="1"/>
    </xf>
    <xf numFmtId="44" fontId="6" fillId="0" borderId="8" xfId="7" applyNumberFormat="1" applyFont="1" applyFill="1" applyBorder="1" applyAlignment="1" applyProtection="1">
      <alignment horizontal="center" vertical="center" wrapText="1"/>
    </xf>
    <xf numFmtId="44" fontId="7" fillId="0" borderId="4" xfId="7" applyNumberFormat="1" applyFont="1" applyFill="1" applyBorder="1" applyAlignment="1" applyProtection="1">
      <alignment horizontal="center" vertical="center" wrapText="1"/>
    </xf>
    <xf numFmtId="44" fontId="7" fillId="0" borderId="9" xfId="7" applyNumberFormat="1" applyFont="1" applyFill="1" applyBorder="1" applyAlignment="1" applyProtection="1">
      <alignment horizontal="center" vertical="center" wrapText="1"/>
    </xf>
    <xf numFmtId="44" fontId="6" fillId="0" borderId="4" xfId="7" applyNumberFormat="1" applyFont="1" applyFill="1" applyBorder="1" applyAlignment="1" applyProtection="1">
      <alignment horizontal="center" vertical="center" wrapText="1"/>
    </xf>
    <xf numFmtId="167" fontId="6" fillId="0" borderId="8" xfId="6" applyNumberFormat="1" applyFont="1" applyBorder="1" applyAlignment="1">
      <alignment vertical="center" wrapText="1"/>
    </xf>
    <xf numFmtId="164" fontId="7" fillId="0" borderId="0" xfId="7" applyFont="1" applyFill="1" applyBorder="1" applyAlignment="1" applyProtection="1">
      <alignment horizontal="center" vertical="center" wrapText="1"/>
      <protection locked="0"/>
    </xf>
    <xf numFmtId="44" fontId="8" fillId="0" borderId="8" xfId="7" applyNumberFormat="1" applyFont="1" applyFill="1" applyBorder="1" applyAlignment="1" applyProtection="1">
      <alignment horizontal="center" vertical="center" wrapText="1"/>
    </xf>
    <xf numFmtId="44" fontId="8" fillId="0" borderId="4" xfId="7" applyNumberFormat="1" applyFont="1" applyFill="1" applyBorder="1" applyAlignment="1" applyProtection="1">
      <alignment horizontal="center" vertical="center" wrapText="1"/>
    </xf>
    <xf numFmtId="164" fontId="4" fillId="3" borderId="0" xfId="7" applyFont="1" applyFill="1" applyBorder="1" applyAlignment="1" applyProtection="1">
      <alignment vertical="center" wrapText="1"/>
      <protection locked="0"/>
    </xf>
    <xf numFmtId="164" fontId="7" fillId="0" borderId="0" xfId="7" applyFont="1" applyFill="1" applyBorder="1" applyAlignment="1" applyProtection="1">
      <alignment vertical="center" wrapText="1"/>
      <protection locked="0"/>
    </xf>
    <xf numFmtId="169" fontId="7" fillId="0" borderId="8" xfId="7" applyNumberFormat="1" applyFont="1" applyFill="1" applyBorder="1" applyAlignment="1" applyProtection="1">
      <alignment vertical="center" wrapText="1"/>
    </xf>
    <xf numFmtId="169" fontId="8" fillId="0" borderId="8" xfId="7" applyNumberFormat="1" applyFont="1" applyFill="1" applyBorder="1" applyAlignment="1" applyProtection="1">
      <alignment vertical="center" wrapText="1"/>
    </xf>
    <xf numFmtId="44" fontId="6" fillId="0" borderId="10" xfId="7" applyNumberFormat="1" applyFont="1" applyFill="1" applyBorder="1" applyAlignment="1" applyProtection="1">
      <alignment horizontal="center" vertical="center" wrapText="1"/>
    </xf>
    <xf numFmtId="164" fontId="8" fillId="3" borderId="0" xfId="7" applyFont="1" applyFill="1" applyBorder="1" applyAlignment="1" applyProtection="1">
      <alignment vertical="center" wrapText="1"/>
      <protection locked="0"/>
    </xf>
    <xf numFmtId="44" fontId="25" fillId="0" borderId="10" xfId="7" applyNumberFormat="1" applyFont="1" applyFill="1" applyBorder="1" applyAlignment="1" applyProtection="1">
      <alignment horizontal="center" vertical="center" wrapText="1"/>
    </xf>
    <xf numFmtId="0" fontId="5" fillId="7" borderId="0" xfId="6" applyFont="1" applyFill="1" applyAlignment="1">
      <alignment horizontal="center" vertical="center" wrapText="1"/>
    </xf>
    <xf numFmtId="164" fontId="5" fillId="4" borderId="0" xfId="7" applyFont="1" applyFill="1" applyBorder="1" applyAlignment="1" applyProtection="1">
      <alignment horizontal="center" vertical="center" wrapText="1"/>
    </xf>
    <xf numFmtId="44" fontId="4" fillId="4" borderId="0" xfId="6" applyNumberFormat="1" applyFont="1" applyFill="1" applyAlignment="1">
      <alignment vertical="center" wrapText="1"/>
    </xf>
    <xf numFmtId="171" fontId="5" fillId="4" borderId="0" xfId="7" applyNumberFormat="1" applyFont="1" applyFill="1" applyBorder="1" applyAlignment="1" applyProtection="1">
      <alignment vertical="center" wrapText="1"/>
    </xf>
    <xf numFmtId="44" fontId="5" fillId="3" borderId="0" xfId="6" applyNumberFormat="1" applyFont="1" applyFill="1" applyAlignment="1">
      <alignment vertical="center" wrapText="1"/>
    </xf>
    <xf numFmtId="0" fontId="5" fillId="4" borderId="5" xfId="6" applyFont="1" applyFill="1" applyBorder="1" applyAlignment="1">
      <alignment horizontal="center" vertical="center" wrapText="1"/>
    </xf>
    <xf numFmtId="171" fontId="5" fillId="4" borderId="5" xfId="7" applyNumberFormat="1" applyFont="1" applyFill="1" applyBorder="1" applyAlignment="1" applyProtection="1">
      <alignment vertical="center" wrapText="1"/>
    </xf>
    <xf numFmtId="171" fontId="5" fillId="4" borderId="60" xfId="7" applyNumberFormat="1" applyFont="1" applyFill="1" applyBorder="1" applyAlignment="1" applyProtection="1">
      <alignment vertical="center" wrapText="1"/>
    </xf>
    <xf numFmtId="0" fontId="5" fillId="4" borderId="0" xfId="6" applyFont="1" applyFill="1" applyAlignment="1">
      <alignment horizontal="center" vertical="center" wrapText="1"/>
    </xf>
    <xf numFmtId="44" fontId="5" fillId="4" borderId="0" xfId="8" applyNumberFormat="1" applyFont="1" applyFill="1" applyBorder="1" applyAlignment="1" applyProtection="1">
      <alignment wrapText="1"/>
    </xf>
    <xf numFmtId="10" fontId="5" fillId="4" borderId="0" xfId="8" applyNumberFormat="1" applyFont="1" applyFill="1" applyBorder="1" applyAlignment="1" applyProtection="1">
      <alignment wrapText="1"/>
    </xf>
    <xf numFmtId="0" fontId="4" fillId="8" borderId="0" xfId="6" applyFont="1" applyFill="1" applyAlignment="1">
      <alignment horizontal="center" vertical="center" wrapText="1"/>
    </xf>
    <xf numFmtId="0" fontId="13" fillId="0" borderId="0" xfId="6" applyFont="1" applyAlignment="1">
      <alignment horizontal="left" vertical="center" wrapText="1"/>
    </xf>
    <xf numFmtId="0" fontId="4" fillId="3" borderId="0" xfId="6" applyFont="1" applyFill="1" applyAlignment="1">
      <alignment wrapText="1"/>
    </xf>
    <xf numFmtId="0" fontId="5" fillId="3" borderId="0" xfId="6" applyFont="1" applyFill="1" applyAlignment="1">
      <alignment horizontal="left" wrapText="1"/>
    </xf>
    <xf numFmtId="0" fontId="5" fillId="2" borderId="0" xfId="6" applyFont="1" applyFill="1" applyAlignment="1">
      <alignment horizontal="left" wrapText="1"/>
    </xf>
    <xf numFmtId="0" fontId="5" fillId="0" borderId="0" xfId="6" applyFont="1" applyAlignment="1">
      <alignment horizontal="left" wrapText="1"/>
    </xf>
    <xf numFmtId="0" fontId="26" fillId="0" borderId="4" xfId="6" applyFont="1" applyBorder="1" applyAlignment="1">
      <alignment horizontal="center" vertical="center" wrapText="1"/>
    </xf>
    <xf numFmtId="44" fontId="6" fillId="4" borderId="20" xfId="6" applyNumberFormat="1" applyFont="1" applyFill="1" applyBorder="1" applyAlignment="1">
      <alignment horizontal="center" wrapText="1"/>
    </xf>
    <xf numFmtId="44" fontId="6" fillId="7" borderId="23" xfId="7" applyNumberFormat="1" applyFont="1" applyFill="1" applyBorder="1" applyAlignment="1">
      <alignment wrapText="1"/>
    </xf>
    <xf numFmtId="0" fontId="5" fillId="4" borderId="39" xfId="6" applyFont="1" applyFill="1" applyBorder="1" applyAlignment="1">
      <alignment vertical="center" wrapText="1"/>
    </xf>
    <xf numFmtId="44" fontId="5" fillId="4" borderId="6" xfId="6" applyNumberFormat="1" applyFont="1" applyFill="1" applyBorder="1" applyAlignment="1">
      <alignment horizontal="center" vertical="center" wrapText="1"/>
    </xf>
    <xf numFmtId="44" fontId="4" fillId="3" borderId="5" xfId="7" applyNumberFormat="1" applyFont="1" applyFill="1" applyBorder="1" applyAlignment="1" applyProtection="1">
      <alignment horizontal="center" vertical="center" wrapText="1"/>
      <protection locked="0"/>
    </xf>
    <xf numFmtId="44" fontId="4" fillId="0" borderId="5" xfId="6" applyNumberFormat="1" applyFont="1" applyBorder="1" applyAlignment="1" applyProtection="1">
      <alignment vertical="center" wrapText="1"/>
      <protection locked="0"/>
    </xf>
    <xf numFmtId="44" fontId="5" fillId="7" borderId="60" xfId="7" applyNumberFormat="1" applyFont="1" applyFill="1" applyBorder="1" applyAlignment="1">
      <alignment vertical="center" wrapText="1"/>
    </xf>
    <xf numFmtId="0" fontId="5" fillId="4" borderId="39" xfId="6" applyFont="1" applyFill="1" applyBorder="1" applyAlignment="1">
      <alignment wrapText="1"/>
    </xf>
    <xf numFmtId="44" fontId="5" fillId="4" borderId="5" xfId="6" applyNumberFormat="1" applyFont="1" applyFill="1" applyBorder="1" applyAlignment="1">
      <alignment horizontal="center" wrapText="1"/>
    </xf>
    <xf numFmtId="44" fontId="4" fillId="0" borderId="5" xfId="6" applyNumberFormat="1" applyFont="1" applyBorder="1" applyAlignment="1" applyProtection="1">
      <alignment wrapText="1"/>
      <protection locked="0"/>
    </xf>
    <xf numFmtId="44" fontId="5" fillId="7" borderId="60" xfId="7" applyNumberFormat="1" applyFont="1" applyFill="1" applyBorder="1" applyAlignment="1">
      <alignment wrapText="1"/>
    </xf>
    <xf numFmtId="0" fontId="5" fillId="4" borderId="14" xfId="6" applyFont="1" applyFill="1" applyBorder="1" applyAlignment="1">
      <alignment wrapText="1"/>
    </xf>
    <xf numFmtId="44" fontId="6" fillId="4" borderId="20" xfId="6" applyNumberFormat="1" applyFont="1" applyFill="1" applyBorder="1" applyAlignment="1">
      <alignment horizontal="center" vertical="center" wrapText="1"/>
    </xf>
    <xf numFmtId="44" fontId="6" fillId="7" borderId="23" xfId="7" applyNumberFormat="1" applyFont="1" applyFill="1" applyBorder="1" applyAlignment="1">
      <alignment vertical="center" wrapText="1"/>
    </xf>
    <xf numFmtId="44" fontId="5" fillId="4" borderId="5" xfId="6" applyNumberFormat="1" applyFont="1" applyFill="1" applyBorder="1" applyAlignment="1">
      <alignment horizontal="center" vertical="center" wrapText="1"/>
    </xf>
    <xf numFmtId="44" fontId="6" fillId="4" borderId="8" xfId="6" applyNumberFormat="1" applyFont="1" applyFill="1" applyBorder="1" applyAlignment="1">
      <alignment horizontal="center" vertical="center" wrapText="1"/>
    </xf>
    <xf numFmtId="44" fontId="6" fillId="7" borderId="8" xfId="7" applyNumberFormat="1" applyFont="1" applyFill="1" applyBorder="1" applyAlignment="1">
      <alignment vertical="center" wrapText="1"/>
    </xf>
    <xf numFmtId="44" fontId="6" fillId="4" borderId="8" xfId="6" applyNumberFormat="1" applyFont="1" applyFill="1" applyBorder="1" applyAlignment="1">
      <alignment horizontal="center" wrapText="1"/>
    </xf>
    <xf numFmtId="164" fontId="5" fillId="4" borderId="61" xfId="7" applyFont="1" applyFill="1" applyBorder="1" applyAlignment="1" applyProtection="1">
      <alignment horizontal="center" vertical="center" wrapText="1"/>
    </xf>
    <xf numFmtId="44" fontId="7" fillId="0" borderId="8" xfId="6" applyNumberFormat="1" applyFont="1" applyBorder="1" applyAlignment="1">
      <alignment wrapText="1"/>
    </xf>
    <xf numFmtId="44" fontId="27" fillId="4" borderId="8" xfId="7" applyNumberFormat="1" applyFont="1" applyFill="1" applyBorder="1" applyAlignment="1">
      <alignment vertical="center" wrapText="1"/>
    </xf>
    <xf numFmtId="44" fontId="28" fillId="4" borderId="4" xfId="6" applyNumberFormat="1" applyFont="1" applyFill="1" applyBorder="1" applyAlignment="1">
      <alignment vertical="center" wrapText="1"/>
    </xf>
    <xf numFmtId="44" fontId="29" fillId="4" borderId="10" xfId="6" applyNumberFormat="1" applyFont="1" applyFill="1" applyBorder="1" applyAlignment="1">
      <alignment vertical="center" wrapText="1"/>
    </xf>
    <xf numFmtId="167" fontId="4" fillId="3" borderId="0" xfId="6" applyNumberFormat="1" applyFont="1" applyFill="1" applyAlignment="1">
      <alignment wrapText="1"/>
    </xf>
    <xf numFmtId="0" fontId="5" fillId="4" borderId="2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4" fillId="4" borderId="20" xfId="0" applyFont="1" applyFill="1" applyBorder="1" applyAlignment="1">
      <alignment horizontal="center" vertical="center" wrapText="1"/>
    </xf>
    <xf numFmtId="164" fontId="5" fillId="4" borderId="21" xfId="2" applyFont="1" applyFill="1" applyBorder="1" applyAlignment="1" applyProtection="1">
      <alignment horizontal="center" vertical="center" wrapText="1"/>
    </xf>
    <xf numFmtId="0" fontId="5" fillId="4" borderId="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3" borderId="5"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4" fillId="6" borderId="4"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5" fillId="3" borderId="8"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165" fontId="9" fillId="0" borderId="4" xfId="5" applyFont="1" applyBorder="1" applyAlignment="1" applyProtection="1">
      <alignment horizontal="center" vertical="center"/>
      <protection locked="0"/>
    </xf>
    <xf numFmtId="165" fontId="9" fillId="0" borderId="9" xfId="5" applyFont="1" applyBorder="1" applyAlignment="1" applyProtection="1">
      <alignment horizontal="center" vertical="center"/>
      <protection locked="0"/>
    </xf>
    <xf numFmtId="0" fontId="5" fillId="3" borderId="5" xfId="0" applyNumberFormat="1" applyFont="1" applyFill="1" applyBorder="1" applyAlignment="1" applyProtection="1">
      <alignment horizontal="left" vertical="center" wrapText="1"/>
      <protection locked="0"/>
    </xf>
    <xf numFmtId="0" fontId="5" fillId="3" borderId="6" xfId="0" applyNumberFormat="1" applyFont="1" applyFill="1" applyBorder="1" applyAlignment="1" applyProtection="1">
      <alignment horizontal="left" vertical="center" wrapText="1"/>
      <protection locked="0"/>
    </xf>
    <xf numFmtId="0" fontId="5" fillId="3" borderId="7" xfId="0" applyNumberFormat="1" applyFont="1" applyFill="1" applyBorder="1" applyAlignment="1" applyProtection="1">
      <alignment horizontal="left" vertical="center" wrapText="1"/>
      <protection locked="0"/>
    </xf>
    <xf numFmtId="44" fontId="8" fillId="5" borderId="4" xfId="2" applyNumberFormat="1" applyFont="1" applyFill="1" applyBorder="1" applyAlignment="1" applyProtection="1">
      <alignment horizontal="center" vertical="center" wrapText="1"/>
    </xf>
    <xf numFmtId="44" fontId="8" fillId="5" borderId="9" xfId="2" applyNumberFormat="1" applyFont="1" applyFill="1" applyBorder="1" applyAlignment="1" applyProtection="1">
      <alignment horizontal="center" vertical="center" wrapText="1"/>
    </xf>
    <xf numFmtId="165" fontId="9" fillId="0" borderId="4" xfId="5" applyFont="1" applyBorder="1" applyAlignment="1" applyProtection="1">
      <alignment horizontal="center" vertical="center" wrapText="1"/>
      <protection locked="0"/>
    </xf>
    <xf numFmtId="165" fontId="9" fillId="0" borderId="9" xfId="5" applyFont="1" applyBorder="1" applyAlignment="1" applyProtection="1">
      <alignment horizontal="center" vertical="center" wrapText="1"/>
      <protection locked="0"/>
    </xf>
    <xf numFmtId="49" fontId="4" fillId="0" borderId="4" xfId="2" applyNumberFormat="1" applyFont="1" applyBorder="1" applyAlignment="1" applyProtection="1">
      <alignment horizontal="center" wrapText="1"/>
      <protection locked="0"/>
    </xf>
    <xf numFmtId="49" fontId="4" fillId="0" borderId="9" xfId="2" applyNumberFormat="1" applyFont="1" applyBorder="1" applyAlignment="1" applyProtection="1">
      <alignment horizontal="center" wrapText="1"/>
      <protection locked="0"/>
    </xf>
    <xf numFmtId="165" fontId="17" fillId="0" borderId="4" xfId="5" applyFont="1" applyBorder="1" applyAlignment="1" applyProtection="1">
      <alignment horizontal="center" vertical="center"/>
      <protection locked="0"/>
    </xf>
    <xf numFmtId="165" fontId="17" fillId="0" borderId="9" xfId="5" applyFont="1" applyBorder="1" applyAlignment="1" applyProtection="1">
      <alignment horizontal="center" vertical="center"/>
      <protection locked="0"/>
    </xf>
    <xf numFmtId="49" fontId="5" fillId="3" borderId="8" xfId="0" applyNumberFormat="1" applyFont="1" applyFill="1" applyBorder="1" applyAlignment="1" applyProtection="1">
      <alignment horizontal="left" vertical="top" wrapText="1"/>
      <protection locked="0"/>
    </xf>
    <xf numFmtId="49" fontId="5" fillId="3" borderId="5" xfId="0" applyNumberFormat="1" applyFont="1" applyFill="1" applyBorder="1" applyAlignment="1" applyProtection="1">
      <alignment horizontal="left" vertical="top" wrapText="1"/>
      <protection locked="0"/>
    </xf>
    <xf numFmtId="49" fontId="5" fillId="3" borderId="6" xfId="0" applyNumberFormat="1" applyFont="1" applyFill="1" applyBorder="1" applyAlignment="1" applyProtection="1">
      <alignment horizontal="left" vertical="top" wrapText="1"/>
      <protection locked="0"/>
    </xf>
    <xf numFmtId="49" fontId="5" fillId="3" borderId="7" xfId="0" applyNumberFormat="1" applyFont="1"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4" borderId="4"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16" fillId="10" borderId="16" xfId="0" applyFont="1" applyFill="1" applyBorder="1" applyAlignment="1">
      <alignment horizontal="center" vertical="center" wrapText="1"/>
    </xf>
    <xf numFmtId="0" fontId="16" fillId="10" borderId="56" xfId="0" applyFont="1" applyFill="1" applyBorder="1" applyAlignment="1">
      <alignment horizontal="center" vertical="center" wrapText="1"/>
    </xf>
    <xf numFmtId="0" fontId="11" fillId="5" borderId="54" xfId="0" applyFont="1" applyFill="1" applyBorder="1" applyAlignment="1">
      <alignment horizontal="center" wrapText="1"/>
    </xf>
    <xf numFmtId="0" fontId="11" fillId="5" borderId="55" xfId="0" applyFont="1" applyFill="1" applyBorder="1" applyAlignment="1">
      <alignment horizontal="center" wrapText="1"/>
    </xf>
    <xf numFmtId="0" fontId="16" fillId="10" borderId="18" xfId="0" applyFont="1" applyFill="1" applyBorder="1" applyAlignment="1">
      <alignment horizontal="center" vertical="center" wrapText="1"/>
    </xf>
    <xf numFmtId="0" fontId="16" fillId="10" borderId="57" xfId="0" applyFont="1" applyFill="1" applyBorder="1" applyAlignment="1">
      <alignment horizontal="center" vertical="center" wrapText="1"/>
    </xf>
    <xf numFmtId="0" fontId="16" fillId="10" borderId="46" xfId="0" applyFont="1" applyFill="1" applyBorder="1" applyAlignment="1">
      <alignment horizontal="center" vertical="center" wrapText="1"/>
    </xf>
    <xf numFmtId="0" fontId="13" fillId="0" borderId="0" xfId="0" applyFont="1" applyBorder="1" applyAlignment="1">
      <alignment horizontal="left" vertical="center" wrapText="1"/>
    </xf>
    <xf numFmtId="0" fontId="15" fillId="0" borderId="33" xfId="0" applyFont="1" applyBorder="1" applyAlignment="1">
      <alignment horizontal="left" vertical="center" wrapText="1"/>
    </xf>
    <xf numFmtId="0" fontId="15" fillId="0" borderId="1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4" fillId="3" borderId="16" xfId="0" applyFont="1" applyFill="1" applyBorder="1" applyAlignment="1">
      <alignment horizontal="left" vertical="center" wrapText="1"/>
    </xf>
    <xf numFmtId="0" fontId="14" fillId="3" borderId="35" xfId="0" applyFont="1" applyFill="1" applyBorder="1" applyAlignment="1">
      <alignment horizontal="left" vertical="center" wrapText="1"/>
    </xf>
    <xf numFmtId="0" fontId="15" fillId="0" borderId="25" xfId="0" applyFont="1" applyBorder="1" applyAlignment="1">
      <alignment horizontal="left" vertical="center" wrapText="1"/>
    </xf>
    <xf numFmtId="0" fontId="15" fillId="0" borderId="34"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5" fillId="2" borderId="38" xfId="0" applyFont="1" applyFill="1" applyBorder="1" applyAlignment="1">
      <alignment horizontal="left" wrapText="1"/>
    </xf>
    <xf numFmtId="0" fontId="5" fillId="2" borderId="39" xfId="0" applyFont="1" applyFill="1" applyBorder="1" applyAlignment="1">
      <alignment horizontal="left" wrapText="1"/>
    </xf>
    <xf numFmtId="0" fontId="5" fillId="2" borderId="40" xfId="0" applyFont="1" applyFill="1" applyBorder="1" applyAlignment="1">
      <alignment horizontal="left" wrapText="1"/>
    </xf>
    <xf numFmtId="0" fontId="5" fillId="2" borderId="4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2" borderId="3" xfId="0" applyFont="1" applyFill="1" applyBorder="1" applyAlignment="1">
      <alignment horizontal="left" wrapText="1"/>
    </xf>
    <xf numFmtId="0" fontId="5" fillId="9" borderId="13" xfId="0" applyFont="1" applyFill="1" applyBorder="1" applyAlignment="1">
      <alignment horizontal="center" wrapText="1"/>
    </xf>
    <xf numFmtId="0" fontId="5" fillId="9" borderId="14" xfId="0" applyFont="1" applyFill="1" applyBorder="1" applyAlignment="1">
      <alignment horizontal="center" wrapText="1"/>
    </xf>
    <xf numFmtId="0" fontId="5" fillId="9" borderId="15" xfId="0" applyFont="1" applyFill="1" applyBorder="1" applyAlignment="1">
      <alignment horizontal="center" wrapText="1"/>
    </xf>
    <xf numFmtId="0" fontId="5" fillId="3" borderId="45" xfId="0" applyFont="1" applyFill="1" applyBorder="1" applyAlignment="1">
      <alignment horizontal="center" wrapText="1"/>
    </xf>
    <xf numFmtId="0" fontId="5" fillId="4" borderId="5" xfId="0" applyFont="1" applyFill="1" applyBorder="1" applyAlignment="1">
      <alignment horizontal="left" wrapText="1"/>
    </xf>
    <xf numFmtId="0" fontId="5" fillId="4" borderId="34" xfId="0" applyFont="1" applyFill="1" applyBorder="1" applyAlignment="1">
      <alignment horizontal="left" wrapText="1"/>
    </xf>
    <xf numFmtId="0" fontId="5" fillId="4" borderId="17" xfId="0" applyFont="1" applyFill="1" applyBorder="1" applyAlignment="1">
      <alignment horizontal="center" vertical="center" wrapText="1"/>
    </xf>
    <xf numFmtId="0" fontId="5" fillId="4" borderId="19" xfId="0" applyFont="1" applyFill="1" applyBorder="1" applyAlignment="1">
      <alignment horizontal="center" vertical="center" wrapText="1"/>
    </xf>
    <xf numFmtId="164" fontId="5" fillId="3" borderId="0" xfId="2" applyFont="1" applyFill="1" applyBorder="1" applyAlignment="1" applyProtection="1">
      <alignment horizontal="center" wrapText="1"/>
    </xf>
    <xf numFmtId="0" fontId="5" fillId="4" borderId="13" xfId="0" applyFont="1" applyFill="1" applyBorder="1" applyAlignment="1">
      <alignment horizontal="left" wrapText="1"/>
    </xf>
    <xf numFmtId="0" fontId="5" fillId="4" borderId="14" xfId="0" applyFont="1" applyFill="1" applyBorder="1" applyAlignment="1">
      <alignment horizontal="left" wrapText="1"/>
    </xf>
    <xf numFmtId="0" fontId="5" fillId="4" borderId="15" xfId="0" applyFont="1" applyFill="1" applyBorder="1" applyAlignment="1">
      <alignment horizontal="left" wrapText="1"/>
    </xf>
    <xf numFmtId="0" fontId="5" fillId="3" borderId="0" xfId="0" applyFont="1" applyFill="1" applyBorder="1" applyAlignment="1">
      <alignment horizontal="center" vertical="center" wrapText="1"/>
    </xf>
    <xf numFmtId="44" fontId="5" fillId="3" borderId="0" xfId="2" applyNumberFormat="1" applyFont="1" applyFill="1" applyBorder="1" applyAlignment="1">
      <alignment horizontal="center" wrapText="1"/>
    </xf>
    <xf numFmtId="0" fontId="5" fillId="3" borderId="0" xfId="0" applyFont="1" applyFill="1" applyBorder="1" applyAlignment="1">
      <alignment horizontal="center" wrapText="1"/>
    </xf>
    <xf numFmtId="0" fontId="4" fillId="0" borderId="50" xfId="0" applyFont="1" applyBorder="1" applyAlignment="1">
      <alignment horizontal="center" wrapText="1"/>
    </xf>
    <xf numFmtId="0" fontId="4" fillId="0" borderId="0" xfId="0" applyFont="1" applyBorder="1" applyAlignment="1">
      <alignment horizontal="center" wrapText="1"/>
    </xf>
    <xf numFmtId="164" fontId="5" fillId="3" borderId="50" xfId="2" applyFont="1" applyFill="1" applyBorder="1" applyAlignment="1" applyProtection="1">
      <alignment horizontal="center" wrapText="1"/>
    </xf>
    <xf numFmtId="0" fontId="5" fillId="4" borderId="1" xfId="0" applyFont="1" applyFill="1" applyBorder="1" applyAlignment="1">
      <alignment horizontal="left" wrapText="1"/>
    </xf>
    <xf numFmtId="0" fontId="5" fillId="4" borderId="2" xfId="0" applyFont="1" applyFill="1" applyBorder="1" applyAlignment="1">
      <alignment horizontal="left" wrapText="1"/>
    </xf>
    <xf numFmtId="0" fontId="5" fillId="4" borderId="3" xfId="0" applyFont="1" applyFill="1" applyBorder="1" applyAlignment="1">
      <alignment horizontal="left" wrapText="1"/>
    </xf>
    <xf numFmtId="0" fontId="5" fillId="3" borderId="45" xfId="0" applyFont="1" applyFill="1" applyBorder="1" applyAlignment="1">
      <alignment horizontal="center" vertical="center" wrapText="1"/>
    </xf>
    <xf numFmtId="0" fontId="5" fillId="3" borderId="41" xfId="0" applyFont="1" applyFill="1" applyBorder="1" applyAlignment="1">
      <alignment horizontal="center" wrapText="1"/>
    </xf>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3" xfId="0" applyFont="1" applyFill="1" applyBorder="1" applyAlignment="1">
      <alignment horizontal="center" wrapText="1"/>
    </xf>
    <xf numFmtId="0" fontId="5" fillId="4" borderId="51" xfId="0" applyFont="1" applyFill="1" applyBorder="1" applyAlignment="1">
      <alignment horizontal="center" vertical="center" wrapText="1"/>
    </xf>
    <xf numFmtId="9" fontId="4" fillId="0" borderId="0" xfId="3" applyFont="1" applyBorder="1" applyAlignment="1">
      <alignment wrapText="1"/>
    </xf>
    <xf numFmtId="10" fontId="4" fillId="0" borderId="0" xfId="3" applyNumberFormat="1" applyFont="1" applyBorder="1" applyAlignment="1">
      <alignment wrapText="1"/>
    </xf>
    <xf numFmtId="165" fontId="23" fillId="0" borderId="9" xfId="5" applyFont="1" applyFill="1" applyBorder="1" applyAlignment="1">
      <alignment horizontal="center" vertical="center" wrapText="1"/>
    </xf>
    <xf numFmtId="165" fontId="5" fillId="0" borderId="8" xfId="5" applyFont="1" applyFill="1" applyBorder="1" applyAlignment="1" applyProtection="1">
      <alignment horizontal="right" vertical="center" wrapText="1"/>
    </xf>
    <xf numFmtId="164" fontId="4" fillId="0" borderId="0" xfId="2" applyFont="1" applyFill="1" applyBorder="1" applyAlignment="1" applyProtection="1">
      <alignment vertical="center" wrapText="1"/>
      <protection locked="0"/>
    </xf>
    <xf numFmtId="44" fontId="5" fillId="0" borderId="59" xfId="2" applyNumberFormat="1" applyFont="1" applyFill="1" applyBorder="1" applyAlignment="1" applyProtection="1">
      <alignment horizontal="center" vertical="center" wrapText="1"/>
    </xf>
    <xf numFmtId="44" fontId="5" fillId="0" borderId="0" xfId="0" applyNumberFormat="1" applyFont="1" applyFill="1" applyBorder="1" applyAlignment="1">
      <alignment vertical="center" wrapText="1"/>
    </xf>
    <xf numFmtId="165" fontId="23" fillId="0" borderId="4" xfId="5" applyFont="1" applyFill="1" applyBorder="1" applyAlignment="1">
      <alignment horizontal="center" vertical="center" wrapText="1"/>
    </xf>
    <xf numFmtId="171" fontId="4" fillId="0" borderId="0" xfId="0" applyNumberFormat="1" applyFont="1" applyFill="1" applyBorder="1" applyAlignment="1" applyProtection="1">
      <alignment vertical="center" wrapText="1"/>
      <protection locked="0"/>
    </xf>
  </cellXfs>
  <cellStyles count="9">
    <cellStyle name="Comma" xfId="5" builtinId="3"/>
    <cellStyle name="Comma [0]" xfId="1" builtinId="6"/>
    <cellStyle name="Currency" xfId="2" builtinId="4"/>
    <cellStyle name="Currency 2" xfId="4"/>
    <cellStyle name="Monétaire 2" xfId="7"/>
    <cellStyle name="Normal" xfId="0" builtinId="0"/>
    <cellStyle name="Normal 2" xfId="6"/>
    <cellStyle name="Percent" xfId="3" builtinId="5"/>
    <cellStyle name="Pourcentage 2" xfId="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CT_PROVIDER\Documents\00.%20Hanitriniony%20RASON\00.%20PBF%202020\00.%20PRODOC\06.%20Guildelines%20&amp;%20templates%20PBSO\01.%20Templates%20PBSO\Copy%20of%203.%20PBF%20Project%20Document%20Template%202019-%20Annex%20D-%20Project%20Budget%20(FREN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ICT_PROVIDER\Documents\00.%20Hanitriniony%20RASON\00.%20PBF%202020\00.%20PRODOC\06.%20Guildelines%20&amp;%20templates%20PBSO\01.%20Templates%20PBSO\Copy%20of%20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13">
          <cell r="D13">
            <v>0</v>
          </cell>
          <cell r="E13">
            <v>0</v>
          </cell>
          <cell r="F13">
            <v>0</v>
          </cell>
        </row>
        <row r="44">
          <cell r="D44">
            <v>0</v>
          </cell>
          <cell r="E44">
            <v>0</v>
          </cell>
          <cell r="F44">
            <v>0</v>
          </cell>
        </row>
        <row r="54">
          <cell r="D54">
            <v>0</v>
          </cell>
          <cell r="E54">
            <v>0</v>
          </cell>
          <cell r="F54">
            <v>0</v>
          </cell>
        </row>
        <row r="86">
          <cell r="D86">
            <v>0</v>
          </cell>
          <cell r="E86">
            <v>0</v>
          </cell>
          <cell r="F86">
            <v>0</v>
          </cell>
        </row>
        <row r="96">
          <cell r="D96">
            <v>0</v>
          </cell>
          <cell r="E96">
            <v>0</v>
          </cell>
          <cell r="F96">
            <v>0</v>
          </cell>
        </row>
        <row r="138">
          <cell r="D138">
            <v>0</v>
          </cell>
          <cell r="E138">
            <v>0</v>
          </cell>
          <cell r="F138">
            <v>0</v>
          </cell>
        </row>
        <row r="150">
          <cell r="D150">
            <v>0</v>
          </cell>
          <cell r="E150">
            <v>0</v>
          </cell>
          <cell r="F150">
            <v>0</v>
          </cell>
        </row>
        <row r="160">
          <cell r="D160">
            <v>0</v>
          </cell>
          <cell r="E160">
            <v>0</v>
          </cell>
          <cell r="F160">
            <v>0</v>
          </cell>
        </row>
        <row r="170">
          <cell r="D170">
            <v>0</v>
          </cell>
          <cell r="E170">
            <v>0</v>
          </cell>
          <cell r="F170">
            <v>0</v>
          </cell>
        </row>
        <row r="180">
          <cell r="D180">
            <v>0</v>
          </cell>
          <cell r="E180">
            <v>0</v>
          </cell>
          <cell r="F180">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7"/>
  <sheetViews>
    <sheetView topLeftCell="C64" zoomScale="65" zoomScaleNormal="65" workbookViewId="0">
      <selection activeCell="M74" sqref="M74"/>
    </sheetView>
  </sheetViews>
  <sheetFormatPr defaultColWidth="9.28515625" defaultRowHeight="15.75" x14ac:dyDescent="0.25"/>
  <cols>
    <col min="1" max="1" width="9.28515625" style="1"/>
    <col min="2" max="2" width="17.7109375" style="1" customWidth="1"/>
    <col min="3" max="3" width="39" style="1" customWidth="1"/>
    <col min="4" max="7" width="22.7109375" style="1" customWidth="1"/>
    <col min="8" max="8" width="26.7109375" style="225" customWidth="1"/>
    <col min="9" max="9" width="25.42578125" style="1" customWidth="1"/>
    <col min="10" max="12" width="22.5703125" style="1" customWidth="1"/>
    <col min="13" max="13" width="22.5703125" style="4" customWidth="1"/>
    <col min="14" max="14" width="31.42578125" style="1" customWidth="1"/>
    <col min="15" max="15" width="10.140625" style="1" customWidth="1"/>
    <col min="16" max="16" width="17.7109375" style="1" customWidth="1"/>
    <col min="17" max="17" width="26.5703125" style="1" customWidth="1"/>
    <col min="18" max="18" width="22.5703125" style="1" customWidth="1"/>
    <col min="19" max="19" width="29.7109375" style="1" customWidth="1"/>
    <col min="20" max="20" width="23.42578125" style="1" customWidth="1"/>
    <col min="21" max="21" width="18.5703125" style="1" customWidth="1"/>
    <col min="22" max="22" width="17.42578125" style="1" customWidth="1"/>
    <col min="23" max="23" width="25.28515625" style="1" customWidth="1"/>
    <col min="24" max="16384" width="9.28515625" style="1"/>
  </cols>
  <sheetData>
    <row r="2" spans="1:15" ht="47.25" customHeight="1" x14ac:dyDescent="0.25">
      <c r="B2" s="331" t="s">
        <v>0</v>
      </c>
      <c r="C2" s="331"/>
      <c r="D2" s="331"/>
      <c r="E2" s="331"/>
      <c r="F2" s="331"/>
      <c r="G2" s="331"/>
      <c r="H2" s="331"/>
      <c r="I2" s="331"/>
      <c r="J2" s="331"/>
      <c r="K2" s="331"/>
      <c r="L2" s="331"/>
      <c r="M2" s="331"/>
      <c r="N2" s="331"/>
    </row>
    <row r="3" spans="1:15" ht="16.5" thickBot="1" x14ac:dyDescent="0.3">
      <c r="B3" s="2"/>
    </row>
    <row r="4" spans="1:15" ht="27" customHeight="1" thickBot="1" x14ac:dyDescent="0.3">
      <c r="B4" s="332" t="s">
        <v>170</v>
      </c>
      <c r="C4" s="333"/>
      <c r="D4" s="333"/>
      <c r="E4" s="333"/>
      <c r="F4" s="333"/>
      <c r="G4" s="333"/>
      <c r="H4" s="333"/>
      <c r="I4" s="333"/>
      <c r="J4" s="333"/>
      <c r="K4" s="333"/>
      <c r="L4" s="333"/>
      <c r="M4" s="333"/>
      <c r="N4" s="333"/>
    </row>
    <row r="6" spans="1:15" ht="25.5" customHeight="1" thickBot="1" x14ac:dyDescent="0.3">
      <c r="D6" s="3"/>
      <c r="E6" s="3"/>
      <c r="F6" s="3"/>
      <c r="G6" s="3"/>
      <c r="H6" s="226"/>
      <c r="I6" s="4"/>
      <c r="J6" s="4"/>
      <c r="K6" s="4"/>
      <c r="L6" s="4"/>
      <c r="N6" s="5"/>
    </row>
    <row r="7" spans="1:15" ht="74.25" customHeight="1" x14ac:dyDescent="0.25">
      <c r="B7" s="334" t="s">
        <v>1</v>
      </c>
      <c r="C7" s="334" t="s">
        <v>2</v>
      </c>
      <c r="D7" s="336" t="s">
        <v>4</v>
      </c>
      <c r="E7" s="337"/>
      <c r="F7" s="338"/>
      <c r="G7" s="339" t="s">
        <v>5</v>
      </c>
      <c r="H7" s="227" t="s">
        <v>182</v>
      </c>
      <c r="I7" s="334" t="s">
        <v>6</v>
      </c>
      <c r="J7" s="211" t="s">
        <v>178</v>
      </c>
      <c r="K7" s="211" t="s">
        <v>178</v>
      </c>
      <c r="L7" s="211" t="s">
        <v>178</v>
      </c>
      <c r="M7" s="403" t="s">
        <v>181</v>
      </c>
      <c r="N7" s="334" t="s">
        <v>7</v>
      </c>
    </row>
    <row r="8" spans="1:15" ht="89.25" customHeight="1" x14ac:dyDescent="0.25">
      <c r="B8" s="335"/>
      <c r="C8" s="335"/>
      <c r="D8" s="7" t="s">
        <v>8</v>
      </c>
      <c r="E8" s="7" t="s">
        <v>9</v>
      </c>
      <c r="F8" s="7" t="s">
        <v>10</v>
      </c>
      <c r="G8" s="340"/>
      <c r="H8" s="228"/>
      <c r="I8" s="335"/>
      <c r="J8" s="177" t="s">
        <v>8</v>
      </c>
      <c r="K8" s="177" t="s">
        <v>9</v>
      </c>
      <c r="L8" s="177" t="s">
        <v>10</v>
      </c>
      <c r="M8" s="398"/>
      <c r="N8" s="335"/>
    </row>
    <row r="9" spans="1:15" ht="39" customHeight="1" x14ac:dyDescent="0.25">
      <c r="B9" s="8" t="s">
        <v>11</v>
      </c>
      <c r="C9" s="327" t="s">
        <v>12</v>
      </c>
      <c r="D9" s="327"/>
      <c r="E9" s="327"/>
      <c r="F9" s="327"/>
      <c r="G9" s="327"/>
      <c r="H9" s="327"/>
      <c r="I9" s="327"/>
      <c r="J9" s="327"/>
      <c r="K9" s="327"/>
      <c r="L9" s="327"/>
      <c r="M9" s="327"/>
      <c r="N9" s="327"/>
    </row>
    <row r="10" spans="1:15" ht="24.75" customHeight="1" x14ac:dyDescent="0.25">
      <c r="B10" s="8" t="s">
        <v>13</v>
      </c>
      <c r="C10" s="328" t="s">
        <v>14</v>
      </c>
      <c r="D10" s="329"/>
      <c r="E10" s="329"/>
      <c r="F10" s="329"/>
      <c r="G10" s="329"/>
      <c r="H10" s="329"/>
      <c r="I10" s="329"/>
      <c r="J10" s="329"/>
      <c r="K10" s="329"/>
      <c r="L10" s="329"/>
      <c r="M10" s="329"/>
      <c r="N10" s="330"/>
    </row>
    <row r="11" spans="1:15" ht="54" customHeight="1" x14ac:dyDescent="0.25">
      <c r="B11" s="10" t="s">
        <v>15</v>
      </c>
      <c r="C11" s="11" t="s">
        <v>16</v>
      </c>
      <c r="D11" s="12">
        <v>13000</v>
      </c>
      <c r="E11" s="12"/>
      <c r="F11" s="12"/>
      <c r="G11" s="12">
        <f>+D11+E11+F11</f>
        <v>13000</v>
      </c>
      <c r="H11" s="229"/>
      <c r="I11" s="148">
        <v>5</v>
      </c>
      <c r="J11" s="148">
        <f>3174.19+7226.41+1582.87</f>
        <v>11983.470000000001</v>
      </c>
      <c r="K11" s="148">
        <v>0</v>
      </c>
      <c r="L11" s="148">
        <v>0</v>
      </c>
      <c r="M11" s="180">
        <f>+J11+K11+L11</f>
        <v>11983.470000000001</v>
      </c>
      <c r="N11" s="147"/>
    </row>
    <row r="12" spans="1:15" ht="84.75" customHeight="1" x14ac:dyDescent="0.25">
      <c r="B12" s="10" t="s">
        <v>17</v>
      </c>
      <c r="C12" s="11" t="s">
        <v>18</v>
      </c>
      <c r="D12" s="12">
        <v>15000</v>
      </c>
      <c r="E12" s="12">
        <v>10000</v>
      </c>
      <c r="F12" s="12">
        <v>10000</v>
      </c>
      <c r="G12" s="12">
        <f t="shared" ref="G12:G14" si="0">+D12+E12+F12</f>
        <v>35000</v>
      </c>
      <c r="H12" s="229">
        <v>21750.49</v>
      </c>
      <c r="I12" s="148">
        <v>30</v>
      </c>
      <c r="J12" s="148">
        <f>6115.2+2606.37</f>
        <v>8721.57</v>
      </c>
      <c r="K12" s="178"/>
      <c r="L12" s="148">
        <v>18848.330000000002</v>
      </c>
      <c r="M12" s="180">
        <f t="shared" ref="M12:M14" si="1">+J12+K12+L12</f>
        <v>27569.9</v>
      </c>
      <c r="N12" s="147"/>
      <c r="O12" s="185"/>
    </row>
    <row r="13" spans="1:15" ht="96" customHeight="1" x14ac:dyDescent="0.25">
      <c r="B13" s="10" t="s">
        <v>19</v>
      </c>
      <c r="C13" s="11" t="s">
        <v>20</v>
      </c>
      <c r="D13" s="12">
        <v>20000</v>
      </c>
      <c r="E13" s="12"/>
      <c r="F13" s="12"/>
      <c r="G13" s="12">
        <f t="shared" si="0"/>
        <v>20000</v>
      </c>
      <c r="H13" s="229"/>
      <c r="I13" s="148">
        <v>20</v>
      </c>
      <c r="J13" s="148">
        <f>4668.38+11301.46+2129.5+100.31</f>
        <v>18199.650000000001</v>
      </c>
      <c r="K13" s="148">
        <v>0</v>
      </c>
      <c r="L13" s="148">
        <v>0</v>
      </c>
      <c r="M13" s="180">
        <f t="shared" si="1"/>
        <v>18199.650000000001</v>
      </c>
      <c r="N13" s="147"/>
    </row>
    <row r="14" spans="1:15" ht="97.5" customHeight="1" x14ac:dyDescent="0.25">
      <c r="B14" s="10" t="s">
        <v>21</v>
      </c>
      <c r="C14" s="14" t="s">
        <v>165</v>
      </c>
      <c r="D14" s="12">
        <v>10000</v>
      </c>
      <c r="E14" s="12"/>
      <c r="F14" s="12"/>
      <c r="G14" s="12">
        <f t="shared" si="0"/>
        <v>10000</v>
      </c>
      <c r="H14" s="229"/>
      <c r="I14" s="148">
        <v>20</v>
      </c>
      <c r="J14" s="148">
        <f>3384.88+3129.12+1673.46</f>
        <v>8187.46</v>
      </c>
      <c r="K14" s="148"/>
      <c r="L14" s="148">
        <v>0</v>
      </c>
      <c r="M14" s="180">
        <f t="shared" si="1"/>
        <v>8187.46</v>
      </c>
      <c r="N14" s="147"/>
    </row>
    <row r="15" spans="1:15" x14ac:dyDescent="0.25">
      <c r="A15" s="5"/>
      <c r="C15" s="19" t="s">
        <v>22</v>
      </c>
      <c r="D15" s="21">
        <f t="shared" ref="D15:G15" si="2">SUM(D11:D14)</f>
        <v>58000</v>
      </c>
      <c r="E15" s="21">
        <f t="shared" si="2"/>
        <v>10000</v>
      </c>
      <c r="F15" s="21">
        <f t="shared" si="2"/>
        <v>10000</v>
      </c>
      <c r="G15" s="21">
        <f t="shared" si="2"/>
        <v>78000</v>
      </c>
      <c r="H15" s="230">
        <f>SUM(H11:H14)</f>
        <v>21750.49</v>
      </c>
      <c r="I15" s="22">
        <f>(I11*G11)+(I12*G12)+(I13*G13)+(I14*G14)</f>
        <v>1715000</v>
      </c>
      <c r="J15" s="22">
        <f>J11+J12+J13+J14</f>
        <v>47092.15</v>
      </c>
      <c r="K15" s="22">
        <f>K11+K12+K13+K14</f>
        <v>0</v>
      </c>
      <c r="L15" s="22">
        <f>L11+L12+L13+L14</f>
        <v>18848.330000000002</v>
      </c>
      <c r="M15" s="180">
        <f>+J15+K15+L15</f>
        <v>65940.48000000001</v>
      </c>
      <c r="N15" s="18"/>
    </row>
    <row r="16" spans="1:15" ht="34.5" customHeight="1" x14ac:dyDescent="0.25">
      <c r="A16" s="5"/>
      <c r="B16" s="8" t="s">
        <v>23</v>
      </c>
      <c r="C16" s="311" t="s">
        <v>24</v>
      </c>
      <c r="D16" s="312"/>
      <c r="E16" s="312"/>
      <c r="F16" s="312"/>
      <c r="G16" s="312"/>
      <c r="H16" s="312"/>
      <c r="I16" s="312"/>
      <c r="J16" s="312"/>
      <c r="K16" s="312"/>
      <c r="L16" s="312"/>
      <c r="M16" s="312"/>
      <c r="N16" s="313"/>
    </row>
    <row r="17" spans="1:15" ht="93" customHeight="1" x14ac:dyDescent="0.25">
      <c r="A17" s="5"/>
      <c r="B17" s="308" t="s">
        <v>25</v>
      </c>
      <c r="C17" s="24" t="s">
        <v>26</v>
      </c>
      <c r="D17" s="319"/>
      <c r="E17" s="319">
        <v>10000</v>
      </c>
      <c r="F17" s="319"/>
      <c r="G17" s="319">
        <f>SUM(D17:F17)</f>
        <v>10000</v>
      </c>
      <c r="H17" s="231"/>
      <c r="I17" s="321">
        <v>35</v>
      </c>
      <c r="J17" s="321">
        <v>0</v>
      </c>
      <c r="K17" s="325">
        <v>13308.91</v>
      </c>
      <c r="L17" s="314"/>
      <c r="M17" s="180">
        <f t="shared" ref="M17:M21" si="3">+J17+K17+L17</f>
        <v>13308.91</v>
      </c>
      <c r="N17" s="323"/>
      <c r="O17" s="146"/>
    </row>
    <row r="18" spans="1:15" s="27" customFormat="1" ht="29.1" customHeight="1" x14ac:dyDescent="0.25">
      <c r="A18" s="25"/>
      <c r="B18" s="309"/>
      <c r="C18" s="26" t="s">
        <v>27</v>
      </c>
      <c r="D18" s="320"/>
      <c r="E18" s="320"/>
      <c r="F18" s="320"/>
      <c r="G18" s="320"/>
      <c r="H18" s="232"/>
      <c r="I18" s="322"/>
      <c r="J18" s="322"/>
      <c r="K18" s="326"/>
      <c r="L18" s="315"/>
      <c r="M18" s="180">
        <f t="shared" si="3"/>
        <v>0</v>
      </c>
      <c r="N18" s="324"/>
    </row>
    <row r="19" spans="1:15" ht="157.5" x14ac:dyDescent="0.25">
      <c r="A19" s="5"/>
      <c r="B19" s="10" t="s">
        <v>28</v>
      </c>
      <c r="C19" s="15" t="s">
        <v>29</v>
      </c>
      <c r="D19" s="12"/>
      <c r="E19" s="12">
        <v>10000</v>
      </c>
      <c r="F19" s="12"/>
      <c r="G19" s="12">
        <f t="shared" ref="G19:G20" si="4">SUM(D19:F19)</f>
        <v>10000</v>
      </c>
      <c r="H19" s="229"/>
      <c r="I19" s="148">
        <v>10</v>
      </c>
      <c r="J19" s="148"/>
      <c r="K19" s="186">
        <v>10000</v>
      </c>
      <c r="L19" s="148"/>
      <c r="M19" s="180">
        <f t="shared" si="3"/>
        <v>10000</v>
      </c>
      <c r="N19" s="13"/>
    </row>
    <row r="20" spans="1:15" ht="47.25" x14ac:dyDescent="0.25">
      <c r="A20" s="5"/>
      <c r="B20" s="10" t="s">
        <v>30</v>
      </c>
      <c r="C20" s="15" t="s">
        <v>31</v>
      </c>
      <c r="D20" s="12"/>
      <c r="E20" s="12">
        <v>30000</v>
      </c>
      <c r="F20" s="12"/>
      <c r="G20" s="12">
        <f t="shared" si="4"/>
        <v>30000</v>
      </c>
      <c r="H20" s="229"/>
      <c r="I20" s="148">
        <v>20</v>
      </c>
      <c r="J20" s="148"/>
      <c r="K20" s="148">
        <f>9086.53+7679.67+6446.93</f>
        <v>23213.13</v>
      </c>
      <c r="L20" s="148"/>
      <c r="M20" s="180">
        <f t="shared" si="3"/>
        <v>23213.13</v>
      </c>
      <c r="N20" s="13"/>
    </row>
    <row r="21" spans="1:15" x14ac:dyDescent="0.25">
      <c r="A21" s="5"/>
      <c r="C21" s="19" t="s">
        <v>22</v>
      </c>
      <c r="D21" s="28">
        <f t="shared" ref="D21:G21" si="5">SUM(D17:D20)</f>
        <v>0</v>
      </c>
      <c r="E21" s="28">
        <f t="shared" si="5"/>
        <v>50000</v>
      </c>
      <c r="F21" s="28">
        <f t="shared" si="5"/>
        <v>0</v>
      </c>
      <c r="G21" s="28">
        <f t="shared" si="5"/>
        <v>50000</v>
      </c>
      <c r="H21" s="233">
        <f>SUM(H17:H20)</f>
        <v>0</v>
      </c>
      <c r="I21" s="22">
        <f>(G17*I17)+(G19*I19)+(G20*I20)</f>
        <v>1050000</v>
      </c>
      <c r="J21" s="22">
        <f>J17+J19+J20</f>
        <v>0</v>
      </c>
      <c r="K21" s="22">
        <f>K17+K19+K20</f>
        <v>46522.04</v>
      </c>
      <c r="L21" s="22">
        <f>L17+L19+L20</f>
        <v>0</v>
      </c>
      <c r="M21" s="180">
        <f t="shared" si="3"/>
        <v>46522.04</v>
      </c>
      <c r="N21" s="142"/>
    </row>
    <row r="22" spans="1:15" x14ac:dyDescent="0.25">
      <c r="C22" s="19" t="s">
        <v>166</v>
      </c>
      <c r="D22" s="141">
        <f t="shared" ref="D22:G22" si="6">D21+D15</f>
        <v>58000</v>
      </c>
      <c r="E22" s="141">
        <f t="shared" si="6"/>
        <v>60000</v>
      </c>
      <c r="F22" s="141">
        <f t="shared" si="6"/>
        <v>10000</v>
      </c>
      <c r="G22" s="141">
        <f t="shared" si="6"/>
        <v>128000</v>
      </c>
      <c r="H22" s="234">
        <f>H21+H15</f>
        <v>21750.49</v>
      </c>
      <c r="I22" s="179">
        <f>I15+I21</f>
        <v>2765000</v>
      </c>
      <c r="J22" s="179">
        <f>J15+J21</f>
        <v>47092.15</v>
      </c>
      <c r="K22" s="179">
        <f>K15+K21</f>
        <v>46522.04</v>
      </c>
      <c r="L22" s="179">
        <f>L15+L21</f>
        <v>18848.330000000002</v>
      </c>
      <c r="M22" s="399">
        <f>M15+M21</f>
        <v>112462.52000000002</v>
      </c>
      <c r="N22" s="212"/>
    </row>
    <row r="23" spans="1:15" x14ac:dyDescent="0.25">
      <c r="B23" s="29"/>
      <c r="C23" s="30"/>
      <c r="D23" s="31"/>
      <c r="E23" s="31"/>
      <c r="F23" s="31"/>
      <c r="G23" s="31"/>
      <c r="H23" s="235"/>
      <c r="I23" s="31"/>
      <c r="J23" s="31"/>
      <c r="K23" s="31"/>
      <c r="L23" s="31"/>
      <c r="M23" s="213"/>
      <c r="N23" s="31"/>
    </row>
    <row r="24" spans="1:15" x14ac:dyDescent="0.25">
      <c r="B24" s="19" t="s">
        <v>32</v>
      </c>
      <c r="C24" s="316" t="s">
        <v>33</v>
      </c>
      <c r="D24" s="317"/>
      <c r="E24" s="317"/>
      <c r="F24" s="317"/>
      <c r="G24" s="317"/>
      <c r="H24" s="317"/>
      <c r="I24" s="317"/>
      <c r="J24" s="317"/>
      <c r="K24" s="317"/>
      <c r="L24" s="317"/>
      <c r="M24" s="317"/>
      <c r="N24" s="318"/>
    </row>
    <row r="25" spans="1:15" x14ac:dyDescent="0.25">
      <c r="B25" s="8" t="s">
        <v>34</v>
      </c>
      <c r="C25" s="305" t="s">
        <v>35</v>
      </c>
      <c r="D25" s="306"/>
      <c r="E25" s="306"/>
      <c r="F25" s="306"/>
      <c r="G25" s="306"/>
      <c r="H25" s="306"/>
      <c r="I25" s="306"/>
      <c r="J25" s="306"/>
      <c r="K25" s="306"/>
      <c r="L25" s="306"/>
      <c r="M25" s="306"/>
      <c r="N25" s="307"/>
    </row>
    <row r="26" spans="1:15" ht="126" x14ac:dyDescent="0.25">
      <c r="B26" s="10" t="s">
        <v>36</v>
      </c>
      <c r="C26" s="15" t="s">
        <v>37</v>
      </c>
      <c r="D26" s="12"/>
      <c r="E26" s="12">
        <v>30000</v>
      </c>
      <c r="F26" s="12">
        <v>40000</v>
      </c>
      <c r="G26" s="12">
        <f>SUM(D26:F26)</f>
        <v>70000</v>
      </c>
      <c r="H26" s="229">
        <v>90613.56</v>
      </c>
      <c r="I26" s="148">
        <v>40</v>
      </c>
      <c r="J26" s="148"/>
      <c r="K26" s="178">
        <f>41238.45+3956.06+2765.17</f>
        <v>47959.679999999993</v>
      </c>
      <c r="L26" s="178">
        <v>62266.080000000002</v>
      </c>
      <c r="M26" s="180">
        <f t="shared" ref="M26:M38" si="7">+J26+K26+L26</f>
        <v>110225.76</v>
      </c>
      <c r="N26" s="13"/>
    </row>
    <row r="27" spans="1:15" ht="78.75" x14ac:dyDescent="0.25">
      <c r="B27" s="10" t="s">
        <v>38</v>
      </c>
      <c r="C27" s="15" t="s">
        <v>39</v>
      </c>
      <c r="D27" s="12"/>
      <c r="E27" s="12">
        <v>30000</v>
      </c>
      <c r="F27" s="12">
        <v>30000</v>
      </c>
      <c r="G27" s="12">
        <f t="shared" ref="G27" si="8">SUM(D27:F27)</f>
        <v>60000</v>
      </c>
      <c r="H27" s="236"/>
      <c r="I27" s="148">
        <v>45</v>
      </c>
      <c r="J27" s="148"/>
      <c r="K27" s="148">
        <v>28963.47</v>
      </c>
      <c r="L27" s="148"/>
      <c r="M27" s="180">
        <f t="shared" si="7"/>
        <v>28963.47</v>
      </c>
      <c r="N27" s="13"/>
    </row>
    <row r="28" spans="1:15" ht="171.75" customHeight="1" x14ac:dyDescent="0.25">
      <c r="B28" s="10" t="s">
        <v>40</v>
      </c>
      <c r="C28" s="24" t="s">
        <v>41</v>
      </c>
      <c r="D28" s="12"/>
      <c r="E28" s="12"/>
      <c r="F28" s="12"/>
      <c r="G28" s="12">
        <f>D28+E28+F28</f>
        <v>0</v>
      </c>
      <c r="H28" s="236"/>
      <c r="I28" s="148">
        <v>40</v>
      </c>
      <c r="J28" s="148"/>
      <c r="K28" s="148"/>
      <c r="L28" s="148">
        <v>10194.15</v>
      </c>
      <c r="M28" s="180">
        <f t="shared" si="7"/>
        <v>10194.15</v>
      </c>
      <c r="N28" s="13"/>
    </row>
    <row r="29" spans="1:15" ht="115.5" customHeight="1" x14ac:dyDescent="0.25">
      <c r="B29" s="10" t="s">
        <v>40</v>
      </c>
      <c r="C29" s="32" t="s">
        <v>42</v>
      </c>
      <c r="D29" s="12">
        <v>30000</v>
      </c>
      <c r="E29" s="12">
        <f>20000</f>
        <v>20000</v>
      </c>
      <c r="F29" s="12">
        <v>20000</v>
      </c>
      <c r="G29" s="12">
        <f>D29+E29+F29</f>
        <v>70000</v>
      </c>
      <c r="H29" s="229">
        <v>16794.54</v>
      </c>
      <c r="I29" s="180">
        <v>30</v>
      </c>
      <c r="J29" s="180">
        <f>1265.37+12235.81+1011.68+4096.1</f>
        <v>18608.96</v>
      </c>
      <c r="K29" s="180"/>
      <c r="L29" s="180"/>
      <c r="M29" s="180">
        <f t="shared" si="7"/>
        <v>18608.96</v>
      </c>
      <c r="N29" s="13"/>
    </row>
    <row r="30" spans="1:15" ht="78.75" x14ac:dyDescent="0.25">
      <c r="B30" s="10" t="s">
        <v>43</v>
      </c>
      <c r="C30" s="32" t="s">
        <v>44</v>
      </c>
      <c r="D30" s="12"/>
      <c r="E30" s="12">
        <f>20000</f>
        <v>20000</v>
      </c>
      <c r="F30" s="12">
        <v>10000</v>
      </c>
      <c r="G30" s="12">
        <f>D30+E30+F30</f>
        <v>30000</v>
      </c>
      <c r="H30" s="236"/>
      <c r="I30" s="180">
        <v>5</v>
      </c>
      <c r="J30" s="180"/>
      <c r="K30" s="180">
        <v>15638.88</v>
      </c>
      <c r="L30" s="180">
        <v>0</v>
      </c>
      <c r="M30" s="180">
        <f t="shared" si="7"/>
        <v>15638.88</v>
      </c>
      <c r="N30" s="13"/>
    </row>
    <row r="31" spans="1:15" s="5" customFormat="1" x14ac:dyDescent="0.25">
      <c r="A31" s="1"/>
      <c r="B31" s="1"/>
      <c r="C31" s="19" t="s">
        <v>22</v>
      </c>
      <c r="D31" s="21">
        <f t="shared" ref="D31:G31" si="9">SUM(D26:D30)</f>
        <v>30000</v>
      </c>
      <c r="E31" s="21">
        <f t="shared" si="9"/>
        <v>100000</v>
      </c>
      <c r="F31" s="21">
        <f t="shared" si="9"/>
        <v>100000</v>
      </c>
      <c r="G31" s="21">
        <f t="shared" si="9"/>
        <v>230000</v>
      </c>
      <c r="H31" s="230">
        <f>SUM(H26:H30)</f>
        <v>107408.1</v>
      </c>
      <c r="I31" s="22"/>
      <c r="J31" s="22">
        <f>J26+J27+J28+J29+J30</f>
        <v>18608.96</v>
      </c>
      <c r="K31" s="22">
        <f>K26+K27+K28+K29+K30</f>
        <v>92562.03</v>
      </c>
      <c r="L31" s="22">
        <f>L26+L27+L28+L29+L30</f>
        <v>72460.23</v>
      </c>
      <c r="M31" s="180">
        <f t="shared" si="7"/>
        <v>183631.21999999997</v>
      </c>
      <c r="N31" s="18"/>
    </row>
    <row r="32" spans="1:15" x14ac:dyDescent="0.25">
      <c r="B32" s="8" t="s">
        <v>45</v>
      </c>
      <c r="C32" s="305" t="s">
        <v>46</v>
      </c>
      <c r="D32" s="306"/>
      <c r="E32" s="306"/>
      <c r="F32" s="306"/>
      <c r="G32" s="306"/>
      <c r="H32" s="306"/>
      <c r="I32" s="306"/>
      <c r="J32" s="306"/>
      <c r="K32" s="306"/>
      <c r="L32" s="306"/>
      <c r="M32" s="306"/>
      <c r="N32" s="307"/>
    </row>
    <row r="33" spans="2:14" ht="78.75" x14ac:dyDescent="0.25">
      <c r="B33" s="308" t="s">
        <v>47</v>
      </c>
      <c r="C33" s="24" t="s">
        <v>48</v>
      </c>
      <c r="D33" s="12"/>
      <c r="E33" s="12"/>
      <c r="F33" s="12">
        <v>20000</v>
      </c>
      <c r="G33" s="12">
        <f>SUM(D33:F33)</f>
        <v>20000</v>
      </c>
      <c r="H33" s="237"/>
      <c r="I33" s="149">
        <v>30</v>
      </c>
      <c r="J33" s="149"/>
      <c r="K33" s="149"/>
      <c r="L33" s="149">
        <v>0</v>
      </c>
      <c r="M33" s="180">
        <f t="shared" si="7"/>
        <v>0</v>
      </c>
      <c r="N33" s="13"/>
    </row>
    <row r="34" spans="2:14" ht="94.5" x14ac:dyDescent="0.25">
      <c r="B34" s="309"/>
      <c r="C34" s="33" t="s">
        <v>49</v>
      </c>
      <c r="D34" s="12">
        <v>15000</v>
      </c>
      <c r="E34" s="12">
        <v>20000</v>
      </c>
      <c r="F34" s="12"/>
      <c r="G34" s="12">
        <f>SUM(D34:F34)</f>
        <v>35000</v>
      </c>
      <c r="H34" s="229">
        <v>53556.27</v>
      </c>
      <c r="I34" s="181">
        <v>50</v>
      </c>
      <c r="J34" s="181">
        <v>0</v>
      </c>
      <c r="K34" s="181"/>
      <c r="L34" s="181">
        <v>55626.09</v>
      </c>
      <c r="M34" s="180">
        <f t="shared" si="7"/>
        <v>55626.09</v>
      </c>
      <c r="N34" s="13"/>
    </row>
    <row r="35" spans="2:14" ht="78.75" x14ac:dyDescent="0.25">
      <c r="B35" s="215" t="s">
        <v>50</v>
      </c>
      <c r="C35" s="216" t="s">
        <v>51</v>
      </c>
      <c r="D35" s="214">
        <f>10000+25000</f>
        <v>35000</v>
      </c>
      <c r="E35" s="214">
        <v>5000</v>
      </c>
      <c r="F35" s="214"/>
      <c r="G35" s="214">
        <f>SUM(D35:F35)</f>
        <v>40000</v>
      </c>
      <c r="H35" s="236"/>
      <c r="I35" s="180">
        <v>40</v>
      </c>
      <c r="J35" s="210">
        <f>6225.63+15018.94</f>
        <v>21244.57</v>
      </c>
      <c r="K35" s="180"/>
      <c r="L35" s="180">
        <v>0</v>
      </c>
      <c r="M35" s="180">
        <f t="shared" si="7"/>
        <v>21244.57</v>
      </c>
      <c r="N35" s="13"/>
    </row>
    <row r="36" spans="2:14" ht="63" x14ac:dyDescent="0.25">
      <c r="B36" s="215" t="s">
        <v>52</v>
      </c>
      <c r="C36" s="217" t="s">
        <v>53</v>
      </c>
      <c r="D36" s="214"/>
      <c r="E36" s="214"/>
      <c r="F36" s="214"/>
      <c r="G36" s="214">
        <f t="shared" ref="G36:G37" si="10">SUM(D36:F36)</f>
        <v>0</v>
      </c>
      <c r="H36" s="236"/>
      <c r="I36" s="148">
        <v>20</v>
      </c>
      <c r="J36" s="148"/>
      <c r="K36" s="148"/>
      <c r="L36" s="148">
        <v>0</v>
      </c>
      <c r="M36" s="180">
        <f t="shared" si="7"/>
        <v>0</v>
      </c>
      <c r="N36" s="13"/>
    </row>
    <row r="37" spans="2:14" ht="94.5" x14ac:dyDescent="0.25">
      <c r="B37" s="10" t="s">
        <v>54</v>
      </c>
      <c r="C37" s="15" t="s">
        <v>55</v>
      </c>
      <c r="D37" s="12"/>
      <c r="E37" s="12">
        <v>0</v>
      </c>
      <c r="F37" s="12">
        <v>50000</v>
      </c>
      <c r="G37" s="12">
        <f t="shared" si="10"/>
        <v>50000</v>
      </c>
      <c r="H37" s="229">
        <v>11715.16</v>
      </c>
      <c r="I37" s="148">
        <v>75</v>
      </c>
      <c r="J37" s="148"/>
      <c r="K37" s="148"/>
      <c r="L37" s="148">
        <v>7514.46</v>
      </c>
      <c r="M37" s="180">
        <f t="shared" si="7"/>
        <v>7514.46</v>
      </c>
      <c r="N37" s="13"/>
    </row>
    <row r="38" spans="2:14" x14ac:dyDescent="0.25">
      <c r="C38" s="19" t="s">
        <v>22</v>
      </c>
      <c r="D38" s="28">
        <f t="shared" ref="D38:G38" si="11">SUM(D33:D37)</f>
        <v>50000</v>
      </c>
      <c r="E38" s="28">
        <f t="shared" si="11"/>
        <v>25000</v>
      </c>
      <c r="F38" s="28">
        <f t="shared" si="11"/>
        <v>70000</v>
      </c>
      <c r="G38" s="28">
        <f t="shared" si="11"/>
        <v>145000</v>
      </c>
      <c r="H38" s="233">
        <f>SUM(H33:H37)</f>
        <v>65271.429999999993</v>
      </c>
      <c r="I38" s="22">
        <f>(I33*G33)+(I36*G36)+(I37*G37)+(G34*I34)+(G35*I35)</f>
        <v>7700000</v>
      </c>
      <c r="J38" s="22">
        <f>J33+J34+J35+J36+J37</f>
        <v>21244.57</v>
      </c>
      <c r="K38" s="22">
        <f>K33+K34+K35+K36+K37</f>
        <v>0</v>
      </c>
      <c r="L38" s="22">
        <f>L33+L34+L35+L36+L37</f>
        <v>63140.549999999996</v>
      </c>
      <c r="M38" s="180">
        <f t="shared" si="7"/>
        <v>84385.12</v>
      </c>
      <c r="N38" s="218"/>
    </row>
    <row r="39" spans="2:14" x14ac:dyDescent="0.25">
      <c r="C39" s="19" t="s">
        <v>167</v>
      </c>
      <c r="D39" s="141">
        <f t="shared" ref="D39:G39" si="12">D38+D31</f>
        <v>80000</v>
      </c>
      <c r="E39" s="141">
        <f t="shared" si="12"/>
        <v>125000</v>
      </c>
      <c r="F39" s="141">
        <f t="shared" si="12"/>
        <v>170000</v>
      </c>
      <c r="G39" s="141">
        <f t="shared" si="12"/>
        <v>375000</v>
      </c>
      <c r="H39" s="234">
        <f>H38+H31</f>
        <v>172679.53</v>
      </c>
      <c r="I39" s="179">
        <f>I38</f>
        <v>7700000</v>
      </c>
      <c r="J39" s="179">
        <f>J31+J38</f>
        <v>39853.53</v>
      </c>
      <c r="K39" s="179">
        <f>K31+K38</f>
        <v>92562.03</v>
      </c>
      <c r="L39" s="179">
        <f>L31+L38</f>
        <v>135600.78</v>
      </c>
      <c r="M39" s="399">
        <f>M31+M38</f>
        <v>268016.33999999997</v>
      </c>
      <c r="N39" s="212"/>
    </row>
    <row r="40" spans="2:14" ht="15.75" customHeight="1" x14ac:dyDescent="0.25">
      <c r="B40" s="34"/>
      <c r="C40" s="29"/>
      <c r="D40" s="35"/>
      <c r="E40" s="35"/>
      <c r="F40" s="35"/>
      <c r="G40" s="35"/>
      <c r="H40" s="238"/>
      <c r="I40" s="35"/>
      <c r="J40" s="35"/>
      <c r="K40" s="35"/>
      <c r="L40" s="35"/>
      <c r="M40" s="400"/>
      <c r="N40" s="29"/>
    </row>
    <row r="41" spans="2:14" x14ac:dyDescent="0.25">
      <c r="B41" s="19" t="s">
        <v>58</v>
      </c>
      <c r="C41" s="310" t="s">
        <v>59</v>
      </c>
      <c r="D41" s="310"/>
      <c r="E41" s="310"/>
      <c r="F41" s="310"/>
      <c r="G41" s="310"/>
      <c r="H41" s="310"/>
      <c r="I41" s="310"/>
      <c r="J41" s="310"/>
      <c r="K41" s="310"/>
      <c r="L41" s="310"/>
      <c r="M41" s="310"/>
      <c r="N41" s="310"/>
    </row>
    <row r="42" spans="2:14" x14ac:dyDescent="0.25">
      <c r="B42" s="8" t="s">
        <v>60</v>
      </c>
      <c r="C42" s="305" t="s">
        <v>61</v>
      </c>
      <c r="D42" s="306"/>
      <c r="E42" s="306"/>
      <c r="F42" s="306"/>
      <c r="G42" s="306"/>
      <c r="H42" s="306"/>
      <c r="I42" s="306"/>
      <c r="J42" s="306"/>
      <c r="K42" s="306"/>
      <c r="L42" s="306"/>
      <c r="M42" s="306"/>
      <c r="N42" s="307"/>
    </row>
    <row r="43" spans="2:14" ht="63" x14ac:dyDescent="0.25">
      <c r="B43" s="10" t="s">
        <v>62</v>
      </c>
      <c r="C43" s="15" t="s">
        <v>63</v>
      </c>
      <c r="D43" s="12"/>
      <c r="E43" s="12">
        <v>0</v>
      </c>
      <c r="F43" s="12">
        <v>50000</v>
      </c>
      <c r="G43" s="12">
        <f>SUM(D43:F43)</f>
        <v>50000</v>
      </c>
      <c r="H43" s="229">
        <v>49080.929999999993</v>
      </c>
      <c r="I43" s="148">
        <v>25</v>
      </c>
      <c r="J43" s="148"/>
      <c r="K43" s="148"/>
      <c r="L43" s="148">
        <v>20082.79</v>
      </c>
      <c r="M43" s="180">
        <f t="shared" ref="M43:M58" si="13">+J43+K43+L43</f>
        <v>20082.79</v>
      </c>
      <c r="N43" s="13"/>
    </row>
    <row r="44" spans="2:14" ht="78.75" x14ac:dyDescent="0.25">
      <c r="B44" s="10" t="s">
        <v>64</v>
      </c>
      <c r="C44" s="15" t="s">
        <v>65</v>
      </c>
      <c r="D44" s="12"/>
      <c r="E44" s="12"/>
      <c r="F44" s="12"/>
      <c r="G44" s="12">
        <f t="shared" ref="G44:G45" si="14">SUM(D44:F44)</f>
        <v>0</v>
      </c>
      <c r="H44" s="229">
        <v>56110</v>
      </c>
      <c r="I44" s="148">
        <v>30</v>
      </c>
      <c r="J44" s="148"/>
      <c r="K44" s="148"/>
      <c r="L44" s="148">
        <v>24836.47</v>
      </c>
      <c r="M44" s="180">
        <f t="shared" si="13"/>
        <v>24836.47</v>
      </c>
      <c r="N44" s="13"/>
    </row>
    <row r="45" spans="2:14" ht="63" x14ac:dyDescent="0.25">
      <c r="B45" s="10" t="s">
        <v>66</v>
      </c>
      <c r="C45" s="15" t="s">
        <v>67</v>
      </c>
      <c r="D45" s="12"/>
      <c r="E45" s="12"/>
      <c r="F45" s="12">
        <v>10000</v>
      </c>
      <c r="G45" s="12">
        <f t="shared" si="14"/>
        <v>10000</v>
      </c>
      <c r="H45" s="229">
        <v>19961.419999999998</v>
      </c>
      <c r="I45" s="148">
        <v>30</v>
      </c>
      <c r="J45" s="148"/>
      <c r="K45" s="148">
        <v>9500.85</v>
      </c>
      <c r="L45" s="148">
        <v>8673.1200000000008</v>
      </c>
      <c r="M45" s="180">
        <f t="shared" si="13"/>
        <v>18173.97</v>
      </c>
      <c r="N45" s="13"/>
    </row>
    <row r="46" spans="2:14" x14ac:dyDescent="0.25">
      <c r="C46" s="19" t="s">
        <v>22</v>
      </c>
      <c r="D46" s="28">
        <f t="shared" ref="D46:G46" si="15">SUM(D43:D45)</f>
        <v>0</v>
      </c>
      <c r="E46" s="28">
        <f t="shared" si="15"/>
        <v>0</v>
      </c>
      <c r="F46" s="28">
        <f t="shared" si="15"/>
        <v>60000</v>
      </c>
      <c r="G46" s="28">
        <f t="shared" si="15"/>
        <v>60000</v>
      </c>
      <c r="H46" s="233">
        <f>SUM(H43:H45)</f>
        <v>125152.34999999999</v>
      </c>
      <c r="I46" s="22">
        <f>(I43*G43)+(I44*G44)+(I45*G45)</f>
        <v>1550000</v>
      </c>
      <c r="J46" s="22">
        <f>J43+J44+J45</f>
        <v>0</v>
      </c>
      <c r="K46" s="22">
        <f>K43+K44+K45</f>
        <v>9500.85</v>
      </c>
      <c r="L46" s="182">
        <f>L43+L44+L45</f>
        <v>53592.380000000005</v>
      </c>
      <c r="M46" s="180">
        <f t="shared" si="13"/>
        <v>63093.23</v>
      </c>
      <c r="N46" s="18"/>
    </row>
    <row r="47" spans="2:14" x14ac:dyDescent="0.25">
      <c r="B47" s="8" t="s">
        <v>68</v>
      </c>
      <c r="C47" s="305" t="s">
        <v>69</v>
      </c>
      <c r="D47" s="306"/>
      <c r="E47" s="306"/>
      <c r="F47" s="306"/>
      <c r="G47" s="306"/>
      <c r="H47" s="306"/>
      <c r="I47" s="306"/>
      <c r="J47" s="306"/>
      <c r="K47" s="306"/>
      <c r="L47" s="306"/>
      <c r="M47" s="306"/>
      <c r="N47" s="307"/>
    </row>
    <row r="48" spans="2:14" ht="63" x14ac:dyDescent="0.25">
      <c r="B48" s="10" t="s">
        <v>70</v>
      </c>
      <c r="C48" s="15" t="s">
        <v>71</v>
      </c>
      <c r="D48" s="12"/>
      <c r="E48" s="12">
        <v>35000</v>
      </c>
      <c r="F48" s="12">
        <v>45000</v>
      </c>
      <c r="G48" s="12">
        <f>SUM(D48:F48)</f>
        <v>80000</v>
      </c>
      <c r="H48" s="229">
        <v>55342.66</v>
      </c>
      <c r="I48" s="148">
        <v>40</v>
      </c>
      <c r="J48" s="148"/>
      <c r="K48" s="148">
        <v>16211.97</v>
      </c>
      <c r="L48" s="148">
        <v>35583.379999999997</v>
      </c>
      <c r="M48" s="180">
        <f t="shared" si="13"/>
        <v>51795.35</v>
      </c>
      <c r="N48" s="13"/>
    </row>
    <row r="49" spans="2:14" ht="78.75" x14ac:dyDescent="0.25">
      <c r="B49" s="10" t="s">
        <v>72</v>
      </c>
      <c r="C49" s="37" t="s">
        <v>73</v>
      </c>
      <c r="D49" s="12"/>
      <c r="E49" s="12">
        <v>15000</v>
      </c>
      <c r="F49" s="12">
        <v>40000</v>
      </c>
      <c r="G49" s="12">
        <f t="shared" ref="G49:G50" si="16">SUM(D49:F49)</f>
        <v>55000</v>
      </c>
      <c r="H49" s="229">
        <v>24774.34</v>
      </c>
      <c r="I49" s="148">
        <v>30</v>
      </c>
      <c r="J49" s="148"/>
      <c r="K49" s="148"/>
      <c r="L49" s="148">
        <v>10239.299999999999</v>
      </c>
      <c r="M49" s="180">
        <f t="shared" si="13"/>
        <v>10239.299999999999</v>
      </c>
      <c r="N49" s="13"/>
    </row>
    <row r="50" spans="2:14" ht="63" x14ac:dyDescent="0.25">
      <c r="B50" s="215" t="s">
        <v>74</v>
      </c>
      <c r="C50" s="217" t="s">
        <v>75</v>
      </c>
      <c r="D50" s="214">
        <f>150000-13000-7000</f>
        <v>130000</v>
      </c>
      <c r="E50" s="12"/>
      <c r="F50" s="12"/>
      <c r="G50" s="214">
        <f t="shared" si="16"/>
        <v>130000</v>
      </c>
      <c r="H50" s="229"/>
      <c r="I50" s="148">
        <v>30</v>
      </c>
      <c r="J50" s="148">
        <f>85844.21+4443.49+42801.58</f>
        <v>133089.28000000003</v>
      </c>
      <c r="K50" s="148"/>
      <c r="L50" s="148"/>
      <c r="M50" s="180">
        <f t="shared" si="13"/>
        <v>133089.28000000003</v>
      </c>
      <c r="N50" s="13"/>
    </row>
    <row r="51" spans="2:14" x14ac:dyDescent="0.25">
      <c r="C51" s="19" t="s">
        <v>22</v>
      </c>
      <c r="D51" s="28">
        <f t="shared" ref="D51:G51" si="17">SUM(D48:D50)</f>
        <v>130000</v>
      </c>
      <c r="E51" s="28">
        <f t="shared" si="17"/>
        <v>50000</v>
      </c>
      <c r="F51" s="28">
        <f t="shared" si="17"/>
        <v>85000</v>
      </c>
      <c r="G51" s="28">
        <f t="shared" si="17"/>
        <v>265000</v>
      </c>
      <c r="H51" s="233">
        <f>SUM(H48:H50)</f>
        <v>80117</v>
      </c>
      <c r="I51" s="22">
        <f>(I48*G48)+(I49*G49)+(I50*G50)</f>
        <v>8750000</v>
      </c>
      <c r="J51" s="22">
        <f>J48+J9+J50</f>
        <v>133089.28000000003</v>
      </c>
      <c r="K51" s="22">
        <f>K48+K49+K50</f>
        <v>16211.97</v>
      </c>
      <c r="L51" s="182">
        <f>L48+L49+L50</f>
        <v>45822.679999999993</v>
      </c>
      <c r="M51" s="180">
        <f t="shared" si="13"/>
        <v>195123.93000000002</v>
      </c>
      <c r="N51" s="18"/>
    </row>
    <row r="52" spans="2:14" x14ac:dyDescent="0.25">
      <c r="B52" s="19" t="s">
        <v>76</v>
      </c>
      <c r="C52" s="305" t="s">
        <v>77</v>
      </c>
      <c r="D52" s="306"/>
      <c r="E52" s="306"/>
      <c r="F52" s="306"/>
      <c r="G52" s="306"/>
      <c r="H52" s="306"/>
      <c r="I52" s="306"/>
      <c r="J52" s="306"/>
      <c r="K52" s="306"/>
      <c r="L52" s="306"/>
      <c r="M52" s="306"/>
      <c r="N52" s="307"/>
    </row>
    <row r="53" spans="2:14" ht="63" x14ac:dyDescent="0.25">
      <c r="B53" s="10" t="s">
        <v>78</v>
      </c>
      <c r="C53" s="15" t="s">
        <v>79</v>
      </c>
      <c r="D53" s="12"/>
      <c r="E53" s="12">
        <v>30000</v>
      </c>
      <c r="F53" s="12">
        <v>0</v>
      </c>
      <c r="G53" s="12">
        <f>SUM(D53:F53)</f>
        <v>30000</v>
      </c>
      <c r="H53" s="236"/>
      <c r="I53" s="186">
        <v>30</v>
      </c>
      <c r="J53" s="186"/>
      <c r="K53" s="186">
        <v>23003.91</v>
      </c>
      <c r="L53" s="186"/>
      <c r="M53" s="180">
        <f t="shared" si="13"/>
        <v>23003.91</v>
      </c>
      <c r="N53" s="13"/>
    </row>
    <row r="54" spans="2:14" ht="94.5" x14ac:dyDescent="0.25">
      <c r="B54" s="10" t="s">
        <v>80</v>
      </c>
      <c r="C54" s="15" t="s">
        <v>81</v>
      </c>
      <c r="D54" s="12"/>
      <c r="E54" s="12">
        <v>40000</v>
      </c>
      <c r="F54" s="12"/>
      <c r="G54" s="12">
        <f t="shared" ref="G54:G57" si="18">SUM(D54:F54)</f>
        <v>40000</v>
      </c>
      <c r="H54" s="236"/>
      <c r="I54" s="148">
        <v>25</v>
      </c>
      <c r="J54" s="148"/>
      <c r="K54" s="148">
        <v>22191.360000000001</v>
      </c>
      <c r="L54" s="148"/>
      <c r="M54" s="180">
        <f t="shared" si="13"/>
        <v>22191.360000000001</v>
      </c>
      <c r="N54" s="13"/>
    </row>
    <row r="55" spans="2:14" ht="63" x14ac:dyDescent="0.25">
      <c r="B55" s="10" t="s">
        <v>82</v>
      </c>
      <c r="C55" s="15" t="s">
        <v>83</v>
      </c>
      <c r="D55" s="12"/>
      <c r="E55" s="12">
        <v>10000</v>
      </c>
      <c r="F55" s="12"/>
      <c r="G55" s="12">
        <f t="shared" si="18"/>
        <v>10000</v>
      </c>
      <c r="H55" s="229"/>
      <c r="I55" s="148">
        <v>40</v>
      </c>
      <c r="J55" s="148"/>
      <c r="K55" s="148">
        <v>224</v>
      </c>
      <c r="L55" s="148"/>
      <c r="M55" s="180">
        <f t="shared" si="13"/>
        <v>224</v>
      </c>
      <c r="N55" s="13"/>
    </row>
    <row r="56" spans="2:14" ht="63" x14ac:dyDescent="0.25">
      <c r="B56" s="10" t="s">
        <v>84</v>
      </c>
      <c r="C56" s="15" t="s">
        <v>85</v>
      </c>
      <c r="D56" s="12">
        <v>90000</v>
      </c>
      <c r="E56" s="12"/>
      <c r="F56" s="12"/>
      <c r="G56" s="12">
        <f t="shared" si="18"/>
        <v>90000</v>
      </c>
      <c r="H56" s="229"/>
      <c r="I56" s="148">
        <v>10</v>
      </c>
      <c r="J56" s="148">
        <f>14617.75+62324.2+1420.08</f>
        <v>78362.03</v>
      </c>
      <c r="K56" s="148"/>
      <c r="L56" s="148"/>
      <c r="M56" s="180">
        <f t="shared" si="13"/>
        <v>78362.03</v>
      </c>
      <c r="N56" s="13"/>
    </row>
    <row r="57" spans="2:14" ht="47.25" x14ac:dyDescent="0.25">
      <c r="B57" s="10" t="s">
        <v>86</v>
      </c>
      <c r="C57" s="32" t="s">
        <v>87</v>
      </c>
      <c r="D57" s="12"/>
      <c r="E57" s="12">
        <v>10000</v>
      </c>
      <c r="F57" s="12"/>
      <c r="G57" s="12">
        <f t="shared" si="18"/>
        <v>10000</v>
      </c>
      <c r="H57" s="229"/>
      <c r="I57" s="180">
        <v>20</v>
      </c>
      <c r="J57" s="180"/>
      <c r="K57" s="180"/>
      <c r="L57" s="180"/>
      <c r="M57" s="180">
        <f t="shared" si="13"/>
        <v>0</v>
      </c>
      <c r="N57" s="13"/>
    </row>
    <row r="58" spans="2:14" x14ac:dyDescent="0.25">
      <c r="C58" s="19" t="s">
        <v>22</v>
      </c>
      <c r="D58" s="21">
        <f t="shared" ref="D58:G58" si="19">SUM(D53:D57)</f>
        <v>90000</v>
      </c>
      <c r="E58" s="21">
        <f t="shared" si="19"/>
        <v>90000</v>
      </c>
      <c r="F58" s="21">
        <f t="shared" si="19"/>
        <v>0</v>
      </c>
      <c r="G58" s="21">
        <f t="shared" si="19"/>
        <v>180000</v>
      </c>
      <c r="H58" s="230">
        <f>SUM(H53:H57)</f>
        <v>0</v>
      </c>
      <c r="I58" s="22">
        <f>(I53*G53)+(I54*G54)+(I55*G55)+(I56*G56)+(I57*G57)</f>
        <v>3400000</v>
      </c>
      <c r="J58" s="22">
        <f>J53+J54+J55+J56+J57</f>
        <v>78362.03</v>
      </c>
      <c r="K58" s="182">
        <f>K53+K54+K55+K56+K57</f>
        <v>45419.270000000004</v>
      </c>
      <c r="L58" s="22">
        <f>L53+L54+L55+L56+L57</f>
        <v>0</v>
      </c>
      <c r="M58" s="180">
        <f t="shared" si="13"/>
        <v>123781.3</v>
      </c>
      <c r="N58" s="142"/>
    </row>
    <row r="59" spans="2:14" x14ac:dyDescent="0.25">
      <c r="C59" s="19" t="s">
        <v>168</v>
      </c>
      <c r="D59" s="141">
        <f t="shared" ref="D59:G59" si="20">D58+D51+D46</f>
        <v>220000</v>
      </c>
      <c r="E59" s="141">
        <f t="shared" si="20"/>
        <v>140000</v>
      </c>
      <c r="F59" s="141">
        <f t="shared" si="20"/>
        <v>145000</v>
      </c>
      <c r="G59" s="141">
        <f t="shared" si="20"/>
        <v>505000</v>
      </c>
      <c r="H59" s="234">
        <f>H58+H51+H46</f>
        <v>205269.34999999998</v>
      </c>
      <c r="I59" s="179">
        <f>I46+I51</f>
        <v>10300000</v>
      </c>
      <c r="J59" s="179">
        <f>J46+J51+J58</f>
        <v>211451.31000000003</v>
      </c>
      <c r="K59" s="179">
        <f>K46+K51+K58</f>
        <v>71132.09</v>
      </c>
      <c r="L59" s="179">
        <f>L46+L51+L58</f>
        <v>99415.06</v>
      </c>
      <c r="M59" s="399">
        <f>M46+M51+M58</f>
        <v>381998.46</v>
      </c>
      <c r="N59" s="212"/>
    </row>
    <row r="60" spans="2:14" ht="15.75" customHeight="1" x14ac:dyDescent="0.25">
      <c r="B60" s="34"/>
      <c r="C60" s="29"/>
      <c r="D60" s="35"/>
      <c r="E60" s="35"/>
      <c r="F60" s="35"/>
      <c r="G60" s="35"/>
      <c r="H60" s="239"/>
      <c r="I60" s="35"/>
      <c r="J60" s="35"/>
      <c r="K60" s="35"/>
      <c r="L60" s="35"/>
      <c r="M60" s="400"/>
      <c r="N60" s="38"/>
    </row>
    <row r="61" spans="2:14" ht="147" customHeight="1" x14ac:dyDescent="0.25">
      <c r="B61" s="19" t="s">
        <v>93</v>
      </c>
      <c r="C61" s="39" t="s">
        <v>94</v>
      </c>
      <c r="D61" s="40">
        <f>41116+14700+6000</f>
        <v>61816</v>
      </c>
      <c r="E61" s="41">
        <v>64500</v>
      </c>
      <c r="F61" s="41">
        <v>64500</v>
      </c>
      <c r="G61" s="41">
        <f>SUM(D61:F61)</f>
        <v>190816</v>
      </c>
      <c r="H61" s="240">
        <v>114356.92</v>
      </c>
      <c r="I61" s="180">
        <v>30</v>
      </c>
      <c r="J61" s="180">
        <f>2346.96+22584.08+3499.84+11201.69+9979.87+5104.45</f>
        <v>54716.89</v>
      </c>
      <c r="K61" s="180">
        <v>63891.28</v>
      </c>
      <c r="L61" s="180">
        <v>64101.43</v>
      </c>
      <c r="M61" s="180">
        <f t="shared" ref="M61:M65" si="21">+J61+K61+L61</f>
        <v>182709.6</v>
      </c>
      <c r="N61" s="42"/>
    </row>
    <row r="62" spans="2:14" ht="84.95" customHeight="1" x14ac:dyDescent="0.25">
      <c r="B62" s="19" t="s">
        <v>95</v>
      </c>
      <c r="C62" s="39"/>
      <c r="D62" s="40">
        <f>20616+10000+1000+8000+13000</f>
        <v>52616</v>
      </c>
      <c r="E62" s="41">
        <v>32000</v>
      </c>
      <c r="F62" s="41">
        <v>32000</v>
      </c>
      <c r="G62" s="41">
        <f t="shared" ref="G62:G64" si="22">SUM(D62:F62)</f>
        <v>116616</v>
      </c>
      <c r="H62" s="240">
        <v>86534.55</v>
      </c>
      <c r="I62" s="180">
        <v>5</v>
      </c>
      <c r="J62" s="180">
        <f>2800.78+191.27+7988.75+1550.55+1365.14+3494.03+3753.17+783.13+6468.06+2141.19+1451.62+10963.97</f>
        <v>42951.659999999996</v>
      </c>
      <c r="K62" s="180">
        <f>39633.57+6149.88</f>
        <v>45783.45</v>
      </c>
      <c r="L62" s="180">
        <v>89381.59</v>
      </c>
      <c r="M62" s="180">
        <f t="shared" si="21"/>
        <v>178116.69999999998</v>
      </c>
      <c r="N62" s="42"/>
    </row>
    <row r="63" spans="2:14" ht="69" customHeight="1" x14ac:dyDescent="0.25">
      <c r="B63" s="19" t="s">
        <v>96</v>
      </c>
      <c r="C63" s="43" t="s">
        <v>97</v>
      </c>
      <c r="D63" s="40">
        <v>20000</v>
      </c>
      <c r="E63" s="41">
        <v>13000</v>
      </c>
      <c r="F63" s="41">
        <v>13000</v>
      </c>
      <c r="G63" s="41">
        <f t="shared" si="22"/>
        <v>46000</v>
      </c>
      <c r="H63" s="240">
        <v>47567.350000000006</v>
      </c>
      <c r="I63" s="180">
        <v>50</v>
      </c>
      <c r="J63" s="180">
        <f>4763.57+16090.13+1862.74+84.95</f>
        <v>22801.39</v>
      </c>
      <c r="K63" s="180">
        <v>53103.07</v>
      </c>
      <c r="L63" s="180">
        <v>26491.01</v>
      </c>
      <c r="M63" s="180">
        <f t="shared" si="21"/>
        <v>102395.46999999999</v>
      </c>
      <c r="N63" s="42"/>
    </row>
    <row r="64" spans="2:14" ht="65.25" customHeight="1" thickBot="1" x14ac:dyDescent="0.3">
      <c r="B64" s="44" t="s">
        <v>98</v>
      </c>
      <c r="C64" s="39" t="s">
        <v>99</v>
      </c>
      <c r="D64" s="219">
        <f>32800+568+7000</f>
        <v>40368</v>
      </c>
      <c r="E64" s="41"/>
      <c r="F64" s="41"/>
      <c r="G64" s="220">
        <f t="shared" si="22"/>
        <v>40368</v>
      </c>
      <c r="H64" s="241"/>
      <c r="I64" s="180">
        <v>20</v>
      </c>
      <c r="J64" s="180"/>
      <c r="K64" s="180"/>
      <c r="L64" s="180"/>
      <c r="M64" s="180">
        <f t="shared" si="21"/>
        <v>0</v>
      </c>
      <c r="N64" s="150"/>
    </row>
    <row r="65" spans="2:17" ht="16.5" thickBot="1" x14ac:dyDescent="0.3">
      <c r="B65" s="34"/>
      <c r="C65" s="45" t="s">
        <v>100</v>
      </c>
      <c r="D65" s="46">
        <f t="shared" ref="D65:G65" si="23">SUM(D61:D64)</f>
        <v>174800</v>
      </c>
      <c r="E65" s="46">
        <f t="shared" si="23"/>
        <v>109500</v>
      </c>
      <c r="F65" s="46">
        <f t="shared" si="23"/>
        <v>109500</v>
      </c>
      <c r="G65" s="46">
        <f t="shared" si="23"/>
        <v>393800</v>
      </c>
      <c r="H65" s="242">
        <f>SUM(H61:H64)</f>
        <v>248458.82</v>
      </c>
      <c r="I65" s="20">
        <f>(G61*I61)+(G62*I62)+(G63*I63)+(G64*I64)</f>
        <v>9414920</v>
      </c>
      <c r="J65" s="20">
        <f>J61+J62+J63+J64</f>
        <v>120469.93999999999</v>
      </c>
      <c r="K65" s="20">
        <f>K61+K62+K63+K64</f>
        <v>162777.79999999999</v>
      </c>
      <c r="L65" s="183">
        <f>L61+L62+L63+L64</f>
        <v>179974.03</v>
      </c>
      <c r="M65" s="180">
        <f t="shared" si="21"/>
        <v>463221.77</v>
      </c>
      <c r="N65" s="221" t="e">
        <f>(G65*100/#REF!)-100</f>
        <v>#REF!</v>
      </c>
    </row>
    <row r="66" spans="2:17" ht="15.75" customHeight="1" thickBot="1" x14ac:dyDescent="0.3">
      <c r="B66" s="34"/>
      <c r="C66" s="29"/>
      <c r="D66" s="48"/>
      <c r="E66" s="48"/>
      <c r="F66" s="48"/>
      <c r="G66" s="48"/>
      <c r="H66" s="243"/>
      <c r="I66" s="35"/>
      <c r="J66" s="35"/>
      <c r="K66" s="35"/>
      <c r="L66" s="35"/>
      <c r="M66" s="400"/>
      <c r="N66" s="29"/>
    </row>
    <row r="67" spans="2:17" ht="15.75" customHeight="1" thickBot="1" x14ac:dyDescent="0.3">
      <c r="B67" s="34"/>
      <c r="C67" s="49" t="s">
        <v>101</v>
      </c>
      <c r="D67" s="50">
        <f t="shared" ref="D67:I67" si="24">D65+D59+D39+D22</f>
        <v>532800</v>
      </c>
      <c r="E67" s="50">
        <f t="shared" si="24"/>
        <v>434500</v>
      </c>
      <c r="F67" s="50">
        <f t="shared" si="24"/>
        <v>434500</v>
      </c>
      <c r="G67" s="50">
        <f t="shared" si="24"/>
        <v>1401800</v>
      </c>
      <c r="H67" s="244">
        <f>H65+H59+H39+H22</f>
        <v>648158.18999999994</v>
      </c>
      <c r="I67" s="50">
        <f t="shared" si="24"/>
        <v>30179920</v>
      </c>
      <c r="J67" s="176">
        <f>J22+J39+J59+J65</f>
        <v>418866.93</v>
      </c>
      <c r="K67" s="176">
        <f>K22+K39+K59+K65</f>
        <v>372993.95999999996</v>
      </c>
      <c r="L67" s="176">
        <f>L22+L39+L59+L65</f>
        <v>433838.19999999995</v>
      </c>
      <c r="M67" s="401">
        <f>M22+M39+M59+M65</f>
        <v>1225699.0900000001</v>
      </c>
      <c r="N67" s="51"/>
    </row>
    <row r="68" spans="2:17" ht="15.75" customHeight="1" x14ac:dyDescent="0.25">
      <c r="B68" s="34"/>
      <c r="C68" s="29"/>
      <c r="D68" s="35"/>
      <c r="E68" s="35"/>
      <c r="F68" s="35"/>
      <c r="G68" s="35"/>
      <c r="H68" s="238"/>
      <c r="I68" s="35"/>
      <c r="J68" s="35"/>
      <c r="K68" s="35"/>
      <c r="L68" s="35"/>
      <c r="M68" s="400"/>
      <c r="N68" s="29"/>
    </row>
    <row r="69" spans="2:17" ht="42.75" customHeight="1" thickBot="1" x14ac:dyDescent="0.3">
      <c r="B69" s="297"/>
      <c r="N69" s="4"/>
    </row>
    <row r="70" spans="2:17" x14ac:dyDescent="0.25">
      <c r="B70" s="297"/>
      <c r="C70" s="298" t="s">
        <v>169</v>
      </c>
      <c r="D70" s="299"/>
      <c r="E70" s="299"/>
      <c r="F70" s="299"/>
      <c r="G70" s="300"/>
      <c r="H70" s="245"/>
      <c r="I70" s="190"/>
      <c r="J70" s="47"/>
      <c r="K70" s="47"/>
      <c r="L70" s="47"/>
      <c r="M70" s="36"/>
      <c r="N70" s="47"/>
      <c r="Q70" s="146">
        <f>J67+15739</f>
        <v>434605.93</v>
      </c>
    </row>
    <row r="71" spans="2:17" ht="40.5" customHeight="1" x14ac:dyDescent="0.25">
      <c r="B71" s="297"/>
      <c r="C71" s="301"/>
      <c r="D71" s="191" t="s">
        <v>103</v>
      </c>
      <c r="E71" s="191" t="s">
        <v>104</v>
      </c>
      <c r="F71" s="191" t="s">
        <v>105</v>
      </c>
      <c r="G71" s="302" t="s">
        <v>106</v>
      </c>
      <c r="H71" s="246"/>
      <c r="I71" s="188"/>
      <c r="J71" s="29"/>
      <c r="K71" s="29"/>
      <c r="L71" s="29"/>
      <c r="M71" s="55"/>
      <c r="N71" s="47"/>
    </row>
    <row r="72" spans="2:17" ht="24.75" customHeight="1" x14ac:dyDescent="0.25">
      <c r="B72" s="297"/>
      <c r="C72" s="301"/>
      <c r="D72" s="6" t="s">
        <v>8</v>
      </c>
      <c r="E72" s="6" t="s">
        <v>9</v>
      </c>
      <c r="F72" s="6" t="s">
        <v>10</v>
      </c>
      <c r="G72" s="302"/>
      <c r="H72" s="246"/>
      <c r="I72" s="145"/>
      <c r="J72" s="29"/>
      <c r="K72" s="29"/>
      <c r="L72" s="29"/>
      <c r="M72" s="55"/>
      <c r="N72" s="47"/>
    </row>
    <row r="73" spans="2:17" ht="41.25" customHeight="1" x14ac:dyDescent="0.25">
      <c r="B73" s="53"/>
      <c r="C73" s="192" t="s">
        <v>107</v>
      </c>
      <c r="D73" s="193">
        <f>D67</f>
        <v>532800</v>
      </c>
      <c r="E73" s="193">
        <f>E67</f>
        <v>434500</v>
      </c>
      <c r="F73" s="126">
        <f>F67</f>
        <v>434500</v>
      </c>
      <c r="G73" s="194">
        <f>G67</f>
        <v>1401800</v>
      </c>
      <c r="H73" s="247"/>
      <c r="I73" s="195"/>
      <c r="J73" s="29"/>
      <c r="K73" s="29"/>
      <c r="L73" s="29"/>
      <c r="M73" s="55"/>
      <c r="N73" s="54"/>
    </row>
    <row r="74" spans="2:17" ht="51.75" customHeight="1" x14ac:dyDescent="0.25">
      <c r="B74" s="55"/>
      <c r="C74" s="192" t="s">
        <v>108</v>
      </c>
      <c r="D74" s="193">
        <f>D73*7/100</f>
        <v>37296</v>
      </c>
      <c r="E74" s="193">
        <f t="shared" ref="E74:F74" si="25">E73*7/100</f>
        <v>30415</v>
      </c>
      <c r="F74" s="193">
        <f t="shared" si="25"/>
        <v>30415</v>
      </c>
      <c r="G74" s="194">
        <f>G73*0.07</f>
        <v>98126.000000000015</v>
      </c>
      <c r="H74" s="247"/>
      <c r="I74" s="195"/>
      <c r="J74" s="55"/>
      <c r="K74" s="55"/>
      <c r="L74" s="55"/>
      <c r="M74" s="404">
        <f>+M67/G75</f>
        <v>0.81717304053666651</v>
      </c>
      <c r="N74" s="56"/>
    </row>
    <row r="75" spans="2:17" ht="51.75" customHeight="1" thickBot="1" x14ac:dyDescent="0.3">
      <c r="B75" s="55"/>
      <c r="C75" s="196" t="s">
        <v>3</v>
      </c>
      <c r="D75" s="197">
        <f>SUM(D73:D74)</f>
        <v>570096</v>
      </c>
      <c r="E75" s="197">
        <f t="shared" ref="E75:F75" si="26">SUM(E73:E74)</f>
        <v>464915</v>
      </c>
      <c r="F75" s="197">
        <f t="shared" si="26"/>
        <v>464915</v>
      </c>
      <c r="G75" s="57">
        <f>SUM(G73:G74)</f>
        <v>1499926</v>
      </c>
      <c r="H75" s="248"/>
      <c r="I75" s="9"/>
      <c r="J75" s="55"/>
      <c r="K75" s="55"/>
      <c r="L75" s="55"/>
      <c r="M75" s="55"/>
      <c r="N75" s="56"/>
    </row>
    <row r="76" spans="2:17" ht="42" customHeight="1" x14ac:dyDescent="0.25">
      <c r="B76" s="55"/>
      <c r="C76" s="198"/>
      <c r="D76" s="198"/>
      <c r="E76" s="199"/>
      <c r="F76" s="199"/>
      <c r="G76" s="198"/>
      <c r="I76" s="198"/>
      <c r="N76" s="36"/>
    </row>
    <row r="77" spans="2:17" s="5" customFormat="1" ht="29.25" customHeight="1" thickBot="1" x14ac:dyDescent="0.3">
      <c r="B77" s="29"/>
      <c r="C77" s="200"/>
      <c r="D77" s="200"/>
      <c r="E77" s="200"/>
      <c r="F77" s="200"/>
      <c r="G77" s="201"/>
      <c r="H77" s="249"/>
      <c r="I77" s="201"/>
      <c r="J77" s="58"/>
      <c r="K77" s="58"/>
      <c r="L77" s="58"/>
      <c r="M77" s="402"/>
      <c r="N77" s="47"/>
    </row>
    <row r="78" spans="2:17" ht="23.25" customHeight="1" x14ac:dyDescent="0.25">
      <c r="B78" s="56"/>
      <c r="C78" s="290" t="s">
        <v>109</v>
      </c>
      <c r="D78" s="291"/>
      <c r="E78" s="291"/>
      <c r="F78" s="291"/>
      <c r="G78" s="291"/>
      <c r="H78" s="292"/>
      <c r="I78" s="293"/>
      <c r="J78" s="144"/>
      <c r="K78" s="144"/>
      <c r="L78" s="144"/>
      <c r="M78" s="144"/>
      <c r="N78" s="56"/>
    </row>
    <row r="79" spans="2:17" x14ac:dyDescent="0.25">
      <c r="B79" s="56"/>
      <c r="C79" s="202"/>
      <c r="D79" s="191" t="s">
        <v>103</v>
      </c>
      <c r="E79" s="191" t="s">
        <v>104</v>
      </c>
      <c r="F79" s="191" t="s">
        <v>105</v>
      </c>
      <c r="G79" s="303" t="s">
        <v>106</v>
      </c>
      <c r="H79" s="250"/>
      <c r="I79" s="304" t="s">
        <v>110</v>
      </c>
      <c r="J79" s="4"/>
      <c r="K79" s="4"/>
      <c r="L79" s="4"/>
      <c r="N79" s="56"/>
    </row>
    <row r="80" spans="2:17" ht="27.75" customHeight="1" x14ac:dyDescent="0.25">
      <c r="B80" s="56"/>
      <c r="C80" s="202"/>
      <c r="D80" s="6" t="s">
        <v>8</v>
      </c>
      <c r="E80" s="6" t="s">
        <v>9</v>
      </c>
      <c r="F80" s="6" t="s">
        <v>10</v>
      </c>
      <c r="G80" s="303"/>
      <c r="H80" s="250"/>
      <c r="I80" s="304"/>
      <c r="J80" s="4"/>
      <c r="K80" s="4"/>
      <c r="L80" s="4"/>
      <c r="N80" s="56"/>
    </row>
    <row r="81" spans="2:14" ht="55.5" customHeight="1" x14ac:dyDescent="0.25">
      <c r="B81" s="56"/>
      <c r="C81" s="203" t="s">
        <v>111</v>
      </c>
      <c r="D81" s="143">
        <f>+D75*70/100</f>
        <v>399067.2</v>
      </c>
      <c r="E81" s="143">
        <f>E75*70%</f>
        <v>325440.5</v>
      </c>
      <c r="F81" s="204">
        <f>+F75*70%</f>
        <v>325440.5</v>
      </c>
      <c r="G81" s="59">
        <f>SUM(D81:F81)</f>
        <v>1049948.2</v>
      </c>
      <c r="H81" s="251"/>
      <c r="I81" s="60">
        <v>0.7</v>
      </c>
      <c r="J81" s="4"/>
      <c r="K81" s="4"/>
      <c r="L81" s="4"/>
      <c r="N81" s="56"/>
    </row>
    <row r="82" spans="2:14" x14ac:dyDescent="0.25">
      <c r="C82" s="203" t="s">
        <v>112</v>
      </c>
      <c r="D82" s="143">
        <f>+D75*30%</f>
        <v>171028.8</v>
      </c>
      <c r="E82" s="143">
        <f>+E75*30%</f>
        <v>139474.5</v>
      </c>
      <c r="F82" s="204">
        <f>+F75*30%</f>
        <v>139474.5</v>
      </c>
      <c r="G82" s="59">
        <f>SUM(D82:F82)</f>
        <v>449977.8</v>
      </c>
      <c r="H82" s="251"/>
      <c r="I82" s="60">
        <v>0.3</v>
      </c>
      <c r="J82" s="4"/>
      <c r="K82" s="4"/>
      <c r="L82" s="4"/>
      <c r="N82" s="4"/>
    </row>
    <row r="83" spans="2:14" ht="16.5" thickBot="1" x14ac:dyDescent="0.3">
      <c r="C83" s="196" t="s">
        <v>3</v>
      </c>
      <c r="D83" s="205">
        <f>SUM(D81:D82)</f>
        <v>570096</v>
      </c>
      <c r="E83" s="205">
        <f>SUM(E81:E82)</f>
        <v>464915</v>
      </c>
      <c r="F83" s="205">
        <f>SUM(F81:F82)</f>
        <v>464915</v>
      </c>
      <c r="G83" s="61">
        <f>SUM(G81:G82)</f>
        <v>1499926</v>
      </c>
      <c r="H83" s="252"/>
      <c r="I83" s="62"/>
      <c r="J83" s="4"/>
      <c r="K83" s="4"/>
      <c r="L83" s="4"/>
      <c r="N83" s="4"/>
    </row>
    <row r="84" spans="2:14" x14ac:dyDescent="0.25">
      <c r="C84" s="287"/>
      <c r="D84" s="288"/>
      <c r="E84" s="288"/>
      <c r="F84" s="288"/>
      <c r="G84" s="289"/>
      <c r="H84" s="253"/>
      <c r="I84" s="206"/>
      <c r="N84" s="4"/>
    </row>
    <row r="85" spans="2:14" x14ac:dyDescent="0.25">
      <c r="C85" s="207" t="s">
        <v>113</v>
      </c>
      <c r="D85" s="208"/>
      <c r="E85" s="208"/>
      <c r="F85" s="208"/>
      <c r="G85" s="64">
        <f>P63+P64</f>
        <v>0</v>
      </c>
      <c r="H85" s="254"/>
      <c r="I85" s="65"/>
      <c r="N85" s="4"/>
    </row>
    <row r="86" spans="2:14" x14ac:dyDescent="0.25">
      <c r="C86" s="207" t="s">
        <v>114</v>
      </c>
      <c r="D86" s="208"/>
      <c r="E86" s="208"/>
      <c r="F86" s="208"/>
      <c r="G86" s="63">
        <f>G85/G75</f>
        <v>0</v>
      </c>
      <c r="H86" s="255"/>
      <c r="I86" s="65"/>
      <c r="N86" s="4"/>
    </row>
    <row r="87" spans="2:14" ht="16.5" thickBot="1" x14ac:dyDescent="0.3">
      <c r="C87" s="294" t="s">
        <v>115</v>
      </c>
      <c r="D87" s="295"/>
      <c r="E87" s="295"/>
      <c r="F87" s="295"/>
      <c r="G87" s="296"/>
      <c r="H87" s="256"/>
      <c r="I87" s="209"/>
      <c r="J87" s="4"/>
      <c r="K87" s="4"/>
      <c r="L87" s="4"/>
      <c r="N87" s="4"/>
    </row>
  </sheetData>
  <mergeCells count="39">
    <mergeCell ref="C9:N9"/>
    <mergeCell ref="C10:N10"/>
    <mergeCell ref="B2:N2"/>
    <mergeCell ref="B4:N4"/>
    <mergeCell ref="B7:B8"/>
    <mergeCell ref="C7:C8"/>
    <mergeCell ref="D7:F7"/>
    <mergeCell ref="G7:G8"/>
    <mergeCell ref="I7:I8"/>
    <mergeCell ref="N7:N8"/>
    <mergeCell ref="M7:M8"/>
    <mergeCell ref="B33:B34"/>
    <mergeCell ref="C41:N41"/>
    <mergeCell ref="B17:B18"/>
    <mergeCell ref="C16:N16"/>
    <mergeCell ref="L17:L18"/>
    <mergeCell ref="C24:N24"/>
    <mergeCell ref="D17:D18"/>
    <mergeCell ref="E17:E18"/>
    <mergeCell ref="F17:F18"/>
    <mergeCell ref="G17:G18"/>
    <mergeCell ref="I17:I18"/>
    <mergeCell ref="N17:N18"/>
    <mergeCell ref="K17:K18"/>
    <mergeCell ref="J17:J18"/>
    <mergeCell ref="C42:N42"/>
    <mergeCell ref="C25:N25"/>
    <mergeCell ref="C32:N32"/>
    <mergeCell ref="C47:N47"/>
    <mergeCell ref="C52:N52"/>
    <mergeCell ref="C84:G84"/>
    <mergeCell ref="C78:I78"/>
    <mergeCell ref="C87:G87"/>
    <mergeCell ref="B69:B72"/>
    <mergeCell ref="C70:G70"/>
    <mergeCell ref="C71:C72"/>
    <mergeCell ref="G71:G72"/>
    <mergeCell ref="G79:G80"/>
    <mergeCell ref="I79:I80"/>
  </mergeCells>
  <conditionalFormatting sqref="G86">
    <cfRule type="cellIs" dxfId="11" priority="2" operator="lessThan">
      <formula>0.05</formula>
    </cfRule>
  </conditionalFormatting>
  <conditionalFormatting sqref="H86">
    <cfRule type="cellIs" dxfId="10" priority="1" operator="lessThan">
      <formula>0.05</formula>
    </cfRule>
  </conditionalFormatting>
  <dataValidations count="6">
    <dataValidation allowBlank="1" showInputMessage="1" showErrorMessage="1" prompt="Insert *text* description of Output here" sqref="C16 C25 C32 C42 C47 C52 C10"/>
    <dataValidation allowBlank="1" showInputMessage="1" showErrorMessage="1" prompt="Insert *text* description of Activity here" sqref="C11 C17:C18 C26 C33:C35 C43 C48 C53"/>
    <dataValidation allowBlank="1" showInputMessage="1" showErrorMessage="1" prompt="Insert name of recipient agency here _x000a_" sqref="D80:F80 D8:F8 D72:F72 J8:L8"/>
    <dataValidation allowBlank="1" showErrorMessage="1" prompt="% Towards Gender Equality and Women's Empowerment Must be Higher than 15%_x000a_" sqref="G85:I85"/>
    <dataValidation allowBlank="1" showInputMessage="1" showErrorMessage="1" prompt="M&amp;E Budget Cannot be Less than 5%_x000a_" sqref="G86:I86"/>
    <dataValidation allowBlank="1" showInputMessage="1" showErrorMessage="1" prompt="Insert *text* description of Outcome here" sqref="C41:N41 C24:N24 C9:N9"/>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30"/>
  <sheetViews>
    <sheetView tabSelected="1" topLeftCell="D210" zoomScale="65" zoomScaleNormal="65" workbookViewId="0">
      <selection activeCell="K224" sqref="K224"/>
    </sheetView>
  </sheetViews>
  <sheetFormatPr defaultColWidth="9.28515625" defaultRowHeight="15.75" x14ac:dyDescent="0.25"/>
  <cols>
    <col min="1" max="1" width="4.42578125" style="1" customWidth="1"/>
    <col min="2" max="2" width="3.28515625" style="1" customWidth="1"/>
    <col min="3" max="3" width="60.5703125" style="1" customWidth="1"/>
    <col min="4" max="6" width="19.85546875" style="5" customWidth="1"/>
    <col min="7" max="7" width="19.85546875" style="258" customWidth="1"/>
    <col min="8" max="8" width="24.7109375" style="1" customWidth="1"/>
    <col min="9" max="9" width="19.85546875" style="5" customWidth="1"/>
    <col min="10" max="10" width="19" style="1" customWidth="1"/>
    <col min="11" max="11" width="19.85546875" style="1" customWidth="1"/>
    <col min="12" max="12" width="18.85546875" style="1" customWidth="1"/>
    <col min="13" max="13" width="21.42578125" style="1" customWidth="1"/>
    <col min="14" max="14" width="11.85546875" style="1" customWidth="1"/>
    <col min="15" max="16384" width="9.28515625" style="1"/>
  </cols>
  <sheetData>
    <row r="1" spans="3:9" ht="40.5" customHeight="1" x14ac:dyDescent="0.25">
      <c r="C1" s="348" t="s">
        <v>116</v>
      </c>
      <c r="D1" s="348"/>
      <c r="E1" s="348"/>
      <c r="F1" s="348"/>
      <c r="G1" s="257"/>
    </row>
    <row r="2" spans="3:9" ht="16.5" thickBot="1" x14ac:dyDescent="0.3"/>
    <row r="3" spans="3:9" ht="41.25" customHeight="1" x14ac:dyDescent="0.25">
      <c r="C3" s="66" t="s">
        <v>117</v>
      </c>
      <c r="D3" s="349" t="s">
        <v>118</v>
      </c>
      <c r="E3" s="350"/>
      <c r="F3" s="350"/>
      <c r="G3" s="350"/>
      <c r="H3" s="350"/>
      <c r="I3" s="350"/>
    </row>
    <row r="4" spans="3:9" ht="41.25" customHeight="1" x14ac:dyDescent="0.25">
      <c r="C4" s="67" t="s">
        <v>119</v>
      </c>
      <c r="D4" s="351" t="s">
        <v>120</v>
      </c>
      <c r="E4" s="352"/>
      <c r="F4" s="352"/>
      <c r="G4" s="352"/>
      <c r="H4" s="352"/>
      <c r="I4" s="352"/>
    </row>
    <row r="5" spans="3:9" ht="41.25" customHeight="1" x14ac:dyDescent="0.25">
      <c r="C5" s="67" t="s">
        <v>121</v>
      </c>
      <c r="D5" s="351" t="s">
        <v>177</v>
      </c>
      <c r="E5" s="352"/>
      <c r="F5" s="352"/>
      <c r="G5" s="352"/>
      <c r="H5" s="352"/>
      <c r="I5" s="352"/>
    </row>
    <row r="6" spans="3:9" ht="41.25" customHeight="1" x14ac:dyDescent="0.25">
      <c r="C6" s="353" t="s">
        <v>122</v>
      </c>
      <c r="D6" s="355" t="s">
        <v>123</v>
      </c>
      <c r="E6" s="356"/>
      <c r="F6" s="356"/>
      <c r="G6" s="356"/>
      <c r="H6" s="356"/>
      <c r="I6" s="356"/>
    </row>
    <row r="7" spans="3:9" ht="41.25" customHeight="1" thickBot="1" x14ac:dyDescent="0.3">
      <c r="C7" s="354"/>
      <c r="D7" s="357"/>
      <c r="E7" s="358"/>
      <c r="F7" s="358"/>
      <c r="G7" s="358"/>
      <c r="H7" s="358"/>
      <c r="I7" s="358"/>
    </row>
    <row r="9" spans="3:9" ht="24" customHeight="1" thickBot="1" x14ac:dyDescent="0.3">
      <c r="C9" s="68"/>
      <c r="D9" s="1"/>
      <c r="E9" s="1"/>
      <c r="F9" s="1"/>
      <c r="G9" s="225"/>
    </row>
    <row r="10" spans="3:9" ht="30" customHeight="1" x14ac:dyDescent="0.25">
      <c r="C10" s="359" t="s">
        <v>124</v>
      </c>
      <c r="D10" s="360"/>
      <c r="E10" s="360"/>
      <c r="F10" s="360"/>
      <c r="G10" s="360"/>
      <c r="H10" s="361"/>
      <c r="I10" s="69"/>
    </row>
    <row r="11" spans="3:9" ht="24" customHeight="1" x14ac:dyDescent="0.25">
      <c r="C11" s="362" t="s">
        <v>125</v>
      </c>
      <c r="D11" s="363"/>
      <c r="E11" s="363"/>
      <c r="F11" s="363"/>
      <c r="G11" s="363"/>
      <c r="H11" s="364"/>
      <c r="I11" s="71"/>
    </row>
    <row r="12" spans="3:9" ht="41.25" customHeight="1" x14ac:dyDescent="0.25">
      <c r="C12" s="362"/>
      <c r="D12" s="363"/>
      <c r="E12" s="363"/>
      <c r="F12" s="363"/>
      <c r="G12" s="363"/>
      <c r="H12" s="364"/>
      <c r="I12" s="71"/>
    </row>
    <row r="13" spans="3:9" ht="24" customHeight="1" thickBot="1" x14ac:dyDescent="0.3">
      <c r="C13" s="365"/>
      <c r="D13" s="366"/>
      <c r="E13" s="366"/>
      <c r="F13" s="366"/>
      <c r="G13" s="366"/>
      <c r="H13" s="367"/>
      <c r="I13" s="71"/>
    </row>
    <row r="14" spans="3:9" ht="24" customHeight="1" thickBot="1" x14ac:dyDescent="0.3">
      <c r="C14" s="69"/>
      <c r="D14" s="69"/>
      <c r="E14" s="69"/>
      <c r="F14" s="69"/>
      <c r="G14" s="259"/>
    </row>
    <row r="15" spans="3:9" ht="25.5" customHeight="1" thickBot="1" x14ac:dyDescent="0.3">
      <c r="C15" s="332" t="s">
        <v>126</v>
      </c>
      <c r="D15" s="333"/>
      <c r="E15" s="333"/>
      <c r="F15" s="368"/>
      <c r="G15" s="260"/>
    </row>
    <row r="16" spans="3:9" ht="25.5" customHeight="1" thickBot="1" x14ac:dyDescent="0.3">
      <c r="C16" s="70"/>
      <c r="D16" s="70"/>
      <c r="E16" s="70"/>
      <c r="F16" s="70"/>
      <c r="G16" s="261"/>
      <c r="H16" s="4"/>
    </row>
    <row r="17" spans="2:16" ht="24" customHeight="1" x14ac:dyDescent="0.25">
      <c r="C17" s="69"/>
      <c r="D17" s="369" t="s">
        <v>179</v>
      </c>
      <c r="E17" s="370"/>
      <c r="F17" s="370"/>
      <c r="G17" s="370"/>
      <c r="H17" s="371"/>
      <c r="I17" s="372"/>
      <c r="J17" s="343" t="s">
        <v>171</v>
      </c>
      <c r="K17" s="344"/>
      <c r="L17" s="344"/>
      <c r="M17" s="344"/>
    </row>
    <row r="18" spans="2:16" ht="53.1" customHeight="1" x14ac:dyDescent="0.25">
      <c r="C18" s="69"/>
      <c r="D18" s="72" t="s">
        <v>103</v>
      </c>
      <c r="E18" s="52" t="s">
        <v>104</v>
      </c>
      <c r="F18" s="52" t="s">
        <v>105</v>
      </c>
      <c r="G18" s="262" t="s">
        <v>182</v>
      </c>
      <c r="H18" s="375" t="s">
        <v>3</v>
      </c>
      <c r="I18" s="372"/>
      <c r="J18" s="341" t="s">
        <v>172</v>
      </c>
      <c r="K18" s="346" t="s">
        <v>173</v>
      </c>
      <c r="L18" s="341" t="s">
        <v>175</v>
      </c>
      <c r="M18" s="341" t="s">
        <v>174</v>
      </c>
    </row>
    <row r="19" spans="2:16" ht="24" customHeight="1" x14ac:dyDescent="0.25">
      <c r="C19" s="69"/>
      <c r="D19" s="73" t="s">
        <v>8</v>
      </c>
      <c r="E19" s="23" t="s">
        <v>9</v>
      </c>
      <c r="F19" s="23" t="s">
        <v>10</v>
      </c>
      <c r="G19" s="262"/>
      <c r="H19" s="376"/>
      <c r="I19" s="372"/>
      <c r="J19" s="345"/>
      <c r="K19" s="347"/>
      <c r="L19" s="345"/>
      <c r="M19" s="342"/>
    </row>
    <row r="20" spans="2:16" ht="24" customHeight="1" thickBot="1" x14ac:dyDescent="0.3">
      <c r="B20" s="373" t="s">
        <v>130</v>
      </c>
      <c r="C20" s="374"/>
      <c r="D20" s="374"/>
      <c r="E20" s="374"/>
      <c r="F20" s="374"/>
      <c r="G20" s="374"/>
      <c r="H20" s="374"/>
      <c r="I20" s="372"/>
      <c r="J20" s="341" t="s">
        <v>8</v>
      </c>
      <c r="K20" s="346" t="s">
        <v>9</v>
      </c>
      <c r="L20" s="341" t="s">
        <v>10</v>
      </c>
      <c r="M20" s="342"/>
    </row>
    <row r="21" spans="2:16" ht="22.5" customHeight="1" thickBot="1" x14ac:dyDescent="0.3">
      <c r="C21" s="378" t="s">
        <v>131</v>
      </c>
      <c r="D21" s="379"/>
      <c r="E21" s="379"/>
      <c r="F21" s="379"/>
      <c r="G21" s="379"/>
      <c r="H21" s="380"/>
      <c r="I21" s="372"/>
      <c r="J21" s="345"/>
      <c r="K21" s="347"/>
      <c r="L21" s="345"/>
      <c r="M21" s="345"/>
    </row>
    <row r="22" spans="2:16" ht="24.75" customHeight="1" thickBot="1" x14ac:dyDescent="0.3">
      <c r="C22" s="74" t="s">
        <v>132</v>
      </c>
      <c r="D22" s="75">
        <f>D30</f>
        <v>58000</v>
      </c>
      <c r="E22" s="75">
        <f t="shared" ref="E22:F22" si="0">E30</f>
        <v>10000</v>
      </c>
      <c r="F22" s="75">
        <f t="shared" si="0"/>
        <v>10000</v>
      </c>
      <c r="G22" s="263">
        <f>G30</f>
        <v>21750.489999999998</v>
      </c>
      <c r="H22" s="76">
        <f t="shared" ref="H22:H29" si="1">SUM(D22:F22)</f>
        <v>78000</v>
      </c>
      <c r="I22" s="372"/>
      <c r="J22" s="77">
        <f>J30</f>
        <v>47092.149999999994</v>
      </c>
      <c r="K22" s="77">
        <f t="shared" ref="K22" si="2">K30</f>
        <v>0</v>
      </c>
      <c r="L22" s="223">
        <f>L30</f>
        <v>18848.330000000002</v>
      </c>
      <c r="M22" s="155">
        <f>J22+K22+L22</f>
        <v>65940.479999999996</v>
      </c>
    </row>
    <row r="23" spans="2:16" ht="21.75" customHeight="1" x14ac:dyDescent="0.25">
      <c r="C23" s="79" t="s">
        <v>133</v>
      </c>
      <c r="D23" s="80"/>
      <c r="E23" s="81"/>
      <c r="F23" s="17"/>
      <c r="G23" s="222"/>
      <c r="H23" s="76">
        <f t="shared" si="1"/>
        <v>0</v>
      </c>
      <c r="I23" s="372"/>
      <c r="J23" s="156">
        <v>0</v>
      </c>
      <c r="K23" s="170"/>
      <c r="L23" s="163"/>
      <c r="M23" s="78">
        <f>J23+K23+L23</f>
        <v>0</v>
      </c>
    </row>
    <row r="24" spans="2:16" x14ac:dyDescent="0.25">
      <c r="C24" s="82" t="s">
        <v>134</v>
      </c>
      <c r="D24" s="80">
        <v>3000</v>
      </c>
      <c r="E24" s="16">
        <v>0</v>
      </c>
      <c r="F24" s="17">
        <v>2000</v>
      </c>
      <c r="G24" s="222">
        <v>1776.83</v>
      </c>
      <c r="H24" s="76">
        <f t="shared" si="1"/>
        <v>5000</v>
      </c>
      <c r="I24" s="372"/>
      <c r="J24" s="156">
        <v>0</v>
      </c>
      <c r="K24" s="170"/>
      <c r="L24" s="164">
        <v>2216.4299999999998</v>
      </c>
      <c r="M24" s="78">
        <f t="shared" ref="M24:M29" si="3">J24+K24+L24</f>
        <v>2216.4299999999998</v>
      </c>
      <c r="N24" s="146"/>
    </row>
    <row r="25" spans="2:16" ht="31.5" customHeight="1" x14ac:dyDescent="0.25">
      <c r="C25" s="82" t="s">
        <v>135</v>
      </c>
      <c r="D25" s="80"/>
      <c r="E25" s="83">
        <v>0</v>
      </c>
      <c r="F25" s="83"/>
      <c r="G25" s="222">
        <v>8317.66</v>
      </c>
      <c r="H25" s="76">
        <f t="shared" si="1"/>
        <v>0</v>
      </c>
      <c r="I25" s="372"/>
      <c r="J25" s="156">
        <v>0</v>
      </c>
      <c r="K25" s="170"/>
      <c r="L25" s="165">
        <v>4996.8999999999996</v>
      </c>
      <c r="M25" s="78">
        <f t="shared" si="3"/>
        <v>4996.8999999999996</v>
      </c>
      <c r="N25" s="146"/>
    </row>
    <row r="26" spans="2:16" ht="15.75" customHeight="1" x14ac:dyDescent="0.25">
      <c r="C26" s="84" t="s">
        <v>136</v>
      </c>
      <c r="D26" s="80">
        <v>35000</v>
      </c>
      <c r="E26" s="83"/>
      <c r="F26" s="83">
        <v>4000</v>
      </c>
      <c r="G26" s="222"/>
      <c r="H26" s="76">
        <f t="shared" si="1"/>
        <v>39000</v>
      </c>
      <c r="I26" s="372"/>
      <c r="J26" s="156">
        <f>3174.19+7226.41+4668.38+11301.46+3384.88+1582.87+2129.5+100.31</f>
        <v>33568</v>
      </c>
      <c r="K26" s="170"/>
      <c r="L26" s="164"/>
      <c r="M26" s="78">
        <f t="shared" si="3"/>
        <v>33568</v>
      </c>
      <c r="N26" s="146"/>
    </row>
    <row r="27" spans="2:16" x14ac:dyDescent="0.25">
      <c r="C27" s="82" t="s">
        <v>137</v>
      </c>
      <c r="D27" s="80">
        <v>10000</v>
      </c>
      <c r="E27" s="83">
        <v>0</v>
      </c>
      <c r="F27" s="83">
        <v>4000</v>
      </c>
      <c r="G27" s="222"/>
      <c r="H27" s="76">
        <f t="shared" si="1"/>
        <v>14000</v>
      </c>
      <c r="I27" s="372"/>
      <c r="J27" s="156">
        <f>6115.2+3129.12+2606.37+1673.46</f>
        <v>13524.149999999998</v>
      </c>
      <c r="K27" s="170"/>
      <c r="L27" s="165"/>
      <c r="M27" s="78">
        <f t="shared" si="3"/>
        <v>13524.149999999998</v>
      </c>
      <c r="N27" s="146"/>
    </row>
    <row r="28" spans="2:16" ht="21.75" customHeight="1" x14ac:dyDescent="0.25">
      <c r="C28" s="82" t="s">
        <v>138</v>
      </c>
      <c r="D28" s="80">
        <v>10000</v>
      </c>
      <c r="E28" s="83">
        <v>10000</v>
      </c>
      <c r="F28" s="83">
        <v>0</v>
      </c>
      <c r="G28" s="222">
        <v>10421</v>
      </c>
      <c r="H28" s="76">
        <f t="shared" si="1"/>
        <v>20000</v>
      </c>
      <c r="I28" s="372"/>
      <c r="J28" s="156">
        <v>0</v>
      </c>
      <c r="K28" s="170"/>
      <c r="L28" s="165">
        <v>10400</v>
      </c>
      <c r="M28" s="78">
        <f t="shared" si="3"/>
        <v>10400</v>
      </c>
      <c r="N28" s="187"/>
      <c r="P28" s="5"/>
    </row>
    <row r="29" spans="2:16" ht="36.75" customHeight="1" x14ac:dyDescent="0.25">
      <c r="C29" s="82" t="s">
        <v>139</v>
      </c>
      <c r="D29" s="80"/>
      <c r="E29" s="83"/>
      <c r="F29" s="83">
        <v>0</v>
      </c>
      <c r="G29" s="222">
        <v>1235</v>
      </c>
      <c r="H29" s="76">
        <f t="shared" si="1"/>
        <v>0</v>
      </c>
      <c r="I29" s="372"/>
      <c r="J29" s="156">
        <v>0</v>
      </c>
      <c r="K29" s="170"/>
      <c r="L29" s="165">
        <v>1235</v>
      </c>
      <c r="M29" s="78">
        <f t="shared" si="3"/>
        <v>1235</v>
      </c>
      <c r="N29" s="146"/>
    </row>
    <row r="30" spans="2:16" ht="22.5" customHeight="1" thickBot="1" x14ac:dyDescent="0.3">
      <c r="C30" s="85" t="s">
        <v>140</v>
      </c>
      <c r="D30" s="86">
        <f t="shared" ref="D30:H30" si="4">SUM(D23:D29)</f>
        <v>58000</v>
      </c>
      <c r="E30" s="87">
        <f t="shared" si="4"/>
        <v>10000</v>
      </c>
      <c r="F30" s="87">
        <f t="shared" si="4"/>
        <v>10000</v>
      </c>
      <c r="G30" s="264">
        <f>SUM(G23:G29)</f>
        <v>21750.489999999998</v>
      </c>
      <c r="H30" s="88">
        <f t="shared" si="4"/>
        <v>78000</v>
      </c>
      <c r="I30" s="372"/>
      <c r="J30" s="89">
        <f>J23+J24+J25+J26+J27+J28+J29</f>
        <v>47092.149999999994</v>
      </c>
      <c r="K30" s="89">
        <f t="shared" ref="K30:L30" si="5">K23+K24+K25+K26+K27+K28+K29</f>
        <v>0</v>
      </c>
      <c r="L30" s="224">
        <f t="shared" si="5"/>
        <v>18848.330000000002</v>
      </c>
      <c r="M30" s="78">
        <f>J30+K30+L30</f>
        <v>65940.479999999996</v>
      </c>
      <c r="N30" s="184"/>
    </row>
    <row r="31" spans="2:16" s="5" customFormat="1" ht="16.5" thickBot="1" x14ac:dyDescent="0.3">
      <c r="C31" s="377"/>
      <c r="D31" s="377"/>
      <c r="E31" s="377"/>
      <c r="F31" s="377"/>
      <c r="G31" s="377"/>
      <c r="H31" s="377"/>
      <c r="I31" s="377"/>
      <c r="J31" s="161"/>
    </row>
    <row r="32" spans="2:16" s="92" customFormat="1" ht="16.5" thickBot="1" x14ac:dyDescent="0.3">
      <c r="C32" s="93" t="s">
        <v>141</v>
      </c>
      <c r="D32" s="94"/>
      <c r="E32" s="94"/>
      <c r="F32" s="94"/>
      <c r="G32" s="265"/>
      <c r="H32" s="95"/>
      <c r="I32" s="381"/>
    </row>
    <row r="33" spans="3:13" s="92" customFormat="1" ht="27" customHeight="1" thickBot="1" x14ac:dyDescent="0.3">
      <c r="C33" s="97" t="s">
        <v>142</v>
      </c>
      <c r="D33" s="98">
        <f>D41</f>
        <v>0</v>
      </c>
      <c r="E33" s="98">
        <f t="shared" ref="E33:F33" si="6">E41</f>
        <v>50000</v>
      </c>
      <c r="F33" s="98">
        <f t="shared" si="6"/>
        <v>0</v>
      </c>
      <c r="G33" s="266"/>
      <c r="H33" s="99">
        <f t="shared" ref="H33:H40" si="7">SUM(D33:F33)</f>
        <v>50000</v>
      </c>
      <c r="I33" s="381"/>
      <c r="J33" s="111"/>
      <c r="K33" s="96">
        <f>+K41</f>
        <v>46522.04</v>
      </c>
      <c r="L33" s="112"/>
      <c r="M33" s="155">
        <f>K33+L33</f>
        <v>46522.04</v>
      </c>
    </row>
    <row r="34" spans="3:13" s="92" customFormat="1" x14ac:dyDescent="0.25">
      <c r="C34" s="79" t="s">
        <v>133</v>
      </c>
      <c r="D34" s="100"/>
      <c r="E34" s="81"/>
      <c r="F34" s="17"/>
      <c r="G34" s="267"/>
      <c r="H34" s="99">
        <f t="shared" si="7"/>
        <v>0</v>
      </c>
      <c r="I34" s="381"/>
      <c r="J34" s="156"/>
      <c r="K34" s="172">
        <v>0</v>
      </c>
      <c r="L34" s="157"/>
      <c r="M34" s="78">
        <f t="shared" ref="M34:M41" si="8">K34</f>
        <v>0</v>
      </c>
    </row>
    <row r="35" spans="3:13" s="92" customFormat="1" x14ac:dyDescent="0.25">
      <c r="C35" s="82" t="s">
        <v>134</v>
      </c>
      <c r="D35" s="100"/>
      <c r="E35" s="16"/>
      <c r="F35" s="17"/>
      <c r="G35" s="267"/>
      <c r="H35" s="99">
        <f t="shared" si="7"/>
        <v>0</v>
      </c>
      <c r="I35" s="381"/>
      <c r="J35" s="156"/>
      <c r="K35" s="172">
        <v>0</v>
      </c>
      <c r="L35" s="157"/>
      <c r="M35" s="78">
        <f t="shared" si="8"/>
        <v>0</v>
      </c>
    </row>
    <row r="36" spans="3:13" s="92" customFormat="1" ht="31.5" x14ac:dyDescent="0.25">
      <c r="C36" s="82" t="s">
        <v>135</v>
      </c>
      <c r="D36" s="100"/>
      <c r="E36" s="101">
        <v>6000</v>
      </c>
      <c r="F36" s="101"/>
      <c r="G36" s="268"/>
      <c r="H36" s="99">
        <f t="shared" si="7"/>
        <v>6000</v>
      </c>
      <c r="I36" s="381"/>
      <c r="J36" s="156"/>
      <c r="K36" s="172">
        <v>0</v>
      </c>
      <c r="L36" s="157"/>
      <c r="M36" s="78">
        <f t="shared" si="8"/>
        <v>0</v>
      </c>
    </row>
    <row r="37" spans="3:13" s="92" customFormat="1" x14ac:dyDescent="0.25">
      <c r="C37" s="84" t="s">
        <v>136</v>
      </c>
      <c r="D37" s="100"/>
      <c r="E37" s="101">
        <v>4000</v>
      </c>
      <c r="F37" s="101"/>
      <c r="G37" s="268"/>
      <c r="H37" s="99">
        <f t="shared" si="7"/>
        <v>4000</v>
      </c>
      <c r="I37" s="381"/>
      <c r="J37" s="156"/>
      <c r="K37" s="172">
        <v>0</v>
      </c>
      <c r="L37" s="157"/>
      <c r="M37" s="78">
        <f t="shared" si="8"/>
        <v>0</v>
      </c>
    </row>
    <row r="38" spans="3:13" s="92" customFormat="1" x14ac:dyDescent="0.25">
      <c r="C38" s="82" t="s">
        <v>137</v>
      </c>
      <c r="D38" s="100"/>
      <c r="E38" s="101">
        <v>0</v>
      </c>
      <c r="F38" s="101"/>
      <c r="G38" s="268"/>
      <c r="H38" s="99">
        <f t="shared" si="7"/>
        <v>0</v>
      </c>
      <c r="I38" s="381"/>
      <c r="J38" s="156"/>
      <c r="K38" s="172">
        <v>0</v>
      </c>
      <c r="L38" s="157"/>
      <c r="M38" s="78">
        <f t="shared" si="8"/>
        <v>0</v>
      </c>
    </row>
    <row r="39" spans="3:13" s="92" customFormat="1" x14ac:dyDescent="0.25">
      <c r="C39" s="82" t="s">
        <v>138</v>
      </c>
      <c r="D39" s="100"/>
      <c r="E39" s="101">
        <v>40000</v>
      </c>
      <c r="F39" s="101"/>
      <c r="G39" s="268"/>
      <c r="H39" s="99">
        <f t="shared" si="7"/>
        <v>40000</v>
      </c>
      <c r="I39" s="381"/>
      <c r="J39" s="156"/>
      <c r="K39" s="172">
        <f>13308.91+10000+23213.13</f>
        <v>46522.04</v>
      </c>
      <c r="L39" s="157"/>
      <c r="M39" s="78">
        <f t="shared" si="8"/>
        <v>46522.04</v>
      </c>
    </row>
    <row r="40" spans="3:13" s="92" customFormat="1" x14ac:dyDescent="0.25">
      <c r="C40" s="82" t="s">
        <v>139</v>
      </c>
      <c r="D40" s="100"/>
      <c r="E40" s="101">
        <v>0</v>
      </c>
      <c r="F40" s="101"/>
      <c r="G40" s="268"/>
      <c r="H40" s="99">
        <f t="shared" si="7"/>
        <v>0</v>
      </c>
      <c r="I40" s="381"/>
      <c r="J40" s="156"/>
      <c r="K40" s="172">
        <v>0</v>
      </c>
      <c r="L40" s="157"/>
      <c r="M40" s="78">
        <f t="shared" si="8"/>
        <v>0</v>
      </c>
    </row>
    <row r="41" spans="3:13" s="92" customFormat="1" ht="16.5" thickBot="1" x14ac:dyDescent="0.3">
      <c r="C41" s="102" t="s">
        <v>140</v>
      </c>
      <c r="D41" s="103">
        <f t="shared" ref="D41:H41" si="9">SUM(D34:D40)</f>
        <v>0</v>
      </c>
      <c r="E41" s="104">
        <f t="shared" si="9"/>
        <v>50000</v>
      </c>
      <c r="F41" s="104">
        <f t="shared" si="9"/>
        <v>0</v>
      </c>
      <c r="G41" s="269"/>
      <c r="H41" s="105">
        <f t="shared" si="9"/>
        <v>50000</v>
      </c>
      <c r="I41" s="381"/>
      <c r="J41" s="89"/>
      <c r="K41" s="171">
        <f>SUM(K34:K40)</f>
        <v>46522.04</v>
      </c>
      <c r="L41" s="90"/>
      <c r="M41" s="91">
        <f t="shared" si="8"/>
        <v>46522.04</v>
      </c>
    </row>
    <row r="42" spans="3:13" s="5" customFormat="1" ht="16.5" thickBot="1" x14ac:dyDescent="0.3">
      <c r="C42" s="106"/>
      <c r="D42" s="382"/>
      <c r="E42" s="382"/>
      <c r="F42" s="382"/>
      <c r="G42" s="382"/>
      <c r="H42" s="382"/>
      <c r="I42" s="382"/>
    </row>
    <row r="43" spans="3:13" ht="16.5" thickBot="1" x14ac:dyDescent="0.3">
      <c r="C43" s="107" t="s">
        <v>143</v>
      </c>
      <c r="D43" s="108"/>
      <c r="E43" s="108"/>
      <c r="F43" s="108"/>
      <c r="G43" s="270"/>
      <c r="H43" s="109"/>
      <c r="I43" s="383"/>
    </row>
    <row r="44" spans="3:13" ht="21.75" customHeight="1" thickBot="1" x14ac:dyDescent="0.3">
      <c r="C44" s="74" t="s">
        <v>144</v>
      </c>
      <c r="D44" s="75">
        <f>'[1]1) Tableau budgétaire 1'!D44</f>
        <v>0</v>
      </c>
      <c r="E44" s="110">
        <f>'[1]1) Tableau budgétaire 1'!E44</f>
        <v>0</v>
      </c>
      <c r="F44" s="110">
        <f>'[1]1) Tableau budgétaire 1'!F44</f>
        <v>0</v>
      </c>
      <c r="G44" s="271"/>
      <c r="H44" s="76">
        <f t="shared" ref="H44:H52" si="10">SUM(D44:F44)</f>
        <v>0</v>
      </c>
      <c r="I44" s="383"/>
      <c r="J44" s="111"/>
      <c r="K44" s="96">
        <f>+K52</f>
        <v>0</v>
      </c>
      <c r="L44" s="112"/>
      <c r="M44" s="155">
        <f>K44</f>
        <v>0</v>
      </c>
    </row>
    <row r="45" spans="3:13" x14ac:dyDescent="0.25">
      <c r="C45" s="79" t="s">
        <v>133</v>
      </c>
      <c r="D45" s="80"/>
      <c r="E45" s="17"/>
      <c r="F45" s="17"/>
      <c r="G45" s="267"/>
      <c r="H45" s="76">
        <f t="shared" si="10"/>
        <v>0</v>
      </c>
      <c r="I45" s="383"/>
      <c r="J45" s="156"/>
      <c r="K45" s="170">
        <v>0</v>
      </c>
      <c r="L45" s="157"/>
      <c r="M45" s="170">
        <v>0</v>
      </c>
    </row>
    <row r="46" spans="3:13" s="5" customFormat="1" ht="15.75" customHeight="1" x14ac:dyDescent="0.25">
      <c r="C46" s="82" t="s">
        <v>134</v>
      </c>
      <c r="D46" s="80"/>
      <c r="E46" s="17"/>
      <c r="F46" s="17"/>
      <c r="G46" s="267"/>
      <c r="H46" s="76">
        <f t="shared" si="10"/>
        <v>0</v>
      </c>
      <c r="I46" s="383"/>
      <c r="J46" s="156"/>
      <c r="K46" s="170">
        <v>0</v>
      </c>
      <c r="L46" s="157"/>
      <c r="M46" s="170">
        <v>0</v>
      </c>
    </row>
    <row r="47" spans="3:13" s="5" customFormat="1" ht="31.5" x14ac:dyDescent="0.25">
      <c r="C47" s="82" t="s">
        <v>135</v>
      </c>
      <c r="D47" s="80"/>
      <c r="E47" s="83"/>
      <c r="F47" s="83"/>
      <c r="G47" s="272"/>
      <c r="H47" s="76">
        <f t="shared" si="10"/>
        <v>0</v>
      </c>
      <c r="I47" s="383"/>
      <c r="J47" s="156"/>
      <c r="K47" s="170">
        <v>0</v>
      </c>
      <c r="L47" s="157"/>
      <c r="M47" s="170">
        <v>0</v>
      </c>
    </row>
    <row r="48" spans="3:13" s="5" customFormat="1" x14ac:dyDescent="0.25">
      <c r="C48" s="84" t="s">
        <v>136</v>
      </c>
      <c r="D48" s="80">
        <v>0</v>
      </c>
      <c r="E48" s="83"/>
      <c r="F48" s="83"/>
      <c r="G48" s="272"/>
      <c r="H48" s="76">
        <f t="shared" si="10"/>
        <v>0</v>
      </c>
      <c r="I48" s="383"/>
      <c r="J48" s="156"/>
      <c r="K48" s="170">
        <v>0</v>
      </c>
      <c r="L48" s="157"/>
      <c r="M48" s="170">
        <v>0</v>
      </c>
    </row>
    <row r="49" spans="3:13" x14ac:dyDescent="0.25">
      <c r="C49" s="82" t="s">
        <v>137</v>
      </c>
      <c r="D49" s="80">
        <v>0</v>
      </c>
      <c r="E49" s="83"/>
      <c r="F49" s="83"/>
      <c r="G49" s="272"/>
      <c r="H49" s="76">
        <f t="shared" si="10"/>
        <v>0</v>
      </c>
      <c r="I49" s="383"/>
      <c r="J49" s="156"/>
      <c r="K49" s="156">
        <v>0</v>
      </c>
      <c r="L49" s="157"/>
      <c r="M49" s="156">
        <v>0</v>
      </c>
    </row>
    <row r="50" spans="3:13" x14ac:dyDescent="0.25">
      <c r="C50" s="82" t="s">
        <v>138</v>
      </c>
      <c r="D50" s="80"/>
      <c r="E50" s="83"/>
      <c r="F50" s="83"/>
      <c r="G50" s="272"/>
      <c r="H50" s="76">
        <f t="shared" si="10"/>
        <v>0</v>
      </c>
      <c r="I50" s="383"/>
      <c r="J50" s="156"/>
      <c r="K50" s="156">
        <v>0</v>
      </c>
      <c r="L50" s="157"/>
      <c r="M50" s="156">
        <v>0</v>
      </c>
    </row>
    <row r="51" spans="3:13" x14ac:dyDescent="0.25">
      <c r="C51" s="82" t="s">
        <v>139</v>
      </c>
      <c r="D51" s="80"/>
      <c r="E51" s="83"/>
      <c r="F51" s="83"/>
      <c r="G51" s="272"/>
      <c r="H51" s="76">
        <f t="shared" si="10"/>
        <v>0</v>
      </c>
      <c r="I51" s="383"/>
      <c r="J51" s="156"/>
      <c r="K51" s="170">
        <v>0</v>
      </c>
      <c r="L51" s="157"/>
      <c r="M51" s="170">
        <v>5000</v>
      </c>
    </row>
    <row r="52" spans="3:13" ht="16.5" thickBot="1" x14ac:dyDescent="0.3">
      <c r="C52" s="85" t="s">
        <v>140</v>
      </c>
      <c r="D52" s="86">
        <f>SUM(D45:D51)</f>
        <v>0</v>
      </c>
      <c r="E52" s="87">
        <f>SUM(E45:E51)</f>
        <v>0</v>
      </c>
      <c r="F52" s="87">
        <f>SUM(F45:F51)</f>
        <v>0</v>
      </c>
      <c r="G52" s="273"/>
      <c r="H52" s="113">
        <f t="shared" si="10"/>
        <v>0</v>
      </c>
      <c r="I52" s="383"/>
      <c r="J52" s="89"/>
      <c r="K52" s="171">
        <f>SUM(K45:K51)</f>
        <v>0</v>
      </c>
      <c r="L52" s="90"/>
      <c r="M52" s="171">
        <f>SUM(M45:M51)</f>
        <v>5000</v>
      </c>
    </row>
    <row r="53" spans="3:13" ht="16.5" thickBot="1" x14ac:dyDescent="0.3">
      <c r="C53" s="384"/>
      <c r="D53" s="385"/>
      <c r="E53" s="385"/>
      <c r="F53" s="385"/>
      <c r="G53" s="385"/>
      <c r="H53" s="385"/>
      <c r="I53" s="385"/>
    </row>
    <row r="54" spans="3:13" s="5" customFormat="1" ht="16.5" thickBot="1" x14ac:dyDescent="0.3">
      <c r="C54" s="107" t="s">
        <v>145</v>
      </c>
      <c r="D54" s="108"/>
      <c r="E54" s="108"/>
      <c r="F54" s="108"/>
      <c r="G54" s="270"/>
      <c r="H54" s="109"/>
      <c r="I54" s="383"/>
    </row>
    <row r="55" spans="3:13" ht="20.25" customHeight="1" thickBot="1" x14ac:dyDescent="0.3">
      <c r="C55" s="74" t="s">
        <v>146</v>
      </c>
      <c r="D55" s="75">
        <f>'[1]1) Tableau budgétaire 1'!D54</f>
        <v>0</v>
      </c>
      <c r="E55" s="110">
        <f>'[1]1) Tableau budgétaire 1'!E54</f>
        <v>0</v>
      </c>
      <c r="F55" s="110">
        <f>'[1]1) Tableau budgétaire 1'!F54</f>
        <v>0</v>
      </c>
      <c r="G55" s="271"/>
      <c r="H55" s="76">
        <f t="shared" ref="H55:H63" si="11">SUM(D55:F55)</f>
        <v>0</v>
      </c>
      <c r="I55" s="383"/>
      <c r="J55" s="111"/>
      <c r="K55" s="160"/>
      <c r="L55" s="112"/>
      <c r="M55" s="155"/>
    </row>
    <row r="56" spans="3:13" x14ac:dyDescent="0.25">
      <c r="C56" s="79" t="s">
        <v>133</v>
      </c>
      <c r="D56" s="80"/>
      <c r="E56" s="17"/>
      <c r="F56" s="17"/>
      <c r="G56" s="267"/>
      <c r="H56" s="76">
        <f t="shared" si="11"/>
        <v>0</v>
      </c>
      <c r="I56" s="383"/>
      <c r="J56" s="156"/>
      <c r="K56" s="158"/>
      <c r="L56" s="157"/>
      <c r="M56" s="78"/>
    </row>
    <row r="57" spans="3:13" ht="15.75" customHeight="1" x14ac:dyDescent="0.25">
      <c r="C57" s="82" t="s">
        <v>134</v>
      </c>
      <c r="D57" s="80"/>
      <c r="E57" s="17"/>
      <c r="F57" s="17"/>
      <c r="G57" s="267"/>
      <c r="H57" s="76">
        <f t="shared" si="11"/>
        <v>0</v>
      </c>
      <c r="I57" s="383"/>
      <c r="J57" s="156"/>
      <c r="K57" s="158"/>
      <c r="L57" s="157"/>
      <c r="M57" s="78"/>
    </row>
    <row r="58" spans="3:13" ht="32.25" customHeight="1" x14ac:dyDescent="0.25">
      <c r="C58" s="82" t="s">
        <v>135</v>
      </c>
      <c r="D58" s="80"/>
      <c r="E58" s="83"/>
      <c r="F58" s="83"/>
      <c r="G58" s="272"/>
      <c r="H58" s="76">
        <f t="shared" si="11"/>
        <v>0</v>
      </c>
      <c r="I58" s="383"/>
      <c r="J58" s="156"/>
      <c r="K58" s="158"/>
      <c r="L58" s="157"/>
      <c r="M58" s="78"/>
    </row>
    <row r="59" spans="3:13" s="5" customFormat="1" x14ac:dyDescent="0.25">
      <c r="C59" s="84" t="s">
        <v>136</v>
      </c>
      <c r="D59" s="80"/>
      <c r="E59" s="83"/>
      <c r="F59" s="83"/>
      <c r="G59" s="272"/>
      <c r="H59" s="76">
        <f t="shared" si="11"/>
        <v>0</v>
      </c>
      <c r="I59" s="383"/>
      <c r="J59" s="156"/>
      <c r="K59" s="158"/>
      <c r="L59" s="157"/>
      <c r="M59" s="78"/>
    </row>
    <row r="60" spans="3:13" x14ac:dyDescent="0.25">
      <c r="C60" s="82" t="s">
        <v>137</v>
      </c>
      <c r="D60" s="80"/>
      <c r="E60" s="83"/>
      <c r="F60" s="83"/>
      <c r="G60" s="272"/>
      <c r="H60" s="76">
        <f t="shared" si="11"/>
        <v>0</v>
      </c>
      <c r="I60" s="383"/>
      <c r="J60" s="156"/>
      <c r="K60" s="158"/>
      <c r="L60" s="157"/>
      <c r="M60" s="78"/>
    </row>
    <row r="61" spans="3:13" x14ac:dyDescent="0.25">
      <c r="C61" s="82" t="s">
        <v>138</v>
      </c>
      <c r="D61" s="80"/>
      <c r="E61" s="83"/>
      <c r="F61" s="83"/>
      <c r="G61" s="272"/>
      <c r="H61" s="76">
        <f t="shared" si="11"/>
        <v>0</v>
      </c>
      <c r="I61" s="383"/>
      <c r="J61" s="156"/>
      <c r="K61" s="158"/>
      <c r="L61" s="157"/>
      <c r="M61" s="78"/>
    </row>
    <row r="62" spans="3:13" x14ac:dyDescent="0.25">
      <c r="C62" s="82" t="s">
        <v>139</v>
      </c>
      <c r="D62" s="80"/>
      <c r="E62" s="83"/>
      <c r="F62" s="83"/>
      <c r="G62" s="272"/>
      <c r="H62" s="76">
        <f t="shared" si="11"/>
        <v>0</v>
      </c>
      <c r="I62" s="383"/>
      <c r="J62" s="156"/>
      <c r="K62" s="158"/>
      <c r="L62" s="157"/>
      <c r="M62" s="78"/>
    </row>
    <row r="63" spans="3:13" ht="21" customHeight="1" thickBot="1" x14ac:dyDescent="0.3">
      <c r="C63" s="85" t="s">
        <v>140</v>
      </c>
      <c r="D63" s="86">
        <f>SUM(D56:D62)</f>
        <v>0</v>
      </c>
      <c r="E63" s="87">
        <f>SUM(E56:E62)</f>
        <v>0</v>
      </c>
      <c r="F63" s="87">
        <f>SUM(F56:F62)</f>
        <v>0</v>
      </c>
      <c r="G63" s="273"/>
      <c r="H63" s="113">
        <f t="shared" si="11"/>
        <v>0</v>
      </c>
      <c r="I63" s="383"/>
      <c r="J63" s="89"/>
      <c r="K63" s="159"/>
      <c r="L63" s="90"/>
      <c r="M63" s="91"/>
    </row>
    <row r="64" spans="3:13" s="5" customFormat="1" ht="22.5" customHeight="1" thickBot="1" x14ac:dyDescent="0.3">
      <c r="C64" s="377"/>
      <c r="D64" s="377"/>
      <c r="E64" s="377"/>
      <c r="F64" s="377"/>
      <c r="G64" s="377"/>
      <c r="H64" s="377"/>
      <c r="I64" s="377"/>
    </row>
    <row r="65" spans="2:13" ht="15.75" customHeight="1" thickBot="1" x14ac:dyDescent="0.3">
      <c r="B65" s="387" t="s">
        <v>147</v>
      </c>
      <c r="C65" s="388"/>
      <c r="D65" s="388"/>
      <c r="E65" s="388"/>
      <c r="F65" s="388"/>
      <c r="G65" s="388"/>
      <c r="H65" s="389"/>
      <c r="I65" s="383"/>
    </row>
    <row r="66" spans="2:13" ht="16.5" thickBot="1" x14ac:dyDescent="0.3">
      <c r="C66" s="114" t="s">
        <v>34</v>
      </c>
      <c r="D66" s="115"/>
      <c r="E66" s="115"/>
      <c r="F66" s="115"/>
      <c r="G66" s="274"/>
      <c r="H66" s="116"/>
      <c r="I66" s="383"/>
    </row>
    <row r="67" spans="2:13" s="92" customFormat="1" ht="24" customHeight="1" thickBot="1" x14ac:dyDescent="0.3">
      <c r="C67" s="97" t="s">
        <v>148</v>
      </c>
      <c r="D67" s="98">
        <f>D75</f>
        <v>30000</v>
      </c>
      <c r="E67" s="98">
        <f t="shared" ref="E67:F67" si="12">E75</f>
        <v>100000</v>
      </c>
      <c r="F67" s="98">
        <f t="shared" si="12"/>
        <v>100000</v>
      </c>
      <c r="G67" s="275">
        <f>G75</f>
        <v>107408.1</v>
      </c>
      <c r="H67" s="99">
        <f t="shared" ref="H67:H74" si="13">SUM(D67:F67)</f>
        <v>230000</v>
      </c>
      <c r="I67" s="383"/>
      <c r="J67" s="111">
        <f>J75</f>
        <v>18608.96</v>
      </c>
      <c r="K67" s="96">
        <f>+K75</f>
        <v>92562.03</v>
      </c>
      <c r="L67" s="162">
        <f>+L75</f>
        <v>72460.23000000001</v>
      </c>
      <c r="M67" s="111">
        <f>J67+K67+L67</f>
        <v>183631.22</v>
      </c>
    </row>
    <row r="68" spans="2:13" s="92" customFormat="1" ht="15.75" customHeight="1" x14ac:dyDescent="0.25">
      <c r="C68" s="79" t="s">
        <v>133</v>
      </c>
      <c r="D68" s="100"/>
      <c r="E68" s="81">
        <v>0</v>
      </c>
      <c r="F68" s="17"/>
      <c r="G68" s="222"/>
      <c r="H68" s="99">
        <f t="shared" si="13"/>
        <v>0</v>
      </c>
      <c r="I68" s="383"/>
      <c r="J68" s="156">
        <v>0</v>
      </c>
      <c r="K68" s="172">
        <v>0</v>
      </c>
      <c r="L68" s="165">
        <v>0</v>
      </c>
      <c r="M68" s="156">
        <f>J68+K68+L68</f>
        <v>0</v>
      </c>
    </row>
    <row r="69" spans="2:13" s="92" customFormat="1" ht="32.25" customHeight="1" x14ac:dyDescent="0.25">
      <c r="C69" s="82" t="s">
        <v>134</v>
      </c>
      <c r="D69" s="100"/>
      <c r="E69" s="16">
        <v>0</v>
      </c>
      <c r="F69" s="17">
        <v>10000</v>
      </c>
      <c r="G69" s="222">
        <v>28677.11</v>
      </c>
      <c r="H69" s="99">
        <f t="shared" si="13"/>
        <v>10000</v>
      </c>
      <c r="I69" s="383"/>
      <c r="J69" s="156">
        <v>0</v>
      </c>
      <c r="K69" s="172"/>
      <c r="L69" s="165">
        <v>7892.12</v>
      </c>
      <c r="M69" s="156">
        <f t="shared" ref="M69:M74" si="14">J69+K69+L69</f>
        <v>7892.12</v>
      </c>
    </row>
    <row r="70" spans="2:13" s="92" customFormat="1" ht="40.5" customHeight="1" x14ac:dyDescent="0.25">
      <c r="C70" s="82" t="s">
        <v>135</v>
      </c>
      <c r="D70" s="100"/>
      <c r="E70" s="101">
        <v>20000</v>
      </c>
      <c r="F70" s="101">
        <v>10000</v>
      </c>
      <c r="G70" s="222">
        <v>26086.58</v>
      </c>
      <c r="H70" s="99">
        <f t="shared" si="13"/>
        <v>30000</v>
      </c>
      <c r="I70" s="383"/>
      <c r="J70" s="156">
        <v>0</v>
      </c>
      <c r="K70" s="172"/>
      <c r="L70" s="165">
        <v>26086.58</v>
      </c>
      <c r="M70" s="156">
        <f t="shared" si="14"/>
        <v>26086.58</v>
      </c>
    </row>
    <row r="71" spans="2:13" s="92" customFormat="1" ht="38.25" customHeight="1" x14ac:dyDescent="0.25">
      <c r="C71" s="84" t="s">
        <v>136</v>
      </c>
      <c r="D71" s="100">
        <v>30000</v>
      </c>
      <c r="E71" s="101">
        <v>20000</v>
      </c>
      <c r="F71" s="101">
        <v>40000</v>
      </c>
      <c r="G71" s="222">
        <v>13500</v>
      </c>
      <c r="H71" s="99">
        <f t="shared" si="13"/>
        <v>90000</v>
      </c>
      <c r="I71" s="383"/>
      <c r="J71" s="156">
        <f>1265.37+12235.81+1011.68+4096.1</f>
        <v>18608.96</v>
      </c>
      <c r="K71" s="172"/>
      <c r="L71" s="165">
        <v>11254.09</v>
      </c>
      <c r="M71" s="156">
        <f t="shared" si="14"/>
        <v>29863.05</v>
      </c>
    </row>
    <row r="72" spans="2:13" s="92" customFormat="1" x14ac:dyDescent="0.25">
      <c r="C72" s="82" t="s">
        <v>137</v>
      </c>
      <c r="D72" s="100"/>
      <c r="E72" s="101">
        <v>0</v>
      </c>
      <c r="F72" s="101">
        <v>40000</v>
      </c>
      <c r="G72" s="222"/>
      <c r="H72" s="99">
        <f t="shared" si="13"/>
        <v>40000</v>
      </c>
      <c r="I72" s="383"/>
      <c r="J72" s="156">
        <v>0</v>
      </c>
      <c r="K72" s="172"/>
      <c r="L72" s="165"/>
      <c r="M72" s="156">
        <f t="shared" si="14"/>
        <v>0</v>
      </c>
    </row>
    <row r="73" spans="2:13" s="54" customFormat="1" ht="29.25" customHeight="1" x14ac:dyDescent="0.25">
      <c r="B73" s="92"/>
      <c r="C73" s="82" t="s">
        <v>138</v>
      </c>
      <c r="D73" s="100"/>
      <c r="E73" s="101">
        <v>60000</v>
      </c>
      <c r="F73" s="101">
        <v>0</v>
      </c>
      <c r="G73" s="222">
        <v>7668.41</v>
      </c>
      <c r="H73" s="99">
        <f t="shared" si="13"/>
        <v>60000</v>
      </c>
      <c r="I73" s="383"/>
      <c r="J73" s="156">
        <v>0</v>
      </c>
      <c r="K73" s="172">
        <f>47959.68+28963.47+15638.88</f>
        <v>92562.03</v>
      </c>
      <c r="L73" s="165"/>
      <c r="M73" s="156">
        <f t="shared" si="14"/>
        <v>92562.03</v>
      </c>
    </row>
    <row r="74" spans="2:13" s="54" customFormat="1" x14ac:dyDescent="0.25">
      <c r="B74" s="92"/>
      <c r="C74" s="82" t="s">
        <v>139</v>
      </c>
      <c r="D74" s="100"/>
      <c r="E74" s="101">
        <v>0</v>
      </c>
      <c r="F74" s="101">
        <v>0</v>
      </c>
      <c r="G74" s="222">
        <v>31476</v>
      </c>
      <c r="H74" s="99">
        <f t="shared" si="13"/>
        <v>0</v>
      </c>
      <c r="I74" s="383"/>
      <c r="J74" s="156">
        <v>0</v>
      </c>
      <c r="K74" s="172">
        <v>0</v>
      </c>
      <c r="L74" s="165">
        <v>27227.439999999999</v>
      </c>
      <c r="M74" s="156">
        <f t="shared" si="14"/>
        <v>27227.439999999999</v>
      </c>
    </row>
    <row r="75" spans="2:13" s="92" customFormat="1" ht="16.5" thickBot="1" x14ac:dyDescent="0.3">
      <c r="C75" s="102" t="s">
        <v>140</v>
      </c>
      <c r="D75" s="103">
        <f t="shared" ref="D75:H75" si="15">SUM(D68:D74)</f>
        <v>30000</v>
      </c>
      <c r="E75" s="104">
        <f t="shared" si="15"/>
        <v>100000</v>
      </c>
      <c r="F75" s="104">
        <f t="shared" si="15"/>
        <v>100000</v>
      </c>
      <c r="G75" s="276">
        <f>SUM(G68:G74)</f>
        <v>107408.1</v>
      </c>
      <c r="H75" s="105">
        <f t="shared" si="15"/>
        <v>230000</v>
      </c>
      <c r="I75" s="383"/>
      <c r="J75" s="89">
        <f>J68+J69+J70+J71+J72+J73+J74</f>
        <v>18608.96</v>
      </c>
      <c r="K75" s="171">
        <f>SUM(K68:K74)</f>
        <v>92562.03</v>
      </c>
      <c r="L75" s="166">
        <f>+SUM(L68:L74)</f>
        <v>72460.23000000001</v>
      </c>
      <c r="M75" s="89">
        <f t="shared" ref="M75" si="16">M68+M69+M70+M71+M72+M73+M74</f>
        <v>183631.22</v>
      </c>
    </row>
    <row r="76" spans="2:13" s="5" customFormat="1" ht="16.5" thickBot="1" x14ac:dyDescent="0.3">
      <c r="C76" s="386"/>
      <c r="D76" s="377"/>
      <c r="E76" s="377"/>
      <c r="F76" s="377"/>
      <c r="G76" s="377"/>
      <c r="H76" s="377"/>
      <c r="I76" s="377"/>
    </row>
    <row r="77" spans="2:13" ht="16.5" thickBot="1" x14ac:dyDescent="0.3">
      <c r="B77" s="5"/>
      <c r="C77" s="107" t="s">
        <v>45</v>
      </c>
      <c r="D77" s="108"/>
      <c r="E77" s="108"/>
      <c r="F77" s="108"/>
      <c r="G77" s="270"/>
      <c r="H77" s="109"/>
      <c r="I77" s="383"/>
    </row>
    <row r="78" spans="2:13" s="92" customFormat="1" ht="21.75" customHeight="1" thickBot="1" x14ac:dyDescent="0.3">
      <c r="C78" s="97" t="s">
        <v>149</v>
      </c>
      <c r="D78" s="98">
        <f>D86</f>
        <v>50000</v>
      </c>
      <c r="E78" s="98">
        <f t="shared" ref="E78:F78" si="17">E86</f>
        <v>25000</v>
      </c>
      <c r="F78" s="98">
        <f t="shared" si="17"/>
        <v>70000</v>
      </c>
      <c r="G78" s="275">
        <f>G86</f>
        <v>65271.43</v>
      </c>
      <c r="H78" s="99">
        <f t="shared" ref="H78:H85" si="18">SUM(D78:F78)</f>
        <v>145000</v>
      </c>
      <c r="I78" s="383"/>
      <c r="J78" s="111">
        <f>J86</f>
        <v>21244.57</v>
      </c>
      <c r="K78" s="96">
        <f>+K86</f>
        <v>0</v>
      </c>
      <c r="L78" s="162">
        <f>+L86</f>
        <v>63140.549999999996</v>
      </c>
      <c r="M78" s="111">
        <f>J78+K78+L78</f>
        <v>84385.12</v>
      </c>
    </row>
    <row r="79" spans="2:13" s="92" customFormat="1" ht="15.75" customHeight="1" x14ac:dyDescent="0.25">
      <c r="C79" s="79" t="s">
        <v>133</v>
      </c>
      <c r="D79" s="100"/>
      <c r="E79" s="81">
        <v>0</v>
      </c>
      <c r="F79" s="17"/>
      <c r="G79" s="222"/>
      <c r="H79" s="99">
        <f t="shared" si="18"/>
        <v>0</v>
      </c>
      <c r="I79" s="383"/>
      <c r="J79" s="156">
        <v>0</v>
      </c>
      <c r="K79" s="172"/>
      <c r="L79" s="165"/>
      <c r="M79" s="156">
        <f>J79+K79+L79</f>
        <v>0</v>
      </c>
    </row>
    <row r="80" spans="2:13" s="92" customFormat="1" ht="31.5" customHeight="1" x14ac:dyDescent="0.25">
      <c r="C80" s="82" t="s">
        <v>134</v>
      </c>
      <c r="D80" s="100">
        <v>0</v>
      </c>
      <c r="E80" s="81">
        <v>0</v>
      </c>
      <c r="F80" s="17">
        <v>10000</v>
      </c>
      <c r="G80" s="222">
        <v>1847.6200000000001</v>
      </c>
      <c r="H80" s="99">
        <f t="shared" si="18"/>
        <v>10000</v>
      </c>
      <c r="I80" s="383"/>
      <c r="J80" s="156">
        <v>0</v>
      </c>
      <c r="K80" s="172"/>
      <c r="L80" s="165">
        <v>1811.8</v>
      </c>
      <c r="M80" s="156">
        <f t="shared" ref="M80:M85" si="19">J80+K80+L80</f>
        <v>1811.8</v>
      </c>
    </row>
    <row r="81" spans="2:13" s="92" customFormat="1" ht="37.5" customHeight="1" x14ac:dyDescent="0.25">
      <c r="C81" s="82" t="s">
        <v>135</v>
      </c>
      <c r="D81" s="100"/>
      <c r="E81" s="81">
        <v>0</v>
      </c>
      <c r="F81" s="101">
        <v>10000</v>
      </c>
      <c r="G81" s="222">
        <v>25544</v>
      </c>
      <c r="H81" s="99">
        <f t="shared" si="18"/>
        <v>10000</v>
      </c>
      <c r="I81" s="383"/>
      <c r="J81" s="156">
        <v>0</v>
      </c>
      <c r="K81" s="172"/>
      <c r="L81" s="165">
        <v>25182.52</v>
      </c>
      <c r="M81" s="156">
        <f t="shared" si="19"/>
        <v>25182.52</v>
      </c>
    </row>
    <row r="82" spans="2:13" s="92" customFormat="1" x14ac:dyDescent="0.25">
      <c r="C82" s="84" t="s">
        <v>136</v>
      </c>
      <c r="D82" s="100">
        <v>50000</v>
      </c>
      <c r="E82" s="81">
        <v>0</v>
      </c>
      <c r="F82" s="101">
        <v>10000</v>
      </c>
      <c r="G82" s="222"/>
      <c r="H82" s="99">
        <f t="shared" si="18"/>
        <v>60000</v>
      </c>
      <c r="I82" s="383"/>
      <c r="J82" s="156">
        <f>6225.63+15018.94</f>
        <v>21244.57</v>
      </c>
      <c r="K82" s="172"/>
      <c r="L82" s="165"/>
      <c r="M82" s="156">
        <f t="shared" si="19"/>
        <v>21244.57</v>
      </c>
    </row>
    <row r="83" spans="2:13" s="92" customFormat="1" x14ac:dyDescent="0.25">
      <c r="C83" s="82" t="s">
        <v>137</v>
      </c>
      <c r="D83" s="100">
        <v>0</v>
      </c>
      <c r="E83" s="81">
        <v>0</v>
      </c>
      <c r="F83" s="101">
        <v>40000</v>
      </c>
      <c r="G83" s="222"/>
      <c r="H83" s="99">
        <f t="shared" si="18"/>
        <v>40000</v>
      </c>
      <c r="I83" s="383"/>
      <c r="J83" s="156">
        <v>0</v>
      </c>
      <c r="K83" s="172"/>
      <c r="L83" s="165"/>
      <c r="M83" s="156">
        <f t="shared" si="19"/>
        <v>0</v>
      </c>
    </row>
    <row r="84" spans="2:13" s="92" customFormat="1" x14ac:dyDescent="0.25">
      <c r="C84" s="82" t="s">
        <v>138</v>
      </c>
      <c r="D84" s="100">
        <v>0</v>
      </c>
      <c r="E84" s="101">
        <v>25000</v>
      </c>
      <c r="F84" s="101">
        <v>0</v>
      </c>
      <c r="G84" s="222">
        <v>23242.81</v>
      </c>
      <c r="H84" s="99">
        <f t="shared" si="18"/>
        <v>25000</v>
      </c>
      <c r="I84" s="383"/>
      <c r="J84" s="156">
        <v>0</v>
      </c>
      <c r="K84" s="172"/>
      <c r="L84" s="165">
        <v>21869.1</v>
      </c>
      <c r="M84" s="156">
        <f t="shared" si="19"/>
        <v>21869.1</v>
      </c>
    </row>
    <row r="85" spans="2:13" s="92" customFormat="1" x14ac:dyDescent="0.25">
      <c r="C85" s="82" t="s">
        <v>139</v>
      </c>
      <c r="D85" s="100"/>
      <c r="E85" s="101">
        <v>0</v>
      </c>
      <c r="F85" s="101">
        <v>0</v>
      </c>
      <c r="G85" s="222">
        <v>14637</v>
      </c>
      <c r="H85" s="99">
        <f t="shared" si="18"/>
        <v>0</v>
      </c>
      <c r="I85" s="383"/>
      <c r="J85" s="156">
        <v>0</v>
      </c>
      <c r="K85" s="172"/>
      <c r="L85" s="165">
        <v>14277.13</v>
      </c>
      <c r="M85" s="156">
        <f t="shared" si="19"/>
        <v>14277.13</v>
      </c>
    </row>
    <row r="86" spans="2:13" s="92" customFormat="1" ht="16.5" thickBot="1" x14ac:dyDescent="0.3">
      <c r="C86" s="102" t="s">
        <v>140</v>
      </c>
      <c r="D86" s="103">
        <f t="shared" ref="D86:H86" si="20">SUM(D79:D85)</f>
        <v>50000</v>
      </c>
      <c r="E86" s="104">
        <f t="shared" si="20"/>
        <v>25000</v>
      </c>
      <c r="F86" s="104">
        <f t="shared" si="20"/>
        <v>70000</v>
      </c>
      <c r="G86" s="276">
        <f>SUM(G79:G85)</f>
        <v>65271.43</v>
      </c>
      <c r="H86" s="105">
        <f t="shared" si="20"/>
        <v>145000</v>
      </c>
      <c r="I86" s="383"/>
      <c r="J86" s="89">
        <f>J79+J80+J81+J82+J83+J84+J85</f>
        <v>21244.57</v>
      </c>
      <c r="K86" s="171">
        <f>SUM(K79:K85)</f>
        <v>0</v>
      </c>
      <c r="L86" s="166">
        <f>+SUM(L79:L85)</f>
        <v>63140.549999999996</v>
      </c>
      <c r="M86" s="89">
        <f t="shared" ref="M86" si="21">M79+M80+M81+M82+M83+M84+M85</f>
        <v>84385.12</v>
      </c>
    </row>
    <row r="87" spans="2:13" s="5" customFormat="1" ht="16.5" thickBot="1" x14ac:dyDescent="0.3">
      <c r="C87" s="386"/>
      <c r="D87" s="377"/>
      <c r="E87" s="377"/>
      <c r="F87" s="377"/>
      <c r="G87" s="377"/>
      <c r="H87" s="377"/>
      <c r="I87" s="377"/>
    </row>
    <row r="88" spans="2:13" ht="16.5" thickBot="1" x14ac:dyDescent="0.3">
      <c r="C88" s="107" t="s">
        <v>56</v>
      </c>
      <c r="D88" s="108"/>
      <c r="E88" s="108"/>
      <c r="F88" s="108"/>
      <c r="G88" s="270"/>
      <c r="H88" s="109"/>
      <c r="I88" s="383"/>
    </row>
    <row r="89" spans="2:13" ht="21.75" customHeight="1" thickBot="1" x14ac:dyDescent="0.3">
      <c r="B89" s="5"/>
      <c r="C89" s="74" t="s">
        <v>150</v>
      </c>
      <c r="D89" s="75">
        <f>'[1]1) Tableau budgétaire 1'!D86</f>
        <v>0</v>
      </c>
      <c r="E89" s="110">
        <f>'[1]1) Tableau budgétaire 1'!E86</f>
        <v>0</v>
      </c>
      <c r="F89" s="110">
        <f>'[1]1) Tableau budgétaire 1'!F86</f>
        <v>0</v>
      </c>
      <c r="G89" s="271"/>
      <c r="H89" s="76">
        <f t="shared" ref="H89:H97" si="22">SUM(D89:F89)</f>
        <v>0</v>
      </c>
      <c r="I89" s="383"/>
      <c r="J89" s="111"/>
      <c r="K89" s="160"/>
      <c r="L89" s="112"/>
      <c r="M89" s="155"/>
    </row>
    <row r="90" spans="2:13" ht="18" customHeight="1" x14ac:dyDescent="0.25">
      <c r="C90" s="79" t="s">
        <v>133</v>
      </c>
      <c r="D90" s="80"/>
      <c r="E90" s="17"/>
      <c r="F90" s="17"/>
      <c r="G90" s="267"/>
      <c r="H90" s="76">
        <f t="shared" si="22"/>
        <v>0</v>
      </c>
      <c r="I90" s="383"/>
      <c r="J90" s="156"/>
      <c r="K90" s="158"/>
      <c r="L90" s="157"/>
      <c r="M90" s="78"/>
    </row>
    <row r="91" spans="2:13" ht="15.75" customHeight="1" x14ac:dyDescent="0.25">
      <c r="C91" s="82" t="s">
        <v>134</v>
      </c>
      <c r="D91" s="80"/>
      <c r="E91" s="17"/>
      <c r="F91" s="17"/>
      <c r="G91" s="267"/>
      <c r="H91" s="76">
        <f t="shared" si="22"/>
        <v>0</v>
      </c>
      <c r="I91" s="383"/>
      <c r="J91" s="156"/>
      <c r="K91" s="158"/>
      <c r="L91" s="157"/>
      <c r="M91" s="78"/>
    </row>
    <row r="92" spans="2:13" s="5" customFormat="1" ht="15.75" customHeight="1" x14ac:dyDescent="0.25">
      <c r="B92" s="1"/>
      <c r="C92" s="82" t="s">
        <v>135</v>
      </c>
      <c r="D92" s="80"/>
      <c r="E92" s="83"/>
      <c r="F92" s="83"/>
      <c r="G92" s="272"/>
      <c r="H92" s="76">
        <f t="shared" si="22"/>
        <v>0</v>
      </c>
      <c r="I92" s="383"/>
      <c r="J92" s="156"/>
      <c r="K92" s="158"/>
      <c r="L92" s="157"/>
      <c r="M92" s="78"/>
    </row>
    <row r="93" spans="2:13" x14ac:dyDescent="0.25">
      <c r="B93" s="5"/>
      <c r="C93" s="84" t="s">
        <v>136</v>
      </c>
      <c r="D93" s="80"/>
      <c r="E93" s="83"/>
      <c r="F93" s="83"/>
      <c r="G93" s="272"/>
      <c r="H93" s="76">
        <f t="shared" si="22"/>
        <v>0</v>
      </c>
      <c r="I93" s="383"/>
      <c r="J93" s="156"/>
      <c r="K93" s="158"/>
      <c r="L93" s="157"/>
      <c r="M93" s="78"/>
    </row>
    <row r="94" spans="2:13" x14ac:dyDescent="0.25">
      <c r="B94" s="5"/>
      <c r="C94" s="82" t="s">
        <v>137</v>
      </c>
      <c r="D94" s="80"/>
      <c r="E94" s="83"/>
      <c r="F94" s="83"/>
      <c r="G94" s="272"/>
      <c r="H94" s="76">
        <f t="shared" si="22"/>
        <v>0</v>
      </c>
      <c r="I94" s="383"/>
      <c r="J94" s="156"/>
      <c r="K94" s="158"/>
      <c r="L94" s="157"/>
      <c r="M94" s="78"/>
    </row>
    <row r="95" spans="2:13" x14ac:dyDescent="0.25">
      <c r="B95" s="5"/>
      <c r="C95" s="82" t="s">
        <v>138</v>
      </c>
      <c r="D95" s="80"/>
      <c r="E95" s="83"/>
      <c r="F95" s="83"/>
      <c r="G95" s="272"/>
      <c r="H95" s="76">
        <f t="shared" si="22"/>
        <v>0</v>
      </c>
      <c r="I95" s="383"/>
      <c r="J95" s="156"/>
      <c r="K95" s="158"/>
      <c r="L95" s="157"/>
      <c r="M95" s="78"/>
    </row>
    <row r="96" spans="2:13" x14ac:dyDescent="0.25">
      <c r="C96" s="82" t="s">
        <v>139</v>
      </c>
      <c r="D96" s="80"/>
      <c r="E96" s="83"/>
      <c r="F96" s="83"/>
      <c r="G96" s="272"/>
      <c r="H96" s="76">
        <f t="shared" si="22"/>
        <v>0</v>
      </c>
      <c r="I96" s="383"/>
      <c r="J96" s="156"/>
      <c r="K96" s="158"/>
      <c r="L96" s="157"/>
      <c r="M96" s="78"/>
    </row>
    <row r="97" spans="2:13" ht="16.5" thickBot="1" x14ac:dyDescent="0.3">
      <c r="C97" s="85" t="s">
        <v>140</v>
      </c>
      <c r="D97" s="86">
        <f>SUM(D90:D96)</f>
        <v>0</v>
      </c>
      <c r="E97" s="87">
        <f>SUM(E90:E96)</f>
        <v>0</v>
      </c>
      <c r="F97" s="87">
        <f>SUM(F90:F96)</f>
        <v>0</v>
      </c>
      <c r="G97" s="273"/>
      <c r="H97" s="113">
        <f t="shared" si="22"/>
        <v>0</v>
      </c>
      <c r="I97" s="383"/>
      <c r="J97" s="89"/>
      <c r="K97" s="159"/>
      <c r="L97" s="90"/>
      <c r="M97" s="91"/>
    </row>
    <row r="98" spans="2:13" s="5" customFormat="1" ht="16.5" thickBot="1" x14ac:dyDescent="0.3">
      <c r="C98" s="386"/>
      <c r="D98" s="377"/>
      <c r="E98" s="377"/>
      <c r="F98" s="377"/>
      <c r="G98" s="377"/>
      <c r="H98" s="377"/>
      <c r="I98" s="377"/>
    </row>
    <row r="99" spans="2:13" s="92" customFormat="1" ht="16.5" thickBot="1" x14ac:dyDescent="0.3">
      <c r="C99" s="93" t="s">
        <v>57</v>
      </c>
      <c r="D99" s="94"/>
      <c r="E99" s="94"/>
      <c r="F99" s="94"/>
      <c r="G99" s="265"/>
      <c r="H99" s="95"/>
      <c r="I99" s="381"/>
    </row>
    <row r="100" spans="2:13" s="92" customFormat="1" ht="21.75" customHeight="1" thickBot="1" x14ac:dyDescent="0.3">
      <c r="C100" s="97" t="s">
        <v>151</v>
      </c>
      <c r="D100" s="98">
        <f>'[1]1) Tableau budgétaire 1'!D96</f>
        <v>0</v>
      </c>
      <c r="E100" s="117">
        <f>'[1]1) Tableau budgétaire 1'!E96</f>
        <v>0</v>
      </c>
      <c r="F100" s="117">
        <f>'[1]1) Tableau budgétaire 1'!F96</f>
        <v>0</v>
      </c>
      <c r="G100" s="277"/>
      <c r="H100" s="99">
        <f t="shared" ref="H100:H108" si="23">SUM(D100:F100)</f>
        <v>0</v>
      </c>
      <c r="I100" s="381"/>
      <c r="J100" s="111"/>
      <c r="K100" s="160"/>
      <c r="L100" s="112"/>
      <c r="M100" s="155"/>
    </row>
    <row r="101" spans="2:13" s="92" customFormat="1" ht="15.75" customHeight="1" x14ac:dyDescent="0.25">
      <c r="C101" s="79" t="s">
        <v>133</v>
      </c>
      <c r="D101" s="100"/>
      <c r="E101" s="17"/>
      <c r="F101" s="17"/>
      <c r="G101" s="267"/>
      <c r="H101" s="99">
        <f t="shared" si="23"/>
        <v>0</v>
      </c>
      <c r="I101" s="381"/>
      <c r="J101" s="156"/>
      <c r="K101" s="158"/>
      <c r="L101" s="157"/>
      <c r="M101" s="78"/>
    </row>
    <row r="102" spans="2:13" s="92" customFormat="1" ht="15.75" customHeight="1" x14ac:dyDescent="0.25">
      <c r="B102" s="54"/>
      <c r="C102" s="82" t="s">
        <v>134</v>
      </c>
      <c r="D102" s="100"/>
      <c r="E102" s="17"/>
      <c r="F102" s="17"/>
      <c r="G102" s="267"/>
      <c r="H102" s="99">
        <f t="shared" si="23"/>
        <v>0</v>
      </c>
      <c r="I102" s="381"/>
      <c r="J102" s="156"/>
      <c r="K102" s="158"/>
      <c r="L102" s="157"/>
      <c r="M102" s="78"/>
    </row>
    <row r="103" spans="2:13" s="92" customFormat="1" ht="15.75" customHeight="1" x14ac:dyDescent="0.25">
      <c r="C103" s="82" t="s">
        <v>135</v>
      </c>
      <c r="D103" s="100"/>
      <c r="E103" s="101"/>
      <c r="F103" s="101"/>
      <c r="G103" s="268"/>
      <c r="H103" s="99">
        <f t="shared" si="23"/>
        <v>0</v>
      </c>
      <c r="I103" s="381"/>
      <c r="J103" s="156"/>
      <c r="K103" s="158"/>
      <c r="L103" s="157"/>
      <c r="M103" s="78"/>
    </row>
    <row r="104" spans="2:13" s="92" customFormat="1" x14ac:dyDescent="0.25">
      <c r="C104" s="84" t="s">
        <v>136</v>
      </c>
      <c r="D104" s="100"/>
      <c r="E104" s="101"/>
      <c r="F104" s="101"/>
      <c r="G104" s="268"/>
      <c r="H104" s="99">
        <f t="shared" si="23"/>
        <v>0</v>
      </c>
      <c r="I104" s="381"/>
      <c r="J104" s="156"/>
      <c r="K104" s="158"/>
      <c r="L104" s="157"/>
      <c r="M104" s="78"/>
    </row>
    <row r="105" spans="2:13" s="92" customFormat="1" x14ac:dyDescent="0.25">
      <c r="C105" s="82" t="s">
        <v>137</v>
      </c>
      <c r="D105" s="100"/>
      <c r="E105" s="101"/>
      <c r="F105" s="101"/>
      <c r="G105" s="268"/>
      <c r="H105" s="99">
        <f t="shared" si="23"/>
        <v>0</v>
      </c>
      <c r="I105" s="381"/>
      <c r="J105" s="156"/>
      <c r="K105" s="158"/>
      <c r="L105" s="157"/>
      <c r="M105" s="78"/>
    </row>
    <row r="106" spans="2:13" s="92" customFormat="1" ht="25.5" customHeight="1" x14ac:dyDescent="0.25">
      <c r="C106" s="82" t="s">
        <v>138</v>
      </c>
      <c r="D106" s="100"/>
      <c r="E106" s="101"/>
      <c r="F106" s="101"/>
      <c r="G106" s="268"/>
      <c r="H106" s="99">
        <f t="shared" si="23"/>
        <v>0</v>
      </c>
      <c r="I106" s="381"/>
      <c r="J106" s="156"/>
      <c r="K106" s="158"/>
      <c r="L106" s="157"/>
      <c r="M106" s="78"/>
    </row>
    <row r="107" spans="2:13" s="92" customFormat="1" x14ac:dyDescent="0.25">
      <c r="B107" s="54"/>
      <c r="C107" s="82" t="s">
        <v>139</v>
      </c>
      <c r="D107" s="100"/>
      <c r="E107" s="101"/>
      <c r="F107" s="101"/>
      <c r="G107" s="268"/>
      <c r="H107" s="99">
        <f t="shared" si="23"/>
        <v>0</v>
      </c>
      <c r="I107" s="381"/>
      <c r="J107" s="156"/>
      <c r="K107" s="158"/>
      <c r="L107" s="157"/>
      <c r="M107" s="78"/>
    </row>
    <row r="108" spans="2:13" s="92" customFormat="1" ht="15.75" customHeight="1" thickBot="1" x14ac:dyDescent="0.3">
      <c r="C108" s="102" t="s">
        <v>140</v>
      </c>
      <c r="D108" s="103">
        <f>SUM(D101:D107)</f>
        <v>0</v>
      </c>
      <c r="E108" s="104">
        <f>SUM(E101:E107)</f>
        <v>0</v>
      </c>
      <c r="F108" s="104">
        <f>SUM(F101:F107)</f>
        <v>0</v>
      </c>
      <c r="G108" s="269"/>
      <c r="H108" s="118">
        <f t="shared" si="23"/>
        <v>0</v>
      </c>
      <c r="I108" s="381"/>
      <c r="J108" s="89"/>
      <c r="K108" s="159"/>
      <c r="L108" s="90"/>
      <c r="M108" s="91"/>
    </row>
    <row r="109" spans="2:13" ht="16.5" thickBot="1" x14ac:dyDescent="0.3">
      <c r="C109" s="385"/>
      <c r="D109" s="385"/>
      <c r="E109" s="385"/>
      <c r="F109" s="385"/>
      <c r="G109" s="385"/>
      <c r="H109" s="385"/>
      <c r="I109" s="385"/>
    </row>
    <row r="110" spans="2:13" ht="15.75" customHeight="1" thickBot="1" x14ac:dyDescent="0.3">
      <c r="B110" s="387" t="s">
        <v>152</v>
      </c>
      <c r="C110" s="388"/>
      <c r="D110" s="388"/>
      <c r="E110" s="388"/>
      <c r="F110" s="388"/>
      <c r="G110" s="388"/>
      <c r="H110" s="389"/>
      <c r="I110" s="383"/>
    </row>
    <row r="111" spans="2:13" s="92" customFormat="1" ht="16.5" thickBot="1" x14ac:dyDescent="0.3">
      <c r="C111" s="93" t="s">
        <v>60</v>
      </c>
      <c r="D111" s="94"/>
      <c r="E111" s="94"/>
      <c r="F111" s="94"/>
      <c r="G111" s="265"/>
      <c r="H111" s="95"/>
      <c r="I111" s="383"/>
    </row>
    <row r="112" spans="2:13" s="92" customFormat="1" ht="22.5" customHeight="1" thickBot="1" x14ac:dyDescent="0.3">
      <c r="C112" s="97" t="s">
        <v>153</v>
      </c>
      <c r="D112" s="98">
        <f>D120</f>
        <v>0</v>
      </c>
      <c r="E112" s="98">
        <f t="shared" ref="E112:F112" si="24">E120</f>
        <v>0</v>
      </c>
      <c r="F112" s="98">
        <f t="shared" si="24"/>
        <v>60000</v>
      </c>
      <c r="G112" s="278">
        <f>G120</f>
        <v>125152.34999999999</v>
      </c>
      <c r="H112" s="99">
        <f t="shared" ref="H112:H119" si="25">SUM(D112:F112)</f>
        <v>60000</v>
      </c>
      <c r="I112" s="383"/>
      <c r="J112" s="111"/>
      <c r="K112" s="96">
        <f>+K120</f>
        <v>9500.85</v>
      </c>
      <c r="L112" s="162">
        <f>+L120</f>
        <v>53592.380000000005</v>
      </c>
      <c r="M112" s="155">
        <f t="shared" ref="M112:M117" si="26">L112+K112</f>
        <v>63093.23</v>
      </c>
    </row>
    <row r="113" spans="3:13" s="92" customFormat="1" x14ac:dyDescent="0.25">
      <c r="C113" s="79" t="s">
        <v>133</v>
      </c>
      <c r="D113" s="100"/>
      <c r="E113" s="17"/>
      <c r="F113" s="17">
        <v>0</v>
      </c>
      <c r="G113" s="222"/>
      <c r="H113" s="99">
        <f t="shared" si="25"/>
        <v>0</v>
      </c>
      <c r="I113" s="383"/>
      <c r="J113" s="156"/>
      <c r="K113" s="172"/>
      <c r="L113" s="165"/>
      <c r="M113" s="78">
        <f t="shared" si="26"/>
        <v>0</v>
      </c>
    </row>
    <row r="114" spans="3:13" s="92" customFormat="1" x14ac:dyDescent="0.25">
      <c r="C114" s="82" t="s">
        <v>134</v>
      </c>
      <c r="D114" s="100"/>
      <c r="E114" s="17"/>
      <c r="F114" s="17">
        <v>4000</v>
      </c>
      <c r="G114" s="222">
        <v>17156.37</v>
      </c>
      <c r="H114" s="99">
        <f t="shared" si="25"/>
        <v>4000</v>
      </c>
      <c r="I114" s="383"/>
      <c r="J114" s="156"/>
      <c r="K114" s="172"/>
      <c r="L114" s="165">
        <v>12242.11</v>
      </c>
      <c r="M114" s="78">
        <f t="shared" si="26"/>
        <v>12242.11</v>
      </c>
    </row>
    <row r="115" spans="3:13" s="92" customFormat="1" ht="15.75" customHeight="1" x14ac:dyDescent="0.25">
      <c r="C115" s="82" t="s">
        <v>135</v>
      </c>
      <c r="D115" s="100"/>
      <c r="E115" s="101"/>
      <c r="F115" s="101">
        <v>0</v>
      </c>
      <c r="G115" s="222">
        <v>24214</v>
      </c>
      <c r="H115" s="99">
        <f t="shared" si="25"/>
        <v>0</v>
      </c>
      <c r="I115" s="383"/>
      <c r="J115" s="156"/>
      <c r="K115" s="172"/>
      <c r="L115" s="165">
        <v>13823.79</v>
      </c>
      <c r="M115" s="78">
        <f t="shared" si="26"/>
        <v>13823.79</v>
      </c>
    </row>
    <row r="116" spans="3:13" s="92" customFormat="1" x14ac:dyDescent="0.25">
      <c r="C116" s="84" t="s">
        <v>136</v>
      </c>
      <c r="D116" s="100"/>
      <c r="E116" s="101"/>
      <c r="F116" s="101">
        <v>50000</v>
      </c>
      <c r="G116" s="222">
        <v>73292.739999999991</v>
      </c>
      <c r="H116" s="99">
        <f t="shared" si="25"/>
        <v>50000</v>
      </c>
      <c r="I116" s="383"/>
      <c r="J116" s="156"/>
      <c r="K116" s="172"/>
      <c r="L116" s="165">
        <v>25526.48</v>
      </c>
      <c r="M116" s="78">
        <f t="shared" si="26"/>
        <v>25526.48</v>
      </c>
    </row>
    <row r="117" spans="3:13" s="92" customFormat="1" x14ac:dyDescent="0.25">
      <c r="C117" s="82" t="s">
        <v>137</v>
      </c>
      <c r="D117" s="100"/>
      <c r="E117" s="101"/>
      <c r="F117" s="101">
        <v>3000</v>
      </c>
      <c r="G117" s="222"/>
      <c r="H117" s="99">
        <f t="shared" si="25"/>
        <v>3000</v>
      </c>
      <c r="I117" s="383"/>
      <c r="J117" s="156"/>
      <c r="K117" s="173"/>
      <c r="L117" s="165"/>
      <c r="M117" s="78">
        <f t="shared" si="26"/>
        <v>0</v>
      </c>
    </row>
    <row r="118" spans="3:13" s="92" customFormat="1" x14ac:dyDescent="0.25">
      <c r="C118" s="82" t="s">
        <v>138</v>
      </c>
      <c r="D118" s="100"/>
      <c r="E118" s="101"/>
      <c r="F118" s="101">
        <v>0</v>
      </c>
      <c r="G118" s="222">
        <v>8467.24</v>
      </c>
      <c r="H118" s="99">
        <f t="shared" si="25"/>
        <v>0</v>
      </c>
      <c r="I118" s="383"/>
      <c r="J118" s="156"/>
      <c r="K118" s="173">
        <v>9500.85</v>
      </c>
      <c r="L118" s="165"/>
      <c r="M118" s="78">
        <f>L118+L118</f>
        <v>0</v>
      </c>
    </row>
    <row r="119" spans="3:13" s="92" customFormat="1" x14ac:dyDescent="0.25">
      <c r="C119" s="82" t="s">
        <v>139</v>
      </c>
      <c r="D119" s="100"/>
      <c r="E119" s="101"/>
      <c r="F119" s="101">
        <v>3000</v>
      </c>
      <c r="G119" s="222">
        <v>2022</v>
      </c>
      <c r="H119" s="99">
        <f t="shared" si="25"/>
        <v>3000</v>
      </c>
      <c r="I119" s="383"/>
      <c r="J119" s="156"/>
      <c r="K119" s="172"/>
      <c r="L119" s="165">
        <v>2000</v>
      </c>
      <c r="M119" s="78">
        <f>L119</f>
        <v>2000</v>
      </c>
    </row>
    <row r="120" spans="3:13" s="92" customFormat="1" ht="16.5" thickBot="1" x14ac:dyDescent="0.3">
      <c r="C120" s="102" t="s">
        <v>140</v>
      </c>
      <c r="D120" s="103">
        <f t="shared" ref="D120:H120" si="27">SUM(D113:D119)</f>
        <v>0</v>
      </c>
      <c r="E120" s="104">
        <f t="shared" si="27"/>
        <v>0</v>
      </c>
      <c r="F120" s="104">
        <f t="shared" si="27"/>
        <v>60000</v>
      </c>
      <c r="G120" s="279">
        <f>SUM(G113:G119)</f>
        <v>125152.34999999999</v>
      </c>
      <c r="H120" s="105">
        <f t="shared" si="27"/>
        <v>60000</v>
      </c>
      <c r="I120" s="383"/>
      <c r="J120" s="89"/>
      <c r="K120" s="171">
        <f>SUM(K113:K119)</f>
        <v>9500.85</v>
      </c>
      <c r="L120" s="166">
        <f>+SUM(L113:L119)</f>
        <v>53592.380000000005</v>
      </c>
      <c r="M120" s="91">
        <f>L120+K120</f>
        <v>63093.23</v>
      </c>
    </row>
    <row r="121" spans="3:13" s="5" customFormat="1" ht="16.5" thickBot="1" x14ac:dyDescent="0.3">
      <c r="C121" s="386"/>
      <c r="D121" s="377"/>
      <c r="E121" s="377"/>
      <c r="F121" s="377"/>
      <c r="G121" s="377"/>
      <c r="H121" s="377"/>
      <c r="I121" s="377"/>
    </row>
    <row r="122" spans="3:13" ht="32.25" customHeight="1" thickBot="1" x14ac:dyDescent="0.3">
      <c r="C122" s="107" t="s">
        <v>154</v>
      </c>
      <c r="D122" s="108"/>
      <c r="E122" s="108"/>
      <c r="F122" s="108"/>
      <c r="G122" s="270"/>
      <c r="H122" s="109"/>
      <c r="I122" s="383"/>
    </row>
    <row r="123" spans="3:13" ht="21.75" customHeight="1" thickBot="1" x14ac:dyDescent="0.3">
      <c r="C123" s="74" t="s">
        <v>155</v>
      </c>
      <c r="D123" s="75">
        <f>D131</f>
        <v>130000</v>
      </c>
      <c r="E123" s="75">
        <f t="shared" ref="E123:F123" si="28">E131</f>
        <v>50000</v>
      </c>
      <c r="F123" s="75">
        <f t="shared" si="28"/>
        <v>85000</v>
      </c>
      <c r="G123" s="280">
        <f>G131</f>
        <v>80117</v>
      </c>
      <c r="H123" s="76">
        <f t="shared" ref="H123:H130" si="29">SUM(D123:F123)</f>
        <v>265000</v>
      </c>
      <c r="I123" s="383"/>
      <c r="J123" s="111">
        <f>J131</f>
        <v>133089.28000000003</v>
      </c>
      <c r="K123" s="111">
        <f t="shared" ref="K123" si="30">K131</f>
        <v>16211.97</v>
      </c>
      <c r="L123" s="167">
        <f>+L131</f>
        <v>45822.679999999993</v>
      </c>
      <c r="M123" s="111">
        <f>J123+K123+L123</f>
        <v>195123.93000000002</v>
      </c>
    </row>
    <row r="124" spans="3:13" ht="18.75" x14ac:dyDescent="0.3">
      <c r="C124" s="79" t="s">
        <v>133</v>
      </c>
      <c r="D124" s="80"/>
      <c r="E124" s="81">
        <v>0</v>
      </c>
      <c r="F124" s="17">
        <v>0</v>
      </c>
      <c r="G124" s="222"/>
      <c r="H124" s="76">
        <f t="shared" si="29"/>
        <v>0</v>
      </c>
      <c r="I124" s="383"/>
      <c r="J124" s="156">
        <v>0</v>
      </c>
      <c r="K124" s="156"/>
      <c r="L124" s="168"/>
      <c r="M124" s="78">
        <f>J124+K124+L124</f>
        <v>0</v>
      </c>
    </row>
    <row r="125" spans="3:13" ht="18.75" x14ac:dyDescent="0.3">
      <c r="C125" s="82" t="s">
        <v>134</v>
      </c>
      <c r="D125" s="80">
        <v>0</v>
      </c>
      <c r="E125" s="81">
        <v>0</v>
      </c>
      <c r="F125" s="17">
        <v>15000</v>
      </c>
      <c r="G125" s="222">
        <v>39799.96</v>
      </c>
      <c r="H125" s="76">
        <f t="shared" si="29"/>
        <v>15000</v>
      </c>
      <c r="I125" s="383"/>
      <c r="J125" s="156">
        <v>0</v>
      </c>
      <c r="K125" s="156"/>
      <c r="L125" s="168">
        <v>22506.46</v>
      </c>
      <c r="M125" s="78">
        <f t="shared" ref="M125:M130" si="31">J125+K125+L125</f>
        <v>22506.46</v>
      </c>
    </row>
    <row r="126" spans="3:13" ht="31.5" x14ac:dyDescent="0.3">
      <c r="C126" s="82" t="s">
        <v>135</v>
      </c>
      <c r="D126" s="80">
        <v>0</v>
      </c>
      <c r="E126" s="83">
        <v>10000</v>
      </c>
      <c r="F126" s="83">
        <v>0</v>
      </c>
      <c r="G126" s="222">
        <v>10273</v>
      </c>
      <c r="H126" s="76">
        <f t="shared" si="29"/>
        <v>10000</v>
      </c>
      <c r="I126" s="383"/>
      <c r="J126" s="156">
        <v>0</v>
      </c>
      <c r="K126" s="156"/>
      <c r="L126" s="168">
        <v>10200</v>
      </c>
      <c r="M126" s="78">
        <f t="shared" si="31"/>
        <v>10200</v>
      </c>
    </row>
    <row r="127" spans="3:13" ht="18.75" x14ac:dyDescent="0.3">
      <c r="C127" s="84" t="s">
        <v>136</v>
      </c>
      <c r="D127" s="80">
        <v>130000</v>
      </c>
      <c r="E127" s="83">
        <v>0</v>
      </c>
      <c r="F127" s="83">
        <v>30000</v>
      </c>
      <c r="G127" s="222">
        <v>3000</v>
      </c>
      <c r="H127" s="76">
        <f t="shared" si="29"/>
        <v>160000</v>
      </c>
      <c r="I127" s="383"/>
      <c r="J127" s="156">
        <f>85844.21+4443.49+42801.58</f>
        <v>133089.28000000003</v>
      </c>
      <c r="K127" s="156"/>
      <c r="L127" s="168">
        <v>2795.99</v>
      </c>
      <c r="M127" s="78">
        <f t="shared" si="31"/>
        <v>135885.27000000002</v>
      </c>
    </row>
    <row r="128" spans="3:13" ht="18.75" x14ac:dyDescent="0.3">
      <c r="C128" s="82" t="s">
        <v>137</v>
      </c>
      <c r="D128" s="80">
        <v>0</v>
      </c>
      <c r="E128" s="83">
        <v>0</v>
      </c>
      <c r="F128" s="83">
        <v>30000</v>
      </c>
      <c r="G128" s="222"/>
      <c r="H128" s="76">
        <f t="shared" si="29"/>
        <v>30000</v>
      </c>
      <c r="I128" s="383"/>
      <c r="J128" s="156">
        <v>0</v>
      </c>
      <c r="K128" s="156"/>
      <c r="L128" s="168"/>
      <c r="M128" s="78">
        <f t="shared" si="31"/>
        <v>0</v>
      </c>
    </row>
    <row r="129" spans="3:13" ht="18.75" x14ac:dyDescent="0.3">
      <c r="C129" s="82" t="s">
        <v>138</v>
      </c>
      <c r="D129" s="80">
        <v>0</v>
      </c>
      <c r="E129" s="83">
        <v>40000</v>
      </c>
      <c r="F129" s="83">
        <v>0</v>
      </c>
      <c r="G129" s="222">
        <v>9695.0400000000009</v>
      </c>
      <c r="H129" s="76">
        <f t="shared" si="29"/>
        <v>40000</v>
      </c>
      <c r="I129" s="383"/>
      <c r="J129" s="156">
        <v>0</v>
      </c>
      <c r="K129" s="156">
        <v>16211.97</v>
      </c>
      <c r="L129" s="168"/>
      <c r="M129" s="78">
        <f t="shared" si="31"/>
        <v>16211.97</v>
      </c>
    </row>
    <row r="130" spans="3:13" ht="18.75" x14ac:dyDescent="0.3">
      <c r="C130" s="82" t="s">
        <v>139</v>
      </c>
      <c r="D130" s="80"/>
      <c r="E130" s="83">
        <v>0</v>
      </c>
      <c r="F130" s="83">
        <v>10000</v>
      </c>
      <c r="G130" s="222">
        <v>17349</v>
      </c>
      <c r="H130" s="76">
        <f t="shared" si="29"/>
        <v>10000</v>
      </c>
      <c r="I130" s="383"/>
      <c r="J130" s="156">
        <v>0</v>
      </c>
      <c r="K130" s="156"/>
      <c r="L130" s="168">
        <v>10320.23</v>
      </c>
      <c r="M130" s="78">
        <f t="shared" si="31"/>
        <v>10320.23</v>
      </c>
    </row>
    <row r="131" spans="3:13" ht="18.75" thickBot="1" x14ac:dyDescent="0.3">
      <c r="C131" s="85" t="s">
        <v>140</v>
      </c>
      <c r="D131" s="86">
        <f t="shared" ref="D131:H131" si="32">SUM(D124:D130)</f>
        <v>130000</v>
      </c>
      <c r="E131" s="87">
        <f t="shared" si="32"/>
        <v>50000</v>
      </c>
      <c r="F131" s="87">
        <f t="shared" si="32"/>
        <v>85000</v>
      </c>
      <c r="G131" s="264">
        <f>SUM(G124:G130)</f>
        <v>80117</v>
      </c>
      <c r="H131" s="88">
        <f t="shared" si="32"/>
        <v>265000</v>
      </c>
      <c r="I131" s="383"/>
      <c r="J131" s="89">
        <f>J124+J125+J126+J127+J128+J129+J130</f>
        <v>133089.28000000003</v>
      </c>
      <c r="K131" s="89">
        <f t="shared" ref="K131:M131" si="33">K124+K125+K126+K127+K128+K129+K130</f>
        <v>16211.97</v>
      </c>
      <c r="L131" s="169">
        <f>+SUM(L124:L130)</f>
        <v>45822.679999999993</v>
      </c>
      <c r="M131" s="89">
        <f t="shared" si="33"/>
        <v>195123.93000000002</v>
      </c>
    </row>
    <row r="132" spans="3:13" s="5" customFormat="1" ht="16.5" thickBot="1" x14ac:dyDescent="0.3">
      <c r="C132" s="386"/>
      <c r="D132" s="377"/>
      <c r="E132" s="377"/>
      <c r="F132" s="377"/>
      <c r="G132" s="377"/>
      <c r="H132" s="377"/>
      <c r="I132" s="377"/>
    </row>
    <row r="133" spans="3:13" s="92" customFormat="1" ht="16.5" thickBot="1" x14ac:dyDescent="0.3">
      <c r="C133" s="93" t="s">
        <v>76</v>
      </c>
      <c r="D133" s="94"/>
      <c r="E133" s="94"/>
      <c r="F133" s="94"/>
      <c r="G133" s="265"/>
      <c r="H133" s="95"/>
      <c r="I133" s="390"/>
    </row>
    <row r="134" spans="3:13" s="92" customFormat="1" ht="21" customHeight="1" thickBot="1" x14ac:dyDescent="0.3">
      <c r="C134" s="97" t="s">
        <v>156</v>
      </c>
      <c r="D134" s="98">
        <f>D142</f>
        <v>90000</v>
      </c>
      <c r="E134" s="98">
        <f t="shared" ref="E134:F134" si="34">E142</f>
        <v>90000</v>
      </c>
      <c r="F134" s="98">
        <f t="shared" si="34"/>
        <v>0</v>
      </c>
      <c r="G134" s="266"/>
      <c r="H134" s="99">
        <f t="shared" ref="H134:H141" si="35">SUM(D134:F134)</f>
        <v>180000</v>
      </c>
      <c r="I134" s="390"/>
      <c r="J134" s="111">
        <f>J142</f>
        <v>78362.03</v>
      </c>
      <c r="K134" s="96">
        <f>+K142</f>
        <v>45419.270000000004</v>
      </c>
      <c r="L134" s="111">
        <f t="shared" ref="L134" si="36">L142</f>
        <v>0</v>
      </c>
      <c r="M134" s="111">
        <f>J134+K134+L134</f>
        <v>123781.3</v>
      </c>
    </row>
    <row r="135" spans="3:13" s="92" customFormat="1" x14ac:dyDescent="0.25">
      <c r="C135" s="79" t="s">
        <v>133</v>
      </c>
      <c r="D135" s="100"/>
      <c r="E135" s="81">
        <v>0</v>
      </c>
      <c r="F135" s="17"/>
      <c r="G135" s="267"/>
      <c r="H135" s="99">
        <f t="shared" si="35"/>
        <v>0</v>
      </c>
      <c r="I135" s="390"/>
      <c r="J135" s="156">
        <v>0</v>
      </c>
      <c r="K135" s="172"/>
      <c r="L135" s="156"/>
      <c r="M135" s="78">
        <f>J135+K135+L135</f>
        <v>0</v>
      </c>
    </row>
    <row r="136" spans="3:13" s="92" customFormat="1" x14ac:dyDescent="0.25">
      <c r="C136" s="82" t="s">
        <v>134</v>
      </c>
      <c r="D136" s="100">
        <v>0</v>
      </c>
      <c r="E136" s="16">
        <v>0</v>
      </c>
      <c r="F136" s="17"/>
      <c r="G136" s="267"/>
      <c r="H136" s="99">
        <f t="shared" si="35"/>
        <v>0</v>
      </c>
      <c r="I136" s="390"/>
      <c r="J136" s="156">
        <v>0</v>
      </c>
      <c r="K136" s="172"/>
      <c r="L136" s="156"/>
      <c r="M136" s="78">
        <f t="shared" ref="M136:M141" si="37">J136+K136+L136</f>
        <v>0</v>
      </c>
    </row>
    <row r="137" spans="3:13" s="92" customFormat="1" ht="31.5" x14ac:dyDescent="0.25">
      <c r="C137" s="82" t="s">
        <v>135</v>
      </c>
      <c r="D137" s="100">
        <v>0</v>
      </c>
      <c r="E137" s="101">
        <v>10000</v>
      </c>
      <c r="F137" s="101"/>
      <c r="G137" s="268"/>
      <c r="H137" s="99">
        <f t="shared" si="35"/>
        <v>10000</v>
      </c>
      <c r="I137" s="390"/>
      <c r="J137" s="156">
        <v>0</v>
      </c>
      <c r="K137" s="172"/>
      <c r="L137" s="156"/>
      <c r="M137" s="78">
        <f t="shared" si="37"/>
        <v>0</v>
      </c>
    </row>
    <row r="138" spans="3:13" s="92" customFormat="1" x14ac:dyDescent="0.25">
      <c r="C138" s="84" t="s">
        <v>136</v>
      </c>
      <c r="D138" s="100">
        <v>90000</v>
      </c>
      <c r="E138" s="101">
        <v>0</v>
      </c>
      <c r="F138" s="101"/>
      <c r="G138" s="268"/>
      <c r="H138" s="99">
        <f t="shared" si="35"/>
        <v>90000</v>
      </c>
      <c r="I138" s="390"/>
      <c r="J138" s="156">
        <f>14617.75+62324.2+1420.08</f>
        <v>78362.03</v>
      </c>
      <c r="K138" s="172"/>
      <c r="L138" s="156"/>
      <c r="M138" s="78">
        <f t="shared" si="37"/>
        <v>78362.03</v>
      </c>
    </row>
    <row r="139" spans="3:13" s="92" customFormat="1" x14ac:dyDescent="0.25">
      <c r="C139" s="82" t="s">
        <v>137</v>
      </c>
      <c r="D139" s="100">
        <v>0</v>
      </c>
      <c r="E139" s="101">
        <v>0</v>
      </c>
      <c r="F139" s="101"/>
      <c r="G139" s="268"/>
      <c r="H139" s="99">
        <f t="shared" si="35"/>
        <v>0</v>
      </c>
      <c r="I139" s="390"/>
      <c r="J139" s="156">
        <v>0</v>
      </c>
      <c r="K139" s="172"/>
      <c r="L139" s="156"/>
      <c r="M139" s="78">
        <f t="shared" si="37"/>
        <v>0</v>
      </c>
    </row>
    <row r="140" spans="3:13" s="92" customFormat="1" x14ac:dyDescent="0.25">
      <c r="C140" s="82" t="s">
        <v>138</v>
      </c>
      <c r="D140" s="100">
        <v>0</v>
      </c>
      <c r="E140" s="101">
        <v>80000</v>
      </c>
      <c r="F140" s="101"/>
      <c r="G140" s="268"/>
      <c r="H140" s="99">
        <f t="shared" si="35"/>
        <v>80000</v>
      </c>
      <c r="I140" s="390"/>
      <c r="J140" s="156">
        <v>0</v>
      </c>
      <c r="K140" s="172">
        <f>23003.91+22191.36+224</f>
        <v>45419.270000000004</v>
      </c>
      <c r="L140" s="156"/>
      <c r="M140" s="78">
        <f t="shared" si="37"/>
        <v>45419.270000000004</v>
      </c>
    </row>
    <row r="141" spans="3:13" s="92" customFormat="1" x14ac:dyDescent="0.25">
      <c r="C141" s="82" t="s">
        <v>139</v>
      </c>
      <c r="D141" s="100"/>
      <c r="E141" s="101">
        <v>0</v>
      </c>
      <c r="F141" s="101"/>
      <c r="G141" s="268"/>
      <c r="H141" s="99">
        <f t="shared" si="35"/>
        <v>0</v>
      </c>
      <c r="I141" s="390"/>
      <c r="J141" s="156">
        <v>0</v>
      </c>
      <c r="K141" s="172"/>
      <c r="L141" s="156"/>
      <c r="M141" s="78">
        <f t="shared" si="37"/>
        <v>0</v>
      </c>
    </row>
    <row r="142" spans="3:13" s="92" customFormat="1" ht="16.5" thickBot="1" x14ac:dyDescent="0.3">
      <c r="C142" s="102" t="s">
        <v>140</v>
      </c>
      <c r="D142" s="103">
        <f t="shared" ref="D142:H142" si="38">SUM(D135:D141)</f>
        <v>90000</v>
      </c>
      <c r="E142" s="104">
        <f t="shared" si="38"/>
        <v>90000</v>
      </c>
      <c r="F142" s="104">
        <f t="shared" si="38"/>
        <v>0</v>
      </c>
      <c r="G142" s="269"/>
      <c r="H142" s="105">
        <f t="shared" si="38"/>
        <v>180000</v>
      </c>
      <c r="I142" s="390"/>
      <c r="J142" s="89">
        <f>J135+J136+J137+J138+J139+J140+J141</f>
        <v>78362.03</v>
      </c>
      <c r="K142" s="171">
        <f>SUM(K135:K141)</f>
        <v>45419.270000000004</v>
      </c>
      <c r="L142" s="89">
        <f t="shared" ref="L142:M142" si="39">L135+L136+L137+L138+L139+L140+L141</f>
        <v>0</v>
      </c>
      <c r="M142" s="89">
        <f t="shared" si="39"/>
        <v>123781.3</v>
      </c>
    </row>
    <row r="143" spans="3:13" s="5" customFormat="1" ht="16.5" thickBot="1" x14ac:dyDescent="0.3">
      <c r="C143" s="386"/>
      <c r="D143" s="377"/>
      <c r="E143" s="377"/>
      <c r="F143" s="377"/>
      <c r="G143" s="377"/>
      <c r="H143" s="377"/>
      <c r="I143" s="377"/>
    </row>
    <row r="144" spans="3:13" ht="16.5" thickBot="1" x14ac:dyDescent="0.3">
      <c r="C144" s="107" t="s">
        <v>88</v>
      </c>
      <c r="D144" s="108"/>
      <c r="E144" s="108"/>
      <c r="F144" s="108"/>
      <c r="G144" s="270"/>
      <c r="H144" s="109"/>
      <c r="I144" s="372"/>
    </row>
    <row r="145" spans="2:13" ht="24" customHeight="1" thickBot="1" x14ac:dyDescent="0.3">
      <c r="C145" s="74" t="s">
        <v>157</v>
      </c>
      <c r="D145" s="75">
        <f>'[1]1) Tableau budgétaire 1'!D138</f>
        <v>0</v>
      </c>
      <c r="E145" s="110">
        <f>'[1]1) Tableau budgétaire 1'!E138</f>
        <v>0</v>
      </c>
      <c r="F145" s="110">
        <f>'[1]1) Tableau budgétaire 1'!F138</f>
        <v>0</v>
      </c>
      <c r="G145" s="271"/>
      <c r="H145" s="76">
        <f t="shared" ref="H145:H153" si="40">SUM(D145:F145)</f>
        <v>0</v>
      </c>
      <c r="I145" s="372"/>
      <c r="J145" s="111"/>
      <c r="K145" s="160"/>
      <c r="L145" s="112"/>
      <c r="M145" s="155"/>
    </row>
    <row r="146" spans="2:13" ht="15.75" customHeight="1" x14ac:dyDescent="0.25">
      <c r="C146" s="79" t="s">
        <v>133</v>
      </c>
      <c r="D146" s="80"/>
      <c r="E146" s="17"/>
      <c r="F146" s="17"/>
      <c r="G146" s="267"/>
      <c r="H146" s="76">
        <f t="shared" si="40"/>
        <v>0</v>
      </c>
      <c r="I146" s="372"/>
      <c r="J146" s="156"/>
      <c r="K146" s="158"/>
      <c r="L146" s="157"/>
      <c r="M146" s="78"/>
    </row>
    <row r="147" spans="2:13" s="4" customFormat="1" x14ac:dyDescent="0.25">
      <c r="C147" s="82" t="s">
        <v>134</v>
      </c>
      <c r="D147" s="80"/>
      <c r="E147" s="17"/>
      <c r="F147" s="17"/>
      <c r="G147" s="267"/>
      <c r="H147" s="76">
        <f t="shared" si="40"/>
        <v>0</v>
      </c>
      <c r="I147" s="372"/>
      <c r="J147" s="156"/>
      <c r="K147" s="158"/>
      <c r="L147" s="157"/>
      <c r="M147" s="78"/>
    </row>
    <row r="148" spans="2:13" s="4" customFormat="1" ht="15.75" customHeight="1" x14ac:dyDescent="0.25">
      <c r="C148" s="82" t="s">
        <v>135</v>
      </c>
      <c r="D148" s="80"/>
      <c r="E148" s="83"/>
      <c r="F148" s="83"/>
      <c r="G148" s="272"/>
      <c r="H148" s="76">
        <f t="shared" si="40"/>
        <v>0</v>
      </c>
      <c r="I148" s="372"/>
      <c r="J148" s="156"/>
      <c r="K148" s="158"/>
      <c r="L148" s="157"/>
      <c r="M148" s="78"/>
    </row>
    <row r="149" spans="2:13" s="4" customFormat="1" x14ac:dyDescent="0.25">
      <c r="C149" s="84" t="s">
        <v>136</v>
      </c>
      <c r="D149" s="80"/>
      <c r="E149" s="83"/>
      <c r="F149" s="83"/>
      <c r="G149" s="272"/>
      <c r="H149" s="76">
        <f t="shared" si="40"/>
        <v>0</v>
      </c>
      <c r="I149" s="372"/>
      <c r="J149" s="156"/>
      <c r="K149" s="158"/>
      <c r="L149" s="157"/>
      <c r="M149" s="78"/>
    </row>
    <row r="150" spans="2:13" s="4" customFormat="1" x14ac:dyDescent="0.25">
      <c r="C150" s="82" t="s">
        <v>137</v>
      </c>
      <c r="D150" s="80"/>
      <c r="E150" s="83"/>
      <c r="F150" s="83"/>
      <c r="G150" s="272"/>
      <c r="H150" s="76">
        <f t="shared" si="40"/>
        <v>0</v>
      </c>
      <c r="I150" s="372"/>
      <c r="J150" s="156"/>
      <c r="K150" s="158"/>
      <c r="L150" s="157"/>
      <c r="M150" s="78"/>
    </row>
    <row r="151" spans="2:13" s="4" customFormat="1" ht="15.75" customHeight="1" x14ac:dyDescent="0.25">
      <c r="C151" s="82" t="s">
        <v>138</v>
      </c>
      <c r="D151" s="80"/>
      <c r="E151" s="83"/>
      <c r="F151" s="83"/>
      <c r="G151" s="272"/>
      <c r="H151" s="76">
        <f t="shared" si="40"/>
        <v>0</v>
      </c>
      <c r="I151" s="372"/>
      <c r="J151" s="156"/>
      <c r="K151" s="158"/>
      <c r="L151" s="157"/>
      <c r="M151" s="78"/>
    </row>
    <row r="152" spans="2:13" s="4" customFormat="1" x14ac:dyDescent="0.25">
      <c r="C152" s="82" t="s">
        <v>139</v>
      </c>
      <c r="D152" s="80"/>
      <c r="E152" s="83"/>
      <c r="F152" s="83"/>
      <c r="G152" s="272"/>
      <c r="H152" s="76">
        <f t="shared" si="40"/>
        <v>0</v>
      </c>
      <c r="I152" s="372"/>
      <c r="J152" s="156"/>
      <c r="K152" s="158"/>
      <c r="L152" s="157"/>
      <c r="M152" s="78"/>
    </row>
    <row r="153" spans="2:13" s="4" customFormat="1" ht="16.5" thickBot="1" x14ac:dyDescent="0.3">
      <c r="C153" s="85" t="s">
        <v>140</v>
      </c>
      <c r="D153" s="86">
        <f>SUM(D146:D152)</f>
        <v>0</v>
      </c>
      <c r="E153" s="87">
        <f>SUM(E146:E152)</f>
        <v>0</v>
      </c>
      <c r="F153" s="87">
        <f>SUM(F146:F152)</f>
        <v>0</v>
      </c>
      <c r="G153" s="273"/>
      <c r="H153" s="113">
        <f t="shared" si="40"/>
        <v>0</v>
      </c>
      <c r="I153" s="372"/>
      <c r="J153" s="89"/>
      <c r="K153" s="159"/>
      <c r="L153" s="90"/>
      <c r="M153" s="91"/>
    </row>
    <row r="154" spans="2:13" s="4" customFormat="1" ht="16.5" thickBot="1" x14ac:dyDescent="0.3">
      <c r="C154" s="385"/>
      <c r="D154" s="385"/>
      <c r="E154" s="385"/>
      <c r="F154" s="385"/>
      <c r="G154" s="385"/>
      <c r="H154" s="385"/>
      <c r="I154" s="385"/>
    </row>
    <row r="155" spans="2:13" s="4" customFormat="1" ht="15.75" customHeight="1" thickBot="1" x14ac:dyDescent="0.3">
      <c r="B155" s="387" t="s">
        <v>158</v>
      </c>
      <c r="C155" s="388"/>
      <c r="D155" s="388"/>
      <c r="E155" s="388"/>
      <c r="F155" s="388"/>
      <c r="G155" s="388"/>
      <c r="H155" s="389"/>
      <c r="I155" s="391"/>
    </row>
    <row r="156" spans="2:13" s="4" customFormat="1" ht="16.5" thickBot="1" x14ac:dyDescent="0.3">
      <c r="B156" s="1"/>
      <c r="C156" s="107" t="s">
        <v>89</v>
      </c>
      <c r="D156" s="108"/>
      <c r="E156" s="108"/>
      <c r="F156" s="108"/>
      <c r="G156" s="270"/>
      <c r="H156" s="109"/>
      <c r="I156" s="391"/>
    </row>
    <row r="157" spans="2:13" s="4" customFormat="1" ht="24" customHeight="1" thickBot="1" x14ac:dyDescent="0.3">
      <c r="B157" s="1"/>
      <c r="C157" s="74" t="s">
        <v>159</v>
      </c>
      <c r="D157" s="75">
        <f>'[1]1) Tableau budgétaire 1'!D150</f>
        <v>0</v>
      </c>
      <c r="E157" s="110">
        <f>'[1]1) Tableau budgétaire 1'!E150</f>
        <v>0</v>
      </c>
      <c r="F157" s="110">
        <f>'[1]1) Tableau budgétaire 1'!F150</f>
        <v>0</v>
      </c>
      <c r="G157" s="271"/>
      <c r="H157" s="76">
        <f t="shared" ref="H157:H165" si="41">SUM(D157:F157)</f>
        <v>0</v>
      </c>
      <c r="I157" s="391"/>
      <c r="J157" s="111"/>
      <c r="K157" s="96">
        <f>+K165</f>
        <v>0</v>
      </c>
      <c r="L157" s="112"/>
      <c r="M157" s="155">
        <f>+K157</f>
        <v>0</v>
      </c>
    </row>
    <row r="158" spans="2:13" s="4" customFormat="1" ht="24.75" customHeight="1" x14ac:dyDescent="0.25">
      <c r="B158" s="1"/>
      <c r="C158" s="79" t="s">
        <v>133</v>
      </c>
      <c r="D158" s="80"/>
      <c r="E158" s="17"/>
      <c r="F158" s="17"/>
      <c r="G158" s="267"/>
      <c r="H158" s="76">
        <f t="shared" si="41"/>
        <v>0</v>
      </c>
      <c r="I158" s="391"/>
      <c r="J158" s="156"/>
      <c r="K158" s="170">
        <v>0</v>
      </c>
      <c r="L158" s="157"/>
      <c r="M158" s="78">
        <f>+K158</f>
        <v>0</v>
      </c>
    </row>
    <row r="159" spans="2:13" s="4" customFormat="1" ht="15.75" customHeight="1" x14ac:dyDescent="0.25">
      <c r="B159" s="1"/>
      <c r="C159" s="82" t="s">
        <v>134</v>
      </c>
      <c r="D159" s="80"/>
      <c r="E159" s="17"/>
      <c r="F159" s="17"/>
      <c r="G159" s="267"/>
      <c r="H159" s="76">
        <f t="shared" si="41"/>
        <v>0</v>
      </c>
      <c r="I159" s="391"/>
      <c r="J159" s="156"/>
      <c r="K159" s="170">
        <v>0</v>
      </c>
      <c r="L159" s="157"/>
      <c r="M159" s="78"/>
    </row>
    <row r="160" spans="2:13" s="4" customFormat="1" ht="15.75" customHeight="1" x14ac:dyDescent="0.25">
      <c r="B160" s="1"/>
      <c r="C160" s="82" t="s">
        <v>135</v>
      </c>
      <c r="D160" s="80"/>
      <c r="E160" s="83"/>
      <c r="F160" s="83"/>
      <c r="G160" s="272"/>
      <c r="H160" s="76">
        <f t="shared" si="41"/>
        <v>0</v>
      </c>
      <c r="I160" s="391"/>
      <c r="J160" s="156"/>
      <c r="K160" s="170">
        <v>0</v>
      </c>
      <c r="L160" s="157"/>
      <c r="M160" s="78"/>
    </row>
    <row r="161" spans="2:13" s="4" customFormat="1" ht="15.75" customHeight="1" x14ac:dyDescent="0.25">
      <c r="B161" s="1"/>
      <c r="C161" s="84" t="s">
        <v>136</v>
      </c>
      <c r="D161" s="80"/>
      <c r="E161" s="83"/>
      <c r="F161" s="83"/>
      <c r="G161" s="272"/>
      <c r="H161" s="76">
        <f t="shared" si="41"/>
        <v>0</v>
      </c>
      <c r="I161" s="391"/>
      <c r="J161" s="156"/>
      <c r="K161" s="170">
        <v>0</v>
      </c>
      <c r="L161" s="157"/>
      <c r="M161" s="78"/>
    </row>
    <row r="162" spans="2:13" s="4" customFormat="1" ht="15.75" customHeight="1" x14ac:dyDescent="0.25">
      <c r="B162" s="1"/>
      <c r="C162" s="82" t="s">
        <v>137</v>
      </c>
      <c r="D162" s="80"/>
      <c r="E162" s="83"/>
      <c r="F162" s="83"/>
      <c r="G162" s="272"/>
      <c r="H162" s="76">
        <f t="shared" si="41"/>
        <v>0</v>
      </c>
      <c r="I162" s="391"/>
      <c r="J162" s="156"/>
      <c r="K162" s="156">
        <v>0</v>
      </c>
      <c r="L162" s="157"/>
      <c r="M162" s="78">
        <f>+K162</f>
        <v>0</v>
      </c>
    </row>
    <row r="163" spans="2:13" s="4" customFormat="1" ht="15.75" customHeight="1" x14ac:dyDescent="0.25">
      <c r="B163" s="1"/>
      <c r="C163" s="82" t="s">
        <v>138</v>
      </c>
      <c r="D163" s="80"/>
      <c r="E163" s="83"/>
      <c r="F163" s="83"/>
      <c r="G163" s="272"/>
      <c r="H163" s="76">
        <f t="shared" si="41"/>
        <v>0</v>
      </c>
      <c r="I163" s="391"/>
      <c r="J163" s="156"/>
      <c r="K163" s="156">
        <v>0</v>
      </c>
      <c r="L163" s="157"/>
      <c r="M163" s="78"/>
    </row>
    <row r="164" spans="2:13" s="4" customFormat="1" ht="15.75" customHeight="1" x14ac:dyDescent="0.25">
      <c r="B164" s="1"/>
      <c r="C164" s="82" t="s">
        <v>139</v>
      </c>
      <c r="D164" s="80"/>
      <c r="E164" s="83"/>
      <c r="F164" s="83"/>
      <c r="G164" s="272"/>
      <c r="H164" s="76">
        <f t="shared" si="41"/>
        <v>0</v>
      </c>
      <c r="I164" s="391"/>
      <c r="J164" s="156"/>
      <c r="K164" s="170">
        <v>0</v>
      </c>
      <c r="L164" s="157"/>
      <c r="M164" s="78"/>
    </row>
    <row r="165" spans="2:13" s="4" customFormat="1" ht="15.75" customHeight="1" thickBot="1" x14ac:dyDescent="0.3">
      <c r="B165" s="1"/>
      <c r="C165" s="85" t="s">
        <v>140</v>
      </c>
      <c r="D165" s="86">
        <f>SUM(D158:D164)</f>
        <v>0</v>
      </c>
      <c r="E165" s="87">
        <f>SUM(E158:E164)</f>
        <v>0</v>
      </c>
      <c r="F165" s="87">
        <f>SUM(F158:F164)</f>
        <v>0</v>
      </c>
      <c r="G165" s="273"/>
      <c r="H165" s="113">
        <f t="shared" si="41"/>
        <v>0</v>
      </c>
      <c r="I165" s="391"/>
      <c r="J165" s="89"/>
      <c r="K165" s="171">
        <f>SUM(K158:K164)</f>
        <v>0</v>
      </c>
      <c r="L165" s="90"/>
      <c r="M165" s="91">
        <f>M157+M158+M162</f>
        <v>0</v>
      </c>
    </row>
    <row r="166" spans="2:13" s="5" customFormat="1" ht="15.75" customHeight="1" thickBot="1" x14ac:dyDescent="0.3">
      <c r="C166" s="386"/>
      <c r="D166" s="377"/>
      <c r="E166" s="377"/>
      <c r="F166" s="377"/>
      <c r="G166" s="377"/>
      <c r="H166" s="377"/>
      <c r="I166" s="377"/>
    </row>
    <row r="167" spans="2:13" s="4" customFormat="1" ht="31.5" customHeight="1" thickBot="1" x14ac:dyDescent="0.3">
      <c r="C167" s="107" t="s">
        <v>90</v>
      </c>
      <c r="D167" s="108"/>
      <c r="E167" s="108"/>
      <c r="F167" s="108"/>
      <c r="G167" s="270"/>
      <c r="H167" s="109"/>
      <c r="I167" s="372"/>
    </row>
    <row r="168" spans="2:13" s="4" customFormat="1" ht="21" customHeight="1" thickBot="1" x14ac:dyDescent="0.3">
      <c r="C168" s="74" t="s">
        <v>160</v>
      </c>
      <c r="D168" s="75">
        <f>'[1]1) Tableau budgétaire 1'!D160</f>
        <v>0</v>
      </c>
      <c r="E168" s="110">
        <f>'[1]1) Tableau budgétaire 1'!E160</f>
        <v>0</v>
      </c>
      <c r="F168" s="110">
        <f>'[1]1) Tableau budgétaire 1'!F160</f>
        <v>0</v>
      </c>
      <c r="G168" s="271"/>
      <c r="H168" s="76">
        <f t="shared" ref="H168:H176" si="42">SUM(D168:F168)</f>
        <v>0</v>
      </c>
      <c r="I168" s="372"/>
      <c r="J168" s="111"/>
      <c r="K168" s="160"/>
      <c r="L168" s="112"/>
      <c r="M168" s="155"/>
    </row>
    <row r="169" spans="2:13" s="4" customFormat="1" ht="15.75" customHeight="1" x14ac:dyDescent="0.25">
      <c r="C169" s="79" t="s">
        <v>133</v>
      </c>
      <c r="D169" s="80"/>
      <c r="E169" s="17"/>
      <c r="F169" s="17"/>
      <c r="G169" s="267"/>
      <c r="H169" s="76">
        <f t="shared" si="42"/>
        <v>0</v>
      </c>
      <c r="I169" s="372"/>
      <c r="J169" s="156"/>
      <c r="K169" s="158"/>
      <c r="L169" s="157"/>
      <c r="M169" s="78"/>
    </row>
    <row r="170" spans="2:13" s="4" customFormat="1" ht="15.75" customHeight="1" x14ac:dyDescent="0.25">
      <c r="C170" s="82" t="s">
        <v>134</v>
      </c>
      <c r="D170" s="80"/>
      <c r="E170" s="17"/>
      <c r="F170" s="17"/>
      <c r="G170" s="267"/>
      <c r="H170" s="76">
        <f t="shared" si="42"/>
        <v>0</v>
      </c>
      <c r="I170" s="372"/>
      <c r="J170" s="156"/>
      <c r="K170" s="158"/>
      <c r="L170" s="157"/>
      <c r="M170" s="78"/>
    </row>
    <row r="171" spans="2:13" s="4" customFormat="1" ht="15.75" customHeight="1" x14ac:dyDescent="0.25">
      <c r="C171" s="82" t="s">
        <v>135</v>
      </c>
      <c r="D171" s="80"/>
      <c r="E171" s="83"/>
      <c r="F171" s="83"/>
      <c r="G171" s="272"/>
      <c r="H171" s="76">
        <f t="shared" si="42"/>
        <v>0</v>
      </c>
      <c r="I171" s="372"/>
      <c r="J171" s="156"/>
      <c r="K171" s="158"/>
      <c r="L171" s="157"/>
      <c r="M171" s="78"/>
    </row>
    <row r="172" spans="2:13" s="4" customFormat="1" ht="15.75" customHeight="1" x14ac:dyDescent="0.25">
      <c r="C172" s="84" t="s">
        <v>136</v>
      </c>
      <c r="D172" s="80"/>
      <c r="E172" s="83"/>
      <c r="F172" s="83"/>
      <c r="G172" s="272"/>
      <c r="H172" s="76">
        <f t="shared" si="42"/>
        <v>0</v>
      </c>
      <c r="I172" s="372"/>
      <c r="J172" s="156"/>
      <c r="K172" s="158"/>
      <c r="L172" s="157"/>
      <c r="M172" s="78"/>
    </row>
    <row r="173" spans="2:13" s="4" customFormat="1" ht="15.75" customHeight="1" x14ac:dyDescent="0.25">
      <c r="C173" s="82" t="s">
        <v>137</v>
      </c>
      <c r="D173" s="80"/>
      <c r="E173" s="83"/>
      <c r="F173" s="83"/>
      <c r="G173" s="272"/>
      <c r="H173" s="76">
        <f t="shared" si="42"/>
        <v>0</v>
      </c>
      <c r="I173" s="372"/>
      <c r="J173" s="156"/>
      <c r="K173" s="158"/>
      <c r="L173" s="157"/>
      <c r="M173" s="78"/>
    </row>
    <row r="174" spans="2:13" s="4" customFormat="1" ht="15.75" customHeight="1" x14ac:dyDescent="0.25">
      <c r="C174" s="82" t="s">
        <v>138</v>
      </c>
      <c r="D174" s="80"/>
      <c r="E174" s="83"/>
      <c r="F174" s="83"/>
      <c r="G174" s="272"/>
      <c r="H174" s="76">
        <f t="shared" si="42"/>
        <v>0</v>
      </c>
      <c r="I174" s="372"/>
      <c r="J174" s="156"/>
      <c r="K174" s="158"/>
      <c r="L174" s="157"/>
      <c r="M174" s="78"/>
    </row>
    <row r="175" spans="2:13" s="4" customFormat="1" ht="15.75" customHeight="1" x14ac:dyDescent="0.25">
      <c r="C175" s="82" t="s">
        <v>139</v>
      </c>
      <c r="D175" s="80"/>
      <c r="E175" s="83"/>
      <c r="F175" s="83"/>
      <c r="G175" s="272"/>
      <c r="H175" s="76">
        <f t="shared" si="42"/>
        <v>0</v>
      </c>
      <c r="I175" s="372"/>
      <c r="J175" s="156"/>
      <c r="K175" s="158"/>
      <c r="L175" s="157"/>
      <c r="M175" s="78"/>
    </row>
    <row r="176" spans="2:13" s="4" customFormat="1" ht="15.75" customHeight="1" thickBot="1" x14ac:dyDescent="0.3">
      <c r="C176" s="85" t="s">
        <v>140</v>
      </c>
      <c r="D176" s="86">
        <f>SUM(D169:D175)</f>
        <v>0</v>
      </c>
      <c r="E176" s="87">
        <f>SUM(E169:E175)</f>
        <v>0</v>
      </c>
      <c r="F176" s="87">
        <f>SUM(F169:F175)</f>
        <v>0</v>
      </c>
      <c r="G176" s="273"/>
      <c r="H176" s="113">
        <f t="shared" si="42"/>
        <v>0</v>
      </c>
      <c r="I176" s="372"/>
      <c r="J176" s="89"/>
      <c r="K176" s="159"/>
      <c r="L176" s="90"/>
      <c r="M176" s="91"/>
    </row>
    <row r="177" spans="3:13" s="5" customFormat="1" ht="15.75" customHeight="1" thickBot="1" x14ac:dyDescent="0.3">
      <c r="C177" s="386"/>
      <c r="D177" s="377"/>
      <c r="E177" s="377"/>
      <c r="F177" s="377"/>
      <c r="G177" s="377"/>
      <c r="H177" s="377"/>
      <c r="I177" s="377"/>
    </row>
    <row r="178" spans="3:13" s="4" customFormat="1" ht="35.25" customHeight="1" thickBot="1" x14ac:dyDescent="0.3">
      <c r="C178" s="107" t="s">
        <v>91</v>
      </c>
      <c r="D178" s="108"/>
      <c r="E178" s="108"/>
      <c r="F178" s="108"/>
      <c r="G178" s="270"/>
      <c r="H178" s="109"/>
      <c r="I178" s="372"/>
    </row>
    <row r="179" spans="3:13" s="4" customFormat="1" ht="19.5" customHeight="1" thickBot="1" x14ac:dyDescent="0.3">
      <c r="C179" s="74" t="s">
        <v>161</v>
      </c>
      <c r="D179" s="75">
        <f>'[1]1) Tableau budgétaire 1'!D170</f>
        <v>0</v>
      </c>
      <c r="E179" s="110">
        <f>'[1]1) Tableau budgétaire 1'!E170</f>
        <v>0</v>
      </c>
      <c r="F179" s="110">
        <f>'[1]1) Tableau budgétaire 1'!F170</f>
        <v>0</v>
      </c>
      <c r="G179" s="271"/>
      <c r="H179" s="76">
        <f t="shared" ref="H179:H187" si="43">SUM(D179:F179)</f>
        <v>0</v>
      </c>
      <c r="I179" s="372"/>
      <c r="J179" s="111"/>
      <c r="K179" s="160"/>
      <c r="L179" s="112"/>
      <c r="M179" s="155"/>
    </row>
    <row r="180" spans="3:13" s="4" customFormat="1" ht="15.75" customHeight="1" x14ac:dyDescent="0.25">
      <c r="C180" s="79" t="s">
        <v>133</v>
      </c>
      <c r="D180" s="80"/>
      <c r="E180" s="17"/>
      <c r="F180" s="17"/>
      <c r="G180" s="267"/>
      <c r="H180" s="76">
        <f t="shared" si="43"/>
        <v>0</v>
      </c>
      <c r="I180" s="372"/>
      <c r="J180" s="156"/>
      <c r="K180" s="158"/>
      <c r="L180" s="157"/>
      <c r="M180" s="78"/>
    </row>
    <row r="181" spans="3:13" s="4" customFormat="1" ht="15.75" customHeight="1" x14ac:dyDescent="0.25">
      <c r="C181" s="82" t="s">
        <v>134</v>
      </c>
      <c r="D181" s="80"/>
      <c r="E181" s="17"/>
      <c r="F181" s="17"/>
      <c r="G181" s="267"/>
      <c r="H181" s="76">
        <f t="shared" si="43"/>
        <v>0</v>
      </c>
      <c r="I181" s="372"/>
      <c r="J181" s="156"/>
      <c r="K181" s="158"/>
      <c r="L181" s="157"/>
      <c r="M181" s="78"/>
    </row>
    <row r="182" spans="3:13" s="4" customFormat="1" ht="15.75" customHeight="1" x14ac:dyDescent="0.25">
      <c r="C182" s="82" t="s">
        <v>135</v>
      </c>
      <c r="D182" s="80"/>
      <c r="E182" s="83"/>
      <c r="F182" s="83"/>
      <c r="G182" s="272"/>
      <c r="H182" s="76">
        <f t="shared" si="43"/>
        <v>0</v>
      </c>
      <c r="I182" s="372"/>
      <c r="J182" s="156"/>
      <c r="K182" s="158"/>
      <c r="L182" s="157"/>
      <c r="M182" s="78"/>
    </row>
    <row r="183" spans="3:13" s="4" customFormat="1" ht="15.75" customHeight="1" x14ac:dyDescent="0.25">
      <c r="C183" s="84" t="s">
        <v>136</v>
      </c>
      <c r="D183" s="80"/>
      <c r="E183" s="83"/>
      <c r="F183" s="83"/>
      <c r="G183" s="272"/>
      <c r="H183" s="76">
        <f t="shared" si="43"/>
        <v>0</v>
      </c>
      <c r="I183" s="372"/>
      <c r="J183" s="156"/>
      <c r="K183" s="158"/>
      <c r="L183" s="157"/>
      <c r="M183" s="78"/>
    </row>
    <row r="184" spans="3:13" s="4" customFormat="1" ht="15.75" customHeight="1" x14ac:dyDescent="0.25">
      <c r="C184" s="82" t="s">
        <v>137</v>
      </c>
      <c r="D184" s="80"/>
      <c r="E184" s="83"/>
      <c r="F184" s="83"/>
      <c r="G184" s="272"/>
      <c r="H184" s="76">
        <f t="shared" si="43"/>
        <v>0</v>
      </c>
      <c r="I184" s="372"/>
      <c r="J184" s="156"/>
      <c r="K184" s="158"/>
      <c r="L184" s="157"/>
      <c r="M184" s="78"/>
    </row>
    <row r="185" spans="3:13" s="4" customFormat="1" ht="15.75" customHeight="1" x14ac:dyDescent="0.25">
      <c r="C185" s="82" t="s">
        <v>138</v>
      </c>
      <c r="D185" s="80"/>
      <c r="E185" s="83"/>
      <c r="F185" s="83"/>
      <c r="G185" s="272"/>
      <c r="H185" s="76">
        <f t="shared" si="43"/>
        <v>0</v>
      </c>
      <c r="I185" s="372"/>
      <c r="J185" s="156"/>
      <c r="K185" s="158"/>
      <c r="L185" s="157"/>
      <c r="M185" s="78"/>
    </row>
    <row r="186" spans="3:13" s="4" customFormat="1" ht="15.75" customHeight="1" x14ac:dyDescent="0.25">
      <c r="C186" s="82" t="s">
        <v>139</v>
      </c>
      <c r="D186" s="80"/>
      <c r="E186" s="83"/>
      <c r="F186" s="83"/>
      <c r="G186" s="272"/>
      <c r="H186" s="76">
        <f t="shared" si="43"/>
        <v>0</v>
      </c>
      <c r="I186" s="372"/>
      <c r="J186" s="156"/>
      <c r="K186" s="158"/>
      <c r="L186" s="157"/>
      <c r="M186" s="78"/>
    </row>
    <row r="187" spans="3:13" s="4" customFormat="1" ht="15.75" customHeight="1" thickBot="1" x14ac:dyDescent="0.3">
      <c r="C187" s="85" t="s">
        <v>140</v>
      </c>
      <c r="D187" s="86">
        <f>SUM(D180:D186)</f>
        <v>0</v>
      </c>
      <c r="E187" s="87">
        <f>SUM(E180:E186)</f>
        <v>0</v>
      </c>
      <c r="F187" s="87">
        <f>SUM(F180:F186)</f>
        <v>0</v>
      </c>
      <c r="G187" s="273"/>
      <c r="H187" s="113">
        <f t="shared" si="43"/>
        <v>0</v>
      </c>
      <c r="I187" s="372"/>
      <c r="J187" s="89"/>
      <c r="K187" s="159"/>
      <c r="L187" s="90"/>
      <c r="M187" s="91"/>
    </row>
    <row r="188" spans="3:13" s="5" customFormat="1" ht="15.75" customHeight="1" thickBot="1" x14ac:dyDescent="0.3">
      <c r="C188" s="386"/>
      <c r="D188" s="377"/>
      <c r="E188" s="377"/>
      <c r="F188" s="377"/>
      <c r="G188" s="377"/>
      <c r="H188" s="377"/>
      <c r="I188" s="377"/>
    </row>
    <row r="189" spans="3:13" s="4" customFormat="1" ht="30.75" customHeight="1" thickBot="1" x14ac:dyDescent="0.3">
      <c r="C189" s="107" t="s">
        <v>92</v>
      </c>
      <c r="D189" s="108"/>
      <c r="E189" s="108"/>
      <c r="F189" s="108"/>
      <c r="G189" s="270"/>
      <c r="H189" s="109"/>
      <c r="I189" s="372"/>
    </row>
    <row r="190" spans="3:13" s="4" customFormat="1" ht="22.5" customHeight="1" thickBot="1" x14ac:dyDescent="0.3">
      <c r="C190" s="74" t="s">
        <v>162</v>
      </c>
      <c r="D190" s="75">
        <f>'[1]1) Tableau budgétaire 1'!D180</f>
        <v>0</v>
      </c>
      <c r="E190" s="110">
        <f>'[1]1) Tableau budgétaire 1'!E180</f>
        <v>0</v>
      </c>
      <c r="F190" s="110">
        <f>'[1]1) Tableau budgétaire 1'!F180</f>
        <v>0</v>
      </c>
      <c r="G190" s="271"/>
      <c r="H190" s="76">
        <f t="shared" ref="H190:H198" si="44">SUM(D190:F190)</f>
        <v>0</v>
      </c>
      <c r="I190" s="372"/>
      <c r="J190" s="111"/>
      <c r="K190" s="160"/>
      <c r="L190" s="112"/>
      <c r="M190" s="155"/>
    </row>
    <row r="191" spans="3:13" s="4" customFormat="1" ht="15.75" customHeight="1" x14ac:dyDescent="0.25">
      <c r="C191" s="79" t="s">
        <v>133</v>
      </c>
      <c r="D191" s="80"/>
      <c r="E191" s="17"/>
      <c r="F191" s="17"/>
      <c r="G191" s="267"/>
      <c r="H191" s="76">
        <f t="shared" si="44"/>
        <v>0</v>
      </c>
      <c r="I191" s="372"/>
      <c r="J191" s="156"/>
      <c r="K191" s="158"/>
      <c r="L191" s="157"/>
      <c r="M191" s="78"/>
    </row>
    <row r="192" spans="3:13" s="4" customFormat="1" ht="15.75" customHeight="1" x14ac:dyDescent="0.25">
      <c r="C192" s="82" t="s">
        <v>134</v>
      </c>
      <c r="D192" s="80"/>
      <c r="E192" s="17"/>
      <c r="F192" s="17"/>
      <c r="G192" s="267"/>
      <c r="H192" s="76">
        <f t="shared" si="44"/>
        <v>0</v>
      </c>
      <c r="I192" s="372"/>
      <c r="J192" s="156"/>
      <c r="K192" s="158"/>
      <c r="L192" s="157"/>
      <c r="M192" s="78"/>
    </row>
    <row r="193" spans="3:14" s="4" customFormat="1" ht="15.75" customHeight="1" x14ac:dyDescent="0.25">
      <c r="C193" s="82" t="s">
        <v>135</v>
      </c>
      <c r="D193" s="80"/>
      <c r="E193" s="83"/>
      <c r="F193" s="83"/>
      <c r="G193" s="272"/>
      <c r="H193" s="76">
        <f t="shared" si="44"/>
        <v>0</v>
      </c>
      <c r="I193" s="372"/>
      <c r="J193" s="156"/>
      <c r="K193" s="158"/>
      <c r="L193" s="157"/>
      <c r="M193" s="78"/>
    </row>
    <row r="194" spans="3:14" s="4" customFormat="1" ht="15.75" customHeight="1" x14ac:dyDescent="0.25">
      <c r="C194" s="84" t="s">
        <v>136</v>
      </c>
      <c r="D194" s="80"/>
      <c r="E194" s="83"/>
      <c r="F194" s="83"/>
      <c r="G194" s="272"/>
      <c r="H194" s="76">
        <f t="shared" si="44"/>
        <v>0</v>
      </c>
      <c r="I194" s="372"/>
      <c r="J194" s="156"/>
      <c r="K194" s="158"/>
      <c r="L194" s="157"/>
      <c r="M194" s="78"/>
    </row>
    <row r="195" spans="3:14" s="4" customFormat="1" ht="15.75" customHeight="1" x14ac:dyDescent="0.25">
      <c r="C195" s="82" t="s">
        <v>137</v>
      </c>
      <c r="D195" s="80"/>
      <c r="E195" s="83"/>
      <c r="F195" s="83"/>
      <c r="G195" s="272"/>
      <c r="H195" s="76">
        <f t="shared" si="44"/>
        <v>0</v>
      </c>
      <c r="I195" s="372"/>
      <c r="J195" s="156"/>
      <c r="K195" s="158"/>
      <c r="L195" s="157"/>
      <c r="M195" s="78"/>
    </row>
    <row r="196" spans="3:14" s="4" customFormat="1" ht="15.75" customHeight="1" x14ac:dyDescent="0.25">
      <c r="C196" s="82" t="s">
        <v>138</v>
      </c>
      <c r="D196" s="80"/>
      <c r="E196" s="83"/>
      <c r="F196" s="83"/>
      <c r="G196" s="272"/>
      <c r="H196" s="76">
        <f t="shared" si="44"/>
        <v>0</v>
      </c>
      <c r="I196" s="372"/>
      <c r="J196" s="156"/>
      <c r="K196" s="158"/>
      <c r="L196" s="157"/>
      <c r="M196" s="78"/>
    </row>
    <row r="197" spans="3:14" s="4" customFormat="1" ht="15.75" customHeight="1" x14ac:dyDescent="0.25">
      <c r="C197" s="82" t="s">
        <v>139</v>
      </c>
      <c r="D197" s="80"/>
      <c r="E197" s="83"/>
      <c r="F197" s="83"/>
      <c r="G197" s="272"/>
      <c r="H197" s="76">
        <f t="shared" si="44"/>
        <v>0</v>
      </c>
      <c r="I197" s="372"/>
      <c r="J197" s="156"/>
      <c r="K197" s="158"/>
      <c r="L197" s="157"/>
      <c r="M197" s="78"/>
    </row>
    <row r="198" spans="3:14" s="4" customFormat="1" ht="15.75" customHeight="1" thickBot="1" x14ac:dyDescent="0.3">
      <c r="C198" s="85" t="s">
        <v>140</v>
      </c>
      <c r="D198" s="86">
        <f>SUM(D191:D197)</f>
        <v>0</v>
      </c>
      <c r="E198" s="87">
        <f>SUM(E191:E197)</f>
        <v>0</v>
      </c>
      <c r="F198" s="87">
        <f>SUM(F191:F197)</f>
        <v>0</v>
      </c>
      <c r="G198" s="273"/>
      <c r="H198" s="113">
        <f t="shared" si="44"/>
        <v>0</v>
      </c>
      <c r="I198" s="372"/>
      <c r="J198" s="89"/>
      <c r="K198" s="159"/>
      <c r="L198" s="90"/>
      <c r="M198" s="91"/>
    </row>
    <row r="199" spans="3:14" s="4" customFormat="1" ht="15.75" customHeight="1" thickBot="1" x14ac:dyDescent="0.3">
      <c r="C199" s="385"/>
      <c r="D199" s="385"/>
      <c r="E199" s="385"/>
      <c r="F199" s="385"/>
      <c r="G199" s="385"/>
      <c r="H199" s="385"/>
      <c r="I199" s="385"/>
    </row>
    <row r="200" spans="3:14" s="4" customFormat="1" ht="36.75" customHeight="1" thickBot="1" x14ac:dyDescent="0.3">
      <c r="C200" s="107" t="s">
        <v>163</v>
      </c>
      <c r="D200" s="108"/>
      <c r="E200" s="108"/>
      <c r="F200" s="108"/>
      <c r="G200" s="270"/>
      <c r="H200" s="109"/>
      <c r="I200" s="383"/>
    </row>
    <row r="201" spans="3:14" s="56" customFormat="1" ht="36" customHeight="1" thickBot="1" x14ac:dyDescent="0.3">
      <c r="C201" s="97" t="s">
        <v>164</v>
      </c>
      <c r="D201" s="98">
        <f>D209</f>
        <v>174800</v>
      </c>
      <c r="E201" s="98">
        <f t="shared" ref="E201:F201" si="45">E209</f>
        <v>109500</v>
      </c>
      <c r="F201" s="98">
        <f t="shared" si="45"/>
        <v>109500</v>
      </c>
      <c r="G201" s="275">
        <f>G209</f>
        <v>248458.81999999998</v>
      </c>
      <c r="H201" s="99">
        <f>SUM(D201:F201)</f>
        <v>393800</v>
      </c>
      <c r="I201" s="383"/>
      <c r="J201" s="111">
        <f>J209</f>
        <v>120469.93999999999</v>
      </c>
      <c r="K201" s="111">
        <f t="shared" ref="K201" si="46">K209</f>
        <v>162777.79999999999</v>
      </c>
      <c r="L201" s="162">
        <f>+L209</f>
        <v>179974.03</v>
      </c>
      <c r="M201" s="111">
        <f>J201+K201+L201</f>
        <v>463221.77</v>
      </c>
    </row>
    <row r="202" spans="3:14" s="56" customFormat="1" ht="30.75" customHeight="1" x14ac:dyDescent="0.25">
      <c r="C202" s="79" t="s">
        <v>133</v>
      </c>
      <c r="D202" s="100">
        <v>61816</v>
      </c>
      <c r="E202" s="81">
        <v>65000</v>
      </c>
      <c r="F202" s="119">
        <v>18800</v>
      </c>
      <c r="G202" s="222"/>
      <c r="H202" s="99">
        <f>SUM(D202:F202)</f>
        <v>145616</v>
      </c>
      <c r="I202" s="383"/>
      <c r="J202" s="156">
        <f>2346.96+22584.08+3499.84+11201.69+9979.87+5104.45</f>
        <v>54716.89</v>
      </c>
      <c r="K202" s="158">
        <v>63891.28</v>
      </c>
      <c r="L202" s="165"/>
      <c r="M202" s="78">
        <f>J202+K202+L202</f>
        <v>118608.17</v>
      </c>
    </row>
    <row r="203" spans="3:14" s="56" customFormat="1" ht="15.75" customHeight="1" x14ac:dyDescent="0.25">
      <c r="C203" s="82" t="s">
        <v>134</v>
      </c>
      <c r="D203" s="100">
        <v>0</v>
      </c>
      <c r="E203" s="16">
        <v>0</v>
      </c>
      <c r="F203" s="17">
        <v>0</v>
      </c>
      <c r="G203" s="222">
        <v>11079.100000000002</v>
      </c>
      <c r="H203" s="99">
        <f>SUM(D203:F203)</f>
        <v>0</v>
      </c>
      <c r="I203" s="383"/>
      <c r="J203" s="156">
        <v>0</v>
      </c>
      <c r="K203" s="158"/>
      <c r="L203" s="165">
        <v>5221.42</v>
      </c>
      <c r="M203" s="78">
        <f t="shared" ref="M203:M208" si="47">J203+K203+L203</f>
        <v>5221.42</v>
      </c>
    </row>
    <row r="204" spans="3:14" s="56" customFormat="1" ht="33" customHeight="1" x14ac:dyDescent="0.25">
      <c r="C204" s="82" t="s">
        <v>135</v>
      </c>
      <c r="D204" s="100">
        <v>13000</v>
      </c>
      <c r="E204" s="101">
        <v>5000</v>
      </c>
      <c r="F204" s="101">
        <v>0</v>
      </c>
      <c r="G204" s="222">
        <v>31150.22</v>
      </c>
      <c r="H204" s="99">
        <f>SUM(D204:F204)</f>
        <v>18000</v>
      </c>
      <c r="I204" s="383"/>
      <c r="J204" s="156">
        <v>0</v>
      </c>
      <c r="K204" s="158"/>
      <c r="L204" s="165">
        <v>10904.57</v>
      </c>
      <c r="M204" s="78">
        <f t="shared" si="47"/>
        <v>10904.57</v>
      </c>
    </row>
    <row r="205" spans="3:14" s="56" customFormat="1" ht="42.75" customHeight="1" x14ac:dyDescent="0.25">
      <c r="C205" s="84" t="s">
        <v>136</v>
      </c>
      <c r="D205" s="100">
        <v>60368</v>
      </c>
      <c r="E205" s="101">
        <v>0</v>
      </c>
      <c r="F205" s="101">
        <v>50667</v>
      </c>
      <c r="G205" s="222">
        <v>28762.120000000003</v>
      </c>
      <c r="H205" s="101">
        <v>50667</v>
      </c>
      <c r="I205" s="383"/>
      <c r="J205" s="156">
        <f>2800.78+191.27+7988.75+1550.55+1365.14+3494.03+3753.17+783.13+6468.06+2141.19+1451.62+10963.97</f>
        <v>42951.659999999996</v>
      </c>
      <c r="K205" s="158"/>
      <c r="L205" s="165">
        <v>13196.8</v>
      </c>
      <c r="M205" s="78">
        <f t="shared" si="47"/>
        <v>56148.459999999992</v>
      </c>
    </row>
    <row r="206" spans="3:14" s="56" customFormat="1" ht="38.25" customHeight="1" x14ac:dyDescent="0.25">
      <c r="C206" s="82" t="s">
        <v>137</v>
      </c>
      <c r="D206" s="100">
        <v>0</v>
      </c>
      <c r="E206" s="101">
        <v>20000</v>
      </c>
      <c r="F206" s="101">
        <v>13000</v>
      </c>
      <c r="G206" s="222"/>
      <c r="H206" s="99">
        <f>SUM(D206:F206)</f>
        <v>33000</v>
      </c>
      <c r="I206" s="383"/>
      <c r="J206" s="156">
        <v>0</v>
      </c>
      <c r="K206" s="158">
        <v>53103.07</v>
      </c>
      <c r="L206" s="165"/>
      <c r="M206" s="78">
        <f t="shared" si="47"/>
        <v>53103.07</v>
      </c>
    </row>
    <row r="207" spans="3:14" s="56" customFormat="1" ht="35.25" customHeight="1" x14ac:dyDescent="0.25">
      <c r="C207" s="82" t="s">
        <v>138</v>
      </c>
      <c r="D207" s="100"/>
      <c r="E207" s="101">
        <v>0</v>
      </c>
      <c r="F207" s="101">
        <v>0</v>
      </c>
      <c r="G207" s="222">
        <v>7010.88</v>
      </c>
      <c r="H207" s="99">
        <f>SUM(D207:F207)</f>
        <v>0</v>
      </c>
      <c r="I207" s="383"/>
      <c r="J207" s="156">
        <v>0</v>
      </c>
      <c r="K207" s="158"/>
      <c r="L207" s="165"/>
      <c r="M207" s="78">
        <f t="shared" si="47"/>
        <v>0</v>
      </c>
      <c r="N207" s="189"/>
    </row>
    <row r="208" spans="3:14" s="56" customFormat="1" ht="48.75" customHeight="1" x14ac:dyDescent="0.25">
      <c r="C208" s="82" t="s">
        <v>139</v>
      </c>
      <c r="D208" s="100">
        <v>39616</v>
      </c>
      <c r="E208" s="101">
        <v>19500</v>
      </c>
      <c r="F208" s="101">
        <v>27033</v>
      </c>
      <c r="G208" s="222">
        <v>170456.49999999997</v>
      </c>
      <c r="H208" s="99">
        <f>SUM(D208:F208)</f>
        <v>86149</v>
      </c>
      <c r="I208" s="383"/>
      <c r="J208" s="156">
        <f>4763.57+16090.13+1862.74+84.95</f>
        <v>22801.39</v>
      </c>
      <c r="K208" s="158">
        <v>45783.45</v>
      </c>
      <c r="L208" s="165">
        <v>150651.24</v>
      </c>
      <c r="M208" s="78">
        <f t="shared" si="47"/>
        <v>219236.08</v>
      </c>
    </row>
    <row r="209" spans="3:13" s="56" customFormat="1" ht="27" customHeight="1" thickBot="1" x14ac:dyDescent="0.3">
      <c r="C209" s="102" t="s">
        <v>140</v>
      </c>
      <c r="D209" s="103">
        <f t="shared" ref="D209:H209" si="48">SUM(D202:D208)</f>
        <v>174800</v>
      </c>
      <c r="E209" s="104">
        <f t="shared" si="48"/>
        <v>109500</v>
      </c>
      <c r="F209" s="104">
        <f t="shared" si="48"/>
        <v>109500</v>
      </c>
      <c r="G209" s="276">
        <f>SUM(G202:G208)</f>
        <v>248458.81999999998</v>
      </c>
      <c r="H209" s="105">
        <f t="shared" si="48"/>
        <v>333432</v>
      </c>
      <c r="I209" s="383"/>
      <c r="J209" s="89">
        <f>J202+J204+J203+J205+J206+J207+J208</f>
        <v>120469.93999999999</v>
      </c>
      <c r="K209" s="89">
        <f t="shared" ref="K209:M209" si="49">K202+K204+K203+K205+K206+K207+K208</f>
        <v>162777.79999999999</v>
      </c>
      <c r="L209" s="166">
        <f>+SUM(L202:L208)</f>
        <v>179974.03</v>
      </c>
      <c r="M209" s="89">
        <f t="shared" si="49"/>
        <v>463221.77</v>
      </c>
    </row>
    <row r="210" spans="3:13" s="4" customFormat="1" ht="15.75" customHeight="1" x14ac:dyDescent="0.25">
      <c r="C210" s="1"/>
      <c r="D210" s="5"/>
      <c r="E210" s="5"/>
      <c r="F210" s="5"/>
      <c r="G210" s="258"/>
      <c r="H210" s="1"/>
      <c r="I210" s="5"/>
    </row>
    <row r="211" spans="3:13" s="4" customFormat="1" ht="15.75" customHeight="1" thickBot="1" x14ac:dyDescent="0.3">
      <c r="C211" s="1"/>
      <c r="D211" s="5"/>
      <c r="E211" s="5"/>
      <c r="F211" s="5"/>
      <c r="G211" s="258"/>
      <c r="H211" s="1"/>
      <c r="I211" s="5"/>
    </row>
    <row r="212" spans="3:13" s="4" customFormat="1" ht="19.5" customHeight="1" thickBot="1" x14ac:dyDescent="0.3">
      <c r="C212" s="392" t="s">
        <v>180</v>
      </c>
      <c r="D212" s="393"/>
      <c r="E212" s="393"/>
      <c r="F212" s="393"/>
      <c r="G212" s="393"/>
      <c r="H212" s="394"/>
      <c r="I212" s="372"/>
      <c r="J212" s="343" t="s">
        <v>176</v>
      </c>
      <c r="K212" s="344"/>
      <c r="L212" s="344"/>
      <c r="M212" s="344"/>
    </row>
    <row r="213" spans="3:13" s="56" customFormat="1" ht="42.75" customHeight="1" x14ac:dyDescent="0.25">
      <c r="C213" s="120"/>
      <c r="D213" s="121" t="s">
        <v>8</v>
      </c>
      <c r="E213" s="122" t="s">
        <v>9</v>
      </c>
      <c r="F213" s="122" t="s">
        <v>10</v>
      </c>
      <c r="G213" s="281"/>
      <c r="H213" s="395" t="s">
        <v>102</v>
      </c>
      <c r="I213" s="372"/>
      <c r="J213" s="151" t="s">
        <v>127</v>
      </c>
      <c r="K213" s="151" t="s">
        <v>128</v>
      </c>
      <c r="L213" s="151" t="s">
        <v>129</v>
      </c>
      <c r="M213" s="341" t="s">
        <v>174</v>
      </c>
    </row>
    <row r="214" spans="3:13" s="56" customFormat="1" ht="19.5" customHeight="1" x14ac:dyDescent="0.25">
      <c r="C214" s="123"/>
      <c r="D214" s="98">
        <f>'[1]1) Tableau budgétaire 1'!D13</f>
        <v>0</v>
      </c>
      <c r="E214" s="117">
        <f>'[1]1) Tableau budgétaire 1'!E13</f>
        <v>0</v>
      </c>
      <c r="F214" s="117">
        <f>'[1]1) Tableau budgétaire 1'!F13</f>
        <v>0</v>
      </c>
      <c r="G214" s="278">
        <f>G224</f>
        <v>693529.26329999999</v>
      </c>
      <c r="H214" s="376"/>
      <c r="I214" s="372"/>
      <c r="J214" s="151" t="s">
        <v>8</v>
      </c>
      <c r="K214" s="151" t="s">
        <v>9</v>
      </c>
      <c r="L214" s="151" t="s">
        <v>10</v>
      </c>
      <c r="M214" s="342"/>
    </row>
    <row r="215" spans="3:13" s="56" customFormat="1" ht="31.5" customHeight="1" x14ac:dyDescent="0.25">
      <c r="C215" s="124" t="s">
        <v>133</v>
      </c>
      <c r="D215" s="125">
        <f t="shared" ref="D215:G221" si="50">SUM(D191,D180,D169,D158,D146,D135,D124,D113,D101,D90,D79,D68,D56,D45,D34,D23,D202)</f>
        <v>61816</v>
      </c>
      <c r="E215" s="126">
        <f t="shared" si="50"/>
        <v>65000</v>
      </c>
      <c r="F215" s="126">
        <f t="shared" si="50"/>
        <v>18800</v>
      </c>
      <c r="G215" s="282">
        <f t="shared" si="50"/>
        <v>0</v>
      </c>
      <c r="H215" s="99">
        <f t="shared" ref="H215:H222" si="51">SUM(D215:F215)</f>
        <v>145616</v>
      </c>
      <c r="I215" s="372"/>
      <c r="J215" s="152">
        <f>J23+J34+J45+J56+J68+J79+J90+J101+J113+J124+J135+J146+J158+J169+J180+J191+J202</f>
        <v>54716.89</v>
      </c>
      <c r="K215" s="152">
        <f>K23+K34+K45+K56+K68+K79+K90+K90+K101+K113+K124+K135+K146+K158+K158+K169+K169+K180+K191+K202</f>
        <v>63891.28</v>
      </c>
      <c r="L215" s="222"/>
      <c r="M215" s="78">
        <f t="shared" ref="M215:M223" si="52">J215+L215</f>
        <v>54716.89</v>
      </c>
    </row>
    <row r="216" spans="3:13" s="56" customFormat="1" ht="34.5" customHeight="1" x14ac:dyDescent="0.25">
      <c r="C216" s="127" t="s">
        <v>134</v>
      </c>
      <c r="D216" s="125">
        <f t="shared" si="50"/>
        <v>3000</v>
      </c>
      <c r="E216" s="126">
        <f t="shared" si="50"/>
        <v>0</v>
      </c>
      <c r="F216" s="126">
        <f t="shared" si="50"/>
        <v>41000</v>
      </c>
      <c r="G216" s="282">
        <f t="shared" si="50"/>
        <v>100336.99</v>
      </c>
      <c r="H216" s="99">
        <f t="shared" si="51"/>
        <v>44000</v>
      </c>
      <c r="I216" s="372"/>
      <c r="J216" s="152">
        <f t="shared" ref="J216:J221" si="53">J24+J35+J46+J57+J69+J80+J91+J102+J114+J125+J136+J147+J159+J170+J181+J192+J203</f>
        <v>0</v>
      </c>
      <c r="K216" s="152">
        <f t="shared" ref="K216:K221" si="54">K24+K35+K46+K57+K69+K80+K91+K91+K102+K114+K125+K136+K147+K159+K159+K170+K170+K181+K192+K203</f>
        <v>0</v>
      </c>
      <c r="L216" s="222">
        <f>SUM(L192,L181,L170,L159,L147,L136,L125,L114,L102,L91,L80,L69,L57,L46,L35,L24,L203)</f>
        <v>51890.340000000004</v>
      </c>
      <c r="M216" s="78">
        <f t="shared" si="52"/>
        <v>51890.340000000004</v>
      </c>
    </row>
    <row r="217" spans="3:13" s="56" customFormat="1" ht="48" customHeight="1" x14ac:dyDescent="0.25">
      <c r="C217" s="127" t="s">
        <v>135</v>
      </c>
      <c r="D217" s="125">
        <f t="shared" si="50"/>
        <v>13000</v>
      </c>
      <c r="E217" s="126">
        <f t="shared" si="50"/>
        <v>51000</v>
      </c>
      <c r="F217" s="126">
        <f t="shared" si="50"/>
        <v>20000</v>
      </c>
      <c r="G217" s="282">
        <f t="shared" si="50"/>
        <v>125585.46</v>
      </c>
      <c r="H217" s="99">
        <f t="shared" si="51"/>
        <v>84000</v>
      </c>
      <c r="I217" s="372"/>
      <c r="J217" s="152">
        <f t="shared" si="53"/>
        <v>0</v>
      </c>
      <c r="K217" s="152">
        <f t="shared" si="54"/>
        <v>0</v>
      </c>
      <c r="L217" s="222">
        <f>SUM(L193,L182,L171,L160,L148,L137,L126,L115,L103,L92,L81,L70,L58,L47,L36,L25,L204)</f>
        <v>91194.359999999986</v>
      </c>
      <c r="M217" s="78">
        <f t="shared" si="52"/>
        <v>91194.359999999986</v>
      </c>
    </row>
    <row r="218" spans="3:13" s="56" customFormat="1" ht="33" customHeight="1" x14ac:dyDescent="0.25">
      <c r="C218" s="128" t="s">
        <v>136</v>
      </c>
      <c r="D218" s="125">
        <f t="shared" si="50"/>
        <v>395368</v>
      </c>
      <c r="E218" s="126">
        <f t="shared" si="50"/>
        <v>24000</v>
      </c>
      <c r="F218" s="126">
        <f t="shared" si="50"/>
        <v>184667</v>
      </c>
      <c r="G218" s="282">
        <f t="shared" si="50"/>
        <v>118554.85999999999</v>
      </c>
      <c r="H218" s="99">
        <f t="shared" si="51"/>
        <v>604035</v>
      </c>
      <c r="I218" s="372"/>
      <c r="J218" s="152">
        <f t="shared" si="53"/>
        <v>327824.5</v>
      </c>
      <c r="K218" s="152">
        <f t="shared" si="54"/>
        <v>0</v>
      </c>
      <c r="L218" s="222">
        <f>SUM(L194,L183,L172,L161,L149,L138,L127,L116,L104,L93,L82,L71,L59,L48,L37,L26,L205)</f>
        <v>52773.36</v>
      </c>
      <c r="M218" s="78">
        <f t="shared" si="52"/>
        <v>380597.86</v>
      </c>
    </row>
    <row r="219" spans="3:13" s="56" customFormat="1" ht="28.5" customHeight="1" x14ac:dyDescent="0.25">
      <c r="C219" s="127" t="s">
        <v>137</v>
      </c>
      <c r="D219" s="125">
        <f t="shared" si="50"/>
        <v>10000</v>
      </c>
      <c r="E219" s="126">
        <f t="shared" si="50"/>
        <v>20000</v>
      </c>
      <c r="F219" s="126">
        <f t="shared" si="50"/>
        <v>130000</v>
      </c>
      <c r="G219" s="282">
        <f t="shared" si="50"/>
        <v>0</v>
      </c>
      <c r="H219" s="99">
        <f t="shared" si="51"/>
        <v>160000</v>
      </c>
      <c r="I219" s="372"/>
      <c r="J219" s="152">
        <f t="shared" si="53"/>
        <v>13524.149999999998</v>
      </c>
      <c r="K219" s="152">
        <f t="shared" si="54"/>
        <v>53103.07</v>
      </c>
      <c r="L219" s="222"/>
      <c r="M219" s="78">
        <f t="shared" si="52"/>
        <v>13524.149999999998</v>
      </c>
    </row>
    <row r="220" spans="3:13" s="56" customFormat="1" ht="39.75" customHeight="1" x14ac:dyDescent="0.25">
      <c r="C220" s="127" t="s">
        <v>138</v>
      </c>
      <c r="D220" s="125">
        <f t="shared" si="50"/>
        <v>10000</v>
      </c>
      <c r="E220" s="126">
        <f t="shared" si="50"/>
        <v>255000</v>
      </c>
      <c r="F220" s="126">
        <f t="shared" si="50"/>
        <v>0</v>
      </c>
      <c r="G220" s="282">
        <f t="shared" si="50"/>
        <v>66505.38</v>
      </c>
      <c r="H220" s="99">
        <f t="shared" si="51"/>
        <v>265000</v>
      </c>
      <c r="I220" s="372"/>
      <c r="J220" s="152">
        <f t="shared" si="53"/>
        <v>0</v>
      </c>
      <c r="K220" s="152">
        <f t="shared" si="54"/>
        <v>210216.16000000003</v>
      </c>
      <c r="L220" s="222">
        <f>SUM(L196,L185,L174,L163,L151,L140,L129,L118,L106,L95,L84,L73,L61,L50,L39,L28,L207)</f>
        <v>32269.1</v>
      </c>
      <c r="M220" s="78">
        <f t="shared" si="52"/>
        <v>32269.1</v>
      </c>
    </row>
    <row r="221" spans="3:13" s="56" customFormat="1" ht="39.75" customHeight="1" x14ac:dyDescent="0.25">
      <c r="C221" s="127" t="s">
        <v>139</v>
      </c>
      <c r="D221" s="125">
        <f t="shared" si="50"/>
        <v>39616</v>
      </c>
      <c r="E221" s="126">
        <f t="shared" si="50"/>
        <v>19500</v>
      </c>
      <c r="F221" s="126">
        <f t="shared" si="50"/>
        <v>40033</v>
      </c>
      <c r="G221" s="282">
        <f t="shared" si="50"/>
        <v>237175.49999999997</v>
      </c>
      <c r="H221" s="99">
        <f t="shared" si="51"/>
        <v>99149</v>
      </c>
      <c r="I221" s="372"/>
      <c r="J221" s="152">
        <f t="shared" si="53"/>
        <v>22801.39</v>
      </c>
      <c r="K221" s="152">
        <f t="shared" si="54"/>
        <v>45783.45</v>
      </c>
      <c r="L221" s="222">
        <f>SUM(L197,L186,L175,L164,L152,L141,L130,L119,L107,L96,L85,L74,L62,L51,L40,L29,L208)</f>
        <v>205711.03999999998</v>
      </c>
      <c r="M221" s="78">
        <f t="shared" si="52"/>
        <v>228512.43</v>
      </c>
    </row>
    <row r="222" spans="3:13" s="56" customFormat="1" ht="30.75" customHeight="1" thickBot="1" x14ac:dyDescent="0.3">
      <c r="C222" s="129" t="s">
        <v>107</v>
      </c>
      <c r="D222" s="130">
        <f>SUM(D215:D221)</f>
        <v>532800</v>
      </c>
      <c r="E222" s="131">
        <f>SUM(E215:E221)</f>
        <v>434500</v>
      </c>
      <c r="F222" s="131">
        <f>SUM(F215:F221)</f>
        <v>434500</v>
      </c>
      <c r="G222" s="283">
        <f>SUM(G215:G221)</f>
        <v>648158.18999999994</v>
      </c>
      <c r="H222" s="132">
        <f t="shared" si="51"/>
        <v>1401800</v>
      </c>
      <c r="I222" s="372"/>
      <c r="J222" s="89">
        <f>SUM(J215:J221)</f>
        <v>418866.93000000005</v>
      </c>
      <c r="K222" s="174">
        <f>SUM(K215:K221)</f>
        <v>372993.96</v>
      </c>
      <c r="L222" s="90">
        <f>SUM(L215:L221)</f>
        <v>433838.19999999995</v>
      </c>
      <c r="M222" s="91">
        <f>J222+L222+K222</f>
        <v>1225699.0900000001</v>
      </c>
    </row>
    <row r="223" spans="3:13" s="56" customFormat="1" ht="30.75" customHeight="1" thickBot="1" x14ac:dyDescent="0.3">
      <c r="C223" s="129" t="s">
        <v>108</v>
      </c>
      <c r="D223" s="133">
        <f>D222*0.07</f>
        <v>37296</v>
      </c>
      <c r="E223" s="134">
        <f t="shared" ref="E223:H223" si="55">E222*0.07</f>
        <v>30415.000000000004</v>
      </c>
      <c r="F223" s="134">
        <f t="shared" si="55"/>
        <v>30415.000000000004</v>
      </c>
      <c r="G223" s="284">
        <f>G222*0.07</f>
        <v>45371.073300000004</v>
      </c>
      <c r="H223" s="135">
        <f t="shared" si="55"/>
        <v>98126.000000000015</v>
      </c>
      <c r="I223" s="372"/>
      <c r="J223" s="153">
        <f>J222*0.07</f>
        <v>29320.685100000006</v>
      </c>
      <c r="K223" s="175">
        <v>25361.98</v>
      </c>
      <c r="L223" s="153">
        <f>L222*0.07</f>
        <v>30368.673999999999</v>
      </c>
      <c r="M223" s="153">
        <f t="shared" si="52"/>
        <v>59689.359100000001</v>
      </c>
    </row>
    <row r="224" spans="3:13" s="56" customFormat="1" ht="23.25" customHeight="1" thickBot="1" x14ac:dyDescent="0.3">
      <c r="C224" s="136" t="s">
        <v>106</v>
      </c>
      <c r="D224" s="137">
        <f>SUM(D222:D223)</f>
        <v>570096</v>
      </c>
      <c r="E224" s="138">
        <f t="shared" ref="E224:H224" si="56">SUM(E222:E223)</f>
        <v>464915</v>
      </c>
      <c r="F224" s="138">
        <f t="shared" si="56"/>
        <v>464915</v>
      </c>
      <c r="G224" s="285">
        <f>SUM(G222:G223)</f>
        <v>693529.26329999999</v>
      </c>
      <c r="H224" s="139">
        <f t="shared" si="56"/>
        <v>1499926</v>
      </c>
      <c r="I224" s="372"/>
      <c r="J224" s="154">
        <f>SUM(J222:J223)</f>
        <v>448187.61510000005</v>
      </c>
      <c r="K224" s="140">
        <f t="shared" ref="K224" si="57">SUM(K222:K223)</f>
        <v>398355.94</v>
      </c>
      <c r="L224" s="154">
        <f t="shared" ref="L224:M224" si="58">SUM(L222:L223)</f>
        <v>464206.87399999995</v>
      </c>
      <c r="M224" s="154">
        <f t="shared" si="58"/>
        <v>1285388.4491000001</v>
      </c>
    </row>
    <row r="226" spans="7:13" x14ac:dyDescent="0.25">
      <c r="L226" s="146"/>
      <c r="M226" s="396">
        <f>+M224/H224</f>
        <v>0.85696790981688431</v>
      </c>
    </row>
    <row r="227" spans="7:13" x14ac:dyDescent="0.25">
      <c r="G227" s="286"/>
    </row>
    <row r="230" spans="7:13" x14ac:dyDescent="0.25">
      <c r="L230" s="397">
        <f>+M222/H224</f>
        <v>0.81717304053666651</v>
      </c>
    </row>
  </sheetData>
  <mergeCells count="62">
    <mergeCell ref="C188:I188"/>
    <mergeCell ref="I189:I198"/>
    <mergeCell ref="C199:I199"/>
    <mergeCell ref="I200:I209"/>
    <mergeCell ref="C212:H212"/>
    <mergeCell ref="I212:I224"/>
    <mergeCell ref="H213:H214"/>
    <mergeCell ref="I178:I187"/>
    <mergeCell ref="I122:I131"/>
    <mergeCell ref="C132:I132"/>
    <mergeCell ref="I133:I142"/>
    <mergeCell ref="C143:I143"/>
    <mergeCell ref="I144:I153"/>
    <mergeCell ref="C154:I154"/>
    <mergeCell ref="B155:H155"/>
    <mergeCell ref="I155:I165"/>
    <mergeCell ref="C166:I166"/>
    <mergeCell ref="I167:I176"/>
    <mergeCell ref="C177:I177"/>
    <mergeCell ref="C121:I121"/>
    <mergeCell ref="B65:H65"/>
    <mergeCell ref="I65:I75"/>
    <mergeCell ref="C76:I76"/>
    <mergeCell ref="I77:I86"/>
    <mergeCell ref="C87:I87"/>
    <mergeCell ref="I88:I97"/>
    <mergeCell ref="C98:I98"/>
    <mergeCell ref="I99:I108"/>
    <mergeCell ref="C109:I109"/>
    <mergeCell ref="B110:H110"/>
    <mergeCell ref="I110:I120"/>
    <mergeCell ref="C64:I64"/>
    <mergeCell ref="C21:H21"/>
    <mergeCell ref="C31:I31"/>
    <mergeCell ref="I32:I41"/>
    <mergeCell ref="D42:I42"/>
    <mergeCell ref="I43:I52"/>
    <mergeCell ref="C53:I53"/>
    <mergeCell ref="I54:I63"/>
    <mergeCell ref="C10:H10"/>
    <mergeCell ref="C11:H13"/>
    <mergeCell ref="C15:F15"/>
    <mergeCell ref="D17:H17"/>
    <mergeCell ref="I17:I30"/>
    <mergeCell ref="B20:H20"/>
    <mergeCell ref="H18:H19"/>
    <mergeCell ref="C1:F1"/>
    <mergeCell ref="D3:I3"/>
    <mergeCell ref="D4:I4"/>
    <mergeCell ref="D5:I5"/>
    <mergeCell ref="C6:C7"/>
    <mergeCell ref="D6:I7"/>
    <mergeCell ref="M213:M214"/>
    <mergeCell ref="J212:M212"/>
    <mergeCell ref="J17:M17"/>
    <mergeCell ref="J18:J19"/>
    <mergeCell ref="L18:L19"/>
    <mergeCell ref="M18:M21"/>
    <mergeCell ref="J20:J21"/>
    <mergeCell ref="L20:L21"/>
    <mergeCell ref="K18:K19"/>
    <mergeCell ref="K20:K21"/>
  </mergeCells>
  <conditionalFormatting sqref="H52">
    <cfRule type="cellIs" dxfId="9" priority="10" operator="notEqual">
      <formula>$H$44</formula>
    </cfRule>
  </conditionalFormatting>
  <conditionalFormatting sqref="H63">
    <cfRule type="cellIs" dxfId="8" priority="9" operator="notEqual">
      <formula>$H$55</formula>
    </cfRule>
  </conditionalFormatting>
  <conditionalFormatting sqref="H97">
    <cfRule type="cellIs" dxfId="7" priority="8" operator="notEqual">
      <formula>$H$89</formula>
    </cfRule>
  </conditionalFormatting>
  <conditionalFormatting sqref="H108">
    <cfRule type="cellIs" dxfId="6" priority="7" operator="notEqual">
      <formula>$H$100</formula>
    </cfRule>
  </conditionalFormatting>
  <conditionalFormatting sqref="H153">
    <cfRule type="cellIs" dxfId="5" priority="6" operator="notEqual">
      <formula>$H$145</formula>
    </cfRule>
  </conditionalFormatting>
  <conditionalFormatting sqref="H165">
    <cfRule type="cellIs" dxfId="4" priority="5" operator="notEqual">
      <formula>$H$157</formula>
    </cfRule>
  </conditionalFormatting>
  <conditionalFormatting sqref="H176">
    <cfRule type="cellIs" dxfId="3" priority="4" operator="notEqual">
      <formula>$H$168</formula>
    </cfRule>
  </conditionalFormatting>
  <conditionalFormatting sqref="H187">
    <cfRule type="cellIs" dxfId="2" priority="3" operator="notEqual">
      <formula>$H$168</formula>
    </cfRule>
  </conditionalFormatting>
  <conditionalFormatting sqref="H198">
    <cfRule type="cellIs" dxfId="1" priority="2" operator="notEqual">
      <formula>$H$190</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97 C29 C40 C51 C62 C74 C85 C96 C107 C119 C130 C141 C152 C164 C175 C186 C208 C22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6 C28 C39 C50 C61 C73 C84 C95 C106 C118 C129 C140 C151 C163 C174 C185 C207 C220"/>
    <dataValidation allowBlank="1" showInputMessage="1" showErrorMessage="1" prompt="Services contracted by an organization which follow the normal procurement processes." sqref="C194 C26 C37 C48 C59 C71 C82 C93 C104 C116 C127 C138 C149 C161 C172 C183 C205 C218"/>
    <dataValidation allowBlank="1" showInputMessage="1" showErrorMessage="1" prompt="Includes staff and non-staff travel paid for by the organization directly related to a project." sqref="C195 C27 C38 C49 C60 C72 C83 C94 C105 C117 C128 C139 C150 C162 C173 C184 C206 C21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3 C25 C36 C47 C58 C70 C81 C92 C103 C115 C126 C137 C148 C160 C171 C182 C204 C21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2 C24 C35 C46 C57 C69 C80 C91 C102 C114 C125 C136 C147 C159 C170 C181 C203 C216"/>
    <dataValidation allowBlank="1" showInputMessage="1" showErrorMessage="1" prompt="Includes all related staff and temporary staff costs including base salary, post adjustment and all staff entitlements." sqref="C191 C23 C34 C45 C56 C68 C79 C90 C101 C113 C124 C135 C146 C158 C169 C180 C202 C215"/>
    <dataValidation allowBlank="1" showInputMessage="1" showErrorMessage="1" prompt="Output totals must match the original total from Table 1, and will show as red if not. " sqref="H30"/>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52C41F48-1E18-4A14-A746-8691E85C05F9}">
            <xm:f>'G:\Users\ICT_PROVIDER\Documents\00. Hanitriniony RASON\00. PBF 2020\00. PRODOC\06. Guildelines &amp; templates PBSO\01. Templates PBSO\[Copy of 3. PBF Project Document Template 2019- Annex D- Project Budget (FRENCH).xlsx]1) Tableau budgétaire 1'!#REF!</xm:f>
            <x14:dxf>
              <font>
                <color rgb="FF9C0006"/>
              </font>
              <fill>
                <patternFill>
                  <bgColor rgb="FFFFC7CE"/>
                </patternFill>
              </fill>
            </x14:dxf>
          </x14:cfRule>
          <xm:sqref>H224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ANNEXE D</vt:lpstr>
      <vt:lpstr>Tableau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2022-06-24T13:51:01Z</dcterms:modified>
</cp:coreProperties>
</file>