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undp-my.sharepoint.com/personal/kissima_sylla_undp_org/Documents/Desktop/RAPPORTAGE NOV 21/Versions Finales/IRF 353/"/>
    </mc:Choice>
  </mc:AlternateContent>
  <xr:revisionPtr revIDLastSave="0" documentId="8_{C4F60D86-7173-4822-8364-21F3D3F025E4}" xr6:coauthVersionLast="46" xr6:coauthVersionMax="46" xr10:uidLastSave="{00000000-0000-0000-0000-000000000000}"/>
  <bookViews>
    <workbookView xWindow="-110" yWindow="-110" windowWidth="19420" windowHeight="10420" tabRatio="870" firstSheet="3" activeTab="3" xr2:uid="{00000000-000D-0000-FFFF-FFFF00000000}"/>
  </bookViews>
  <sheets>
    <sheet name="Niger FAO Format" sheetId="9" state="hidden" r:id="rId1"/>
    <sheet name="Mali FAO Format" sheetId="10" state="hidden" r:id="rId2"/>
    <sheet name="BKF FAO Format" sheetId="11" state="hidden" r:id="rId3"/>
    <sheet name="1) Tableau budgétaire 1" sheetId="1" r:id="rId4"/>
    <sheet name="2) Tableau budgétaire 2" sheetId="5" r:id="rId5"/>
    <sheet name="3) Notes d'explication" sheetId="3" r:id="rId6"/>
    <sheet name="4) Pour utilisation par PBSO" sheetId="6" r:id="rId7"/>
    <sheet name="5) Pour utilisation par MPTFO" sheetId="4" r:id="rId8"/>
    <sheet name="Dropdowns" sheetId="8" state="hidden" r:id="rId9"/>
    <sheet name="Sheet2" sheetId="7" state="hidden"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8" i="1" l="1"/>
  <c r="P185" i="1"/>
  <c r="P184" i="1"/>
  <c r="P107" i="1"/>
  <c r="R184" i="1" l="1"/>
  <c r="U184" i="1" s="1"/>
  <c r="R185" i="1"/>
  <c r="U185" i="1" s="1"/>
  <c r="R186" i="1"/>
  <c r="U186" i="1" s="1"/>
  <c r="R183" i="1"/>
  <c r="U183" i="1" s="1"/>
  <c r="R153" i="1"/>
  <c r="R154" i="1"/>
  <c r="R155" i="1"/>
  <c r="R156" i="1"/>
  <c r="R157" i="1"/>
  <c r="R158" i="1"/>
  <c r="R159" i="1"/>
  <c r="R152" i="1"/>
  <c r="R143" i="1"/>
  <c r="R144" i="1"/>
  <c r="R145" i="1"/>
  <c r="R146" i="1"/>
  <c r="R147" i="1"/>
  <c r="R148" i="1"/>
  <c r="R149" i="1"/>
  <c r="R142" i="1"/>
  <c r="R131" i="1"/>
  <c r="U131" i="1" s="1"/>
  <c r="R132" i="1"/>
  <c r="U132" i="1" s="1"/>
  <c r="R133" i="1"/>
  <c r="R134" i="1"/>
  <c r="R135" i="1"/>
  <c r="R136" i="1"/>
  <c r="R137" i="1"/>
  <c r="R130" i="1"/>
  <c r="U130" i="1" s="1"/>
  <c r="R120" i="1"/>
  <c r="R128" i="1" s="1"/>
  <c r="R117" i="1"/>
  <c r="R111" i="1"/>
  <c r="U111" i="1" s="1"/>
  <c r="R112" i="1"/>
  <c r="U112" i="1" s="1"/>
  <c r="R113" i="1"/>
  <c r="U113" i="1" s="1"/>
  <c r="R114" i="1"/>
  <c r="U114" i="1" s="1"/>
  <c r="R115" i="1"/>
  <c r="U115" i="1" s="1"/>
  <c r="R116" i="1"/>
  <c r="U116" i="1" s="1"/>
  <c r="R110" i="1"/>
  <c r="R101" i="1"/>
  <c r="R102" i="1"/>
  <c r="R103" i="1"/>
  <c r="R104" i="1"/>
  <c r="R105" i="1"/>
  <c r="R106" i="1"/>
  <c r="R107" i="1"/>
  <c r="R100" i="1"/>
  <c r="R89" i="1"/>
  <c r="R90" i="1"/>
  <c r="R91" i="1"/>
  <c r="R92" i="1"/>
  <c r="R93" i="1"/>
  <c r="R94" i="1"/>
  <c r="R95" i="1"/>
  <c r="R88" i="1"/>
  <c r="R79" i="1"/>
  <c r="R80" i="1"/>
  <c r="R81" i="1"/>
  <c r="R82" i="1"/>
  <c r="R83" i="1"/>
  <c r="R84" i="1"/>
  <c r="R85" i="1"/>
  <c r="R78" i="1"/>
  <c r="R69" i="1"/>
  <c r="U69" i="1" s="1"/>
  <c r="R70" i="1"/>
  <c r="U70" i="1" s="1"/>
  <c r="R71" i="1"/>
  <c r="R72" i="1"/>
  <c r="R73" i="1"/>
  <c r="R74" i="1"/>
  <c r="R75" i="1"/>
  <c r="R68" i="1"/>
  <c r="U68" i="1" s="1"/>
  <c r="R65" i="1"/>
  <c r="R64" i="1"/>
  <c r="R59" i="1"/>
  <c r="U59" i="1" s="1"/>
  <c r="R60" i="1"/>
  <c r="U60" i="1" s="1"/>
  <c r="R61" i="1"/>
  <c r="U61" i="1" s="1"/>
  <c r="R62" i="1"/>
  <c r="U62" i="1" s="1"/>
  <c r="R63" i="1"/>
  <c r="U63" i="1" s="1"/>
  <c r="R58" i="1"/>
  <c r="U58" i="1" s="1"/>
  <c r="R47" i="1"/>
  <c r="R48" i="1"/>
  <c r="R49" i="1"/>
  <c r="R50" i="1"/>
  <c r="R51" i="1"/>
  <c r="R52" i="1"/>
  <c r="R53" i="1"/>
  <c r="R46" i="1"/>
  <c r="R37" i="1"/>
  <c r="R38" i="1"/>
  <c r="R39" i="1"/>
  <c r="R40" i="1"/>
  <c r="R41" i="1"/>
  <c r="R42" i="1"/>
  <c r="R43" i="1"/>
  <c r="R36" i="1"/>
  <c r="R27" i="1"/>
  <c r="U27" i="1" s="1"/>
  <c r="R28" i="1"/>
  <c r="U28" i="1" s="1"/>
  <c r="R29" i="1"/>
  <c r="R30" i="1"/>
  <c r="R31" i="1"/>
  <c r="R32" i="1"/>
  <c r="R33" i="1"/>
  <c r="R26" i="1"/>
  <c r="U26" i="1" s="1"/>
  <c r="R17" i="1"/>
  <c r="U17" i="1" s="1"/>
  <c r="R18" i="1"/>
  <c r="U18" i="1" s="1"/>
  <c r="R19" i="1"/>
  <c r="U19" i="1" s="1"/>
  <c r="R20" i="1"/>
  <c r="R16" i="1"/>
  <c r="U16" i="1" s="1"/>
  <c r="N197" i="1"/>
  <c r="M197" i="1"/>
  <c r="L197" i="1"/>
  <c r="N187" i="1"/>
  <c r="M187" i="1"/>
  <c r="L187" i="1"/>
  <c r="N138" i="1"/>
  <c r="M138" i="1"/>
  <c r="L138" i="1"/>
  <c r="N118" i="1"/>
  <c r="M118" i="1"/>
  <c r="L118" i="1"/>
  <c r="N108" i="1"/>
  <c r="M108" i="1"/>
  <c r="L108" i="1"/>
  <c r="N96" i="1"/>
  <c r="M96" i="1"/>
  <c r="L96" i="1"/>
  <c r="N86" i="1"/>
  <c r="M86" i="1"/>
  <c r="L86" i="1"/>
  <c r="N76" i="1"/>
  <c r="M76" i="1"/>
  <c r="L76" i="1"/>
  <c r="N66" i="1"/>
  <c r="M66" i="1"/>
  <c r="L66" i="1"/>
  <c r="N54" i="1"/>
  <c r="M54" i="1"/>
  <c r="L54" i="1"/>
  <c r="N44" i="1"/>
  <c r="M44" i="1"/>
  <c r="L44" i="1"/>
  <c r="N34" i="1"/>
  <c r="M34" i="1"/>
  <c r="L34" i="1"/>
  <c r="N24" i="1"/>
  <c r="M24" i="1"/>
  <c r="L24" i="1"/>
  <c r="R160" i="1" l="1"/>
  <c r="R150" i="1"/>
  <c r="L198" i="1"/>
  <c r="L199" i="1" s="1"/>
  <c r="L200" i="1" s="1"/>
  <c r="R108" i="1"/>
  <c r="U100" i="1"/>
  <c r="R138" i="1"/>
  <c r="R118" i="1"/>
  <c r="U110" i="1"/>
  <c r="N198" i="1"/>
  <c r="N199" i="1" s="1"/>
  <c r="M198" i="1"/>
  <c r="M199" i="1" s="1"/>
  <c r="M200" i="1" s="1"/>
  <c r="Q187" i="1"/>
  <c r="Q180" i="1"/>
  <c r="Q170" i="1"/>
  <c r="Q160" i="1"/>
  <c r="Q150" i="1"/>
  <c r="Q138" i="1"/>
  <c r="Q128" i="1"/>
  <c r="Q118" i="1"/>
  <c r="Q96" i="1"/>
  <c r="Q86" i="1"/>
  <c r="Q76" i="1"/>
  <c r="Q66" i="1"/>
  <c r="Q54" i="1"/>
  <c r="Q44" i="1"/>
  <c r="Q34" i="1"/>
  <c r="Q24" i="1"/>
  <c r="Q198" i="1" l="1"/>
  <c r="Q200" i="1" s="1"/>
  <c r="N200" i="1"/>
  <c r="O180" i="1"/>
  <c r="P180" i="1"/>
  <c r="O170" i="1"/>
  <c r="P170" i="1"/>
  <c r="O160" i="1"/>
  <c r="P160" i="1"/>
  <c r="O150" i="1"/>
  <c r="P150" i="1"/>
  <c r="O138" i="1"/>
  <c r="P138" i="1"/>
  <c r="O128" i="1"/>
  <c r="P128" i="1"/>
  <c r="O118" i="1"/>
  <c r="P118" i="1"/>
  <c r="O108" i="1"/>
  <c r="P108" i="1"/>
  <c r="O96" i="1"/>
  <c r="P96" i="1"/>
  <c r="O86" i="1"/>
  <c r="P86" i="1"/>
  <c r="O76" i="1"/>
  <c r="P76" i="1"/>
  <c r="O66" i="1"/>
  <c r="P66" i="1"/>
  <c r="O54" i="1"/>
  <c r="P54" i="1"/>
  <c r="O44" i="1"/>
  <c r="P44" i="1"/>
  <c r="O34" i="1"/>
  <c r="P34" i="1"/>
  <c r="O24" i="1"/>
  <c r="P24" i="1"/>
  <c r="O187" i="1"/>
  <c r="P187" i="1"/>
  <c r="P198" i="1" l="1"/>
  <c r="P200" i="1" s="1"/>
  <c r="P213" i="1" s="1"/>
  <c r="O198" i="1"/>
  <c r="O199" i="1" l="1"/>
  <c r="R199" i="1" s="1"/>
  <c r="R198" i="1"/>
  <c r="O200" i="1" l="1"/>
  <c r="R200" i="1" s="1"/>
  <c r="R201" i="1" s="1"/>
  <c r="R187" i="1"/>
  <c r="R96" i="1"/>
  <c r="R86" i="1"/>
  <c r="R21" i="1"/>
  <c r="R22" i="1"/>
  <c r="R23" i="1"/>
  <c r="R66" i="1" l="1"/>
  <c r="R76" i="1"/>
  <c r="R54" i="1"/>
  <c r="R44" i="1"/>
  <c r="R34" i="1"/>
  <c r="R24" i="1"/>
  <c r="K209" i="1"/>
  <c r="I146" i="5" l="1"/>
  <c r="I123" i="5" l="1"/>
  <c r="I119" i="5"/>
  <c r="I209" i="5" s="1"/>
  <c r="G184" i="1" l="1"/>
  <c r="G186" i="1" l="1"/>
  <c r="G185" i="1"/>
  <c r="G183" i="1"/>
  <c r="G146" i="5"/>
  <c r="G187" i="1" l="1"/>
  <c r="G118" i="1"/>
  <c r="G138" i="1"/>
  <c r="G130" i="5"/>
  <c r="G119" i="5" l="1"/>
  <c r="G123" i="5"/>
  <c r="G108" i="1" l="1"/>
  <c r="G117" i="5"/>
  <c r="G110" i="5"/>
  <c r="G112" i="5" l="1"/>
  <c r="G114" i="5" s="1"/>
  <c r="J116" i="1" l="1"/>
  <c r="J115" i="1"/>
  <c r="J114" i="1"/>
  <c r="J113" i="1"/>
  <c r="F187" i="1" l="1"/>
  <c r="I135" i="5" l="1"/>
  <c r="H80" i="11" l="1"/>
  <c r="G147" i="5" l="1"/>
  <c r="G211" i="5"/>
  <c r="H119" i="5"/>
  <c r="H110" i="5"/>
  <c r="H78" i="5"/>
  <c r="H67" i="5"/>
  <c r="H33" i="5"/>
  <c r="H22" i="5"/>
  <c r="G202" i="5"/>
  <c r="G214" i="5" s="1"/>
  <c r="H202" i="5"/>
  <c r="G200" i="5"/>
  <c r="G212" i="5" s="1"/>
  <c r="G196" i="5"/>
  <c r="G208" i="5" s="1"/>
  <c r="H200" i="5"/>
  <c r="H196" i="5"/>
  <c r="I112" i="5"/>
  <c r="I213" i="5" s="1"/>
  <c r="I110" i="5"/>
  <c r="J111" i="1"/>
  <c r="J112" i="1"/>
  <c r="J117" i="1"/>
  <c r="J110" i="1"/>
  <c r="J106" i="1"/>
  <c r="D90" i="11"/>
  <c r="G90" i="11" s="1"/>
  <c r="G89" i="11" s="1"/>
  <c r="H89" i="11"/>
  <c r="E88" i="11"/>
  <c r="G88" i="11" s="1"/>
  <c r="G86" i="11"/>
  <c r="G85" i="11"/>
  <c r="H84" i="11"/>
  <c r="G83" i="11"/>
  <c r="G82" i="11"/>
  <c r="G81" i="11"/>
  <c r="G79" i="11"/>
  <c r="G78" i="11"/>
  <c r="G77" i="11"/>
  <c r="G76" i="11"/>
  <c r="G75" i="11"/>
  <c r="G74" i="11"/>
  <c r="G73" i="11"/>
  <c r="H72" i="11"/>
  <c r="G71" i="11"/>
  <c r="G70" i="11"/>
  <c r="E69" i="11"/>
  <c r="G69" i="11" s="1"/>
  <c r="H68" i="11"/>
  <c r="G68" i="11"/>
  <c r="H67" i="11"/>
  <c r="G67" i="11"/>
  <c r="H66" i="11"/>
  <c r="G66" i="11"/>
  <c r="H64" i="11"/>
  <c r="H62" i="11" s="1"/>
  <c r="G64" i="11"/>
  <c r="G62" i="11" s="1"/>
  <c r="G60" i="11"/>
  <c r="G59" i="11"/>
  <c r="G58" i="11"/>
  <c r="G57" i="11"/>
  <c r="G56" i="11"/>
  <c r="G55" i="11"/>
  <c r="G54" i="11"/>
  <c r="H52" i="11"/>
  <c r="G49" i="11"/>
  <c r="G48" i="11"/>
  <c r="E47" i="11"/>
  <c r="G47" i="11" s="1"/>
  <c r="G46" i="11"/>
  <c r="G45" i="11"/>
  <c r="H44" i="11"/>
  <c r="E43" i="11"/>
  <c r="D87" i="11" s="1"/>
  <c r="G87" i="11" s="1"/>
  <c r="G42" i="11"/>
  <c r="G41" i="11"/>
  <c r="G40" i="11"/>
  <c r="G39" i="11"/>
  <c r="F38" i="11"/>
  <c r="G38" i="11" s="1"/>
  <c r="H37" i="11"/>
  <c r="F37" i="11"/>
  <c r="G37" i="11" s="1"/>
  <c r="F36" i="11"/>
  <c r="G36" i="11" s="1"/>
  <c r="H35" i="11"/>
  <c r="F35" i="11"/>
  <c r="G35" i="11" s="1"/>
  <c r="G34" i="11"/>
  <c r="H33" i="11"/>
  <c r="G33" i="11"/>
  <c r="H32" i="11"/>
  <c r="G32" i="11"/>
  <c r="G31" i="11"/>
  <c r="G30" i="11"/>
  <c r="G29" i="11"/>
  <c r="G28" i="11"/>
  <c r="G27" i="11"/>
  <c r="H26" i="11"/>
  <c r="G26" i="11"/>
  <c r="G25" i="11"/>
  <c r="G24" i="11"/>
  <c r="G23" i="11"/>
  <c r="G22" i="11"/>
  <c r="G21" i="11"/>
  <c r="H20" i="11"/>
  <c r="G20" i="11"/>
  <c r="H19" i="11"/>
  <c r="G19" i="11"/>
  <c r="G14" i="11"/>
  <c r="G13" i="11"/>
  <c r="G49" i="10"/>
  <c r="G45" i="10"/>
  <c r="G44" i="10"/>
  <c r="G43" i="10"/>
  <c r="G41" i="10"/>
  <c r="D39" i="10"/>
  <c r="G39" i="10" s="1"/>
  <c r="G38" i="10"/>
  <c r="G37" i="10"/>
  <c r="G36" i="10"/>
  <c r="G35" i="10"/>
  <c r="G33" i="10"/>
  <c r="G32" i="10"/>
  <c r="D30" i="10"/>
  <c r="G30" i="10" s="1"/>
  <c r="G29" i="10"/>
  <c r="G28" i="10"/>
  <c r="G26" i="10"/>
  <c r="G24" i="10" s="1"/>
  <c r="D23" i="10"/>
  <c r="G23" i="10" s="1"/>
  <c r="G22" i="10"/>
  <c r="G21" i="10"/>
  <c r="G20" i="10"/>
  <c r="E18" i="10"/>
  <c r="G18" i="10" s="1"/>
  <c r="E17" i="10"/>
  <c r="G17" i="10" s="1"/>
  <c r="G16" i="10"/>
  <c r="G15" i="10"/>
  <c r="G14" i="10"/>
  <c r="G13" i="10"/>
  <c r="G12" i="10"/>
  <c r="E10" i="10"/>
  <c r="G9" i="10"/>
  <c r="I73" i="9"/>
  <c r="I72" i="9"/>
  <c r="I71" i="9"/>
  <c r="I70" i="9"/>
  <c r="I69" i="9"/>
  <c r="I68" i="9"/>
  <c r="I67" i="9"/>
  <c r="I64" i="9"/>
  <c r="H63" i="9"/>
  <c r="I63" i="9" s="1"/>
  <c r="I186" i="1" s="1"/>
  <c r="I62" i="9"/>
  <c r="I61" i="9"/>
  <c r="I58" i="9"/>
  <c r="I59" i="9" s="1"/>
  <c r="I55" i="9"/>
  <c r="I54" i="9"/>
  <c r="H53" i="9"/>
  <c r="I53" i="9" s="1"/>
  <c r="H52" i="9"/>
  <c r="I52" i="9" s="1"/>
  <c r="I49" i="9"/>
  <c r="I48" i="9"/>
  <c r="I45" i="9"/>
  <c r="H44" i="9"/>
  <c r="I44" i="9" s="1"/>
  <c r="H43" i="9"/>
  <c r="I43" i="9" s="1"/>
  <c r="H42" i="9"/>
  <c r="I42" i="9" s="1"/>
  <c r="H41" i="9"/>
  <c r="I41" i="9" s="1"/>
  <c r="I40" i="9"/>
  <c r="I37" i="9"/>
  <c r="I36" i="9"/>
  <c r="I35" i="9"/>
  <c r="I27" i="9"/>
  <c r="I26" i="9"/>
  <c r="H25" i="9"/>
  <c r="I25" i="9" s="1"/>
  <c r="I24" i="9"/>
  <c r="I23" i="9"/>
  <c r="I22" i="9"/>
  <c r="I21" i="9"/>
  <c r="I20" i="9"/>
  <c r="G17" i="9"/>
  <c r="I17" i="9" s="1"/>
  <c r="I16" i="9"/>
  <c r="G15" i="9"/>
  <c r="I14" i="9"/>
  <c r="I13" i="9"/>
  <c r="I12" i="9"/>
  <c r="H11" i="9"/>
  <c r="I11" i="9" s="1"/>
  <c r="I10" i="9"/>
  <c r="I9" i="9"/>
  <c r="I8" i="9"/>
  <c r="I7" i="9"/>
  <c r="I5" i="9"/>
  <c r="F74" i="9" l="1"/>
  <c r="F77" i="9" s="1"/>
  <c r="I77" i="9" s="1"/>
  <c r="I79" i="9" s="1"/>
  <c r="I65" i="9"/>
  <c r="I50" i="9"/>
  <c r="I185" i="1" s="1"/>
  <c r="I200" i="5" s="1"/>
  <c r="G27" i="10"/>
  <c r="G72" i="11"/>
  <c r="G34" i="10"/>
  <c r="G209" i="5"/>
  <c r="F14" i="4"/>
  <c r="I15" i="9"/>
  <c r="I18" i="9" s="1"/>
  <c r="G11" i="11"/>
  <c r="I33" i="9"/>
  <c r="I38" i="9"/>
  <c r="E51" i="10"/>
  <c r="G51" i="10" s="1"/>
  <c r="G50" i="10" s="1"/>
  <c r="I56" i="9"/>
  <c r="G11" i="10"/>
  <c r="G19" i="10"/>
  <c r="G31" i="10"/>
  <c r="H65" i="11"/>
  <c r="G42" i="10"/>
  <c r="G52" i="11"/>
  <c r="L62" i="11" s="1"/>
  <c r="G80" i="11"/>
  <c r="I108" i="1"/>
  <c r="H18" i="11"/>
  <c r="G65" i="11"/>
  <c r="G44" i="11"/>
  <c r="G84" i="11"/>
  <c r="G43" i="11"/>
  <c r="G18" i="11" s="1"/>
  <c r="E48" i="10"/>
  <c r="G48" i="10" s="1"/>
  <c r="G46" i="10" s="1"/>
  <c r="I46" i="9"/>
  <c r="I74" i="9" l="1"/>
  <c r="I75" i="9" s="1"/>
  <c r="I184" i="1" s="1"/>
  <c r="I202" i="5" s="1"/>
  <c r="I214" i="5" s="1"/>
  <c r="H92" i="11"/>
  <c r="H93" i="11" s="1"/>
  <c r="H94" i="11" s="1"/>
  <c r="I196" i="5"/>
  <c r="G40" i="10"/>
  <c r="G53" i="10" s="1"/>
  <c r="G54" i="10" s="1"/>
  <c r="G55" i="10" s="1"/>
  <c r="G92" i="11"/>
  <c r="G93" i="11" s="1"/>
  <c r="G94" i="11" s="1"/>
  <c r="I198" i="5"/>
  <c r="I80" i="9" l="1"/>
  <c r="I81" i="9" s="1"/>
  <c r="I82" i="9" s="1"/>
  <c r="I187" i="1"/>
  <c r="E200" i="5" l="1"/>
  <c r="F200" i="5"/>
  <c r="D200" i="5"/>
  <c r="E202" i="5"/>
  <c r="F202" i="5"/>
  <c r="D202" i="5"/>
  <c r="E196" i="5"/>
  <c r="F196" i="5"/>
  <c r="D196" i="5"/>
  <c r="F74" i="5" l="1"/>
  <c r="E74" i="5"/>
  <c r="D74" i="5"/>
  <c r="J74" i="5" l="1"/>
  <c r="E76" i="5"/>
  <c r="F76" i="5"/>
  <c r="D76" i="5"/>
  <c r="E63" i="5"/>
  <c r="F63" i="5"/>
  <c r="D63" i="5"/>
  <c r="E65" i="5"/>
  <c r="F65" i="5"/>
  <c r="D65" i="5"/>
  <c r="E40" i="5"/>
  <c r="F40" i="5"/>
  <c r="D40" i="5"/>
  <c r="E29" i="5"/>
  <c r="F29" i="5"/>
  <c r="D29" i="5"/>
  <c r="E31" i="5"/>
  <c r="F31" i="5"/>
  <c r="D31" i="5"/>
  <c r="E22" i="5"/>
  <c r="F22" i="5"/>
  <c r="D22" i="5"/>
  <c r="E20" i="5"/>
  <c r="F20" i="5"/>
  <c r="D20" i="5"/>
  <c r="J63" i="5" l="1"/>
  <c r="J29" i="5"/>
  <c r="J20" i="5"/>
  <c r="J22" i="5"/>
  <c r="J31" i="5"/>
  <c r="H13" i="5"/>
  <c r="I13" i="5"/>
  <c r="G13" i="5"/>
  <c r="E13" i="5"/>
  <c r="F13" i="5"/>
  <c r="J17" i="1" l="1"/>
  <c r="J16" i="1" l="1"/>
  <c r="D24" i="5" l="1"/>
  <c r="D187" i="1" l="1"/>
  <c r="F21" i="4" l="1"/>
  <c r="G21" i="4"/>
  <c r="H21" i="4"/>
  <c r="F7" i="4"/>
  <c r="G7" i="4"/>
  <c r="H7" i="4"/>
  <c r="H214" i="5"/>
  <c r="G14" i="4" s="1"/>
  <c r="H14" i="4"/>
  <c r="G213" i="5"/>
  <c r="F13" i="4" s="1"/>
  <c r="H213" i="5"/>
  <c r="G13" i="4" s="1"/>
  <c r="H13" i="4"/>
  <c r="F12" i="4"/>
  <c r="H212" i="5"/>
  <c r="G12" i="4" s="1"/>
  <c r="I212" i="5"/>
  <c r="H12" i="4" s="1"/>
  <c r="F11" i="4"/>
  <c r="H211" i="5"/>
  <c r="G11" i="4" s="1"/>
  <c r="I211" i="5"/>
  <c r="H11" i="4" s="1"/>
  <c r="G210" i="5"/>
  <c r="H210" i="5"/>
  <c r="G10" i="4" s="1"/>
  <c r="I210" i="5"/>
  <c r="H10" i="4" s="1"/>
  <c r="F9" i="4"/>
  <c r="H209" i="5"/>
  <c r="G9" i="4" s="1"/>
  <c r="H9" i="4"/>
  <c r="F8" i="4"/>
  <c r="H208" i="5"/>
  <c r="G8" i="4" s="1"/>
  <c r="I208" i="5"/>
  <c r="H8" i="4" s="1"/>
  <c r="G207" i="5"/>
  <c r="H207" i="5"/>
  <c r="I207" i="5"/>
  <c r="G203" i="5"/>
  <c r="H203" i="5"/>
  <c r="I203" i="5"/>
  <c r="G192" i="5"/>
  <c r="H192" i="5"/>
  <c r="I192" i="5"/>
  <c r="G181" i="5"/>
  <c r="H181" i="5"/>
  <c r="I181" i="5"/>
  <c r="J196" i="5"/>
  <c r="J197" i="5"/>
  <c r="J198" i="5"/>
  <c r="J199" i="5"/>
  <c r="J200" i="5"/>
  <c r="J201" i="5"/>
  <c r="J202" i="5"/>
  <c r="J185" i="5"/>
  <c r="J186" i="5"/>
  <c r="J187" i="5"/>
  <c r="J188" i="5"/>
  <c r="J189" i="5"/>
  <c r="J190" i="5"/>
  <c r="J191" i="5"/>
  <c r="J174" i="5"/>
  <c r="J175" i="5"/>
  <c r="J176" i="5"/>
  <c r="J177" i="5"/>
  <c r="J178" i="5"/>
  <c r="J179" i="5"/>
  <c r="J180" i="5"/>
  <c r="J163" i="5"/>
  <c r="J164" i="5"/>
  <c r="J165" i="5"/>
  <c r="J166" i="5"/>
  <c r="J167" i="5"/>
  <c r="J168" i="5"/>
  <c r="J169" i="5"/>
  <c r="J152" i="5"/>
  <c r="J153" i="5"/>
  <c r="J154" i="5"/>
  <c r="J155" i="5"/>
  <c r="J156" i="5"/>
  <c r="J157" i="5"/>
  <c r="J158" i="5"/>
  <c r="J140" i="5"/>
  <c r="J141" i="5"/>
  <c r="J142" i="5"/>
  <c r="J143" i="5"/>
  <c r="J144" i="5"/>
  <c r="J145" i="5"/>
  <c r="J146" i="5"/>
  <c r="G170" i="5"/>
  <c r="H170" i="5"/>
  <c r="I170" i="5"/>
  <c r="G159" i="5"/>
  <c r="H159" i="5"/>
  <c r="I159" i="5"/>
  <c r="H147" i="5"/>
  <c r="I147" i="5"/>
  <c r="G136" i="5"/>
  <c r="H136" i="5"/>
  <c r="I136" i="5"/>
  <c r="J129" i="5"/>
  <c r="J130" i="5"/>
  <c r="J131" i="5"/>
  <c r="J132" i="5"/>
  <c r="J133" i="5"/>
  <c r="J134" i="5"/>
  <c r="J135" i="5"/>
  <c r="J118" i="5"/>
  <c r="J119" i="5"/>
  <c r="J120" i="5"/>
  <c r="J121" i="5"/>
  <c r="J122" i="5"/>
  <c r="J123" i="5"/>
  <c r="J124" i="5"/>
  <c r="J107" i="5"/>
  <c r="J108" i="5"/>
  <c r="J109" i="5"/>
  <c r="J110" i="5"/>
  <c r="J111" i="5"/>
  <c r="J112" i="5"/>
  <c r="J113" i="5"/>
  <c r="G125" i="5"/>
  <c r="H125" i="5"/>
  <c r="I125" i="5"/>
  <c r="H114" i="5"/>
  <c r="I114" i="5"/>
  <c r="J95" i="5"/>
  <c r="J96" i="5"/>
  <c r="J97" i="5"/>
  <c r="J98" i="5"/>
  <c r="J99" i="5"/>
  <c r="J100" i="5"/>
  <c r="J101" i="5"/>
  <c r="J84" i="5"/>
  <c r="J85" i="5"/>
  <c r="J86" i="5"/>
  <c r="J87" i="5"/>
  <c r="J88" i="5"/>
  <c r="J89" i="5"/>
  <c r="J90" i="5"/>
  <c r="J73" i="5"/>
  <c r="J75" i="5"/>
  <c r="J76" i="5"/>
  <c r="J77" i="5"/>
  <c r="J78" i="5"/>
  <c r="J79" i="5"/>
  <c r="G91" i="5"/>
  <c r="H91" i="5"/>
  <c r="I91" i="5"/>
  <c r="G80" i="5"/>
  <c r="H80" i="5"/>
  <c r="I80" i="5"/>
  <c r="G69" i="5"/>
  <c r="H69" i="5"/>
  <c r="I69" i="5"/>
  <c r="J62" i="5"/>
  <c r="J64" i="5"/>
  <c r="J65" i="5"/>
  <c r="J66" i="5"/>
  <c r="J67" i="5"/>
  <c r="J68" i="5"/>
  <c r="G57" i="5"/>
  <c r="H57" i="5"/>
  <c r="I57" i="5"/>
  <c r="J50" i="5"/>
  <c r="J51" i="5"/>
  <c r="J52" i="5"/>
  <c r="J53" i="5"/>
  <c r="J54" i="5"/>
  <c r="J55" i="5"/>
  <c r="J56" i="5"/>
  <c r="G46" i="5"/>
  <c r="H46" i="5"/>
  <c r="I46" i="5"/>
  <c r="G35" i="5"/>
  <c r="H35" i="5"/>
  <c r="I35" i="5"/>
  <c r="J39" i="5"/>
  <c r="J40" i="5"/>
  <c r="J41" i="5"/>
  <c r="J42" i="5"/>
  <c r="J43" i="5"/>
  <c r="J44" i="5"/>
  <c r="J45" i="5"/>
  <c r="J28" i="5"/>
  <c r="J30" i="5"/>
  <c r="J32" i="5"/>
  <c r="J33" i="5"/>
  <c r="J34" i="5"/>
  <c r="J17" i="5"/>
  <c r="J18" i="5"/>
  <c r="J19" i="5"/>
  <c r="J21" i="5"/>
  <c r="J23" i="5"/>
  <c r="G24" i="5"/>
  <c r="H24" i="5"/>
  <c r="I24" i="5"/>
  <c r="J186" i="1"/>
  <c r="J184" i="1"/>
  <c r="J185" i="1"/>
  <c r="J183" i="1"/>
  <c r="J173" i="1"/>
  <c r="J174" i="1"/>
  <c r="J175" i="1"/>
  <c r="J176" i="1"/>
  <c r="J177" i="1"/>
  <c r="J178" i="1"/>
  <c r="J179" i="1"/>
  <c r="J172" i="1"/>
  <c r="J163" i="1"/>
  <c r="J164" i="1"/>
  <c r="J165" i="1"/>
  <c r="J166" i="1"/>
  <c r="J167" i="1"/>
  <c r="J168" i="1"/>
  <c r="J169" i="1"/>
  <c r="J162" i="1"/>
  <c r="J153" i="1"/>
  <c r="J154" i="1"/>
  <c r="J155" i="1"/>
  <c r="J156" i="1"/>
  <c r="J157" i="1"/>
  <c r="J158" i="1"/>
  <c r="J159" i="1"/>
  <c r="J152" i="1"/>
  <c r="J143" i="1"/>
  <c r="J144" i="1"/>
  <c r="J145" i="1"/>
  <c r="J146" i="1"/>
  <c r="J147" i="1"/>
  <c r="J148" i="1"/>
  <c r="J149" i="1"/>
  <c r="J142" i="1"/>
  <c r="J131" i="1"/>
  <c r="J132" i="1"/>
  <c r="J133" i="1"/>
  <c r="J134" i="1"/>
  <c r="J135" i="1"/>
  <c r="J136" i="1"/>
  <c r="J137" i="1"/>
  <c r="J130" i="1"/>
  <c r="J124" i="1"/>
  <c r="J125" i="1"/>
  <c r="J126" i="1"/>
  <c r="J127" i="1"/>
  <c r="J107" i="1"/>
  <c r="J101" i="1"/>
  <c r="J102" i="1"/>
  <c r="J103" i="1"/>
  <c r="J104" i="1"/>
  <c r="J105" i="1"/>
  <c r="J100" i="1"/>
  <c r="J89" i="1"/>
  <c r="J90" i="1"/>
  <c r="J91" i="1"/>
  <c r="J92" i="1"/>
  <c r="J93" i="1"/>
  <c r="J94" i="1"/>
  <c r="J95" i="1"/>
  <c r="J88" i="1"/>
  <c r="J79" i="1"/>
  <c r="J80" i="1"/>
  <c r="J81" i="1"/>
  <c r="J82" i="1"/>
  <c r="J83" i="1"/>
  <c r="J84" i="1"/>
  <c r="J85" i="1"/>
  <c r="J78" i="1"/>
  <c r="J69" i="1"/>
  <c r="J70" i="1"/>
  <c r="J71" i="1"/>
  <c r="J72" i="1"/>
  <c r="J73" i="1"/>
  <c r="J74" i="1"/>
  <c r="J75" i="1"/>
  <c r="J68" i="1"/>
  <c r="J61" i="1"/>
  <c r="J62" i="1"/>
  <c r="J63" i="1"/>
  <c r="J64" i="1"/>
  <c r="J65" i="1"/>
  <c r="J59" i="1"/>
  <c r="J60" i="1"/>
  <c r="J58" i="1"/>
  <c r="J47" i="1"/>
  <c r="J48" i="1"/>
  <c r="J49" i="1"/>
  <c r="J50" i="1"/>
  <c r="J51" i="1"/>
  <c r="J52" i="1"/>
  <c r="J53" i="1"/>
  <c r="J46" i="1"/>
  <c r="J37" i="1"/>
  <c r="J38" i="1"/>
  <c r="J39" i="1"/>
  <c r="J40" i="1"/>
  <c r="J41" i="1"/>
  <c r="J42" i="1"/>
  <c r="J43" i="1"/>
  <c r="J36" i="1"/>
  <c r="J27" i="1"/>
  <c r="J28" i="1"/>
  <c r="J29" i="1"/>
  <c r="J30" i="1"/>
  <c r="J31" i="1"/>
  <c r="J32" i="1"/>
  <c r="J33" i="1"/>
  <c r="J26" i="1"/>
  <c r="D214" i="1"/>
  <c r="G195" i="5"/>
  <c r="H187" i="1"/>
  <c r="H195" i="5" s="1"/>
  <c r="I195" i="5"/>
  <c r="G180" i="1"/>
  <c r="G184" i="5" s="1"/>
  <c r="H180" i="1"/>
  <c r="H184" i="5" s="1"/>
  <c r="I180" i="1"/>
  <c r="I184" i="5" s="1"/>
  <c r="G170" i="1"/>
  <c r="G173" i="5" s="1"/>
  <c r="H170" i="1"/>
  <c r="H173" i="5" s="1"/>
  <c r="I170" i="1"/>
  <c r="I173" i="5" s="1"/>
  <c r="G160" i="1"/>
  <c r="G162" i="5" s="1"/>
  <c r="H160" i="1"/>
  <c r="H162" i="5" s="1"/>
  <c r="I160" i="1"/>
  <c r="I162" i="5" s="1"/>
  <c r="G150" i="1"/>
  <c r="G151" i="5" s="1"/>
  <c r="H150" i="1"/>
  <c r="H151" i="5" s="1"/>
  <c r="I150" i="1"/>
  <c r="I151" i="5" s="1"/>
  <c r="G139" i="5"/>
  <c r="H138" i="1"/>
  <c r="H139" i="5" s="1"/>
  <c r="I138" i="1"/>
  <c r="I139" i="5" s="1"/>
  <c r="G128" i="1"/>
  <c r="G128" i="5" s="1"/>
  <c r="H128" i="1"/>
  <c r="H128" i="5" s="1"/>
  <c r="I128" i="1"/>
  <c r="I128" i="5" s="1"/>
  <c r="H118" i="1"/>
  <c r="H117" i="5" s="1"/>
  <c r="I118" i="1"/>
  <c r="I117" i="5" s="1"/>
  <c r="H108" i="1"/>
  <c r="H106" i="5" s="1"/>
  <c r="I106" i="5"/>
  <c r="G96" i="1"/>
  <c r="G94" i="5" s="1"/>
  <c r="H96" i="1"/>
  <c r="H94" i="5" s="1"/>
  <c r="I96" i="1"/>
  <c r="I94" i="5" s="1"/>
  <c r="G86" i="1"/>
  <c r="G83" i="5" s="1"/>
  <c r="H86" i="1"/>
  <c r="H83" i="5" s="1"/>
  <c r="I86" i="1"/>
  <c r="I83" i="5" s="1"/>
  <c r="G76" i="1"/>
  <c r="G72" i="5" s="1"/>
  <c r="H76" i="1"/>
  <c r="H72" i="5" s="1"/>
  <c r="I76" i="1"/>
  <c r="I72" i="5" s="1"/>
  <c r="G66" i="1"/>
  <c r="G61" i="5" s="1"/>
  <c r="H66" i="1"/>
  <c r="H61" i="5" s="1"/>
  <c r="I66" i="1"/>
  <c r="I61" i="5" s="1"/>
  <c r="G54" i="1"/>
  <c r="G49" i="5" s="1"/>
  <c r="H54" i="1"/>
  <c r="H49" i="5" s="1"/>
  <c r="I54" i="1"/>
  <c r="I49" i="5" s="1"/>
  <c r="G44" i="1"/>
  <c r="G38" i="5" s="1"/>
  <c r="H44" i="1"/>
  <c r="H38" i="5" s="1"/>
  <c r="I44" i="1"/>
  <c r="I38" i="5" s="1"/>
  <c r="G34" i="1"/>
  <c r="G27" i="5" s="1"/>
  <c r="H34" i="1"/>
  <c r="H27" i="5" s="1"/>
  <c r="I34" i="1"/>
  <c r="I27" i="5" s="1"/>
  <c r="G24" i="1"/>
  <c r="H24" i="1"/>
  <c r="H16" i="5" s="1"/>
  <c r="I24" i="1"/>
  <c r="J21" i="1"/>
  <c r="J22" i="1"/>
  <c r="J23" i="1"/>
  <c r="J18" i="1"/>
  <c r="J19" i="1"/>
  <c r="J20" i="1"/>
  <c r="J34" i="1" l="1"/>
  <c r="G16" i="5"/>
  <c r="G198" i="1"/>
  <c r="G199" i="1" s="1"/>
  <c r="G106" i="5"/>
  <c r="K187" i="1"/>
  <c r="F10" i="4"/>
  <c r="F15" i="4" s="1"/>
  <c r="F16" i="4" s="1"/>
  <c r="F17" i="4" s="1"/>
  <c r="G215" i="5"/>
  <c r="G15" i="4"/>
  <c r="H15" i="4"/>
  <c r="J24" i="1"/>
  <c r="I198" i="1"/>
  <c r="H198" i="1"/>
  <c r="I16" i="5"/>
  <c r="H215" i="5"/>
  <c r="I215" i="5"/>
  <c r="G200" i="1" l="1"/>
  <c r="G206" i="1"/>
  <c r="G207" i="1"/>
  <c r="G208" i="1"/>
  <c r="I199" i="1"/>
  <c r="I206" i="1" s="1"/>
  <c r="H16" i="4"/>
  <c r="H17" i="4" s="1"/>
  <c r="G16" i="4"/>
  <c r="G17" i="4" s="1"/>
  <c r="H199" i="1"/>
  <c r="H200" i="1" s="1"/>
  <c r="H216" i="5"/>
  <c r="H217" i="5" s="1"/>
  <c r="I216" i="5"/>
  <c r="I217" i="5" s="1"/>
  <c r="G216" i="5"/>
  <c r="G217" i="5" s="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G209" i="1" l="1"/>
  <c r="H22" i="4"/>
  <c r="I207" i="1"/>
  <c r="H23" i="4" s="1"/>
  <c r="I200" i="1"/>
  <c r="H206" i="1"/>
  <c r="G22" i="4" s="1"/>
  <c r="H208" i="1"/>
  <c r="G24" i="4" s="1"/>
  <c r="H207" i="1"/>
  <c r="G23" i="4" s="1"/>
  <c r="I208" i="1"/>
  <c r="H24" i="4" s="1"/>
  <c r="F24" i="4"/>
  <c r="F23" i="4"/>
  <c r="J210" i="5"/>
  <c r="J213" i="5"/>
  <c r="J214" i="5"/>
  <c r="J212" i="5"/>
  <c r="J209" i="5"/>
  <c r="J211" i="5"/>
  <c r="J208" i="5"/>
  <c r="D215" i="5"/>
  <c r="I209" i="1" l="1"/>
  <c r="F22" i="4"/>
  <c r="H209" i="1"/>
  <c r="D216" i="5"/>
  <c r="D217" i="5" s="1"/>
  <c r="D160" i="1" l="1"/>
  <c r="E160" i="1"/>
  <c r="D13" i="5"/>
  <c r="E205" i="1"/>
  <c r="F205" i="1"/>
  <c r="D205" i="1"/>
  <c r="E197" i="1"/>
  <c r="F197" i="1"/>
  <c r="D197" i="1"/>
  <c r="F203" i="5"/>
  <c r="E203" i="5"/>
  <c r="D203" i="5"/>
  <c r="E187" i="1"/>
  <c r="E195" i="5" s="1"/>
  <c r="F195" i="5"/>
  <c r="D195" i="5"/>
  <c r="J203" i="5" l="1"/>
  <c r="J195" i="5"/>
  <c r="K44" i="1"/>
  <c r="J138" i="1"/>
  <c r="K24" i="1"/>
  <c r="J66" i="1"/>
  <c r="J96" i="1"/>
  <c r="J160" i="1"/>
  <c r="K180" i="1"/>
  <c r="J54" i="1"/>
  <c r="J86" i="1"/>
  <c r="K170" i="1"/>
  <c r="J76" i="1"/>
  <c r="J108" i="1"/>
  <c r="J118" i="1"/>
  <c r="J128" i="1" s="1"/>
  <c r="J150" i="1"/>
  <c r="K34" i="1"/>
  <c r="J170" i="1"/>
  <c r="K96" i="1"/>
  <c r="K108" i="1"/>
  <c r="K128" i="1"/>
  <c r="J187" i="1"/>
  <c r="K54" i="1"/>
  <c r="K138" i="1"/>
  <c r="K66" i="1"/>
  <c r="K150" i="1"/>
  <c r="K76" i="1"/>
  <c r="K160" i="1"/>
  <c r="K118" i="1"/>
  <c r="K86" i="1"/>
  <c r="J180" i="1"/>
  <c r="J44" i="1"/>
  <c r="D14" i="4"/>
  <c r="E14" i="4"/>
  <c r="E13" i="4"/>
  <c r="D12" i="4"/>
  <c r="E12" i="4"/>
  <c r="D11" i="4"/>
  <c r="E11" i="4"/>
  <c r="D10" i="4"/>
  <c r="E10" i="4"/>
  <c r="D9" i="4"/>
  <c r="E9" i="4"/>
  <c r="C14" i="4"/>
  <c r="C10" i="4"/>
  <c r="C11" i="4"/>
  <c r="C12" i="4"/>
  <c r="C13" i="4"/>
  <c r="C9" i="4"/>
  <c r="D8" i="4"/>
  <c r="E8" i="4"/>
  <c r="C8" i="4"/>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11" i="1" l="1"/>
  <c r="J24" i="5"/>
  <c r="C15" i="4"/>
  <c r="E15" i="4"/>
  <c r="I10" i="4"/>
  <c r="I11" i="4"/>
  <c r="J35" i="5"/>
  <c r="J80" i="5"/>
  <c r="J125" i="5"/>
  <c r="J170" i="5"/>
  <c r="I12" i="4"/>
  <c r="J91" i="5"/>
  <c r="J114" i="5"/>
  <c r="J136" i="5"/>
  <c r="J159" i="5"/>
  <c r="J46" i="5"/>
  <c r="J181" i="5"/>
  <c r="J57" i="5"/>
  <c r="J102" i="5"/>
  <c r="J147" i="5"/>
  <c r="J192" i="5"/>
  <c r="I9" i="4"/>
  <c r="J69" i="5"/>
  <c r="I8" i="4"/>
  <c r="I14" i="4"/>
  <c r="D13" i="4"/>
  <c r="I13" i="4" s="1"/>
  <c r="F215" i="5"/>
  <c r="E215" i="5"/>
  <c r="E180" i="1"/>
  <c r="E184" i="5" s="1"/>
  <c r="F180" i="1"/>
  <c r="F184" i="5" s="1"/>
  <c r="E170" i="1"/>
  <c r="E173" i="5" s="1"/>
  <c r="F170" i="1"/>
  <c r="F173" i="5" s="1"/>
  <c r="E162" i="5"/>
  <c r="F160" i="1"/>
  <c r="F162" i="5" s="1"/>
  <c r="E150" i="1"/>
  <c r="E151" i="5" s="1"/>
  <c r="F150" i="1"/>
  <c r="F151" i="5" s="1"/>
  <c r="E138" i="1"/>
  <c r="E139" i="5" s="1"/>
  <c r="F138" i="1"/>
  <c r="F139" i="5" s="1"/>
  <c r="E118" i="1"/>
  <c r="F118" i="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F117" i="5" l="1"/>
  <c r="E117" i="5"/>
  <c r="F128" i="1"/>
  <c r="F128" i="5" s="1"/>
  <c r="E128" i="1"/>
  <c r="E128" i="5" s="1"/>
  <c r="D15" i="4"/>
  <c r="I15" i="4" s="1"/>
  <c r="E16" i="4"/>
  <c r="E17" i="4" s="1"/>
  <c r="C16" i="4"/>
  <c r="C17" i="4" s="1"/>
  <c r="J27" i="5"/>
  <c r="J215" i="5"/>
  <c r="E216" i="5"/>
  <c r="F216" i="5"/>
  <c r="F217" i="5" s="1"/>
  <c r="E16" i="5"/>
  <c r="F16" i="5"/>
  <c r="E106" i="5"/>
  <c r="F94" i="5"/>
  <c r="E38" i="5"/>
  <c r="F198" i="1" l="1"/>
  <c r="F199" i="1" s="1"/>
  <c r="F207" i="1" s="1"/>
  <c r="E198" i="1"/>
  <c r="E199" i="1" s="1"/>
  <c r="D16" i="4"/>
  <c r="D17" i="4" s="1"/>
  <c r="E217" i="5"/>
  <c r="J216" i="5"/>
  <c r="J217" i="5" s="1"/>
  <c r="D180" i="1"/>
  <c r="D184" i="5" s="1"/>
  <c r="J184" i="5" s="1"/>
  <c r="D170" i="1"/>
  <c r="D173" i="5" s="1"/>
  <c r="J173" i="5" s="1"/>
  <c r="D162" i="5"/>
  <c r="J162" i="5" s="1"/>
  <c r="D150" i="1"/>
  <c r="D138" i="1"/>
  <c r="D139" i="5" s="1"/>
  <c r="J139" i="5" s="1"/>
  <c r="D128" i="1"/>
  <c r="D128" i="5" s="1"/>
  <c r="J128" i="5" s="1"/>
  <c r="D118" i="1"/>
  <c r="D108" i="1"/>
  <c r="D96" i="1"/>
  <c r="D94" i="5" s="1"/>
  <c r="J94" i="5" s="1"/>
  <c r="D86" i="1"/>
  <c r="D83" i="5" s="1"/>
  <c r="J83" i="5" s="1"/>
  <c r="D76" i="1"/>
  <c r="D72" i="5" s="1"/>
  <c r="J72" i="5" s="1"/>
  <c r="D66" i="1"/>
  <c r="D54" i="1"/>
  <c r="D49" i="5" s="1"/>
  <c r="J49" i="5" s="1"/>
  <c r="D44" i="1"/>
  <c r="D24" i="1"/>
  <c r="D117" i="5" l="1"/>
  <c r="J117" i="5" s="1"/>
  <c r="E208" i="1"/>
  <c r="D24" i="4" s="1"/>
  <c r="E207" i="1"/>
  <c r="D23" i="4" s="1"/>
  <c r="E206" i="1"/>
  <c r="F206" i="1"/>
  <c r="E22" i="4" s="1"/>
  <c r="F208" i="1"/>
  <c r="E24" i="4" s="1"/>
  <c r="I17" i="4"/>
  <c r="I16" i="4"/>
  <c r="D16" i="5"/>
  <c r="J16" i="5" s="1"/>
  <c r="E23" i="4"/>
  <c r="D198" i="1"/>
  <c r="F200" i="1"/>
  <c r="E200" i="1"/>
  <c r="D106" i="5"/>
  <c r="J106" i="5" s="1"/>
  <c r="C29" i="6"/>
  <c r="D151" i="5"/>
  <c r="J151" i="5" s="1"/>
  <c r="C40" i="6"/>
  <c r="D61" i="5"/>
  <c r="J61" i="5" s="1"/>
  <c r="C18" i="6"/>
  <c r="D38" i="5"/>
  <c r="J38" i="5" s="1"/>
  <c r="C7" i="6"/>
  <c r="D10" i="6" s="1"/>
  <c r="J198" i="1" l="1"/>
  <c r="D199" i="1"/>
  <c r="D207" i="1" s="1"/>
  <c r="D22" i="4"/>
  <c r="F209" i="1"/>
  <c r="E209" i="1"/>
  <c r="D45" i="6"/>
  <c r="D47" i="6"/>
  <c r="D46" i="6"/>
  <c r="D43" i="6"/>
  <c r="D44" i="6"/>
  <c r="D34" i="6"/>
  <c r="D36" i="6"/>
  <c r="D32" i="6"/>
  <c r="D33" i="6"/>
  <c r="D35" i="6"/>
  <c r="D24" i="6"/>
  <c r="D25" i="6"/>
  <c r="D21" i="6"/>
  <c r="D22" i="6"/>
  <c r="D23" i="6"/>
  <c r="D12" i="6"/>
  <c r="D11" i="6"/>
  <c r="D14" i="6"/>
  <c r="D13" i="6"/>
  <c r="J199" i="1" l="1"/>
  <c r="J200" i="1" s="1"/>
  <c r="D206" i="1"/>
  <c r="J206" i="1" s="1"/>
  <c r="D208" i="1"/>
  <c r="C24" i="4" s="1"/>
  <c r="J207" i="1"/>
  <c r="D200" i="1"/>
  <c r="C30" i="6"/>
  <c r="C41" i="6"/>
  <c r="C19" i="6"/>
  <c r="C8" i="6"/>
  <c r="D215" i="1" l="1"/>
  <c r="D212" i="1"/>
  <c r="J208" i="1"/>
  <c r="J209" i="1" s="1"/>
  <c r="C23" i="4"/>
  <c r="C22" i="4"/>
  <c r="D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Celine Polini (PSE)</author>
  </authors>
  <commentList>
    <comment ref="H19" authorId="0" shapeId="0" xr:uid="{00000000-0006-0000-0200-000001000000}">
      <text>
        <r>
          <rPr>
            <b/>
            <sz val="9"/>
            <color indexed="81"/>
            <rFont val="Tahoma"/>
            <family val="2"/>
          </rPr>
          <t>Celine Polini (PSE):</t>
        </r>
        <r>
          <rPr>
            <sz val="9"/>
            <color indexed="81"/>
            <rFont val="Tahoma"/>
            <family val="2"/>
          </rPr>
          <t xml:space="preserve">
+40 000</t>
        </r>
      </text>
    </comment>
    <comment ref="H73" authorId="0" shapeId="0" xr:uid="{00000000-0006-0000-0200-000002000000}">
      <text>
        <r>
          <rPr>
            <b/>
            <sz val="9"/>
            <color indexed="81"/>
            <rFont val="Tahoma"/>
            <family val="2"/>
          </rPr>
          <t>Celine Polini (PSE):</t>
        </r>
        <r>
          <rPr>
            <sz val="9"/>
            <color indexed="81"/>
            <rFont val="Tahoma"/>
            <family val="2"/>
          </rPr>
          <t xml:space="preserve">
comme discuté 40 000 de la voiture reportées sur le coordo international. 5 000 gardés sur non exp</t>
        </r>
      </text>
    </comment>
    <comment ref="H80" authorId="0" shapeId="0" xr:uid="{00000000-0006-0000-0200-000003000000}">
      <text>
        <r>
          <rPr>
            <b/>
            <sz val="9"/>
            <color indexed="81"/>
            <rFont val="Tahoma"/>
            <family val="2"/>
          </rPr>
          <t>Celine Polini (PSE):</t>
        </r>
        <r>
          <rPr>
            <sz val="9"/>
            <color indexed="81"/>
            <rFont val="Tahoma"/>
            <family val="2"/>
          </rPr>
          <t xml:space="preserve">
le total reste le meme mais a été 'reparti entre les 3 catégories pour correspondre aux standards FAO </t>
        </r>
      </text>
    </comment>
  </commentList>
</comments>
</file>

<file path=xl/sharedStrings.xml><?xml version="1.0" encoding="utf-8"?>
<sst xmlns="http://schemas.openxmlformats.org/spreadsheetml/2006/main" count="1252" uniqueCount="906">
  <si>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</si>
  <si>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</si>
  <si>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</si>
  <si>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</si>
  <si>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</si>
  <si>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</si>
  <si>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</si>
  <si>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</si>
  <si>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</si>
  <si>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</si>
  <si>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</si>
  <si>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</si>
  <si>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</si>
  <si>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</si>
  <si>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</si>
  <si>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</si>
  <si>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</si>
  <si>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</si>
  <si>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</si>
  <si>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</si>
  <si>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</si>
  <si>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</si>
  <si>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</si>
  <si>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</si>
  <si>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</si>
  <si>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</si>
  <si>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</si>
  <si>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</si>
  <si>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</si>
  <si>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</si>
  <si>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</si>
  <si>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</si>
  <si>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</si>
  <si>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</si>
  <si>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</si>
  <si>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</si>
  <si>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</si>
  <si>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</si>
  <si>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</si>
  <si>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</si>
  <si>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</si>
  <si>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</si>
  <si>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</si>
  <si>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</si>
  <si>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</si>
  <si>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</si>
  <si>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</si>
  <si>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</si>
  <si>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</si>
  <si>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</si>
  <si>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</si>
  <si>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</si>
  <si>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</si>
  <si>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</si>
  <si>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</si>
  <si>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</si>
  <si>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</si>
  <si>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</si>
  <si>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</si>
  <si>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</si>
  <si>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</si>
  <si>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</si>
  <si>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</si>
  <si>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</si>
  <si>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</si>
  <si>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</si>
  <si>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</si>
  <si>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</si>
  <si>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</si>
  <si>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</si>
  <si>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</si>
  <si>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</si>
  <si>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</si>
  <si>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</si>
  <si>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</si>
  <si>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</si>
  <si>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</si>
  <si>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</si>
  <si>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</si>
  <si>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</si>
  <si>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</si>
  <si>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</si>
  <si>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</si>
  <si>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</si>
  <si>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</si>
  <si>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</si>
  <si>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</si>
  <si>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</si>
  <si>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</si>
  <si>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</si>
  <si>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</si>
  <si>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</si>
  <si>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</si>
  <si>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</si>
  <si>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</si>
  <si>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</si>
  <si>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</si>
  <si>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</si>
  <si>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</si>
  <si>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</si>
  <si>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</si>
  <si>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</si>
  <si>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</si>
  <si>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</si>
  <si>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</si>
  <si>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</si>
  <si>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</si>
  <si>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</si>
  <si>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</si>
  <si>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</si>
  <si>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</si>
  <si>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</si>
  <si>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</si>
  <si>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</si>
  <si>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</si>
  <si>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</si>
  <si>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</si>
  <si>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</si>
  <si>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</si>
  <si>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</si>
  <si>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</si>
  <si>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</si>
  <si>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</si>
  <si>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</si>
  <si>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</si>
  <si>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</si>
  <si>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</si>
  <si>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</si>
  <si>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</si>
  <si>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</si>
  <si>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</si>
  <si>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</si>
  <si>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</si>
  <si>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</si>
  <si>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</si>
  <si>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</si>
  <si>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</si>
  <si>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</si>
  <si>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</si>
  <si>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</si>
  <si>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</si>
  <si>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</si>
  <si>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</si>
  <si>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</si>
  <si>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</si>
  <si>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</si>
  <si>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</si>
  <si>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</si>
  <si>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</si>
  <si>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</si>
  <si>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</si>
  <si>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</si>
  <si>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</si>
  <si>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</si>
  <si>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</si>
  <si>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</si>
  <si>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</si>
  <si>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</si>
  <si>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</si>
  <si>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</si>
  <si>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</si>
  <si>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</si>
  <si>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</si>
  <si>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</si>
  <si>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</si>
  <si>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</si>
  <si>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</si>
  <si>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</si>
  <si>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</si>
  <si>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</si>
  <si>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</si>
  <si>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</si>
  <si>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</si>
  <si>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</si>
  <si>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</si>
  <si>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</si>
  <si>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</si>
  <si>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</si>
  <si>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</si>
  <si>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</si>
  <si>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</si>
  <si>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</si>
  <si>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</si>
  <si>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</si>
  <si>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</si>
  <si>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</si>
  <si>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</si>
  <si>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</si>
  <si>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</si>
  <si>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</si>
  <si>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</si>
  <si>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</si>
  <si>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</si>
  <si>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</si>
  <si>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</si>
  <si>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</si>
  <si>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</si>
  <si>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</si>
  <si>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</si>
  <si>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</si>
  <si>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</si>
  <si>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</si>
  <si>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</si>
  <si>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</si>
  <si>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</si>
  <si>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</si>
  <si>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</si>
  <si>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</si>
  <si>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</si>
  <si>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</si>
  <si>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</si>
  <si>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</si>
  <si>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</si>
  <si>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</si>
  <si>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</si>
  <si>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</si>
  <si>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</si>
  <si>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</si>
  <si>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</si>
  <si>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</si>
  <si>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</si>
  <si>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</si>
  <si>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</si>
  <si>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</si>
  <si>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</si>
  <si>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</si>
  <si>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</si>
  <si>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</si>
  <si>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</si>
  <si>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</si>
  <si>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</si>
  <si>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</si>
  <si>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</si>
  <si>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</si>
  <si>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</si>
  <si>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</si>
  <si>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</si>
  <si>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</si>
  <si>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</si>
  <si>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</si>
  <si>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</si>
  <si>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</si>
  <si>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</si>
  <si>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</si>
  <si>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</si>
  <si>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</si>
  <si>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</si>
  <si>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</si>
  <si>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</si>
  <si>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</si>
  <si>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</si>
  <si>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</si>
  <si>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</si>
  <si>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</si>
  <si>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</si>
  <si>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</si>
  <si>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</si>
  <si>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</si>
  <si>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</si>
  <si>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</si>
  <si>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</si>
  <si>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</si>
  <si>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</si>
  <si>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</si>
  <si>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</si>
  <si>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</si>
  <si>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</si>
  <si>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</si>
  <si>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</si>
  <si>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</si>
  <si>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</si>
  <si>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</si>
  <si>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</si>
  <si>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</si>
  <si>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</si>
  <si>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</si>
  <si>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</si>
  <si>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</si>
  <si>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</si>
  <si>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</si>
  <si>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</si>
  <si>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</si>
  <si>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</si>
  <si>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</si>
  <si>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</si>
  <si>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</si>
  <si>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</si>
  <si>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</si>
  <si>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</si>
  <si>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</si>
  <si>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</si>
  <si>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</si>
  <si>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</si>
  <si>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</si>
  <si>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</si>
  <si>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</si>
  <si>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</si>
  <si>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</si>
  <si>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</si>
  <si>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</si>
  <si>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</si>
  <si>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</si>
  <si>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</si>
  <si>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</si>
  <si>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</si>
  <si>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</si>
  <si>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</si>
  <si>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</si>
  <si>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</si>
  <si>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</si>
  <si>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</si>
  <si>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</si>
  <si>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</si>
  <si>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</si>
  <si>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</si>
  <si>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</si>
  <si>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</si>
  <si>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</si>
  <si>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</si>
  <si>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</si>
  <si>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</si>
  <si>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</si>
  <si>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</si>
  <si>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</si>
  <si>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</si>
  <si>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</si>
  <si>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</si>
  <si>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</si>
  <si>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</si>
  <si>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</si>
  <si>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</si>
  <si>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</si>
  <si>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</si>
  <si>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</si>
  <si>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</si>
  <si>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</si>
  <si>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</si>
  <si>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</si>
  <si>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</si>
  <si>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</si>
  <si>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</si>
  <si>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</si>
  <si>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</si>
  <si>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</si>
  <si>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</si>
  <si>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</si>
  <si>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</si>
  <si>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</si>
  <si>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</si>
  <si>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</si>
  <si>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</si>
  <si>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</si>
  <si>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</si>
  <si>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</si>
  <si>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</si>
  <si>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</si>
  <si>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</si>
  <si>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</si>
  <si>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</si>
  <si>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</si>
  <si>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</si>
  <si>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</si>
  <si>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</si>
  <si>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</si>
  <si>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</si>
  <si>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</si>
  <si>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</si>
  <si>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</si>
  <si>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</si>
  <si>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</si>
  <si>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</si>
  <si>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</si>
  <si>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</si>
  <si>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</si>
  <si>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</si>
  <si>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</si>
  <si>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</si>
  <si>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</si>
  <si>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</si>
  <si>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</si>
  <si>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</si>
  <si>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</si>
  <si>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</si>
  <si>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</si>
  <si>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</si>
  <si>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</si>
  <si>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</si>
  <si>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</si>
  <si>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</si>
  <si>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</si>
  <si>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</si>
  <si>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</si>
  <si>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</si>
  <si>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</si>
  <si>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</si>
  <si>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</si>
  <si>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</si>
  <si>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</si>
  <si>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</si>
  <si>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</si>
  <si>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</si>
  <si>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</si>
  <si>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</si>
  <si>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</si>
  <si>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</si>
  <si>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</si>
  <si>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</si>
  <si>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</si>
  <si>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</si>
  <si>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</si>
  <si>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</si>
  <si>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</si>
  <si>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</si>
  <si>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</si>
  <si>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</si>
  <si>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</si>
  <si>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</si>
  <si>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</si>
  <si>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</si>
  <si>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</si>
  <si>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</si>
  <si>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</si>
  <si>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</si>
  <si>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</si>
  <si>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</si>
  <si>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</si>
  <si>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</si>
  <si>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</si>
  <si>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</si>
  <si>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</si>
  <si>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</si>
  <si>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</si>
  <si>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</si>
  <si>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</si>
  <si>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</si>
  <si>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</si>
  <si>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</si>
  <si>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</si>
  <si>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</si>
  <si>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</si>
  <si>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</si>
  <si>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</si>
  <si>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</si>
  <si>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</si>
  <si>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</si>
  <si>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</si>
  <si>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</si>
  <si>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</si>
  <si>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</si>
  <si>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</si>
  <si>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</si>
  <si>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</si>
  <si>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</si>
  <si>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</si>
  <si>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</si>
  <si>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</si>
  <si>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</si>
  <si>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</si>
  <si>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</si>
  <si>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</si>
  <si>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</si>
  <si>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</si>
  <si>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</si>
  <si>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</si>
  <si>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</si>
  <si>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</si>
  <si>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</si>
  <si>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</si>
  <si>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</si>
  <si>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</si>
  <si>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</si>
  <si>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</si>
  <si>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</si>
  <si>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</si>
  <si>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</si>
  <si>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</si>
  <si>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</si>
  <si>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</si>
  <si>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</si>
  <si>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</si>
  <si>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</si>
  <si>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</si>
  <si>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</si>
  <si>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</si>
  <si>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</si>
  <si>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</si>
  <si>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</si>
  <si>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</si>
  <si>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</si>
  <si>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</si>
  <si>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</si>
  <si>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</si>
  <si>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</si>
  <si>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</si>
  <si>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</si>
  <si>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</si>
  <si>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</si>
  <si>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</si>
  <si>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</si>
  <si>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</si>
  <si>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</si>
  <si>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</si>
  <si>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</si>
  <si>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</si>
  <si>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</si>
  <si>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</si>
  <si>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</si>
  <si>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</si>
  <si>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</si>
  <si>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</si>
  <si>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</si>
  <si>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</si>
  <si>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</si>
  <si>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</si>
  <si>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</si>
  <si>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</si>
  <si>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</si>
  <si>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</si>
  <si>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</si>
  <si>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</si>
  <si>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</si>
  <si>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</si>
  <si>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</si>
  <si>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</si>
  <si>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</si>
  <si>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</si>
  <si>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</si>
  <si>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</si>
  <si>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</si>
  <si>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</si>
  <si>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</si>
  <si>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</si>
  <si>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</si>
  <si>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</si>
  <si>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</si>
  <si>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</si>
  <si>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</si>
  <si>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</si>
  <si>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</si>
  <si>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</si>
  <si>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</si>
  <si>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</si>
  <si>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</si>
  <si>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</si>
  <si>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</si>
  <si>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</si>
  <si>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</si>
  <si>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</si>
  <si>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</si>
  <si>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</si>
  <si>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</si>
  <si>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</si>
  <si>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</si>
  <si>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</si>
  <si>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</si>
  <si>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</si>
  <si>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</si>
  <si>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</si>
  <si>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</si>
  <si>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</si>
  <si>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</si>
  <si>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</si>
  <si>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</si>
  <si>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</si>
  <si>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</si>
  <si>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</si>
  <si>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</si>
  <si>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</si>
  <si>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</si>
  <si>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</si>
  <si>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</si>
  <si>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</si>
  <si>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</si>
  <si>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</si>
  <si>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</si>
  <si>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</si>
  <si>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</si>
  <si>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</si>
  <si>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</si>
  <si>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</si>
  <si>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</si>
  <si>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</si>
  <si>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</si>
  <si>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</si>
  <si>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</si>
  <si>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</si>
  <si>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</si>
  <si>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</si>
  <si>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</si>
  <si>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</si>
  <si>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</si>
  <si>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</si>
  <si>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</si>
  <si>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</si>
  <si>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</si>
  <si>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</si>
  <si>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</si>
  <si>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</si>
  <si>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</si>
  <si>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</si>
  <si>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</si>
  <si>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</si>
  <si>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</si>
  <si>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</si>
  <si>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</si>
  <si>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</si>
  <si>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</si>
  <si>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</si>
  <si>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</si>
  <si>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</si>
  <si>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</si>
  <si>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</si>
  <si>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</si>
  <si>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</si>
  <si>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</si>
  <si>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</si>
  <si>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</si>
  <si>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</si>
  <si>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</si>
  <si>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</si>
  <si>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</si>
  <si>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</si>
  <si>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</si>
  <si>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</si>
  <si>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</si>
  <si>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</si>
  <si>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</si>
  <si>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</si>
  <si>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</si>
  <si>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</si>
  <si>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</si>
  <si>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</si>
  <si>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</si>
  <si>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</si>
  <si>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</si>
  <si>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</si>
  <si>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</si>
  <si>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</si>
  <si>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</si>
  <si>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</si>
  <si>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</si>
  <si>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Cartographier les transhumances dans les zones d’intervention</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</si>
  <si>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</si>
  <si>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</si>
  <si>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</si>
  <si>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</si>
  <si>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</si>
  <si>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</si>
  <si>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</si>
  <si>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</si>
  <si>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</si>
  <si>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</si>
  <si>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</si>
  <si>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</si>
  <si>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</si>
  <si>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</si>
  <si>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</si>
  <si>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de consultance et d'expertise, reproduction et diffsion de documents</t>
  </si>
  <si>
    <t>Frais d'organisations des sessions, Frais de mission pour suivi et monitoring</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</si>
  <si>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</si>
  <si>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</si>
  <si>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</si>
  <si>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</si>
  <si>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</si>
  <si>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</si>
  <si>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</si>
  <si>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</si>
  <si>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</si>
  <si>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</si>
  <si>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</si>
  <si>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</si>
  <si>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</si>
  <si>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</si>
  <si>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</si>
  <si>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</si>
  <si>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</si>
  <si>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</si>
  <si>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theme="1"/>
        <rFont val="Calibri"/>
        <family val="2"/>
        <scheme val="minor"/>
      </rPr>
      <t>Example of a detailed mapped budget (PBF/FAO) used to obtain OSP and Financial Clearances</t>
    </r>
    <r>
      <rPr>
        <sz val="11"/>
        <color theme="1"/>
        <rFont val="Calibri"/>
        <family val="2"/>
        <scheme val="minor"/>
      </rPr>
      <t xml:space="preserve">
**Please note that the various budget and expenditure codes/descriptions included in this budget are </t>
    </r>
    <r>
      <rPr>
        <u/>
        <sz val="11"/>
        <color theme="1"/>
        <rFont val="Calibri"/>
        <family val="2"/>
        <scheme val="minor"/>
      </rPr>
      <t>just examples.</t>
    </r>
    <r>
      <rPr>
        <sz val="11"/>
        <color theme="1"/>
        <rFont val="Calibri"/>
        <family val="2"/>
        <scheme val="minor"/>
      </rPr>
      <t xml:space="preserve"> Your particular project can/will use different codes based on the planned activities
*** The </t>
    </r>
    <r>
      <rPr>
        <sz val="11"/>
        <color rgb="FFFF0000"/>
        <rFont val="Calibri"/>
        <family val="2"/>
        <scheme val="minor"/>
      </rPr>
      <t>lines in red</t>
    </r>
    <r>
      <rPr>
        <sz val="11"/>
        <color theme="1"/>
        <rFont val="Calibri"/>
        <family val="2"/>
        <scheme val="minor"/>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</si>
  <si>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</si>
  <si>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</si>
  <si>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</si>
  <si>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</si>
  <si>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</si>
  <si>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</si>
  <si>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</si>
  <si>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</si>
  <si>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</si>
  <si>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</si>
  <si>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</si>
  <si>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</si>
  <si>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</si>
  <si>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</si>
  <si>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</si>
  <si>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</si>
  <si>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</si>
  <si>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</si>
  <si>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</si>
  <si>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</si>
  <si>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</si>
  <si>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</si>
  <si>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</si>
  <si>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</si>
  <si>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</si>
  <si>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</si>
  <si>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</si>
  <si>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</si>
  <si>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</si>
  <si>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</si>
  <si>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</si>
  <si>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</si>
  <si>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</si>
  <si>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</si>
  <si>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</si>
  <si>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</si>
  <si>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</si>
  <si>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</si>
  <si>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</si>
  <si>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</si>
  <si>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</si>
  <si>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</si>
  <si>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</si>
  <si>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</si>
  <si>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</si>
  <si>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</si>
  <si>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</si>
  <si>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</si>
  <si>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</si>
  <si>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</si>
  <si>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</si>
  <si>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</si>
  <si>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</si>
  <si>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</si>
  <si>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</si>
  <si>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</si>
  <si>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</si>
  <si>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</si>
  <si>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</si>
  <si>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</si>
  <si>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</si>
  <si>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</si>
  <si>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</si>
  <si>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</si>
  <si>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</si>
  <si>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</si>
  <si>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</si>
  <si>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</si>
  <si>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</si>
  <si>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</si>
  <si>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</si>
  <si>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</si>
  <si>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</si>
  <si>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</si>
  <si>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</si>
  <si>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</si>
  <si>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</si>
  <si>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</si>
  <si>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</si>
  <si>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</si>
  <si>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</si>
  <si>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</si>
  <si>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</si>
  <si>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scheme val="minor"/>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</si>
  <si>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</si>
  <si>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</si>
  <si>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</si>
  <si>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</si>
  <si>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</si>
  <si>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</si>
  <si>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</si>
  <si>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</si>
  <si>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</si>
  <si>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</si>
  <si>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</si>
  <si>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</si>
  <si>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</si>
  <si>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</si>
  <si>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</si>
  <si>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</si>
  <si>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</si>
  <si>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</si>
  <si>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</si>
  <si>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</si>
  <si>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</si>
  <si>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</si>
  <si>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</si>
  <si>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</si>
  <si>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</si>
  <si>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</si>
  <si>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</si>
  <si>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</si>
  <si>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</si>
  <si>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</si>
  <si>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</si>
  <si>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</si>
  <si>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</si>
  <si>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</si>
  <si>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</si>
  <si>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</si>
  <si>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</si>
  <si>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</si>
  <si>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</si>
  <si>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</si>
  <si>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</si>
  <si>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</si>
  <si>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</si>
  <si>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</si>
  <si>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</si>
  <si>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</si>
  <si>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</si>
  <si>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</si>
  <si>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</si>
  <si>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</si>
  <si>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</si>
  <si>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</si>
  <si>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</si>
  <si>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</si>
  <si>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</si>
  <si>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</si>
  <si>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</si>
  <si>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</si>
  <si>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</si>
  <si>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</si>
  <si>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</si>
  <si>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</si>
  <si>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</si>
  <si>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</si>
  <si>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</si>
  <si>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</si>
  <si>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</si>
  <si>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</si>
  <si>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</si>
  <si>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</si>
  <si>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</si>
  <si>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</si>
  <si>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</si>
  <si>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</si>
  <si>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</si>
  <si>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</si>
  <si>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</si>
  <si>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</si>
  <si>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</si>
  <si>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</si>
  <si>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</si>
  <si>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</si>
  <si>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</si>
  <si>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</si>
  <si>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</si>
  <si>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</si>
  <si>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</si>
  <si>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</si>
  <si>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</si>
  <si>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</si>
  <si>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</si>
  <si>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</si>
  <si>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</si>
  <si>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</si>
  <si>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</si>
  <si>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</si>
  <si>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</si>
  <si>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</si>
  <si>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</si>
  <si>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</si>
  <si>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</si>
  <si>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</si>
  <si>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</si>
  <si>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</si>
  <si>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</si>
  <si>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</si>
  <si>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</si>
  <si>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</si>
  <si>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</si>
  <si>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</si>
  <si>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</si>
  <si>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</si>
  <si>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</si>
  <si>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</si>
  <si>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</si>
  <si>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</si>
  <si>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</si>
  <si>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</si>
  <si>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</si>
  <si>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</si>
  <si>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</si>
  <si>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</si>
  <si>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</si>
  <si>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</si>
  <si>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</si>
  <si>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</si>
  <si>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</si>
  <si>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</si>
  <si>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</si>
  <si>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</si>
  <si>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</si>
  <si>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</si>
  <si>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</si>
  <si>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</si>
  <si>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</si>
  <si>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</si>
  <si>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</si>
  <si>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Niveau de depense/ engagement actuel 
(a remplir au moment des rapports de projet)</t>
  </si>
  <si>
    <t>Taux d'exécution</t>
  </si>
  <si>
    <t>%</t>
  </si>
  <si>
    <t>FAO BURKINA</t>
  </si>
  <si>
    <t>Dépenses égalité des sexes</t>
  </si>
  <si>
    <t>Total
Expenditure &amp; Commitments
31.05.2021</t>
  </si>
  <si>
    <t>12,914.42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</si>
</sst>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_);_(* \(#,##0.00\);_(* &quot;-&quot;??_);_(@_)"/>
    <numFmt numFmtId="166" formatCode="_-* #,##0_-;\-* #,##0_-;_-* &quot;-&quot;??_-;_-@_-"/>
    <numFmt numFmtId="167" formatCode="0.000000000"/>
    <numFmt numFmtId="168" formatCode="_-* #,##0\ _€_-;\-* #,##0\ _€_-;_-* &quot;-&quot;??\ _€_-;_-@_-"/>
    <numFmt numFmtId="169" formatCode="_-* #,##0\ _F_B_-;\-* #,##0\ _F_B_-;_-* &quot;-&quot;??\ _F_B_-;_-@_-"/>
    <numFmt numFmtId="170" formatCode="_(&quot;$&quot;* #,##0_);_(&quot;$&quot;* \(#,##0\);_(&quot;$&quot;* &quot;-&quot;??_);_(@_)"/>
    <numFmt numFmtId="171" formatCode="_(* #,##0_);_(* \(#,##0\);_(* &quot;-&quot;??_);_(@_)"/>
  </numFmts>
  <fonts count="55"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u/>
      <sz val="11"/>
      <color theme="1"/>
      <name val="Calibri"/>
      <family val="2"/>
      <scheme val="minor"/>
    </font>
    <font>
      <b/>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scheme val="minor"/>
    </font>
    <font>
      <sz val="9"/>
      <color rgb="FFFF0000"/>
      <name val="Arial"/>
      <family val="2"/>
    </font>
    <font>
      <b/>
      <sz val="14"/>
      <color theme="1"/>
      <name val="Calibri"/>
      <family val="2"/>
      <scheme val="minor"/>
    </font>
    <font>
      <sz val="10"/>
      <name val="Arial"/>
      <family val="2"/>
    </font>
    <font>
      <sz val="10"/>
      <name val="Calibri"/>
      <family val="2"/>
      <scheme val="minor"/>
    </font>
    <font>
      <sz val="10"/>
      <color rgb="FF0070C0"/>
      <name val="Calibri"/>
      <family val="2"/>
      <scheme val="minor"/>
    </font>
    <font>
      <b/>
      <u/>
      <sz val="11"/>
      <color theme="1"/>
      <name val="Calibri"/>
      <family val="2"/>
      <scheme val="minor"/>
    </font>
    <font>
      <b/>
      <sz val="12"/>
      <color rgb="FF000000"/>
      <name val="Times New Roman"/>
      <family val="1"/>
    </font>
    <font>
      <sz val="12"/>
      <name val="Times New Roman"/>
      <family val="1"/>
    </font>
    <font>
      <sz val="12"/>
      <color rgb="FF000000"/>
      <name val="Times New Roman"/>
      <family val="1"/>
    </font>
    <font>
      <sz val="12"/>
      <color rgb="FFFF0000"/>
      <name val="Times New Roman"/>
      <family val="1"/>
    </font>
    <font>
      <b/>
      <sz val="12"/>
      <name val="Times New Roman"/>
      <family val="1"/>
    </font>
    <font>
      <b/>
      <sz val="12"/>
      <color rgb="FFFF0000"/>
      <name val="Times New Roman"/>
      <family val="1"/>
    </font>
    <font>
      <sz val="12"/>
      <color rgb="FF000000"/>
      <name val="Arial Narrow"/>
      <family val="2"/>
    </font>
    <font>
      <b/>
      <sz val="10"/>
      <color rgb="FF000000"/>
      <name val="Times New Roman"/>
      <family val="1"/>
    </font>
    <font>
      <sz val="1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b/>
      <sz val="10"/>
      <name val="Times New Roman"/>
      <family val="1"/>
    </font>
    <font>
      <sz val="10"/>
      <color rgb="FF000000"/>
      <name val="Arial Narrow"/>
      <family val="2"/>
    </font>
    <font>
      <sz val="9"/>
      <color indexed="81"/>
      <name val="Tahoma"/>
      <family val="2"/>
    </font>
    <font>
      <b/>
      <sz val="9"/>
      <color indexed="81"/>
      <name val="Tahoma"/>
      <family val="2"/>
    </font>
    <font>
      <b/>
      <sz val="12"/>
      <color rgb="FFFF0000"/>
      <name val="Calibri"/>
      <family val="2"/>
      <scheme val="minor"/>
    </font>
    <font>
      <sz val="12"/>
      <color rgb="FFFF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2D050"/>
        <bgColor indexed="64"/>
      </patternFill>
    </fill>
  </fills>
  <borders count="7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rgb="FF7F7F7F"/>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780">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7"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6" fillId="0" borderId="0" xfId="0" applyFont="1" applyBorder="1" applyAlignment="1">
      <alignment horizontal="left" vertical="top" wrapText="1"/>
    </xf>
    <xf numFmtId="0" fontId="1" fillId="2" borderId="46" xfId="1" applyNumberFormat="1" applyFont="1" applyFill="1" applyBorder="1" applyAlignment="1" applyProtection="1">
      <alignment horizontal="center" vertical="center" wrapText="1"/>
    </xf>
    <xf numFmtId="0" fontId="11" fillId="7" borderId="0" xfId="0" applyFont="1" applyFill="1" applyBorder="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1" fillId="7" borderId="3" xfId="0" applyFont="1" applyFill="1" applyBorder="1" applyAlignment="1" applyProtection="1">
      <alignment horizontal="center" vertical="center" wrapText="1"/>
      <protection locked="0"/>
    </xf>
    <xf numFmtId="164" fontId="1" fillId="3" borderId="0" xfId="2" applyNumberFormat="1" applyFont="1" applyFill="1" applyBorder="1" applyAlignment="1">
      <alignment vertical="center"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0" fontId="21" fillId="9" borderId="3" xfId="0" applyFont="1" applyFill="1" applyBorder="1" applyAlignment="1">
      <alignment horizontal="center" vertical="center" wrapText="1"/>
    </xf>
    <xf numFmtId="166" fontId="21" fillId="9" borderId="3" xfId="3" applyNumberFormat="1" applyFont="1" applyFill="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xf>
    <xf numFmtId="0" fontId="22" fillId="10" borderId="3" xfId="0" applyFont="1" applyFill="1" applyBorder="1" applyAlignment="1">
      <alignment horizontal="center" vertical="center" wrapText="1"/>
    </xf>
    <xf numFmtId="0" fontId="22" fillId="10" borderId="3" xfId="0" applyFont="1" applyFill="1" applyBorder="1" applyAlignment="1">
      <alignment vertical="center" wrapText="1"/>
    </xf>
    <xf numFmtId="166" fontId="22" fillId="10" borderId="3" xfId="3" applyNumberFormat="1" applyFont="1" applyFill="1" applyBorder="1" applyAlignment="1">
      <alignment vertical="center" wrapText="1"/>
    </xf>
    <xf numFmtId="0" fontId="22" fillId="11"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3" xfId="0" applyFont="1" applyFill="1" applyBorder="1" applyAlignment="1">
      <alignment vertical="center" wrapText="1"/>
    </xf>
    <xf numFmtId="166" fontId="23" fillId="11" borderId="3" xfId="3" applyNumberFormat="1" applyFont="1" applyFill="1" applyBorder="1" applyAlignment="1">
      <alignment horizontal="center" vertical="center" wrapText="1"/>
    </xf>
    <xf numFmtId="166" fontId="23" fillId="11" borderId="3" xfId="3" applyNumberFormat="1" applyFont="1" applyFill="1" applyBorder="1" applyAlignment="1">
      <alignment vertical="center" wrapText="1"/>
    </xf>
    <xf numFmtId="166" fontId="24" fillId="10" borderId="3" xfId="3" applyNumberFormat="1" applyFont="1" applyFill="1" applyBorder="1"/>
    <xf numFmtId="166" fontId="25" fillId="10" borderId="3" xfId="3" applyNumberFormat="1" applyFont="1" applyFill="1" applyBorder="1"/>
    <xf numFmtId="0" fontId="22" fillId="0"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166" fontId="23" fillId="0" borderId="3" xfId="3" applyNumberFormat="1" applyFont="1" applyFill="1" applyBorder="1" applyAlignment="1">
      <alignment horizontal="center" vertical="center" wrapText="1"/>
    </xf>
    <xf numFmtId="166" fontId="24" fillId="0" borderId="3" xfId="3" applyNumberFormat="1" applyFont="1" applyBorder="1" applyAlignment="1">
      <alignment horizontal="center"/>
    </xf>
    <xf numFmtId="166" fontId="23" fillId="0" borderId="3" xfId="3" applyNumberFormat="1" applyFont="1" applyFill="1" applyBorder="1" applyAlignment="1">
      <alignment vertical="center" wrapText="1"/>
    </xf>
    <xf numFmtId="166" fontId="0" fillId="0" borderId="0" xfId="3" applyNumberFormat="1" applyFont="1"/>
    <xf numFmtId="166" fontId="24" fillId="11" borderId="3" xfId="3" applyNumberFormat="1" applyFont="1" applyFill="1" applyBorder="1" applyAlignment="1">
      <alignment horizontal="center"/>
    </xf>
    <xf numFmtId="0" fontId="26" fillId="0"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Fill="1" applyBorder="1" applyAlignment="1">
      <alignment vertical="center" wrapText="1"/>
    </xf>
    <xf numFmtId="0" fontId="27" fillId="0" borderId="3" xfId="0" applyFont="1" applyFill="1" applyBorder="1" applyAlignment="1">
      <alignment vertical="center"/>
    </xf>
    <xf numFmtId="166" fontId="27" fillId="0" borderId="3" xfId="3" applyNumberFormat="1" applyFont="1" applyFill="1" applyBorder="1" applyAlignment="1">
      <alignment horizontal="center" vertical="center" wrapText="1"/>
    </xf>
    <xf numFmtId="166" fontId="27" fillId="0" borderId="3" xfId="3" applyNumberFormat="1" applyFont="1" applyBorder="1" applyAlignment="1">
      <alignment horizontal="center"/>
    </xf>
    <xf numFmtId="166" fontId="27" fillId="0" borderId="3" xfId="3" applyNumberFormat="1" applyFont="1" applyBorder="1" applyAlignment="1">
      <alignment horizontal="center" vertical="center"/>
    </xf>
    <xf numFmtId="0" fontId="28" fillId="0" borderId="3" xfId="0" applyFont="1" applyBorder="1" applyAlignment="1">
      <alignment horizontal="left" vertical="top" wrapText="1"/>
    </xf>
    <xf numFmtId="0" fontId="29" fillId="0" borderId="3" xfId="0" applyFont="1" applyFill="1" applyBorder="1" applyAlignment="1">
      <alignment vertical="center" wrapText="1"/>
    </xf>
    <xf numFmtId="166" fontId="29" fillId="0" borderId="3" xfId="3" applyNumberFormat="1" applyFont="1" applyFill="1" applyBorder="1" applyAlignment="1">
      <alignment horizontal="center" vertical="center" wrapText="1"/>
    </xf>
    <xf numFmtId="166" fontId="29" fillId="0" borderId="3" xfId="3" applyNumberFormat="1" applyFont="1" applyFill="1" applyBorder="1" applyAlignment="1">
      <alignment horizontal="center" vertical="center"/>
    </xf>
    <xf numFmtId="0" fontId="28" fillId="0" borderId="3" xfId="0" applyFont="1" applyBorder="1" applyAlignment="1">
      <alignment vertical="top"/>
    </xf>
    <xf numFmtId="0" fontId="14" fillId="0" borderId="0" xfId="0" applyFont="1"/>
    <xf numFmtId="166" fontId="27" fillId="0" borderId="3" xfId="3" applyNumberFormat="1" applyFont="1" applyFill="1" applyBorder="1" applyAlignment="1">
      <alignment horizontal="center"/>
    </xf>
    <xf numFmtId="166" fontId="27" fillId="0" borderId="3" xfId="3" applyNumberFormat="1" applyFont="1" applyFill="1" applyBorder="1" applyAlignment="1">
      <alignment horizontal="center" vertical="center"/>
    </xf>
    <xf numFmtId="0" fontId="23" fillId="12" borderId="3" xfId="0" applyFont="1" applyFill="1" applyBorder="1" applyAlignment="1">
      <alignment vertical="center" wrapText="1"/>
    </xf>
    <xf numFmtId="0" fontId="22" fillId="12" borderId="3" xfId="0" applyFont="1" applyFill="1" applyBorder="1" applyAlignment="1">
      <alignment vertical="center" wrapText="1"/>
    </xf>
    <xf numFmtId="166" fontId="24" fillId="12" borderId="3" xfId="3" applyNumberFormat="1" applyFont="1" applyFill="1" applyBorder="1" applyAlignment="1">
      <alignment horizontal="center"/>
    </xf>
    <xf numFmtId="166" fontId="25" fillId="12" borderId="3" xfId="3" applyNumberFormat="1" applyFont="1" applyFill="1" applyBorder="1" applyAlignment="1">
      <alignment horizontal="center"/>
    </xf>
    <xf numFmtId="9" fontId="0" fillId="0" borderId="3" xfId="0" applyNumberFormat="1" applyBorder="1" applyAlignment="1">
      <alignment horizontal="center" vertical="top"/>
    </xf>
    <xf numFmtId="0" fontId="2" fillId="13" borderId="3" xfId="0" applyFont="1" applyFill="1" applyBorder="1" applyAlignment="1">
      <alignment horizontal="center"/>
    </xf>
    <xf numFmtId="166" fontId="24" fillId="10" borderId="3" xfId="3" applyNumberFormat="1" applyFont="1" applyFill="1" applyBorder="1" applyAlignment="1">
      <alignment horizontal="center"/>
    </xf>
    <xf numFmtId="166" fontId="24" fillId="3" borderId="3" xfId="3" applyNumberFormat="1" applyFont="1" applyFill="1" applyBorder="1" applyAlignment="1">
      <alignment horizontal="center" vertical="center"/>
    </xf>
    <xf numFmtId="166" fontId="24" fillId="0" borderId="3" xfId="3" applyNumberFormat="1" applyFont="1" applyBorder="1" applyAlignment="1">
      <alignment horizontal="center" vertical="center"/>
    </xf>
    <xf numFmtId="165" fontId="24" fillId="0" borderId="3" xfId="3" applyFont="1" applyFill="1" applyBorder="1" applyAlignment="1">
      <alignment horizontal="center" vertical="center"/>
    </xf>
    <xf numFmtId="166" fontId="24" fillId="0" borderId="3" xfId="3" applyNumberFormat="1" applyFont="1" applyFill="1" applyBorder="1" applyAlignment="1">
      <alignment horizontal="center" vertical="center"/>
    </xf>
    <xf numFmtId="0" fontId="27" fillId="0" borderId="3" xfId="0" applyFont="1" applyBorder="1" applyAlignment="1">
      <alignment vertical="center" wrapText="1"/>
    </xf>
    <xf numFmtId="166" fontId="27" fillId="3" borderId="3" xfId="3" applyNumberFormat="1" applyFont="1" applyFill="1" applyBorder="1" applyAlignment="1">
      <alignment horizontal="center" vertical="center"/>
    </xf>
    <xf numFmtId="0" fontId="0" fillId="0" borderId="3" xfId="0" applyBorder="1" applyAlignment="1">
      <alignment horizontal="center" vertical="top"/>
    </xf>
    <xf numFmtId="166" fontId="2" fillId="13" borderId="3" xfId="3" applyNumberFormat="1" applyFont="1" applyFill="1" applyBorder="1" applyAlignment="1">
      <alignment horizontal="center"/>
    </xf>
    <xf numFmtId="166" fontId="24" fillId="0" borderId="3" xfId="3" applyNumberFormat="1" applyFont="1" applyFill="1" applyBorder="1" applyAlignment="1">
      <alignment horizontal="left" vertical="center"/>
    </xf>
    <xf numFmtId="0" fontId="28" fillId="0" borderId="3" xfId="0" applyFont="1" applyBorder="1" applyAlignment="1">
      <alignment vertical="top" wrapText="1"/>
    </xf>
    <xf numFmtId="166" fontId="25" fillId="12" borderId="3" xfId="3" applyNumberFormat="1" applyFont="1" applyFill="1" applyBorder="1" applyAlignment="1">
      <alignment horizontal="center" vertical="center"/>
    </xf>
    <xf numFmtId="166" fontId="25" fillId="10" borderId="3" xfId="3" applyNumberFormat="1" applyFont="1" applyFill="1" applyBorder="1" applyAlignment="1">
      <alignment horizontal="center" vertical="center"/>
    </xf>
    <xf numFmtId="0" fontId="0" fillId="0" borderId="3" xfId="0" applyBorder="1" applyAlignment="1">
      <alignment vertical="top"/>
    </xf>
    <xf numFmtId="0" fontId="23" fillId="3" borderId="3" xfId="0" applyFont="1" applyFill="1" applyBorder="1" applyAlignment="1">
      <alignment horizontal="center" vertical="center" wrapText="1"/>
    </xf>
    <xf numFmtId="9" fontId="30" fillId="0" borderId="0" xfId="0" applyNumberFormat="1" applyFont="1" applyAlignment="1">
      <alignment horizontal="center" vertical="center"/>
    </xf>
    <xf numFmtId="0" fontId="2" fillId="0" borderId="0" xfId="0" applyFont="1" applyAlignment="1">
      <alignment horizontal="left" vertical="center"/>
    </xf>
    <xf numFmtId="0" fontId="27" fillId="3" borderId="3" xfId="0" applyFont="1" applyFill="1" applyBorder="1" applyAlignment="1">
      <alignment horizontal="center" vertical="center" wrapText="1"/>
    </xf>
    <xf numFmtId="166" fontId="26" fillId="3" borderId="3" xfId="3" applyNumberFormat="1" applyFont="1" applyFill="1" applyBorder="1" applyAlignment="1">
      <alignment horizontal="center" vertical="center"/>
    </xf>
    <xf numFmtId="10" fontId="28" fillId="0" borderId="3" xfId="0" applyNumberFormat="1" applyFont="1" applyBorder="1" applyAlignment="1">
      <alignment horizontal="center" vertical="top"/>
    </xf>
    <xf numFmtId="0" fontId="31" fillId="0" borderId="3" xfId="0" applyFont="1" applyFill="1" applyBorder="1" applyAlignment="1">
      <alignment vertical="center" wrapText="1"/>
    </xf>
    <xf numFmtId="166" fontId="31" fillId="0" borderId="3" xfId="3" applyNumberFormat="1" applyFont="1" applyFill="1" applyBorder="1" applyAlignment="1">
      <alignment horizontal="center" vertical="center"/>
    </xf>
    <xf numFmtId="0" fontId="28" fillId="0" borderId="3" xfId="0" applyFont="1" applyBorder="1"/>
    <xf numFmtId="167" fontId="0" fillId="0" borderId="0" xfId="0" applyNumberFormat="1"/>
    <xf numFmtId="10" fontId="0" fillId="0" borderId="3" xfId="0" applyNumberFormat="1" applyBorder="1" applyAlignment="1">
      <alignment horizontal="center" vertical="top"/>
    </xf>
    <xf numFmtId="166" fontId="24" fillId="10" borderId="3" xfId="3" applyNumberFormat="1" applyFont="1" applyFill="1" applyBorder="1" applyAlignment="1">
      <alignment vertical="center"/>
    </xf>
    <xf numFmtId="0" fontId="22" fillId="0" borderId="3" xfId="0" applyFont="1" applyBorder="1" applyAlignment="1">
      <alignment horizontal="center" vertical="center" wrapText="1"/>
    </xf>
    <xf numFmtId="0" fontId="0" fillId="0" borderId="3" xfId="0" applyFont="1" applyFill="1" applyBorder="1" applyAlignment="1">
      <alignment horizontal="center" vertical="center"/>
    </xf>
    <xf numFmtId="0" fontId="23" fillId="0" borderId="3" xfId="0" applyFont="1" applyFill="1" applyBorder="1" applyAlignment="1">
      <alignment vertical="center" wrapText="1"/>
    </xf>
    <xf numFmtId="166" fontId="24" fillId="0" borderId="3" xfId="3" applyNumberFormat="1" applyFont="1" applyFill="1" applyBorder="1" applyAlignment="1">
      <alignment vertical="center"/>
    </xf>
    <xf numFmtId="10" fontId="30" fillId="0" borderId="0" xfId="0" applyNumberFormat="1" applyFont="1" applyAlignment="1">
      <alignment horizontal="center" vertical="center"/>
    </xf>
    <xf numFmtId="0" fontId="2" fillId="0" borderId="0" xfId="0" applyFont="1" applyAlignment="1">
      <alignment horizontal="center" vertical="center" wrapText="1"/>
    </xf>
    <xf numFmtId="3" fontId="0" fillId="0" borderId="0" xfId="0" applyNumberFormat="1"/>
    <xf numFmtId="166" fontId="24" fillId="10" borderId="3" xfId="3" applyNumberFormat="1" applyFont="1" applyFill="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vertical="center" wrapText="1"/>
    </xf>
    <xf numFmtId="165" fontId="24" fillId="0" borderId="3" xfId="3" applyNumberFormat="1" applyFont="1" applyBorder="1" applyAlignment="1">
      <alignment horizontal="center" vertical="center"/>
    </xf>
    <xf numFmtId="0" fontId="28" fillId="0" borderId="3" xfId="0" applyFont="1" applyBorder="1" applyAlignment="1">
      <alignment horizontal="left" vertical="top"/>
    </xf>
    <xf numFmtId="0" fontId="28" fillId="0" borderId="5" xfId="0" applyFont="1" applyBorder="1" applyAlignment="1">
      <alignment horizontal="left" vertical="top"/>
    </xf>
    <xf numFmtId="165" fontId="27" fillId="0" borderId="3" xfId="3" applyNumberFormat="1" applyFont="1" applyBorder="1" applyAlignment="1">
      <alignment horizontal="center" vertical="center"/>
    </xf>
    <xf numFmtId="0" fontId="23" fillId="3" borderId="3" xfId="0" applyFont="1" applyFill="1" applyBorder="1" applyAlignment="1">
      <alignment vertical="center" wrapText="1"/>
    </xf>
    <xf numFmtId="0" fontId="21" fillId="10" borderId="3" xfId="0" applyFont="1" applyFill="1" applyBorder="1" applyAlignment="1">
      <alignment vertical="center" wrapText="1"/>
    </xf>
    <xf numFmtId="166" fontId="31" fillId="10" borderId="3" xfId="3"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1" fillId="0" borderId="3" xfId="0" applyFont="1" applyFill="1" applyBorder="1" applyAlignment="1">
      <alignment vertical="center"/>
    </xf>
    <xf numFmtId="0" fontId="31" fillId="12" borderId="3" xfId="0" applyFont="1" applyFill="1" applyBorder="1" applyAlignment="1">
      <alignment vertical="center" wrapText="1"/>
    </xf>
    <xf numFmtId="0" fontId="21" fillId="12" borderId="3" xfId="0" applyFont="1" applyFill="1" applyBorder="1" applyAlignment="1">
      <alignment vertical="center" wrapText="1"/>
    </xf>
    <xf numFmtId="166" fontId="31" fillId="12" borderId="3" xfId="3" applyNumberFormat="1" applyFont="1" applyFill="1" applyBorder="1" applyAlignment="1">
      <alignment horizontal="center" vertical="center"/>
    </xf>
    <xf numFmtId="166" fontId="21" fillId="12" borderId="3" xfId="3" applyNumberFormat="1" applyFont="1" applyFill="1" applyBorder="1" applyAlignment="1">
      <alignment horizontal="center" vertical="center"/>
    </xf>
    <xf numFmtId="9" fontId="33" fillId="0" borderId="3" xfId="0" applyNumberFormat="1" applyFont="1" applyBorder="1" applyAlignment="1">
      <alignment horizontal="center" vertical="top"/>
    </xf>
    <xf numFmtId="0" fontId="22" fillId="10" borderId="3" xfId="0" applyFont="1" applyFill="1" applyBorder="1" applyAlignment="1">
      <alignment horizontal="left" vertical="center" wrapText="1"/>
    </xf>
    <xf numFmtId="4" fontId="0" fillId="0" borderId="0" xfId="0" applyNumberFormat="1"/>
    <xf numFmtId="0" fontId="26" fillId="3" borderId="3" xfId="0" applyFont="1" applyFill="1" applyBorder="1" applyAlignment="1">
      <alignment horizontal="center" vertical="center" wrapText="1"/>
    </xf>
    <xf numFmtId="166" fontId="26" fillId="12" borderId="3" xfId="3" applyNumberFormat="1" applyFont="1" applyFill="1" applyBorder="1" applyAlignment="1">
      <alignment horizontal="center" vertical="center"/>
    </xf>
    <xf numFmtId="0" fontId="27" fillId="0" borderId="3" xfId="0" applyFont="1" applyFill="1" applyBorder="1" applyAlignment="1">
      <alignment horizontal="center" vertical="center" wrapText="1"/>
    </xf>
    <xf numFmtId="0" fontId="0" fillId="12" borderId="3" xfId="0" applyFill="1" applyBorder="1"/>
    <xf numFmtId="0" fontId="0" fillId="14" borderId="3" xfId="0" applyFill="1" applyBorder="1"/>
    <xf numFmtId="0" fontId="22" fillId="14" borderId="3" xfId="0" applyFont="1" applyFill="1" applyBorder="1" applyAlignment="1">
      <alignment vertical="center" wrapText="1"/>
    </xf>
    <xf numFmtId="166" fontId="25" fillId="14" borderId="3" xfId="3" applyNumberFormat="1" applyFont="1" applyFill="1" applyBorder="1" applyAlignment="1">
      <alignment horizontal="center" vertical="center"/>
    </xf>
    <xf numFmtId="3" fontId="0" fillId="0" borderId="3" xfId="0" applyNumberFormat="1" applyBorder="1" applyAlignment="1">
      <alignment horizontal="center" vertical="top"/>
    </xf>
    <xf numFmtId="0" fontId="2" fillId="0" borderId="3" xfId="0" applyFont="1" applyBorder="1" applyAlignment="1">
      <alignment horizontal="center" vertical="center" wrapText="1"/>
    </xf>
    <xf numFmtId="0" fontId="2" fillId="13" borderId="3" xfId="0" applyFont="1" applyFill="1" applyBorder="1" applyAlignment="1">
      <alignment horizontal="center" vertical="center"/>
    </xf>
    <xf numFmtId="0" fontId="0" fillId="0" borderId="3" xfId="0" applyBorder="1"/>
    <xf numFmtId="0" fontId="22" fillId="15" borderId="3" xfId="0" applyFont="1" applyFill="1" applyBorder="1" applyAlignment="1">
      <alignment vertical="center" wrapText="1"/>
    </xf>
    <xf numFmtId="166" fontId="25" fillId="15" borderId="3"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xf numFmtId="1" fontId="0" fillId="0" borderId="0" xfId="0" applyNumberFormat="1" applyAlignment="1">
      <alignment vertical="center"/>
    </xf>
    <xf numFmtId="168" fontId="0" fillId="0" borderId="0" xfId="3" applyNumberFormat="1" applyFont="1" applyAlignment="1"/>
    <xf numFmtId="3" fontId="21" fillId="9" borderId="3" xfId="0" applyNumberFormat="1" applyFont="1" applyFill="1" applyBorder="1" applyAlignment="1">
      <alignment horizontal="center" vertical="center" wrapText="1"/>
    </xf>
    <xf numFmtId="0" fontId="35" fillId="10" borderId="8"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3" xfId="0" applyFont="1" applyFill="1" applyBorder="1" applyAlignment="1">
      <alignment horizontal="left" vertical="center"/>
    </xf>
    <xf numFmtId="169" fontId="35" fillId="10" borderId="3" xfId="3" applyNumberFormat="1" applyFont="1" applyFill="1" applyBorder="1" applyAlignment="1">
      <alignment horizontal="center" vertical="center"/>
    </xf>
    <xf numFmtId="1" fontId="35" fillId="10" borderId="3" xfId="3" applyNumberFormat="1" applyFont="1" applyFill="1" applyBorder="1" applyAlignment="1">
      <alignment horizontal="center" vertical="center"/>
    </xf>
    <xf numFmtId="168" fontId="35" fillId="10" borderId="9" xfId="3" applyNumberFormat="1" applyFont="1" applyFill="1" applyBorder="1" applyAlignment="1">
      <alignment horizontal="center" vertical="center"/>
    </xf>
    <xf numFmtId="0" fontId="36" fillId="2" borderId="3" xfId="0" applyFont="1" applyFill="1" applyBorder="1" applyAlignment="1">
      <alignment horizontal="center" vertical="center"/>
    </xf>
    <xf numFmtId="0" fontId="35" fillId="2" borderId="3" xfId="0" applyFont="1" applyFill="1" applyBorder="1" applyAlignment="1">
      <alignment horizontal="left" vertical="center"/>
    </xf>
    <xf numFmtId="169" fontId="35" fillId="2" borderId="3" xfId="3" applyNumberFormat="1" applyFont="1" applyFill="1" applyBorder="1" applyAlignment="1">
      <alignment horizontal="center" vertical="center"/>
    </xf>
    <xf numFmtId="1" fontId="35" fillId="2" borderId="3" xfId="3" applyNumberFormat="1" applyFont="1" applyFill="1" applyBorder="1" applyAlignment="1">
      <alignment horizontal="center" vertical="center"/>
    </xf>
    <xf numFmtId="168" fontId="35" fillId="2" borderId="9" xfId="3" applyNumberFormat="1"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lignment horizontal="left" vertical="center"/>
    </xf>
    <xf numFmtId="168" fontId="37" fillId="3" borderId="3" xfId="3" applyNumberFormat="1" applyFont="1" applyFill="1" applyBorder="1" applyAlignment="1">
      <alignment horizontal="center" vertical="center"/>
    </xf>
    <xf numFmtId="168" fontId="38" fillId="0" borderId="9" xfId="3" applyNumberFormat="1" applyFont="1" applyFill="1" applyBorder="1" applyAlignment="1">
      <alignment horizontal="center" vertical="center"/>
    </xf>
    <xf numFmtId="168" fontId="39" fillId="8" borderId="3" xfId="3" applyNumberFormat="1" applyFont="1" applyFill="1" applyBorder="1" applyAlignment="1">
      <alignment horizontal="center" vertical="center" wrapText="1"/>
    </xf>
    <xf numFmtId="0" fontId="0" fillId="0" borderId="0" xfId="0" applyAlignment="1">
      <alignment vertical="center" wrapText="1"/>
    </xf>
    <xf numFmtId="168" fontId="35" fillId="2" borderId="3" xfId="3" applyNumberFormat="1" applyFont="1" applyFill="1" applyBorder="1" applyAlignment="1">
      <alignment horizontal="center" vertical="center"/>
    </xf>
    <xf numFmtId="168" fontId="37" fillId="0" borderId="9" xfId="3" applyNumberFormat="1" applyFont="1" applyFill="1" applyBorder="1" applyAlignment="1">
      <alignment horizontal="center" vertical="center"/>
    </xf>
    <xf numFmtId="168" fontId="0" fillId="0" borderId="0" xfId="0" applyNumberFormat="1" applyAlignment="1">
      <alignment vertical="center"/>
    </xf>
    <xf numFmtId="0" fontId="39" fillId="12" borderId="3" xfId="0" applyFont="1" applyFill="1" applyBorder="1" applyAlignment="1">
      <alignment horizontal="center" vertical="center"/>
    </xf>
    <xf numFmtId="0" fontId="39" fillId="12" borderId="3" xfId="0" applyFont="1" applyFill="1" applyBorder="1" applyAlignment="1">
      <alignment horizontal="left" vertical="center"/>
    </xf>
    <xf numFmtId="168" fontId="39" fillId="12" borderId="3" xfId="3" applyNumberFormat="1" applyFont="1" applyFill="1" applyBorder="1" applyAlignment="1">
      <alignment horizontal="center" vertical="center"/>
    </xf>
    <xf numFmtId="168" fontId="40" fillId="12" borderId="9" xfId="3" applyNumberFormat="1" applyFont="1" applyFill="1" applyBorder="1" applyAlignment="1">
      <alignment horizontal="center" vertical="center"/>
    </xf>
    <xf numFmtId="0" fontId="35" fillId="16" borderId="3" xfId="0" applyFont="1" applyFill="1" applyBorder="1" applyAlignment="1">
      <alignment horizontal="center" vertical="center"/>
    </xf>
    <xf numFmtId="168" fontId="37" fillId="2" borderId="3" xfId="3" applyNumberFormat="1" applyFont="1" applyFill="1" applyBorder="1" applyAlignment="1">
      <alignment horizontal="center" vertical="center"/>
    </xf>
    <xf numFmtId="168" fontId="35" fillId="4" borderId="9" xfId="3" applyNumberFormat="1" applyFont="1" applyFill="1" applyBorder="1" applyAlignment="1">
      <alignment horizontal="center" vertical="center" wrapText="1"/>
    </xf>
    <xf numFmtId="0" fontId="37" fillId="0" borderId="3" xfId="0" applyFont="1" applyFill="1" applyBorder="1" applyAlignment="1">
      <alignment horizontal="left" vertical="center" wrapText="1"/>
    </xf>
    <xf numFmtId="168" fontId="37" fillId="0" borderId="3" xfId="3" applyNumberFormat="1" applyFont="1" applyFill="1" applyBorder="1" applyAlignment="1">
      <alignment horizontal="center" vertical="center"/>
    </xf>
    <xf numFmtId="0" fontId="37" fillId="0" borderId="3" xfId="0" applyFont="1" applyFill="1" applyBorder="1" applyAlignment="1">
      <alignment horizontal="left" vertical="center"/>
    </xf>
    <xf numFmtId="168" fontId="39" fillId="12" borderId="9" xfId="3" applyNumberFormat="1" applyFont="1" applyFill="1" applyBorder="1" applyAlignment="1">
      <alignment horizontal="center" vertical="center"/>
    </xf>
    <xf numFmtId="0" fontId="39" fillId="2" borderId="3" xfId="0" applyFont="1" applyFill="1" applyBorder="1" applyAlignment="1">
      <alignment horizontal="center" vertical="center"/>
    </xf>
    <xf numFmtId="0" fontId="39" fillId="2" borderId="3" xfId="0" applyFont="1" applyFill="1" applyBorder="1" applyAlignment="1">
      <alignment horizontal="left" vertical="center"/>
    </xf>
    <xf numFmtId="168" fontId="39" fillId="2" borderId="3" xfId="3" applyNumberFormat="1" applyFont="1" applyFill="1" applyBorder="1" applyAlignment="1">
      <alignment horizontal="center" vertical="center"/>
    </xf>
    <xf numFmtId="168" fontId="39" fillId="2" borderId="9" xfId="3" applyNumberFormat="1" applyFont="1" applyFill="1" applyBorder="1" applyAlignment="1">
      <alignment horizontal="center" vertical="center"/>
    </xf>
    <xf numFmtId="0" fontId="36" fillId="3" borderId="3" xfId="0" applyFont="1" applyFill="1" applyBorder="1" applyAlignment="1">
      <alignment horizontal="left" vertical="center"/>
    </xf>
    <xf numFmtId="168" fontId="36" fillId="3" borderId="3" xfId="3" applyNumberFormat="1" applyFont="1" applyFill="1" applyBorder="1" applyAlignment="1">
      <alignment horizontal="center" vertical="center"/>
    </xf>
    <xf numFmtId="0" fontId="35" fillId="2" borderId="3" xfId="0" applyFont="1" applyFill="1" applyBorder="1" applyAlignment="1">
      <alignment horizontal="center" vertical="center"/>
    </xf>
    <xf numFmtId="0" fontId="2" fillId="0" borderId="0" xfId="0" applyFont="1" applyAlignment="1">
      <alignment vertical="center"/>
    </xf>
    <xf numFmtId="0" fontId="37" fillId="3" borderId="3" xfId="0" applyFont="1" applyFill="1" applyBorder="1" applyAlignment="1">
      <alignment horizontal="left" vertical="center" wrapText="1"/>
    </xf>
    <xf numFmtId="0" fontId="5" fillId="0" borderId="3" xfId="0" applyFont="1" applyBorder="1" applyAlignment="1" applyProtection="1">
      <alignment horizontal="left" vertical="top" wrapText="1"/>
    </xf>
    <xf numFmtId="0" fontId="39" fillId="2" borderId="2" xfId="0" applyFont="1" applyFill="1" applyBorder="1" applyAlignment="1">
      <alignment horizontal="center" vertical="center"/>
    </xf>
    <xf numFmtId="0" fontId="39" fillId="12" borderId="2" xfId="0" applyFont="1" applyFill="1" applyBorder="1" applyAlignment="1">
      <alignment horizontal="center" vertical="center"/>
    </xf>
    <xf numFmtId="0" fontId="37" fillId="0" borderId="2" xfId="0" applyFont="1" applyFill="1" applyBorder="1" applyAlignment="1">
      <alignment horizontal="center" vertical="center"/>
    </xf>
    <xf numFmtId="0" fontId="39" fillId="0" borderId="3" xfId="0" applyFont="1" applyFill="1" applyBorder="1" applyAlignment="1">
      <alignment horizontal="left" vertical="center"/>
    </xf>
    <xf numFmtId="0" fontId="37" fillId="12" borderId="2" xfId="0" applyFont="1" applyFill="1" applyBorder="1" applyAlignment="1">
      <alignment horizontal="center" vertical="center"/>
    </xf>
    <xf numFmtId="168" fontId="37" fillId="12" borderId="3" xfId="3" applyNumberFormat="1" applyFont="1" applyFill="1" applyBorder="1" applyAlignment="1">
      <alignment horizontal="center" vertical="center"/>
    </xf>
    <xf numFmtId="168" fontId="37" fillId="12" borderId="9" xfId="3" applyNumberFormat="1" applyFont="1" applyFill="1" applyBorder="1" applyAlignment="1">
      <alignment horizontal="center" vertical="center"/>
    </xf>
    <xf numFmtId="168" fontId="41" fillId="0" borderId="3" xfId="3" applyNumberFormat="1" applyFont="1" applyFill="1" applyBorder="1" applyAlignment="1">
      <alignment vertical="center"/>
    </xf>
    <xf numFmtId="0" fontId="35" fillId="17" borderId="2" xfId="0" applyFont="1" applyFill="1" applyBorder="1" applyAlignment="1">
      <alignment horizontal="center" vertical="center"/>
    </xf>
    <xf numFmtId="0" fontId="35" fillId="17" borderId="3" xfId="0" applyFont="1" applyFill="1" applyBorder="1" applyAlignment="1">
      <alignment horizontal="left" vertical="center"/>
    </xf>
    <xf numFmtId="168" fontId="35" fillId="7" borderId="3" xfId="3" applyNumberFormat="1" applyFont="1" applyFill="1" applyBorder="1" applyAlignment="1">
      <alignment horizontal="center" vertical="center"/>
    </xf>
    <xf numFmtId="168" fontId="35" fillId="7" borderId="9" xfId="3" applyNumberFormat="1"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168" fontId="39" fillId="0" borderId="3" xfId="3" applyNumberFormat="1" applyFont="1" applyFill="1" applyBorder="1" applyAlignment="1">
      <alignment horizontal="center" vertical="center"/>
    </xf>
    <xf numFmtId="168" fontId="35" fillId="0" borderId="3" xfId="3" applyNumberFormat="1" applyFont="1" applyFill="1" applyBorder="1" applyAlignment="1">
      <alignment horizontal="center" vertical="center"/>
    </xf>
    <xf numFmtId="168" fontId="39" fillId="0" borderId="9" xfId="3" applyNumberFormat="1" applyFont="1" applyFill="1" applyBorder="1" applyAlignment="1">
      <alignment horizontal="center" vertical="center"/>
    </xf>
    <xf numFmtId="0" fontId="35" fillId="17" borderId="8" xfId="0" applyFont="1" applyFill="1" applyBorder="1" applyAlignment="1">
      <alignment horizontal="center" vertical="center"/>
    </xf>
    <xf numFmtId="168" fontId="39" fillId="17" borderId="13" xfId="3" applyNumberFormat="1" applyFont="1" applyFill="1" applyBorder="1" applyAlignment="1">
      <alignment horizontal="center" vertical="center"/>
    </xf>
    <xf numFmtId="168" fontId="39" fillId="17" borderId="14" xfId="3" applyNumberFormat="1" applyFont="1" applyFill="1" applyBorder="1" applyAlignment="1">
      <alignment horizontal="center" vertical="center"/>
    </xf>
    <xf numFmtId="168" fontId="0" fillId="0" borderId="0" xfId="3" applyNumberFormat="1" applyFont="1" applyAlignment="1">
      <alignment vertical="center"/>
    </xf>
    <xf numFmtId="0" fontId="20" fillId="0" borderId="0" xfId="0" applyFont="1"/>
    <xf numFmtId="0" fontId="34" fillId="0" borderId="0" xfId="0" applyFont="1" applyFill="1"/>
    <xf numFmtId="0" fontId="20" fillId="0" borderId="0" xfId="0" applyFont="1" applyFill="1"/>
    <xf numFmtId="0" fontId="0" fillId="0" borderId="0" xfId="0" applyFill="1"/>
    <xf numFmtId="0" fontId="42" fillId="0" borderId="6" xfId="0" applyFont="1" applyFill="1" applyBorder="1" applyAlignment="1">
      <alignment horizontal="justify" vertical="top" wrapText="1"/>
    </xf>
    <xf numFmtId="0" fontId="42" fillId="0" borderId="2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42" fillId="4" borderId="6" xfId="0" applyFont="1" applyFill="1" applyBorder="1" applyAlignment="1">
      <alignment horizontal="center" vertical="center" wrapText="1"/>
    </xf>
    <xf numFmtId="0" fontId="42" fillId="10" borderId="6" xfId="0" applyFont="1" applyFill="1" applyBorder="1" applyAlignment="1">
      <alignment horizontal="left" vertical="center" wrapText="1"/>
    </xf>
    <xf numFmtId="169" fontId="42" fillId="10" borderId="60" xfId="3" applyNumberFormat="1" applyFont="1" applyFill="1" applyBorder="1" applyAlignment="1">
      <alignment horizontal="center" vertical="top" wrapText="1"/>
    </xf>
    <xf numFmtId="169" fontId="42" fillId="10" borderId="61" xfId="3" applyNumberFormat="1" applyFont="1" applyFill="1" applyBorder="1" applyAlignment="1">
      <alignment horizontal="center" vertical="top" wrapText="1"/>
    </xf>
    <xf numFmtId="169" fontId="42" fillId="10" borderId="62" xfId="3" applyNumberFormat="1" applyFont="1" applyFill="1" applyBorder="1" applyAlignment="1">
      <alignment horizontal="center" vertical="top" wrapText="1"/>
    </xf>
    <xf numFmtId="169" fontId="42" fillId="10" borderId="6" xfId="3" applyNumberFormat="1" applyFont="1" applyFill="1" applyBorder="1" applyAlignment="1">
      <alignment horizontal="center" vertical="top" wrapText="1"/>
    </xf>
    <xf numFmtId="0" fontId="43" fillId="2" borderId="63" xfId="0" applyFont="1" applyFill="1" applyBorder="1" applyAlignment="1">
      <alignment horizontal="center" wrapText="1"/>
    </xf>
    <xf numFmtId="0" fontId="42" fillId="2" borderId="53" xfId="0" applyFont="1" applyFill="1" applyBorder="1" applyAlignment="1">
      <alignment horizontal="left" vertical="center" wrapText="1"/>
    </xf>
    <xf numFmtId="169" fontId="42" fillId="2" borderId="52" xfId="3" applyNumberFormat="1" applyFont="1" applyFill="1" applyBorder="1" applyAlignment="1">
      <alignment horizontal="center" vertical="center" wrapText="1"/>
    </xf>
    <xf numFmtId="169" fontId="42" fillId="2" borderId="38" xfId="3" applyNumberFormat="1" applyFont="1" applyFill="1" applyBorder="1" applyAlignment="1">
      <alignment horizontal="center" vertical="center" wrapText="1"/>
    </xf>
    <xf numFmtId="169" fontId="42" fillId="2" borderId="46" xfId="3" applyNumberFormat="1" applyFont="1" applyFill="1" applyBorder="1" applyAlignment="1">
      <alignment horizontal="center" vertical="center" wrapText="1"/>
    </xf>
    <xf numFmtId="168" fontId="42" fillId="2" borderId="53" xfId="3" applyNumberFormat="1" applyFont="1" applyFill="1" applyBorder="1" applyAlignment="1">
      <alignment horizontal="center" vertical="center" wrapText="1"/>
    </xf>
    <xf numFmtId="0" fontId="43" fillId="0" borderId="53" xfId="0" applyFont="1" applyFill="1" applyBorder="1" applyAlignment="1">
      <alignment horizontal="center" wrapText="1"/>
    </xf>
    <xf numFmtId="0" fontId="44" fillId="3" borderId="53" xfId="0" applyFont="1" applyFill="1" applyBorder="1" applyAlignment="1">
      <alignment horizontal="left" vertical="center" wrapText="1"/>
    </xf>
    <xf numFmtId="169" fontId="44" fillId="3" borderId="35" xfId="3" applyNumberFormat="1" applyFont="1" applyFill="1" applyBorder="1" applyAlignment="1">
      <alignment horizontal="center" vertical="center" wrapText="1"/>
    </xf>
    <xf numFmtId="169" fontId="44" fillId="3" borderId="38" xfId="3" applyNumberFormat="1" applyFont="1" applyFill="1" applyBorder="1" applyAlignment="1">
      <alignment horizontal="center" vertical="center" wrapText="1"/>
    </xf>
    <xf numFmtId="169" fontId="44" fillId="3" borderId="46" xfId="3" applyNumberFormat="1" applyFont="1" applyFill="1" applyBorder="1" applyAlignment="1">
      <alignment horizontal="center" vertical="center" wrapText="1"/>
    </xf>
    <xf numFmtId="169" fontId="44" fillId="3" borderId="54" xfId="3" applyNumberFormat="1" applyFont="1" applyFill="1" applyBorder="1" applyAlignment="1">
      <alignment horizontal="center" vertical="center" wrapText="1"/>
    </xf>
    <xf numFmtId="0" fontId="43" fillId="19" borderId="53" xfId="0" applyFont="1" applyFill="1" applyBorder="1" applyAlignment="1">
      <alignment horizontal="center" wrapText="1"/>
    </xf>
    <xf numFmtId="0" fontId="43" fillId="19" borderId="22" xfId="0" applyFont="1" applyFill="1" applyBorder="1" applyAlignment="1">
      <alignment horizontal="left" vertical="center" wrapText="1"/>
    </xf>
    <xf numFmtId="169" fontId="43" fillId="19" borderId="2" xfId="3" applyNumberFormat="1" applyFont="1" applyFill="1" applyBorder="1" applyAlignment="1">
      <alignment horizontal="center" vertical="center" wrapText="1"/>
    </xf>
    <xf numFmtId="169" fontId="43" fillId="19" borderId="38" xfId="3" applyNumberFormat="1" applyFont="1" applyFill="1" applyBorder="1" applyAlignment="1">
      <alignment horizontal="center" vertical="center" wrapText="1"/>
    </xf>
    <xf numFmtId="169" fontId="43" fillId="19" borderId="46" xfId="3" applyNumberFormat="1" applyFont="1" applyFill="1" applyBorder="1" applyAlignment="1">
      <alignment horizontal="center" vertical="center" wrapText="1"/>
    </xf>
    <xf numFmtId="169" fontId="44" fillId="4" borderId="54" xfId="3" applyNumberFormat="1" applyFont="1" applyFill="1" applyBorder="1" applyAlignment="1">
      <alignment horizontal="center" vertical="center" wrapText="1"/>
    </xf>
    <xf numFmtId="0" fontId="43" fillId="20" borderId="53" xfId="0" applyFont="1" applyFill="1" applyBorder="1" applyAlignment="1">
      <alignment horizontal="center" wrapText="1"/>
    </xf>
    <xf numFmtId="0" fontId="45" fillId="20" borderId="64" xfId="0" applyFont="1" applyFill="1" applyBorder="1" applyAlignment="1">
      <alignment vertical="center" wrapText="1"/>
    </xf>
    <xf numFmtId="169" fontId="46" fillId="20" borderId="52" xfId="3" applyNumberFormat="1" applyFont="1" applyFill="1" applyBorder="1" applyAlignment="1">
      <alignment horizontal="center" vertical="center" wrapText="1"/>
    </xf>
    <xf numFmtId="169" fontId="46" fillId="20" borderId="38" xfId="3" applyNumberFormat="1" applyFont="1" applyFill="1" applyBorder="1" applyAlignment="1">
      <alignment horizontal="center" vertical="center" wrapText="1"/>
    </xf>
    <xf numFmtId="169" fontId="46" fillId="20" borderId="46" xfId="3" applyNumberFormat="1" applyFont="1" applyFill="1" applyBorder="1" applyAlignment="1">
      <alignment horizontal="center" vertical="center" wrapText="1"/>
    </xf>
    <xf numFmtId="169" fontId="46" fillId="20" borderId="54" xfId="3" applyNumberFormat="1" applyFont="1" applyFill="1" applyBorder="1" applyAlignment="1">
      <alignment horizontal="center" vertical="center" wrapText="1"/>
    </xf>
    <xf numFmtId="0" fontId="43" fillId="2" borderId="54" xfId="0" applyFont="1" applyFill="1" applyBorder="1" applyAlignment="1">
      <alignment horizontal="center" wrapText="1"/>
    </xf>
    <xf numFmtId="0" fontId="42" fillId="2" borderId="54" xfId="0" applyFont="1" applyFill="1" applyBorder="1" applyAlignment="1">
      <alignment horizontal="left" vertical="center" wrapText="1"/>
    </xf>
    <xf numFmtId="169" fontId="42" fillId="2" borderId="2" xfId="3" applyNumberFormat="1" applyFont="1" applyFill="1" applyBorder="1" applyAlignment="1">
      <alignment horizontal="center" vertical="center" wrapText="1"/>
    </xf>
    <xf numFmtId="169" fontId="42" fillId="2" borderId="3" xfId="3" applyNumberFormat="1" applyFont="1" applyFill="1" applyBorder="1" applyAlignment="1">
      <alignment horizontal="center" vertical="center" wrapText="1"/>
    </xf>
    <xf numFmtId="169" fontId="42" fillId="2" borderId="4" xfId="3" applyNumberFormat="1" applyFont="1" applyFill="1" applyBorder="1" applyAlignment="1">
      <alignment horizontal="center" vertical="center" wrapText="1"/>
    </xf>
    <xf numFmtId="168" fontId="42" fillId="2" borderId="54" xfId="3" applyNumberFormat="1" applyFont="1" applyFill="1" applyBorder="1" applyAlignment="1">
      <alignment horizontal="center" vertical="center" wrapText="1"/>
    </xf>
    <xf numFmtId="0" fontId="43" fillId="19" borderId="54" xfId="0" applyFont="1" applyFill="1" applyBorder="1" applyAlignment="1">
      <alignment horizontal="center" wrapText="1"/>
    </xf>
    <xf numFmtId="0" fontId="44" fillId="19" borderId="54" xfId="0" applyFont="1" applyFill="1" applyBorder="1" applyAlignment="1">
      <alignment horizontal="left" vertical="center" wrapText="1"/>
    </xf>
    <xf numFmtId="169" fontId="44" fillId="19" borderId="2" xfId="3" applyNumberFormat="1" applyFont="1" applyFill="1" applyBorder="1" applyAlignment="1">
      <alignment horizontal="center" vertical="center" wrapText="1"/>
    </xf>
    <xf numFmtId="169" fontId="44" fillId="19" borderId="3" xfId="3" applyNumberFormat="1" applyFont="1" applyFill="1" applyBorder="1" applyAlignment="1">
      <alignment horizontal="center" vertical="center" wrapText="1"/>
    </xf>
    <xf numFmtId="169" fontId="44" fillId="19" borderId="4" xfId="3" applyNumberFormat="1" applyFont="1" applyFill="1" applyBorder="1" applyAlignment="1">
      <alignment horizontal="center" vertical="center" wrapText="1"/>
    </xf>
    <xf numFmtId="168" fontId="44" fillId="19" borderId="53" xfId="3" applyNumberFormat="1" applyFont="1" applyFill="1" applyBorder="1" applyAlignment="1">
      <alignment horizontal="center" vertical="center" wrapText="1"/>
    </xf>
    <xf numFmtId="0" fontId="43" fillId="20" borderId="54" xfId="0" applyFont="1" applyFill="1" applyBorder="1" applyAlignment="1">
      <alignment horizontal="center" wrapText="1"/>
    </xf>
    <xf numFmtId="0" fontId="46" fillId="20" borderId="53" xfId="0" applyFont="1" applyFill="1" applyBorder="1" applyAlignment="1">
      <alignment horizontal="left" vertical="center" wrapText="1"/>
    </xf>
    <xf numFmtId="169" fontId="46" fillId="20" borderId="2" xfId="3" applyNumberFormat="1" applyFont="1" applyFill="1" applyBorder="1" applyAlignment="1">
      <alignment horizontal="center" vertical="center" wrapText="1"/>
    </xf>
    <xf numFmtId="169" fontId="46" fillId="20" borderId="3" xfId="3" applyNumberFormat="1" applyFont="1" applyFill="1" applyBorder="1" applyAlignment="1">
      <alignment horizontal="center" vertical="center" wrapText="1"/>
    </xf>
    <xf numFmtId="169" fontId="46" fillId="20" borderId="4" xfId="3" applyNumberFormat="1" applyFont="1" applyFill="1" applyBorder="1" applyAlignment="1">
      <alignment horizontal="center" vertical="center" wrapText="1"/>
    </xf>
    <xf numFmtId="168" fontId="46" fillId="20" borderId="53" xfId="3" applyNumberFormat="1" applyFont="1" applyFill="1" applyBorder="1" applyAlignment="1">
      <alignment horizontal="center" vertical="center" wrapText="1"/>
    </xf>
    <xf numFmtId="169" fontId="42" fillId="2" borderId="57" xfId="3" applyNumberFormat="1" applyFont="1" applyFill="1" applyBorder="1" applyAlignment="1">
      <alignment horizontal="center" vertical="center" wrapText="1"/>
    </xf>
    <xf numFmtId="169" fontId="42" fillId="2" borderId="54" xfId="3" applyNumberFormat="1" applyFont="1" applyFill="1" applyBorder="1" applyAlignment="1">
      <alignment horizontal="center" vertical="center" wrapText="1"/>
    </xf>
    <xf numFmtId="0" fontId="44" fillId="0" borderId="54" xfId="0" applyFont="1" applyFill="1" applyBorder="1" applyAlignment="1">
      <alignment horizontal="left" vertical="center" wrapText="1" indent="2"/>
    </xf>
    <xf numFmtId="0" fontId="44" fillId="0" borderId="53" xfId="0" applyFont="1" applyFill="1" applyBorder="1" applyAlignment="1">
      <alignment horizontal="left" vertical="center" wrapText="1"/>
    </xf>
    <xf numFmtId="169" fontId="44" fillId="3" borderId="65" xfId="3" applyNumberFormat="1" applyFont="1" applyFill="1" applyBorder="1" applyAlignment="1">
      <alignment horizontal="center" vertical="center" wrapText="1"/>
    </xf>
    <xf numFmtId="169" fontId="44" fillId="3" borderId="7" xfId="3" applyNumberFormat="1" applyFont="1" applyFill="1" applyBorder="1" applyAlignment="1">
      <alignment horizontal="center" vertical="center" wrapText="1"/>
    </xf>
    <xf numFmtId="169" fontId="44" fillId="3" borderId="53" xfId="3" applyNumberFormat="1" applyFont="1" applyFill="1" applyBorder="1" applyAlignment="1">
      <alignment horizontal="left" vertical="center" wrapText="1"/>
    </xf>
    <xf numFmtId="169" fontId="44" fillId="3" borderId="2" xfId="3" applyNumberFormat="1" applyFont="1" applyFill="1" applyBorder="1" applyAlignment="1">
      <alignment horizontal="center" vertical="center" wrapText="1"/>
    </xf>
    <xf numFmtId="169" fontId="44" fillId="0" borderId="1" xfId="3" applyNumberFormat="1" applyFont="1" applyFill="1" applyBorder="1" applyAlignment="1">
      <alignment horizontal="center" vertical="center" wrapText="1"/>
    </xf>
    <xf numFmtId="169" fontId="44" fillId="3" borderId="4" xfId="3" applyNumberFormat="1" applyFont="1" applyFill="1" applyBorder="1" applyAlignment="1">
      <alignment horizontal="center" vertical="center" wrapText="1"/>
    </xf>
    <xf numFmtId="169" fontId="44" fillId="3" borderId="47" xfId="3" applyNumberFormat="1" applyFont="1" applyFill="1" applyBorder="1" applyAlignment="1">
      <alignment horizontal="center" vertical="center" wrapText="1"/>
    </xf>
    <xf numFmtId="169" fontId="44" fillId="0" borderId="4" xfId="3" applyNumberFormat="1" applyFont="1" applyFill="1" applyBorder="1" applyAlignment="1">
      <alignment horizontal="center" vertical="center" wrapText="1"/>
    </xf>
    <xf numFmtId="169" fontId="44" fillId="0" borderId="53" xfId="3" applyNumberFormat="1" applyFont="1" applyFill="1" applyBorder="1" applyAlignment="1">
      <alignment horizontal="left" vertical="center" wrapText="1"/>
    </xf>
    <xf numFmtId="169" fontId="44" fillId="0" borderId="35" xfId="3" applyNumberFormat="1" applyFont="1" applyFill="1" applyBorder="1" applyAlignment="1">
      <alignment horizontal="center" vertical="center" wrapText="1"/>
    </xf>
    <xf numFmtId="169" fontId="44" fillId="0" borderId="46" xfId="3" applyNumberFormat="1" applyFont="1" applyFill="1" applyBorder="1" applyAlignment="1">
      <alignment horizontal="center" vertical="center" wrapText="1"/>
    </xf>
    <xf numFmtId="0" fontId="44" fillId="3" borderId="54" xfId="0" applyFont="1" applyFill="1" applyBorder="1" applyAlignment="1">
      <alignment horizontal="left" vertical="center" wrapText="1" indent="2"/>
    </xf>
    <xf numFmtId="0" fontId="47" fillId="0" borderId="66" xfId="0" applyFont="1" applyBorder="1" applyAlignment="1">
      <alignment vertical="center" wrapText="1"/>
    </xf>
    <xf numFmtId="2" fontId="48" fillId="0" borderId="18" xfId="0" applyNumberFormat="1" applyFont="1" applyBorder="1" applyAlignment="1">
      <alignment vertical="center" wrapText="1"/>
    </xf>
    <xf numFmtId="0" fontId="44" fillId="20" borderId="54" xfId="0" applyFont="1" applyFill="1" applyBorder="1" applyAlignment="1">
      <alignment horizontal="left" vertical="center" wrapText="1" indent="2"/>
    </xf>
    <xf numFmtId="169" fontId="46" fillId="20" borderId="54" xfId="3" applyNumberFormat="1" applyFont="1" applyFill="1" applyBorder="1" applyAlignment="1">
      <alignment horizontal="left" vertical="center" wrapText="1"/>
    </xf>
    <xf numFmtId="169" fontId="46" fillId="20" borderId="1"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169" fontId="44" fillId="2" borderId="60" xfId="3" applyNumberFormat="1" applyFont="1" applyFill="1" applyBorder="1" applyAlignment="1">
      <alignment horizontal="center" vertical="top" wrapText="1"/>
    </xf>
    <xf numFmtId="169" fontId="44" fillId="2" borderId="61" xfId="3" applyNumberFormat="1" applyFont="1" applyFill="1" applyBorder="1" applyAlignment="1">
      <alignment horizontal="center" vertical="top" wrapText="1"/>
    </xf>
    <xf numFmtId="169" fontId="44" fillId="2" borderId="62" xfId="3" applyNumberFormat="1" applyFont="1" applyFill="1" applyBorder="1" applyAlignment="1">
      <alignment horizontal="center" vertical="top" wrapText="1"/>
    </xf>
    <xf numFmtId="169" fontId="42" fillId="2" borderId="23" xfId="3" applyNumberFormat="1" applyFont="1" applyFill="1" applyBorder="1" applyAlignment="1">
      <alignment horizontal="center" vertical="top" wrapText="1"/>
    </xf>
    <xf numFmtId="0" fontId="46" fillId="3" borderId="53" xfId="0" applyFont="1" applyFill="1" applyBorder="1" applyAlignment="1">
      <alignment horizontal="center"/>
    </xf>
    <xf numFmtId="0" fontId="43" fillId="3" borderId="53" xfId="0" applyFont="1" applyFill="1" applyBorder="1" applyAlignment="1">
      <alignment horizontal="left"/>
    </xf>
    <xf numFmtId="0" fontId="43" fillId="3" borderId="51" xfId="0" applyFont="1" applyFill="1" applyBorder="1" applyAlignment="1">
      <alignment horizontal="center"/>
    </xf>
    <xf numFmtId="0" fontId="43" fillId="3" borderId="46" xfId="0" applyFont="1" applyFill="1" applyBorder="1" applyAlignment="1">
      <alignment horizontal="center"/>
    </xf>
    <xf numFmtId="168" fontId="43" fillId="3" borderId="46" xfId="3" applyNumberFormat="1" applyFont="1" applyFill="1" applyBorder="1" applyAlignment="1">
      <alignment horizontal="right"/>
    </xf>
    <xf numFmtId="168" fontId="43" fillId="3" borderId="53" xfId="3" applyNumberFormat="1" applyFont="1" applyFill="1" applyBorder="1" applyAlignment="1">
      <alignment horizontal="right"/>
    </xf>
    <xf numFmtId="0" fontId="43" fillId="3" borderId="54" xfId="0" applyFont="1" applyFill="1" applyBorder="1" applyAlignment="1">
      <alignment horizontal="left"/>
    </xf>
    <xf numFmtId="169" fontId="49" fillId="2" borderId="54" xfId="3" applyNumberFormat="1" applyFont="1" applyFill="1" applyBorder="1" applyAlignment="1">
      <alignment horizontal="left" vertical="center" wrapText="1"/>
    </xf>
    <xf numFmtId="169" fontId="46" fillId="2" borderId="2" xfId="3" applyNumberFormat="1" applyFont="1" applyFill="1" applyBorder="1" applyAlignment="1">
      <alignment horizontal="center" vertical="center" wrapText="1"/>
    </xf>
    <xf numFmtId="169" fontId="46" fillId="2" borderId="3" xfId="3" applyNumberFormat="1" applyFont="1" applyFill="1" applyBorder="1" applyAlignment="1">
      <alignment horizontal="center" vertical="center" wrapText="1"/>
    </xf>
    <xf numFmtId="169" fontId="46" fillId="2" borderId="4" xfId="3" applyNumberFormat="1" applyFont="1" applyFill="1" applyBorder="1" applyAlignment="1">
      <alignment horizontal="center" vertical="center" wrapText="1"/>
    </xf>
    <xf numFmtId="169" fontId="49" fillId="2" borderId="54" xfId="3" applyNumberFormat="1" applyFont="1" applyFill="1" applyBorder="1" applyAlignment="1">
      <alignment horizontal="center" vertical="center" wrapText="1"/>
    </xf>
    <xf numFmtId="169" fontId="46" fillId="0" borderId="54" xfId="3" applyNumberFormat="1" applyFont="1" applyFill="1" applyBorder="1" applyAlignment="1">
      <alignment horizontal="center" vertical="center" wrapText="1"/>
    </xf>
    <xf numFmtId="169" fontId="43" fillId="0" borderId="54" xfId="3" applyNumberFormat="1" applyFont="1" applyFill="1" applyBorder="1" applyAlignment="1">
      <alignment horizontal="left" vertical="center" wrapText="1"/>
    </xf>
    <xf numFmtId="169" fontId="46" fillId="0" borderId="2" xfId="3" applyNumberFormat="1" applyFont="1" applyFill="1" applyBorder="1" applyAlignment="1">
      <alignment horizontal="center" vertical="center" wrapText="1"/>
    </xf>
    <xf numFmtId="169" fontId="46" fillId="0" borderId="3" xfId="3" applyNumberFormat="1" applyFont="1" applyFill="1" applyBorder="1" applyAlignment="1">
      <alignment horizontal="center" vertical="center" wrapText="1"/>
    </xf>
    <xf numFmtId="169" fontId="46" fillId="0" borderId="4" xfId="3" applyNumberFormat="1" applyFont="1" applyFill="1" applyBorder="1" applyAlignment="1">
      <alignment horizontal="center" vertical="center" wrapText="1"/>
    </xf>
    <xf numFmtId="169" fontId="43" fillId="0" borderId="54" xfId="3" applyNumberFormat="1" applyFont="1" applyFill="1" applyBorder="1" applyAlignment="1">
      <alignment horizontal="center" vertical="center" wrapText="1"/>
    </xf>
    <xf numFmtId="0" fontId="49" fillId="2" borderId="23" xfId="0" applyFont="1" applyFill="1" applyBorder="1" applyAlignment="1">
      <alignment horizontal="left" vertical="center" wrapText="1"/>
    </xf>
    <xf numFmtId="169" fontId="49" fillId="2" borderId="67" xfId="3" applyNumberFormat="1" applyFont="1" applyFill="1" applyBorder="1" applyAlignment="1">
      <alignment horizontal="center" vertical="top" wrapText="1"/>
    </xf>
    <xf numFmtId="169" fontId="49" fillId="2" borderId="32" xfId="3" applyNumberFormat="1" applyFont="1" applyFill="1" applyBorder="1" applyAlignment="1">
      <alignment horizontal="center" vertical="top" wrapText="1"/>
    </xf>
    <xf numFmtId="169" fontId="49" fillId="2" borderId="68" xfId="3" applyNumberFormat="1" applyFont="1" applyFill="1" applyBorder="1" applyAlignment="1">
      <alignment horizontal="center" vertical="top" wrapText="1"/>
    </xf>
    <xf numFmtId="169" fontId="49" fillId="2" borderId="23" xfId="3" applyNumberFormat="1" applyFont="1" applyFill="1" applyBorder="1" applyAlignment="1">
      <alignment horizontal="center" vertical="top" wrapText="1"/>
    </xf>
    <xf numFmtId="0" fontId="44" fillId="3" borderId="54" xfId="0" applyFont="1" applyFill="1" applyBorder="1" applyAlignment="1">
      <alignment horizontal="left" vertical="center" wrapText="1"/>
    </xf>
    <xf numFmtId="169" fontId="44" fillId="3" borderId="2" xfId="3" applyNumberFormat="1" applyFont="1" applyFill="1" applyBorder="1" applyAlignment="1">
      <alignment horizontal="center" vertical="top" wrapText="1"/>
    </xf>
    <xf numFmtId="169" fontId="44" fillId="0" borderId="3" xfId="3" applyNumberFormat="1" applyFont="1" applyFill="1" applyBorder="1" applyAlignment="1">
      <alignment horizontal="center" vertical="top" wrapText="1"/>
    </xf>
    <xf numFmtId="169" fontId="44" fillId="3" borderId="4" xfId="3" applyNumberFormat="1" applyFont="1" applyFill="1" applyBorder="1" applyAlignment="1">
      <alignment horizontal="center" vertical="top" wrapText="1"/>
    </xf>
    <xf numFmtId="169" fontId="44" fillId="3" borderId="54" xfId="3" applyNumberFormat="1" applyFont="1" applyFill="1" applyBorder="1" applyAlignment="1">
      <alignment horizontal="center" vertical="top" wrapText="1"/>
    </xf>
    <xf numFmtId="169" fontId="44" fillId="3" borderId="52" xfId="3" applyNumberFormat="1" applyFont="1" applyFill="1" applyBorder="1" applyAlignment="1">
      <alignment horizontal="center" vertical="top" wrapText="1"/>
    </xf>
    <xf numFmtId="169" fontId="44" fillId="0" borderId="38" xfId="3" applyNumberFormat="1" applyFont="1" applyFill="1" applyBorder="1" applyAlignment="1">
      <alignment horizontal="center" vertical="top" wrapText="1"/>
    </xf>
    <xf numFmtId="169" fontId="44" fillId="3" borderId="46" xfId="3" applyNumberFormat="1" applyFont="1" applyFill="1" applyBorder="1" applyAlignment="1">
      <alignment horizontal="center" vertical="top" wrapText="1"/>
    </xf>
    <xf numFmtId="168" fontId="43" fillId="3" borderId="54" xfId="3" applyNumberFormat="1" applyFont="1" applyFill="1" applyBorder="1" applyAlignment="1">
      <alignment horizontal="right"/>
    </xf>
    <xf numFmtId="0" fontId="44" fillId="20" borderId="53" xfId="0" applyFont="1" applyFill="1" applyBorder="1" applyAlignment="1">
      <alignment horizontal="left" vertical="center" wrapText="1"/>
    </xf>
    <xf numFmtId="0" fontId="45" fillId="20" borderId="53" xfId="0" applyFont="1" applyFill="1" applyBorder="1" applyAlignment="1">
      <alignment vertical="center" wrapText="1"/>
    </xf>
    <xf numFmtId="169" fontId="46" fillId="20" borderId="52" xfId="3" applyNumberFormat="1" applyFont="1" applyFill="1" applyBorder="1" applyAlignment="1">
      <alignment horizontal="center" vertical="top" wrapText="1"/>
    </xf>
    <xf numFmtId="169" fontId="46" fillId="20" borderId="38" xfId="3" applyNumberFormat="1" applyFont="1" applyFill="1" applyBorder="1" applyAlignment="1">
      <alignment horizontal="center" vertical="top" wrapText="1"/>
    </xf>
    <xf numFmtId="169" fontId="46" fillId="20" borderId="46" xfId="3" applyNumberFormat="1" applyFont="1" applyFill="1" applyBorder="1" applyAlignment="1">
      <alignment horizontal="center" vertical="top" wrapText="1"/>
    </xf>
    <xf numFmtId="169" fontId="46" fillId="20" borderId="53" xfId="3" applyNumberFormat="1" applyFont="1" applyFill="1" applyBorder="1" applyAlignment="1">
      <alignment horizontal="center" vertical="top" wrapText="1"/>
    </xf>
    <xf numFmtId="0" fontId="44" fillId="20" borderId="22" xfId="0" applyFont="1" applyFill="1" applyBorder="1" applyAlignment="1">
      <alignment horizontal="left" vertical="center" wrapText="1"/>
    </xf>
    <xf numFmtId="0" fontId="45" fillId="20" borderId="22" xfId="0" applyFont="1" applyFill="1" applyBorder="1" applyAlignment="1">
      <alignment vertical="center" wrapText="1"/>
    </xf>
    <xf numFmtId="169" fontId="46" fillId="20" borderId="58" xfId="3" applyNumberFormat="1" applyFont="1" applyFill="1" applyBorder="1" applyAlignment="1">
      <alignment horizontal="center" vertical="top" wrapText="1"/>
    </xf>
    <xf numFmtId="169" fontId="46" fillId="20" borderId="55" xfId="3" applyNumberFormat="1" applyFont="1" applyFill="1" applyBorder="1" applyAlignment="1">
      <alignment horizontal="center" vertical="top" wrapText="1"/>
    </xf>
    <xf numFmtId="169" fontId="46" fillId="20" borderId="69" xfId="3" applyNumberFormat="1" applyFont="1" applyFill="1" applyBorder="1" applyAlignment="1">
      <alignment horizontal="center" vertical="top" wrapText="1"/>
    </xf>
    <xf numFmtId="169" fontId="46" fillId="20" borderId="22" xfId="3" applyNumberFormat="1" applyFont="1" applyFill="1" applyBorder="1" applyAlignment="1">
      <alignment horizontal="center" vertical="top" wrapText="1"/>
    </xf>
    <xf numFmtId="0" fontId="49" fillId="2" borderId="6" xfId="0" applyFont="1" applyFill="1" applyBorder="1" applyAlignment="1">
      <alignment horizontal="left" vertical="center" wrapText="1"/>
    </xf>
    <xf numFmtId="169" fontId="49" fillId="2" borderId="60" xfId="3" applyNumberFormat="1" applyFont="1" applyFill="1" applyBorder="1" applyAlignment="1">
      <alignment horizontal="center" vertical="top" wrapText="1"/>
    </xf>
    <xf numFmtId="169" fontId="49" fillId="2" borderId="61" xfId="3" applyNumberFormat="1" applyFont="1" applyFill="1" applyBorder="1" applyAlignment="1">
      <alignment horizontal="center" vertical="top" wrapText="1"/>
    </xf>
    <xf numFmtId="169" fontId="49" fillId="2" borderId="62" xfId="3" applyNumberFormat="1" applyFont="1" applyFill="1" applyBorder="1" applyAlignment="1">
      <alignment horizontal="center" vertical="top" wrapText="1"/>
    </xf>
    <xf numFmtId="169" fontId="49" fillId="2" borderId="6" xfId="3" applyNumberFormat="1" applyFont="1" applyFill="1" applyBorder="1" applyAlignment="1">
      <alignment horizontal="center" vertical="top" wrapText="1"/>
    </xf>
    <xf numFmtId="169" fontId="0" fillId="0" borderId="0" xfId="0" applyNumberFormat="1"/>
    <xf numFmtId="169" fontId="43" fillId="0" borderId="54" xfId="3" applyNumberFormat="1" applyFont="1" applyFill="1" applyBorder="1" applyAlignment="1">
      <alignment horizontal="center" vertical="top" wrapText="1"/>
    </xf>
    <xf numFmtId="0" fontId="44" fillId="20" borderId="53" xfId="0" applyFont="1" applyFill="1" applyBorder="1" applyAlignment="1">
      <alignment horizontal="left" vertical="top" wrapText="1"/>
    </xf>
    <xf numFmtId="0" fontId="45" fillId="20" borderId="53" xfId="0" applyFont="1" applyFill="1" applyBorder="1" applyAlignment="1">
      <alignment vertical="top" wrapText="1"/>
    </xf>
    <xf numFmtId="169" fontId="42" fillId="2" borderId="6" xfId="3" applyNumberFormat="1" applyFont="1" applyFill="1" applyBorder="1" applyAlignment="1">
      <alignment horizontal="center" vertical="top" wrapText="1"/>
    </xf>
    <xf numFmtId="0" fontId="44" fillId="3" borderId="63" xfId="0" applyFont="1" applyFill="1" applyBorder="1" applyAlignment="1">
      <alignment horizontal="left" vertical="center" wrapText="1"/>
    </xf>
    <xf numFmtId="0" fontId="44" fillId="20" borderId="54" xfId="0" applyFont="1" applyFill="1" applyBorder="1" applyAlignment="1">
      <alignment horizontal="left" vertical="center" wrapText="1"/>
    </xf>
    <xf numFmtId="0" fontId="46" fillId="20" borderId="54" xfId="0" applyFont="1" applyFill="1" applyBorder="1" applyAlignment="1">
      <alignment horizontal="left" vertical="top" wrapText="1"/>
    </xf>
    <xf numFmtId="169" fontId="46" fillId="20" borderId="2" xfId="3" applyNumberFormat="1" applyFont="1" applyFill="1" applyBorder="1" applyAlignment="1">
      <alignment horizontal="center" vertical="top" wrapText="1"/>
    </xf>
    <xf numFmtId="169" fontId="46" fillId="20" borderId="3" xfId="3" applyNumberFormat="1" applyFont="1" applyFill="1" applyBorder="1" applyAlignment="1">
      <alignment horizontal="center" vertical="top" wrapText="1"/>
    </xf>
    <xf numFmtId="169" fontId="46" fillId="20" borderId="4" xfId="3" applyNumberFormat="1" applyFont="1" applyFill="1" applyBorder="1" applyAlignment="1">
      <alignment horizontal="center" vertical="top" wrapText="1"/>
    </xf>
    <xf numFmtId="169" fontId="46" fillId="20" borderId="54" xfId="3" applyNumberFormat="1" applyFont="1" applyFill="1" applyBorder="1" applyAlignment="1">
      <alignment horizontal="center" vertical="top" wrapText="1"/>
    </xf>
    <xf numFmtId="0" fontId="46" fillId="20" borderId="54"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3" fillId="3" borderId="53" xfId="0" applyFont="1" applyFill="1" applyBorder="1" applyAlignment="1">
      <alignment horizontal="left" vertical="center" wrapText="1"/>
    </xf>
    <xf numFmtId="169" fontId="43" fillId="3" borderId="52" xfId="3" applyNumberFormat="1" applyFont="1" applyFill="1" applyBorder="1" applyAlignment="1">
      <alignment horizontal="center" vertical="top" wrapText="1"/>
    </xf>
    <xf numFmtId="169" fontId="43" fillId="3" borderId="38" xfId="3" applyNumberFormat="1" applyFont="1" applyFill="1" applyBorder="1" applyAlignment="1">
      <alignment horizontal="center" vertical="top" wrapText="1"/>
    </xf>
    <xf numFmtId="169" fontId="43" fillId="3" borderId="46" xfId="3" applyNumberFormat="1" applyFont="1" applyFill="1" applyBorder="1" applyAlignment="1">
      <alignment horizontal="center" vertical="top" wrapText="1"/>
    </xf>
    <xf numFmtId="169" fontId="43" fillId="3" borderId="53" xfId="3" applyNumberFormat="1" applyFont="1" applyFill="1" applyBorder="1" applyAlignment="1">
      <alignment horizontal="center" vertical="top" wrapText="1"/>
    </xf>
    <xf numFmtId="0" fontId="44" fillId="0" borderId="54" xfId="0" applyFont="1" applyFill="1" applyBorder="1" applyAlignment="1">
      <alignment horizontal="left" vertical="center" wrapText="1"/>
    </xf>
    <xf numFmtId="169" fontId="44" fillId="3" borderId="3" xfId="3" applyNumberFormat="1" applyFont="1" applyFill="1" applyBorder="1" applyAlignment="1">
      <alignment horizontal="center" vertical="top" wrapText="1"/>
    </xf>
    <xf numFmtId="0" fontId="46" fillId="20" borderId="54" xfId="0" applyFont="1" applyFill="1" applyBorder="1" applyAlignment="1">
      <alignment horizontal="left" wrapText="1"/>
    </xf>
    <xf numFmtId="169" fontId="44" fillId="20" borderId="35" xfId="3" applyNumberFormat="1" applyFont="1" applyFill="1" applyBorder="1" applyAlignment="1">
      <alignment horizontal="center" vertical="top" wrapText="1"/>
    </xf>
    <xf numFmtId="0" fontId="44" fillId="0" borderId="63" xfId="0" applyFont="1" applyFill="1" applyBorder="1" applyAlignment="1">
      <alignment horizontal="left" vertical="center" wrapText="1"/>
    </xf>
    <xf numFmtId="0" fontId="43" fillId="0" borderId="53" xfId="0" applyFont="1" applyFill="1" applyBorder="1" applyAlignment="1">
      <alignment horizontal="left" vertical="center" wrapText="1"/>
    </xf>
    <xf numFmtId="169" fontId="44" fillId="0" borderId="52" xfId="3" applyNumberFormat="1" applyFont="1" applyFill="1" applyBorder="1" applyAlignment="1">
      <alignment horizontal="center" vertical="top" wrapText="1"/>
    </xf>
    <xf numFmtId="169" fontId="44" fillId="0" borderId="46" xfId="3" applyNumberFormat="1" applyFont="1" applyFill="1" applyBorder="1" applyAlignment="1">
      <alignment horizontal="center" vertical="top" wrapText="1"/>
    </xf>
    <xf numFmtId="169" fontId="44" fillId="0" borderId="54" xfId="3" applyNumberFormat="1" applyFont="1" applyFill="1" applyBorder="1" applyAlignment="1">
      <alignment horizontal="center" vertical="top" wrapText="1"/>
    </xf>
    <xf numFmtId="0" fontId="43" fillId="0" borderId="54" xfId="0" applyFont="1" applyFill="1" applyBorder="1" applyAlignment="1">
      <alignment horizontal="left" vertical="center" wrapText="1"/>
    </xf>
    <xf numFmtId="169" fontId="44" fillId="0" borderId="2" xfId="3" applyNumberFormat="1" applyFont="1" applyFill="1" applyBorder="1" applyAlignment="1">
      <alignment horizontal="center" vertical="top" wrapText="1"/>
    </xf>
    <xf numFmtId="169" fontId="44" fillId="0" borderId="4" xfId="3" applyNumberFormat="1" applyFont="1" applyFill="1" applyBorder="1" applyAlignment="1">
      <alignment horizontal="center" vertical="top" wrapText="1"/>
    </xf>
    <xf numFmtId="0" fontId="44" fillId="0" borderId="70" xfId="0" applyFont="1" applyFill="1" applyBorder="1" applyAlignment="1">
      <alignment horizontal="left" vertical="center" wrapText="1"/>
    </xf>
    <xf numFmtId="0" fontId="43" fillId="0" borderId="71" xfId="0" applyFont="1" applyFill="1" applyBorder="1" applyAlignment="1">
      <alignment horizontal="left" vertical="center" wrapText="1"/>
    </xf>
    <xf numFmtId="169" fontId="44" fillId="0" borderId="57" xfId="3" applyNumberFormat="1" applyFont="1" applyFill="1" applyBorder="1" applyAlignment="1">
      <alignment horizontal="center" vertical="top" wrapText="1"/>
    </xf>
    <xf numFmtId="169" fontId="44" fillId="0" borderId="5" xfId="3" applyNumberFormat="1" applyFont="1" applyFill="1" applyBorder="1" applyAlignment="1">
      <alignment horizontal="center" vertical="top" wrapText="1"/>
    </xf>
    <xf numFmtId="169" fontId="44" fillId="0" borderId="39" xfId="3" applyNumberFormat="1" applyFont="1" applyFill="1" applyBorder="1" applyAlignment="1">
      <alignment horizontal="center" vertical="top" wrapText="1"/>
    </xf>
    <xf numFmtId="0" fontId="49" fillId="2" borderId="66" xfId="0" applyFont="1" applyFill="1" applyBorder="1" applyAlignment="1">
      <alignment horizontal="left" vertical="center" wrapText="1"/>
    </xf>
    <xf numFmtId="169" fontId="49" fillId="2" borderId="72" xfId="3" applyNumberFormat="1" applyFont="1" applyFill="1" applyBorder="1" applyAlignment="1">
      <alignment horizontal="center" vertical="center" wrapText="1"/>
    </xf>
    <xf numFmtId="169" fontId="49" fillId="2" borderId="73" xfId="3" applyNumberFormat="1" applyFont="1" applyFill="1" applyBorder="1" applyAlignment="1">
      <alignment horizontal="center" vertical="center" wrapText="1"/>
    </xf>
    <xf numFmtId="169" fontId="49" fillId="2" borderId="66" xfId="3" applyNumberFormat="1" applyFont="1" applyFill="1" applyBorder="1" applyAlignment="1">
      <alignment horizontal="center" vertical="center" wrapText="1"/>
    </xf>
    <xf numFmtId="0" fontId="44" fillId="0" borderId="22" xfId="0" applyFont="1" applyFill="1" applyBorder="1" applyAlignment="1">
      <alignment horizontal="left" vertical="center" wrapText="1"/>
    </xf>
    <xf numFmtId="169" fontId="50" fillId="0" borderId="58" xfId="3" applyNumberFormat="1" applyFont="1" applyFill="1" applyBorder="1" applyAlignment="1">
      <alignment vertical="center" wrapText="1"/>
    </xf>
    <xf numFmtId="169" fontId="50" fillId="0" borderId="3" xfId="3" applyNumberFormat="1" applyFont="1" applyFill="1" applyBorder="1" applyAlignment="1">
      <alignment vertical="center" wrapText="1"/>
    </xf>
    <xf numFmtId="169" fontId="50" fillId="0" borderId="4" xfId="3" applyNumberFormat="1" applyFont="1" applyFill="1" applyBorder="1" applyAlignment="1">
      <alignment vertical="center" wrapText="1"/>
    </xf>
    <xf numFmtId="169" fontId="43" fillId="3" borderId="54" xfId="3" applyNumberFormat="1" applyFont="1" applyFill="1" applyBorder="1" applyAlignment="1">
      <alignment horizontal="center" vertical="center" wrapText="1"/>
    </xf>
    <xf numFmtId="169" fontId="43" fillId="3" borderId="70" xfId="3" applyNumberFormat="1" applyFont="1" applyFill="1" applyBorder="1" applyAlignment="1">
      <alignment horizontal="center" vertical="center" wrapText="1"/>
    </xf>
    <xf numFmtId="0" fontId="46" fillId="20" borderId="71" xfId="0" applyFont="1" applyFill="1" applyBorder="1" applyAlignment="1">
      <alignment horizontal="left" vertical="top" wrapText="1"/>
    </xf>
    <xf numFmtId="169" fontId="44" fillId="3" borderId="0" xfId="3"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169" fontId="49" fillId="2" borderId="74" xfId="3" applyNumberFormat="1" applyFont="1" applyFill="1" applyBorder="1" applyAlignment="1">
      <alignment horizontal="center" vertical="top" wrapText="1"/>
    </xf>
    <xf numFmtId="0" fontId="46" fillId="20" borderId="22" xfId="0" applyFont="1" applyFill="1" applyBorder="1" applyAlignment="1">
      <alignment horizontal="left" vertical="top" wrapText="1"/>
    </xf>
    <xf numFmtId="169" fontId="46" fillId="20" borderId="51" xfId="3" applyNumberFormat="1" applyFont="1" applyFill="1" applyBorder="1" applyAlignment="1">
      <alignment horizontal="center" vertical="top" wrapText="1"/>
    </xf>
    <xf numFmtId="169" fontId="46" fillId="20" borderId="63" xfId="3" applyNumberFormat="1" applyFont="1" applyFill="1" applyBorder="1" applyAlignment="1">
      <alignment horizontal="center" vertical="top" wrapText="1"/>
    </xf>
    <xf numFmtId="0" fontId="42" fillId="17" borderId="6" xfId="0" applyFont="1" applyFill="1" applyBorder="1" applyAlignment="1">
      <alignment horizontal="left" vertical="center" wrapText="1"/>
    </xf>
    <xf numFmtId="169" fontId="42" fillId="7" borderId="60" xfId="3" applyNumberFormat="1" applyFont="1" applyFill="1" applyBorder="1" applyAlignment="1">
      <alignment horizontal="center" vertical="top" wrapText="1"/>
    </xf>
    <xf numFmtId="169" fontId="42" fillId="7" borderId="61" xfId="3" applyNumberFormat="1" applyFont="1" applyFill="1" applyBorder="1" applyAlignment="1">
      <alignment horizontal="center" vertical="top" wrapText="1"/>
    </xf>
    <xf numFmtId="169" fontId="42" fillId="7" borderId="62" xfId="3" applyNumberFormat="1" applyFont="1" applyFill="1" applyBorder="1" applyAlignment="1">
      <alignment horizontal="center" vertical="top" wrapText="1"/>
    </xf>
    <xf numFmtId="169" fontId="42" fillId="7" borderId="6" xfId="3" applyNumberFormat="1" applyFont="1" applyFill="1" applyBorder="1" applyAlignment="1">
      <alignment horizontal="center" vertical="top" wrapText="1"/>
    </xf>
    <xf numFmtId="169" fontId="49" fillId="17" borderId="6" xfId="3" applyNumberFormat="1" applyFont="1" applyFill="1" applyBorder="1" applyAlignment="1">
      <alignment horizontal="center" vertical="top" wrapText="1"/>
    </xf>
    <xf numFmtId="0" fontId="49" fillId="0" borderId="6" xfId="0" applyFont="1" applyFill="1" applyBorder="1" applyAlignment="1">
      <alignment horizontal="left" vertical="center" wrapText="1"/>
    </xf>
    <xf numFmtId="0" fontId="49" fillId="0" borderId="60" xfId="0" applyFont="1" applyFill="1" applyBorder="1" applyAlignment="1">
      <alignment horizontal="center" vertical="top" wrapText="1"/>
    </xf>
    <xf numFmtId="0" fontId="49" fillId="0" borderId="61" xfId="0" applyFont="1" applyFill="1" applyBorder="1" applyAlignment="1">
      <alignment horizontal="center" vertical="top" wrapText="1"/>
    </xf>
    <xf numFmtId="169" fontId="42" fillId="0" borderId="62" xfId="3" applyNumberFormat="1" applyFont="1" applyFill="1" applyBorder="1" applyAlignment="1">
      <alignment horizontal="center" vertical="top" wrapText="1"/>
    </xf>
    <xf numFmtId="169" fontId="49" fillId="0" borderId="6" xfId="3" applyNumberFormat="1" applyFont="1" applyFill="1" applyBorder="1" applyAlignment="1">
      <alignment horizontal="center" vertical="top" wrapText="1"/>
    </xf>
    <xf numFmtId="169" fontId="49" fillId="17" borderId="60" xfId="3" applyNumberFormat="1" applyFont="1" applyFill="1" applyBorder="1" applyAlignment="1">
      <alignment horizontal="center" vertical="top" wrapText="1"/>
    </xf>
    <xf numFmtId="169" fontId="49" fillId="17" borderId="61" xfId="3" applyNumberFormat="1" applyFont="1" applyFill="1" applyBorder="1" applyAlignment="1">
      <alignment horizontal="center" vertical="top" wrapText="1"/>
    </xf>
    <xf numFmtId="169" fontId="49" fillId="17" borderId="62" xfId="3" applyNumberFormat="1" applyFont="1" applyFill="1" applyBorder="1" applyAlignment="1">
      <alignment horizontal="center" vertical="top" wrapText="1"/>
    </xf>
    <xf numFmtId="169" fontId="42" fillId="10" borderId="76" xfId="3" applyNumberFormat="1" applyFont="1" applyFill="1" applyBorder="1" applyAlignment="1">
      <alignment horizontal="center" vertical="top" wrapText="1"/>
    </xf>
    <xf numFmtId="169" fontId="42" fillId="2" borderId="37" xfId="3" applyNumberFormat="1" applyFont="1" applyFill="1" applyBorder="1" applyAlignment="1">
      <alignment horizontal="center" vertical="center" wrapText="1"/>
    </xf>
    <xf numFmtId="169" fontId="44" fillId="3" borderId="37" xfId="3" applyNumberFormat="1" applyFont="1" applyFill="1" applyBorder="1" applyAlignment="1">
      <alignment horizontal="center" vertical="center" wrapText="1"/>
    </xf>
    <xf numFmtId="169" fontId="43" fillId="19" borderId="37" xfId="3" applyNumberFormat="1" applyFont="1" applyFill="1" applyBorder="1" applyAlignment="1">
      <alignment horizontal="center" vertical="center" wrapText="1"/>
    </xf>
    <xf numFmtId="169" fontId="46" fillId="20" borderId="37" xfId="3" applyNumberFormat="1" applyFont="1" applyFill="1" applyBorder="1" applyAlignment="1">
      <alignment horizontal="center" vertical="center" wrapText="1"/>
    </xf>
    <xf numFmtId="169" fontId="42" fillId="2" borderId="9" xfId="3" applyNumberFormat="1" applyFont="1" applyFill="1" applyBorder="1" applyAlignment="1">
      <alignment horizontal="center" vertical="center" wrapText="1"/>
    </xf>
    <xf numFmtId="169" fontId="44" fillId="19" borderId="9" xfId="3" applyNumberFormat="1" applyFont="1" applyFill="1" applyBorder="1" applyAlignment="1">
      <alignment horizontal="center" vertical="center" wrapText="1"/>
    </xf>
    <xf numFmtId="169" fontId="46" fillId="20" borderId="9" xfId="3" applyNumberFormat="1" applyFont="1" applyFill="1" applyBorder="1" applyAlignment="1">
      <alignment horizontal="center" vertical="center" wrapText="1"/>
    </xf>
    <xf numFmtId="169" fontId="44" fillId="3" borderId="9" xfId="3" applyNumberFormat="1" applyFont="1" applyFill="1" applyBorder="1" applyAlignment="1">
      <alignment horizontal="center" vertical="center" wrapText="1"/>
    </xf>
    <xf numFmtId="169" fontId="44" fillId="0" borderId="9" xfId="3" applyNumberFormat="1" applyFont="1" applyFill="1" applyBorder="1" applyAlignment="1">
      <alignment horizontal="center" vertical="center" wrapText="1"/>
    </xf>
    <xf numFmtId="169" fontId="44" fillId="0" borderId="37" xfId="3" applyNumberFormat="1" applyFont="1" applyFill="1" applyBorder="1" applyAlignment="1">
      <alignment horizontal="center" vertical="center" wrapText="1"/>
    </xf>
    <xf numFmtId="169" fontId="44" fillId="2" borderId="76" xfId="3" applyNumberFormat="1" applyFont="1" applyFill="1" applyBorder="1" applyAlignment="1">
      <alignment horizontal="center" vertical="top" wrapText="1"/>
    </xf>
    <xf numFmtId="168" fontId="43" fillId="3" borderId="37" xfId="3" applyNumberFormat="1" applyFont="1" applyFill="1" applyBorder="1" applyAlignment="1">
      <alignment horizontal="right"/>
    </xf>
    <xf numFmtId="169" fontId="46" fillId="2" borderId="9" xfId="3" applyNumberFormat="1" applyFont="1" applyFill="1" applyBorder="1" applyAlignment="1">
      <alignment horizontal="center" vertical="center" wrapText="1"/>
    </xf>
    <xf numFmtId="169" fontId="46" fillId="0" borderId="9" xfId="3" applyNumberFormat="1" applyFont="1" applyFill="1" applyBorder="1" applyAlignment="1">
      <alignment horizontal="center" vertical="center" wrapText="1"/>
    </xf>
    <xf numFmtId="169" fontId="49" fillId="2" borderId="33" xfId="3" applyNumberFormat="1" applyFont="1" applyFill="1" applyBorder="1" applyAlignment="1">
      <alignment horizontal="center" vertical="top" wrapText="1"/>
    </xf>
    <xf numFmtId="169" fontId="44" fillId="3" borderId="9" xfId="3" applyNumberFormat="1" applyFont="1" applyFill="1" applyBorder="1" applyAlignment="1">
      <alignment horizontal="center" vertical="top" wrapText="1"/>
    </xf>
    <xf numFmtId="169" fontId="44" fillId="3" borderId="37" xfId="3" applyNumberFormat="1" applyFont="1" applyFill="1" applyBorder="1" applyAlignment="1">
      <alignment horizontal="center" vertical="top" wrapText="1"/>
    </xf>
    <xf numFmtId="169" fontId="46" fillId="20" borderId="37" xfId="3" applyNumberFormat="1" applyFont="1" applyFill="1" applyBorder="1" applyAlignment="1">
      <alignment horizontal="center" vertical="top" wrapText="1"/>
    </xf>
    <xf numFmtId="169" fontId="46" fillId="20" borderId="28" xfId="3" applyNumberFormat="1" applyFont="1" applyFill="1" applyBorder="1" applyAlignment="1">
      <alignment horizontal="center" vertical="top" wrapText="1"/>
    </xf>
    <xf numFmtId="169" fontId="49" fillId="2" borderId="76" xfId="3" applyNumberFormat="1" applyFont="1" applyFill="1" applyBorder="1" applyAlignment="1">
      <alignment horizontal="center" vertical="top" wrapText="1"/>
    </xf>
    <xf numFmtId="169" fontId="46" fillId="20" borderId="9" xfId="3" applyNumberFormat="1" applyFont="1" applyFill="1" applyBorder="1" applyAlignment="1">
      <alignment horizontal="center" vertical="top" wrapText="1"/>
    </xf>
    <xf numFmtId="169" fontId="43" fillId="3" borderId="37" xfId="3" applyNumberFormat="1" applyFont="1" applyFill="1" applyBorder="1" applyAlignment="1">
      <alignment horizontal="center" vertical="top" wrapText="1"/>
    </xf>
    <xf numFmtId="169" fontId="44" fillId="0" borderId="37" xfId="3" applyNumberFormat="1" applyFont="1" applyFill="1" applyBorder="1" applyAlignment="1">
      <alignment horizontal="center" vertical="top" wrapText="1"/>
    </xf>
    <xf numFmtId="169" fontId="44" fillId="0" borderId="9" xfId="3" applyNumberFormat="1" applyFont="1" applyFill="1" applyBorder="1" applyAlignment="1">
      <alignment horizontal="center" vertical="top" wrapText="1"/>
    </xf>
    <xf numFmtId="169" fontId="44" fillId="0" borderId="30" xfId="3" applyNumberFormat="1" applyFont="1" applyFill="1" applyBorder="1" applyAlignment="1">
      <alignment horizontal="center" vertical="top" wrapText="1"/>
    </xf>
    <xf numFmtId="169" fontId="49" fillId="2" borderId="77" xfId="3" applyNumberFormat="1" applyFont="1" applyFill="1" applyBorder="1" applyAlignment="1">
      <alignment horizontal="center" vertical="center" wrapText="1"/>
    </xf>
    <xf numFmtId="169" fontId="50" fillId="0" borderId="9" xfId="3" applyNumberFormat="1" applyFont="1" applyFill="1" applyBorder="1" applyAlignment="1">
      <alignment vertical="center" wrapText="1"/>
    </xf>
    <xf numFmtId="0" fontId="49" fillId="2" borderId="8" xfId="0" applyFont="1" applyFill="1" applyBorder="1" applyAlignment="1">
      <alignment horizontal="left" vertical="center" wrapText="1"/>
    </xf>
    <xf numFmtId="169" fontId="42" fillId="7" borderId="76" xfId="3" applyNumberFormat="1" applyFont="1" applyFill="1" applyBorder="1" applyAlignment="1">
      <alignment horizontal="center" vertical="top" wrapText="1"/>
    </xf>
    <xf numFmtId="169" fontId="42" fillId="0" borderId="76" xfId="3" applyNumberFormat="1" applyFont="1" applyFill="1" applyBorder="1" applyAlignment="1">
      <alignment horizontal="center" vertical="top" wrapText="1"/>
    </xf>
    <xf numFmtId="169" fontId="49" fillId="17" borderId="76" xfId="3" applyNumberFormat="1" applyFont="1" applyFill="1" applyBorder="1" applyAlignment="1">
      <alignment horizontal="center" vertical="top" wrapText="1"/>
    </xf>
    <xf numFmtId="164" fontId="0" fillId="0" borderId="0" xfId="0" applyNumberFormat="1" applyFont="1" applyBorder="1" applyAlignment="1">
      <alignment wrapText="1"/>
    </xf>
    <xf numFmtId="164" fontId="2" fillId="3" borderId="0" xfId="0" applyNumberFormat="1" applyFont="1" applyFill="1" applyBorder="1" applyAlignment="1">
      <alignment horizontal="center" vertical="center" wrapText="1"/>
    </xf>
    <xf numFmtId="170" fontId="5" fillId="0" borderId="3" xfId="1" applyNumberFormat="1" applyFont="1" applyBorder="1" applyAlignment="1" applyProtection="1">
      <alignment horizontal="center" vertical="center" wrapText="1"/>
      <protection locked="0"/>
    </xf>
    <xf numFmtId="170" fontId="1" fillId="2" borderId="13" xfId="1" applyNumberFormat="1" applyFont="1" applyFill="1" applyBorder="1" applyAlignment="1" applyProtection="1">
      <alignment vertical="center" wrapText="1"/>
    </xf>
    <xf numFmtId="170" fontId="1" fillId="2" borderId="32" xfId="1" applyNumberFormat="1" applyFont="1" applyFill="1" applyBorder="1" applyAlignment="1">
      <alignment wrapText="1"/>
    </xf>
    <xf numFmtId="170" fontId="5" fillId="2" borderId="32" xfId="1" applyNumberFormat="1" applyFont="1" applyFill="1" applyBorder="1" applyAlignment="1">
      <alignment wrapText="1"/>
    </xf>
    <xf numFmtId="170" fontId="1" fillId="2" borderId="3" xfId="1" applyNumberFormat="1" applyFont="1" applyFill="1" applyBorder="1" applyAlignment="1">
      <alignment vertical="center" wrapText="1"/>
    </xf>
    <xf numFmtId="170" fontId="1" fillId="2" borderId="13" xfId="1" applyNumberFormat="1" applyFont="1" applyFill="1" applyBorder="1" applyAlignment="1">
      <alignment vertical="center" wrapText="1"/>
    </xf>
    <xf numFmtId="170" fontId="5" fillId="2" borderId="38" xfId="0" applyNumberFormat="1" applyFont="1" applyFill="1" applyBorder="1" applyAlignment="1">
      <alignment wrapText="1"/>
    </xf>
    <xf numFmtId="170" fontId="5" fillId="2" borderId="3" xfId="1" applyNumberFormat="1" applyFont="1" applyFill="1" applyBorder="1" applyAlignment="1">
      <alignment wrapText="1"/>
    </xf>
    <xf numFmtId="170" fontId="5" fillId="2" borderId="13" xfId="0" applyNumberFormat="1" applyFont="1" applyFill="1" applyBorder="1" applyAlignment="1">
      <alignment wrapText="1"/>
    </xf>
    <xf numFmtId="170" fontId="1" fillId="2" borderId="32" xfId="0" applyNumberFormat="1" applyFont="1" applyFill="1" applyBorder="1" applyAlignment="1">
      <alignment wrapText="1"/>
    </xf>
    <xf numFmtId="170" fontId="5" fillId="2" borderId="3" xfId="0" applyNumberFormat="1" applyFont="1" applyFill="1" applyBorder="1" applyAlignment="1">
      <alignment wrapText="1"/>
    </xf>
    <xf numFmtId="170" fontId="1" fillId="2" borderId="3" xfId="1" applyNumberFormat="1" applyFont="1" applyFill="1" applyBorder="1" applyAlignment="1" applyProtection="1">
      <alignment vertical="center" wrapText="1"/>
    </xf>
    <xf numFmtId="170" fontId="1" fillId="2" borderId="5" xfId="1" applyNumberFormat="1" applyFont="1" applyFill="1" applyBorder="1" applyAlignment="1" applyProtection="1">
      <alignment vertical="center" wrapText="1"/>
    </xf>
    <xf numFmtId="170" fontId="5" fillId="2" borderId="3" xfId="0" applyNumberFormat="1" applyFont="1" applyFill="1" applyBorder="1" applyAlignment="1" applyProtection="1">
      <alignment vertical="center" wrapText="1"/>
    </xf>
    <xf numFmtId="170" fontId="1" fillId="2" borderId="33" xfId="0" applyNumberFormat="1" applyFont="1" applyFill="1" applyBorder="1" applyAlignment="1">
      <alignment wrapText="1"/>
    </xf>
    <xf numFmtId="170" fontId="1" fillId="2" borderId="37" xfId="0" applyNumberFormat="1" applyFont="1" applyFill="1" applyBorder="1" applyAlignment="1">
      <alignment wrapText="1"/>
    </xf>
    <xf numFmtId="170" fontId="5" fillId="2" borderId="37" xfId="0" applyNumberFormat="1" applyFont="1" applyFill="1" applyBorder="1" applyAlignment="1">
      <alignment wrapText="1"/>
    </xf>
    <xf numFmtId="170" fontId="5" fillId="2" borderId="8" xfId="0" applyNumberFormat="1" applyFont="1" applyFill="1" applyBorder="1" applyAlignment="1" applyProtection="1">
      <alignment vertical="center" wrapText="1"/>
    </xf>
    <xf numFmtId="170" fontId="1" fillId="2" borderId="12" xfId="0" applyNumberFormat="1" applyFont="1" applyFill="1" applyBorder="1" applyAlignment="1" applyProtection="1">
      <alignment vertical="center" wrapText="1"/>
    </xf>
    <xf numFmtId="170" fontId="0" fillId="0" borderId="0" xfId="0" applyNumberFormat="1" applyFont="1" applyBorder="1" applyAlignment="1">
      <alignment wrapText="1"/>
    </xf>
    <xf numFmtId="170" fontId="1" fillId="3" borderId="0" xfId="0" applyNumberFormat="1" applyFont="1" applyFill="1" applyBorder="1" applyAlignment="1">
      <alignment vertical="center" wrapText="1"/>
    </xf>
    <xf numFmtId="170" fontId="1" fillId="2" borderId="8" xfId="0" applyNumberFormat="1" applyFont="1" applyFill="1" applyBorder="1" applyAlignment="1" applyProtection="1">
      <alignment horizontal="center" vertical="center" wrapText="1"/>
    </xf>
    <xf numFmtId="170" fontId="1" fillId="2" borderId="3" xfId="1" applyNumberFormat="1" applyFont="1" applyFill="1" applyBorder="1" applyAlignment="1" applyProtection="1">
      <alignment horizontal="center" vertical="center" wrapText="1"/>
    </xf>
    <xf numFmtId="170" fontId="1" fillId="2" borderId="3" xfId="0" applyNumberFormat="1" applyFont="1" applyFill="1" applyBorder="1" applyAlignment="1" applyProtection="1">
      <alignment horizontal="center" vertical="center" wrapText="1"/>
    </xf>
    <xf numFmtId="170" fontId="1" fillId="2" borderId="8" xfId="0" applyNumberFormat="1" applyFont="1" applyFill="1" applyBorder="1" applyAlignment="1" applyProtection="1">
      <alignment vertical="center" wrapText="1"/>
    </xf>
    <xf numFmtId="170" fontId="1" fillId="3" borderId="9" xfId="2" applyNumberFormat="1" applyFont="1" applyFill="1" applyBorder="1" applyAlignment="1" applyProtection="1">
      <alignment vertical="center" wrapText="1"/>
      <protection locked="0"/>
    </xf>
    <xf numFmtId="170" fontId="1" fillId="2" borderId="34" xfId="0" applyNumberFormat="1" applyFont="1" applyFill="1" applyBorder="1" applyAlignment="1" applyProtection="1">
      <alignment vertical="center" wrapText="1"/>
    </xf>
    <xf numFmtId="170" fontId="1" fillId="3" borderId="30" xfId="2" applyNumberFormat="1" applyFont="1" applyFill="1" applyBorder="1" applyAlignment="1" applyProtection="1">
      <alignment vertical="center" wrapText="1"/>
      <protection locked="0"/>
    </xf>
    <xf numFmtId="170" fontId="1" fillId="3" borderId="30" xfId="2" applyNumberFormat="1" applyFont="1" applyFill="1" applyBorder="1" applyAlignment="1" applyProtection="1">
      <alignment horizontal="right" vertical="center" wrapText="1"/>
      <protection locked="0"/>
    </xf>
    <xf numFmtId="170" fontId="1" fillId="2" borderId="14" xfId="2" applyNumberFormat="1" applyFont="1" applyFill="1" applyBorder="1" applyAlignment="1" applyProtection="1">
      <alignment vertical="center" wrapText="1"/>
    </xf>
    <xf numFmtId="170" fontId="2" fillId="2" borderId="27" xfId="0" applyNumberFormat="1" applyFont="1" applyFill="1" applyBorder="1" applyAlignment="1" applyProtection="1">
      <alignment horizontal="left" vertical="center" wrapText="1"/>
    </xf>
    <xf numFmtId="170" fontId="1" fillId="2" borderId="16" xfId="0" applyNumberFormat="1" applyFont="1" applyFill="1" applyBorder="1" applyAlignment="1" applyProtection="1">
      <alignment vertical="center" wrapText="1"/>
    </xf>
    <xf numFmtId="170" fontId="2" fillId="2" borderId="8" xfId="0" applyNumberFormat="1" applyFont="1" applyFill="1" applyBorder="1" applyAlignment="1" applyProtection="1">
      <alignment horizontal="left" vertical="center" wrapText="1"/>
    </xf>
    <xf numFmtId="170" fontId="1" fillId="2" borderId="9" xfId="2" applyNumberFormat="1" applyFont="1" applyFill="1" applyBorder="1" applyAlignment="1" applyProtection="1">
      <alignment wrapText="1"/>
    </xf>
    <xf numFmtId="170" fontId="1" fillId="2" borderId="0" xfId="0" applyNumberFormat="1" applyFont="1" applyFill="1" applyBorder="1" applyAlignment="1" applyProtection="1">
      <alignment horizontal="center" vertical="center" wrapText="1"/>
    </xf>
    <xf numFmtId="170" fontId="1" fillId="3" borderId="0" xfId="2" applyNumberFormat="1" applyFont="1" applyFill="1" applyBorder="1" applyAlignment="1" applyProtection="1">
      <alignment vertical="center" wrapText="1"/>
      <protection locked="0"/>
    </xf>
    <xf numFmtId="170" fontId="1" fillId="3" borderId="0" xfId="2" applyNumberFormat="1" applyFont="1" applyFill="1" applyBorder="1" applyAlignment="1" applyProtection="1">
      <alignment horizontal="right" vertical="center" wrapText="1"/>
      <protection locked="0"/>
    </xf>
    <xf numFmtId="170" fontId="1" fillId="2" borderId="0" xfId="2" applyNumberFormat="1" applyFont="1" applyFill="1" applyBorder="1" applyAlignment="1" applyProtection="1">
      <alignment vertical="center" wrapText="1"/>
    </xf>
    <xf numFmtId="0" fontId="12" fillId="10" borderId="0" xfId="0" applyFont="1" applyFill="1" applyBorder="1" applyAlignment="1">
      <alignment wrapText="1"/>
    </xf>
    <xf numFmtId="0" fontId="0" fillId="10" borderId="0" xfId="0" applyFont="1" applyFill="1" applyBorder="1" applyAlignment="1">
      <alignment wrapText="1"/>
    </xf>
    <xf numFmtId="0" fontId="9" fillId="10" borderId="15" xfId="0" applyFont="1" applyFill="1" applyBorder="1" applyAlignment="1">
      <alignment wrapText="1"/>
    </xf>
    <xf numFmtId="0" fontId="0" fillId="10" borderId="0" xfId="0" applyFont="1" applyFill="1" applyBorder="1" applyAlignment="1">
      <alignment horizontal="center" wrapText="1"/>
    </xf>
    <xf numFmtId="0" fontId="1" fillId="10" borderId="3" xfId="0" applyFont="1" applyFill="1" applyBorder="1" applyAlignment="1" applyProtection="1">
      <alignment horizontal="center" vertical="center" wrapText="1"/>
    </xf>
    <xf numFmtId="164" fontId="5" fillId="10" borderId="3" xfId="1" applyNumberFormat="1" applyFont="1" applyFill="1" applyBorder="1" applyAlignment="1" applyProtection="1">
      <alignment horizontal="center" vertical="center" wrapText="1"/>
    </xf>
    <xf numFmtId="164" fontId="1" fillId="10" borderId="3" xfId="1" applyNumberFormat="1" applyFont="1" applyFill="1" applyBorder="1" applyAlignment="1" applyProtection="1">
      <alignment horizontal="center" vertical="center" wrapText="1"/>
    </xf>
    <xf numFmtId="164" fontId="1" fillId="10" borderId="5" xfId="1" applyNumberFormat="1" applyFont="1" applyFill="1" applyBorder="1" applyAlignment="1" applyProtection="1">
      <alignment horizontal="center" vertical="center" wrapText="1"/>
    </xf>
    <xf numFmtId="164" fontId="5" fillId="10" borderId="0" xfId="1" applyFont="1" applyFill="1" applyBorder="1" applyAlignment="1" applyProtection="1">
      <alignment horizontal="center" vertical="center" wrapText="1"/>
      <protection locked="0"/>
    </xf>
    <xf numFmtId="164" fontId="5" fillId="10" borderId="0" xfId="1" applyFont="1" applyFill="1" applyBorder="1" applyAlignment="1" applyProtection="1">
      <alignment vertical="center" wrapText="1"/>
      <protection locked="0"/>
    </xf>
    <xf numFmtId="164" fontId="5" fillId="10" borderId="3" xfId="1" applyFont="1" applyFill="1" applyBorder="1" applyAlignment="1" applyProtection="1">
      <alignment vertical="center" wrapText="1"/>
    </xf>
    <xf numFmtId="164" fontId="1" fillId="10" borderId="3" xfId="1" applyFont="1" applyFill="1" applyBorder="1" applyAlignment="1" applyProtection="1">
      <alignment vertical="center" wrapText="1"/>
    </xf>
    <xf numFmtId="170" fontId="5" fillId="10" borderId="9" xfId="0" applyNumberFormat="1" applyFont="1" applyFill="1" applyBorder="1" applyAlignment="1" applyProtection="1">
      <alignment vertical="center" wrapText="1"/>
    </xf>
    <xf numFmtId="170" fontId="1" fillId="10" borderId="14" xfId="1" applyNumberFormat="1" applyFont="1" applyFill="1" applyBorder="1" applyAlignment="1" applyProtection="1">
      <alignment vertical="center" wrapText="1"/>
    </xf>
    <xf numFmtId="170" fontId="0" fillId="10" borderId="0" xfId="0" applyNumberFormat="1" applyFont="1" applyFill="1" applyBorder="1" applyAlignment="1">
      <alignment wrapText="1"/>
    </xf>
    <xf numFmtId="170" fontId="1" fillId="10" borderId="0" xfId="0" applyNumberFormat="1" applyFont="1" applyFill="1" applyBorder="1" applyAlignment="1">
      <alignment vertical="center" wrapText="1"/>
    </xf>
    <xf numFmtId="170" fontId="1" fillId="10" borderId="4" xfId="1" applyNumberFormat="1" applyFont="1" applyFill="1" applyBorder="1" applyAlignment="1" applyProtection="1">
      <alignment vertical="center" wrapText="1"/>
    </xf>
    <xf numFmtId="170" fontId="1" fillId="10" borderId="39" xfId="1" applyNumberFormat="1" applyFont="1" applyFill="1" applyBorder="1" applyAlignment="1" applyProtection="1">
      <alignment vertical="center" wrapText="1"/>
    </xf>
    <xf numFmtId="170" fontId="1" fillId="10" borderId="5" xfId="1" applyNumberFormat="1" applyFont="1" applyFill="1" applyBorder="1" applyAlignment="1" applyProtection="1">
      <alignment vertical="center" wrapText="1"/>
    </xf>
    <xf numFmtId="170" fontId="1" fillId="10" borderId="13" xfId="1" applyNumberFormat="1" applyFont="1" applyFill="1" applyBorder="1" applyAlignment="1" applyProtection="1">
      <alignment vertical="center" wrapText="1"/>
    </xf>
    <xf numFmtId="164" fontId="1" fillId="10" borderId="0" xfId="0" applyNumberFormat="1" applyFont="1" applyFill="1" applyBorder="1" applyAlignment="1">
      <alignment vertical="center" wrapText="1"/>
    </xf>
    <xf numFmtId="9" fontId="1" fillId="10" borderId="0" xfId="2" applyFont="1" applyFill="1" applyBorder="1" applyAlignment="1">
      <alignment wrapText="1"/>
    </xf>
    <xf numFmtId="0" fontId="2" fillId="10" borderId="0" xfId="0" applyFont="1" applyFill="1" applyBorder="1" applyAlignment="1">
      <alignment horizontal="center" vertical="center" wrapText="1"/>
    </xf>
    <xf numFmtId="164" fontId="1" fillId="10" borderId="0" xfId="2" applyNumberFormat="1" applyFont="1" applyFill="1" applyBorder="1" applyAlignment="1">
      <alignment wrapText="1"/>
    </xf>
    <xf numFmtId="0" fontId="0" fillId="10" borderId="0" xfId="0" applyFont="1" applyFill="1" applyBorder="1" applyAlignment="1">
      <alignment horizontal="center" vertical="center" wrapText="1"/>
    </xf>
    <xf numFmtId="0" fontId="13" fillId="10" borderId="0" xfId="0" applyFont="1" applyFill="1" applyBorder="1" applyAlignment="1">
      <alignment wrapText="1"/>
    </xf>
    <xf numFmtId="0" fontId="11" fillId="10" borderId="0" xfId="0" applyFont="1" applyFill="1" applyBorder="1" applyAlignment="1">
      <alignment horizontal="left" wrapText="1"/>
    </xf>
    <xf numFmtId="0" fontId="1" fillId="10" borderId="3" xfId="0" applyFont="1" applyFill="1" applyBorder="1" applyAlignment="1">
      <alignment horizontal="center" vertical="center" wrapText="1"/>
    </xf>
    <xf numFmtId="0" fontId="5" fillId="10" borderId="3" xfId="0" applyFont="1" applyFill="1" applyBorder="1" applyAlignment="1" applyProtection="1">
      <alignment horizontal="center" vertical="center" wrapText="1"/>
    </xf>
    <xf numFmtId="9" fontId="5" fillId="10" borderId="3" xfId="2"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xf>
    <xf numFmtId="0" fontId="1" fillId="10" borderId="0" xfId="0" applyFont="1" applyFill="1" applyBorder="1" applyAlignment="1" applyProtection="1">
      <alignment vertical="center" wrapText="1"/>
      <protection locked="0"/>
    </xf>
    <xf numFmtId="170" fontId="1" fillId="10" borderId="0" xfId="0" applyNumberFormat="1" applyFont="1" applyFill="1" applyBorder="1" applyAlignment="1" applyProtection="1">
      <alignment horizontal="center" vertical="center" wrapText="1"/>
    </xf>
    <xf numFmtId="170" fontId="1" fillId="10" borderId="0" xfId="2" applyNumberFormat="1" applyFont="1" applyFill="1" applyBorder="1" applyAlignment="1" applyProtection="1">
      <alignment vertical="center" wrapText="1"/>
      <protection locked="0"/>
    </xf>
    <xf numFmtId="170" fontId="1" fillId="10" borderId="0" xfId="2" applyNumberFormat="1" applyFont="1" applyFill="1" applyBorder="1" applyAlignment="1" applyProtection="1">
      <alignment horizontal="right" vertical="center" wrapText="1"/>
      <protection locked="0"/>
    </xf>
    <xf numFmtId="170" fontId="1" fillId="10" borderId="0" xfId="2" applyNumberFormat="1" applyFont="1" applyFill="1" applyBorder="1" applyAlignment="1" applyProtection="1">
      <alignment vertical="center" wrapText="1"/>
    </xf>
    <xf numFmtId="165" fontId="5" fillId="10" borderId="3" xfId="3" applyFont="1" applyFill="1" applyBorder="1" applyAlignment="1" applyProtection="1">
      <alignment vertical="center" wrapText="1"/>
      <protection locked="0"/>
    </xf>
    <xf numFmtId="9" fontId="1" fillId="2" borderId="3" xfId="1" applyNumberFormat="1" applyFont="1" applyFill="1" applyBorder="1" applyAlignment="1" applyProtection="1">
      <alignment horizontal="center" vertical="center" wrapText="1"/>
    </xf>
    <xf numFmtId="170" fontId="2" fillId="0" borderId="3" xfId="0" applyNumberFormat="1" applyFont="1" applyBorder="1" applyAlignment="1">
      <alignment wrapText="1"/>
    </xf>
    <xf numFmtId="171" fontId="0" fillId="0" borderId="0" xfId="0" applyNumberFormat="1" applyFont="1" applyBorder="1" applyAlignment="1">
      <alignment wrapText="1"/>
    </xf>
    <xf numFmtId="170" fontId="1" fillId="3" borderId="0" xfId="0" applyNumberFormat="1" applyFont="1" applyFill="1" applyBorder="1" applyAlignment="1" applyProtection="1">
      <alignment vertical="center" wrapText="1"/>
      <protection locked="0"/>
    </xf>
    <xf numFmtId="164" fontId="2" fillId="10" borderId="3" xfId="0" applyNumberFormat="1" applyFont="1" applyFill="1" applyBorder="1" applyAlignment="1">
      <alignment wrapText="1"/>
    </xf>
    <xf numFmtId="9" fontId="5" fillId="0" borderId="0" xfId="2" applyFont="1" applyFill="1" applyBorder="1" applyAlignment="1">
      <alignment vertical="center" wrapText="1"/>
    </xf>
    <xf numFmtId="0" fontId="13" fillId="0" borderId="0" xfId="0" applyFont="1" applyFill="1" applyBorder="1" applyAlignment="1">
      <alignment wrapText="1"/>
    </xf>
    <xf numFmtId="9" fontId="5" fillId="0" borderId="3" xfId="2" applyFont="1" applyFill="1" applyBorder="1" applyAlignment="1" applyProtection="1">
      <alignment horizontal="center" vertical="center" wrapText="1"/>
      <protection locked="0"/>
    </xf>
    <xf numFmtId="164" fontId="5" fillId="0" borderId="0" xfId="1" applyFont="1" applyFill="1" applyBorder="1" applyAlignment="1" applyProtection="1">
      <alignment horizontal="center" vertical="center" wrapText="1"/>
      <protection locked="0"/>
    </xf>
    <xf numFmtId="164" fontId="5" fillId="0" borderId="0" xfId="1" applyFont="1" applyFill="1" applyBorder="1" applyAlignment="1" applyProtection="1">
      <alignment vertical="center" wrapText="1"/>
      <protection locked="0"/>
    </xf>
    <xf numFmtId="170" fontId="2" fillId="0" borderId="3" xfId="0" applyNumberFormat="1" applyFont="1" applyFill="1" applyBorder="1" applyAlignment="1">
      <alignment wrapText="1"/>
    </xf>
    <xf numFmtId="170" fontId="1" fillId="0" borderId="0" xfId="2" applyNumberFormat="1" applyFont="1" applyFill="1" applyBorder="1" applyAlignment="1" applyProtection="1">
      <alignment vertical="center" wrapText="1"/>
      <protection locked="0"/>
    </xf>
    <xf numFmtId="170" fontId="1" fillId="0" borderId="0" xfId="2" applyNumberFormat="1" applyFont="1" applyFill="1" applyBorder="1" applyAlignment="1" applyProtection="1">
      <alignment horizontal="right" vertical="center" wrapText="1"/>
      <protection locked="0"/>
    </xf>
    <xf numFmtId="2" fontId="5" fillId="10" borderId="3" xfId="2" applyNumberFormat="1" applyFont="1" applyFill="1" applyBorder="1" applyAlignment="1" applyProtection="1">
      <alignment horizontal="center" vertical="center" wrapText="1"/>
      <protection locked="0"/>
    </xf>
    <xf numFmtId="170" fontId="1" fillId="2" borderId="3" xfId="0" applyNumberFormat="1" applyFont="1" applyFill="1" applyBorder="1" applyAlignment="1" applyProtection="1">
      <alignment vertical="center" wrapText="1"/>
    </xf>
    <xf numFmtId="0" fontId="8" fillId="0" borderId="0" xfId="0" applyFont="1" applyBorder="1" applyAlignment="1">
      <alignment wrapText="1"/>
    </xf>
    <xf numFmtId="9" fontId="53" fillId="3" borderId="0" xfId="2" applyFont="1" applyFill="1" applyBorder="1" applyAlignment="1">
      <alignment vertical="center" wrapText="1"/>
    </xf>
    <xf numFmtId="164" fontId="5" fillId="0" borderId="3" xfId="1" applyNumberFormat="1" applyFont="1" applyFill="1" applyBorder="1" applyAlignment="1" applyProtection="1">
      <alignment horizontal="center" vertical="center" wrapText="1"/>
      <protection locked="0"/>
    </xf>
    <xf numFmtId="164" fontId="54" fillId="0" borderId="3" xfId="1" applyNumberFormat="1" applyFont="1" applyBorder="1" applyAlignment="1" applyProtection="1">
      <alignment horizontal="center" vertical="center" wrapText="1"/>
      <protection locked="0"/>
    </xf>
    <xf numFmtId="164" fontId="54" fillId="0" borderId="3" xfId="1" applyNumberFormat="1" applyFont="1" applyFill="1" applyBorder="1" applyAlignment="1" applyProtection="1">
      <alignment horizontal="center" vertical="center" wrapText="1"/>
      <protection locked="0"/>
    </xf>
    <xf numFmtId="170" fontId="54" fillId="2" borderId="3" xfId="0" applyNumberFormat="1" applyFont="1" applyFill="1" applyBorder="1" applyAlignment="1" applyProtection="1">
      <alignment vertical="center" wrapText="1"/>
    </xf>
    <xf numFmtId="4" fontId="0" fillId="0" borderId="3" xfId="0" applyNumberFormat="1" applyBorder="1"/>
    <xf numFmtId="9" fontId="5" fillId="0" borderId="5" xfId="2" applyFont="1" applyBorder="1" applyAlignment="1" applyProtection="1">
      <alignment horizontal="center" vertical="center" wrapText="1"/>
      <protection locked="0"/>
    </xf>
    <xf numFmtId="165" fontId="5" fillId="0" borderId="3" xfId="3" applyFont="1" applyBorder="1" applyAlignment="1" applyProtection="1">
      <alignment vertical="center" wrapText="1"/>
      <protection locked="0"/>
    </xf>
    <xf numFmtId="164" fontId="5" fillId="8" borderId="3" xfId="1" applyNumberFormat="1" applyFont="1" applyFill="1" applyBorder="1" applyAlignment="1" applyProtection="1">
      <alignment horizontal="center" vertical="center" wrapText="1"/>
      <protection locked="0"/>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3" fontId="0" fillId="0" borderId="3" xfId="0" applyNumberFormat="1" applyBorder="1" applyAlignment="1">
      <alignment horizontal="center" vertical="top"/>
    </xf>
    <xf numFmtId="0" fontId="0" fillId="8" borderId="3" xfId="0" applyFill="1" applyBorder="1" applyAlignment="1">
      <alignment horizontal="center" wrapText="1"/>
    </xf>
    <xf numFmtId="0" fontId="2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top"/>
    </xf>
    <xf numFmtId="0" fontId="28" fillId="0" borderId="5" xfId="0" applyFont="1" applyBorder="1" applyAlignment="1">
      <alignment horizontal="left" vertical="top" wrapText="1"/>
    </xf>
    <xf numFmtId="0" fontId="28" fillId="0" borderId="38" xfId="0" applyFont="1" applyBorder="1" applyAlignment="1">
      <alignment horizontal="left" vertical="top"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0" fillId="0" borderId="58" xfId="0" applyBorder="1" applyAlignment="1">
      <alignment horizontal="center" vertical="center"/>
    </xf>
    <xf numFmtId="0" fontId="0" fillId="0" borderId="52" xfId="0" applyBorder="1" applyAlignment="1">
      <alignment horizontal="center" vertical="center"/>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39" fillId="18" borderId="59" xfId="0" applyFont="1" applyFill="1" applyBorder="1" applyAlignment="1">
      <alignment horizontal="left" vertical="center"/>
    </xf>
    <xf numFmtId="0" fontId="39" fillId="18" borderId="13" xfId="0" applyFont="1" applyFill="1" applyBorder="1" applyAlignment="1">
      <alignment horizontal="left" vertical="center"/>
    </xf>
    <xf numFmtId="0" fontId="34" fillId="0" borderId="0" xfId="0" applyFont="1" applyAlignment="1">
      <alignment horizontal="left" vertical="center"/>
    </xf>
    <xf numFmtId="0" fontId="22" fillId="0" borderId="38" xfId="0" applyFont="1" applyFill="1" applyBorder="1" applyAlignment="1">
      <alignment horizontal="center" vertical="center" wrapText="1"/>
    </xf>
    <xf numFmtId="0" fontId="37" fillId="3" borderId="34" xfId="0" applyFont="1" applyFill="1" applyBorder="1" applyAlignment="1">
      <alignment horizontal="center" vertical="center"/>
    </xf>
    <xf numFmtId="0" fontId="37" fillId="3" borderId="56" xfId="0" applyFont="1" applyFill="1" applyBorder="1" applyAlignment="1">
      <alignment horizontal="center" vertical="center"/>
    </xf>
    <xf numFmtId="0" fontId="49" fillId="18" borderId="75" xfId="0" applyFont="1" applyFill="1" applyBorder="1" applyAlignment="1">
      <alignment horizontal="left" vertical="center" wrapText="1"/>
    </xf>
    <xf numFmtId="0" fontId="49" fillId="18" borderId="76" xfId="0" applyFont="1" applyFill="1" applyBorder="1" applyAlignment="1">
      <alignment horizontal="left"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170" fontId="1" fillId="2" borderId="27" xfId="0" applyNumberFormat="1" applyFont="1" applyFill="1" applyBorder="1" applyAlignment="1" applyProtection="1">
      <alignment horizontal="center" vertical="center" wrapText="1"/>
    </xf>
    <xf numFmtId="170" fontId="1" fillId="2" borderId="29" xfId="0" applyNumberFormat="1" applyFont="1" applyFill="1" applyBorder="1" applyAlignment="1" applyProtection="1">
      <alignment horizontal="center" vertical="center" wrapText="1"/>
    </xf>
    <xf numFmtId="170" fontId="1" fillId="2" borderId="36" xfId="0" applyNumberFormat="1" applyFont="1" applyFill="1" applyBorder="1" applyAlignment="1" applyProtection="1">
      <alignment horizontal="center" vertical="center" wrapText="1"/>
    </xf>
    <xf numFmtId="170" fontId="1" fillId="2" borderId="16" xfId="0" applyNumberFormat="1"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10" borderId="30" xfId="1" applyFont="1" applyFill="1" applyBorder="1" applyAlignment="1" applyProtection="1">
      <alignment horizontal="center" vertical="center" wrapText="1"/>
    </xf>
    <xf numFmtId="164" fontId="1" fillId="10" borderId="37" xfId="1" applyFont="1" applyFill="1" applyBorder="1" applyAlignment="1" applyProtection="1">
      <alignment horizontal="center" vertical="center" wrapText="1"/>
    </xf>
    <xf numFmtId="170" fontId="1" fillId="10" borderId="5" xfId="0" applyNumberFormat="1" applyFont="1" applyFill="1" applyBorder="1" applyAlignment="1" applyProtection="1">
      <alignment horizontal="center" vertical="center" wrapText="1"/>
    </xf>
    <xf numFmtId="170" fontId="1" fillId="10" borderId="38" xfId="0" applyNumberFormat="1" applyFont="1" applyFill="1" applyBorder="1" applyAlignment="1" applyProtection="1">
      <alignment horizontal="center" vertical="center" wrapText="1"/>
    </xf>
    <xf numFmtId="170" fontId="1" fillId="2" borderId="30" xfId="0" applyNumberFormat="1" applyFont="1" applyFill="1" applyBorder="1" applyAlignment="1" applyProtection="1">
      <alignment horizontal="center" vertical="center" wrapText="1"/>
    </xf>
    <xf numFmtId="170" fontId="1" fillId="2" borderId="37" xfId="0" applyNumberFormat="1" applyFont="1" applyFill="1" applyBorder="1" applyAlignment="1" applyProtection="1">
      <alignment horizontal="center" vertical="center" wrapText="1"/>
    </xf>
    <xf numFmtId="170" fontId="2" fillId="2" borderId="7" xfId="0" applyNumberFormat="1" applyFont="1" applyFill="1" applyBorder="1" applyAlignment="1" applyProtection="1">
      <alignment horizontal="center" vertical="center" wrapText="1"/>
    </xf>
    <xf numFmtId="170" fontId="2" fillId="2" borderId="35" xfId="0" applyNumberFormat="1"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C:/C:/Users/Siribie/Desktop/FAO/PROJETS/Projet%20UNJPBKF-060-PBF/KOFFY/PBF%20ProjetTranshumance_FAO_Par%20paysSIRIB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RKINA FAO Format"/>
      <sheetName val="Niger FAO Format"/>
      <sheetName val="Mali FAO Format"/>
      <sheetName val="Dropdowns"/>
      <sheetName val="Sheet2"/>
    </sheetNames>
    <sheetDataSet>
      <sheetData sheetId="0">
        <row r="24">
          <cell r="I24">
            <v>188910.43502824858</v>
          </cell>
        </row>
        <row r="44">
          <cell r="I44">
            <v>0</v>
          </cell>
        </row>
        <row r="56">
          <cell r="I56">
            <v>40000</v>
          </cell>
        </row>
        <row r="69">
          <cell r="I69">
            <v>3072</v>
          </cell>
        </row>
        <row r="70">
          <cell r="I70">
            <v>3333.3333333333335</v>
          </cell>
        </row>
        <row r="71">
          <cell r="I71">
            <v>11000</v>
          </cell>
        </row>
        <row r="80">
          <cell r="I80">
            <v>13643</v>
          </cell>
        </row>
        <row r="84">
          <cell r="I84">
            <v>10375</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82"/>
  <sheetViews>
    <sheetView topLeftCell="A3" workbookViewId="0">
      <selection activeCell="D62" sqref="D62"/>
    </sheetView>
  </sheetViews>
  <sheetFormatPr baseColWidth="10" defaultColWidth="11.453125" defaultRowHeight="14.5" x14ac:dyDescent="0.35"/>
  <cols>
    <col min="1" max="1" width="22.453125" customWidth="1"/>
    <col min="2" max="3" width="11.453125" customWidth="1"/>
    <col min="4" max="4" width="34.453125" customWidth="1"/>
    <col min="5" max="5" width="9.453125" customWidth="1"/>
    <col min="6" max="6" width="10.453125" style="184" bestFit="1" customWidth="1"/>
    <col min="7" max="7" width="8.54296875" style="184" bestFit="1" customWidth="1"/>
    <col min="8" max="8" width="14.54296875" style="184" bestFit="1" customWidth="1"/>
    <col min="9" max="9" width="15.453125" style="184" bestFit="1" customWidth="1"/>
    <col min="10" max="10" width="79.1796875" customWidth="1"/>
    <col min="12" max="12" width="11.453125" customWidth="1"/>
  </cols>
  <sheetData>
    <row r="1" spans="1:13" x14ac:dyDescent="0.35">
      <c r="A1" s="674" t="s">
        <v>677</v>
      </c>
      <c r="B1" s="674"/>
      <c r="C1" s="674"/>
      <c r="D1" s="674"/>
      <c r="E1" s="674"/>
      <c r="F1" s="674"/>
      <c r="G1" s="674"/>
      <c r="H1" s="674"/>
      <c r="I1" s="674"/>
      <c r="J1" s="674"/>
    </row>
    <row r="2" spans="1:13" x14ac:dyDescent="0.35">
      <c r="A2" s="674"/>
      <c r="B2" s="674"/>
      <c r="C2" s="674"/>
      <c r="D2" s="674"/>
      <c r="E2" s="674"/>
      <c r="F2" s="674"/>
      <c r="G2" s="674"/>
      <c r="H2" s="674"/>
      <c r="I2" s="674"/>
      <c r="J2" s="674"/>
    </row>
    <row r="3" spans="1:13" s="167" customFormat="1" ht="39" x14ac:dyDescent="0.35">
      <c r="A3" s="164" t="s">
        <v>678</v>
      </c>
      <c r="B3" s="164" t="s">
        <v>679</v>
      </c>
      <c r="C3" s="164" t="s">
        <v>680</v>
      </c>
      <c r="D3" s="164" t="s">
        <v>681</v>
      </c>
      <c r="E3" s="164" t="s">
        <v>682</v>
      </c>
      <c r="F3" s="165" t="s">
        <v>683</v>
      </c>
      <c r="G3" s="165" t="s">
        <v>684</v>
      </c>
      <c r="H3" s="165" t="s">
        <v>685</v>
      </c>
      <c r="I3" s="165" t="s">
        <v>686</v>
      </c>
      <c r="J3" s="166" t="s">
        <v>687</v>
      </c>
    </row>
    <row r="4" spans="1:13" s="167" customFormat="1" x14ac:dyDescent="0.35">
      <c r="A4" s="675" t="s">
        <v>688</v>
      </c>
      <c r="B4" s="168"/>
      <c r="C4" s="168">
        <v>5011</v>
      </c>
      <c r="D4" s="169" t="s">
        <v>689</v>
      </c>
      <c r="E4" s="169"/>
      <c r="F4" s="170"/>
      <c r="G4" s="170"/>
      <c r="H4" s="170"/>
      <c r="I4" s="170"/>
      <c r="J4" s="676"/>
    </row>
    <row r="5" spans="1:13" s="167" customFormat="1" x14ac:dyDescent="0.35">
      <c r="A5" s="675"/>
      <c r="B5" s="171"/>
      <c r="C5" s="172">
        <v>5101</v>
      </c>
      <c r="D5" s="173" t="s">
        <v>690</v>
      </c>
      <c r="E5" s="173">
        <v>1</v>
      </c>
      <c r="F5" s="174" t="s">
        <v>691</v>
      </c>
      <c r="G5" s="174">
        <v>1</v>
      </c>
      <c r="H5" s="175">
        <v>14000</v>
      </c>
      <c r="I5" s="175">
        <f>+E5*G5*H5</f>
        <v>14000</v>
      </c>
      <c r="J5" s="676"/>
    </row>
    <row r="6" spans="1:13" ht="26" x14ac:dyDescent="0.35">
      <c r="A6" s="675"/>
      <c r="B6" s="168"/>
      <c r="C6" s="168">
        <v>5013</v>
      </c>
      <c r="D6" s="169" t="s">
        <v>692</v>
      </c>
      <c r="E6" s="169"/>
      <c r="F6" s="176"/>
      <c r="G6" s="176"/>
      <c r="H6" s="176"/>
      <c r="I6" s="177"/>
      <c r="J6" s="676"/>
    </row>
    <row r="7" spans="1:13" x14ac:dyDescent="0.35">
      <c r="A7" s="675"/>
      <c r="B7" s="178"/>
      <c r="C7" s="179">
        <v>5551</v>
      </c>
      <c r="D7" s="180" t="s">
        <v>693</v>
      </c>
      <c r="E7" s="181">
        <v>6</v>
      </c>
      <c r="F7" s="181" t="s">
        <v>683</v>
      </c>
      <c r="G7" s="181">
        <v>1</v>
      </c>
      <c r="H7" s="182">
        <v>2800</v>
      </c>
      <c r="I7" s="183">
        <f t="shared" ref="I7:I14" si="0">+E7*G7*H7</f>
        <v>16800</v>
      </c>
      <c r="J7" s="676"/>
      <c r="M7" s="184"/>
    </row>
    <row r="8" spans="1:13" x14ac:dyDescent="0.35">
      <c r="A8" s="675"/>
      <c r="B8" s="178"/>
      <c r="C8" s="179">
        <v>5551</v>
      </c>
      <c r="D8" s="180" t="s">
        <v>694</v>
      </c>
      <c r="E8" s="181">
        <v>1</v>
      </c>
      <c r="F8" s="181" t="s">
        <v>683</v>
      </c>
      <c r="G8" s="181">
        <v>1</v>
      </c>
      <c r="H8" s="182">
        <v>2800</v>
      </c>
      <c r="I8" s="183">
        <f t="shared" si="0"/>
        <v>2800</v>
      </c>
      <c r="J8" s="166"/>
      <c r="M8" s="184"/>
    </row>
    <row r="9" spans="1:13" x14ac:dyDescent="0.35">
      <c r="A9" s="675"/>
      <c r="B9" s="178"/>
      <c r="C9" s="179">
        <v>5551</v>
      </c>
      <c r="D9" s="180" t="s">
        <v>695</v>
      </c>
      <c r="E9" s="181">
        <v>1</v>
      </c>
      <c r="F9" s="181" t="s">
        <v>683</v>
      </c>
      <c r="G9" s="181">
        <v>1</v>
      </c>
      <c r="H9" s="182">
        <v>2800</v>
      </c>
      <c r="I9" s="183">
        <f t="shared" si="0"/>
        <v>2800</v>
      </c>
      <c r="J9" s="166"/>
      <c r="M9" s="184"/>
    </row>
    <row r="10" spans="1:13" x14ac:dyDescent="0.35">
      <c r="A10" s="675"/>
      <c r="B10" s="178"/>
      <c r="C10" s="179">
        <v>5551</v>
      </c>
      <c r="D10" s="180" t="s">
        <v>696</v>
      </c>
      <c r="E10" s="181">
        <v>1</v>
      </c>
      <c r="F10" s="181" t="s">
        <v>683</v>
      </c>
      <c r="G10" s="181">
        <v>1</v>
      </c>
      <c r="H10" s="182">
        <v>2800</v>
      </c>
      <c r="I10" s="183">
        <f t="shared" si="0"/>
        <v>2800</v>
      </c>
      <c r="J10" s="166"/>
      <c r="M10" s="184"/>
    </row>
    <row r="11" spans="1:13" x14ac:dyDescent="0.35">
      <c r="A11" s="675"/>
      <c r="B11" s="171"/>
      <c r="C11" s="172">
        <v>5551</v>
      </c>
      <c r="D11" s="173" t="s">
        <v>697</v>
      </c>
      <c r="E11" s="174">
        <v>1</v>
      </c>
      <c r="F11" s="174" t="s">
        <v>683</v>
      </c>
      <c r="G11" s="174">
        <v>1</v>
      </c>
      <c r="H11" s="185">
        <f>1400/1.062</f>
        <v>1318.2674199623352</v>
      </c>
      <c r="I11" s="175">
        <f t="shared" si="0"/>
        <v>1318.2674199623352</v>
      </c>
      <c r="J11" s="166"/>
      <c r="M11" s="184"/>
    </row>
    <row r="12" spans="1:13" x14ac:dyDescent="0.35">
      <c r="A12" s="675"/>
      <c r="B12" s="171"/>
      <c r="C12" s="172">
        <v>5551</v>
      </c>
      <c r="D12" s="173" t="s">
        <v>698</v>
      </c>
      <c r="E12" s="174">
        <v>1</v>
      </c>
      <c r="F12" s="174" t="s">
        <v>683</v>
      </c>
      <c r="G12" s="174">
        <v>1</v>
      </c>
      <c r="H12" s="185">
        <v>1000</v>
      </c>
      <c r="I12" s="175">
        <f t="shared" si="0"/>
        <v>1000</v>
      </c>
      <c r="J12" s="166"/>
      <c r="M12" s="184"/>
    </row>
    <row r="13" spans="1:13" x14ac:dyDescent="0.35">
      <c r="A13" s="675"/>
      <c r="B13" s="171"/>
      <c r="C13" s="172">
        <v>5551</v>
      </c>
      <c r="D13" s="173" t="s">
        <v>699</v>
      </c>
      <c r="E13" s="174">
        <v>1</v>
      </c>
      <c r="F13" s="174" t="s">
        <v>683</v>
      </c>
      <c r="G13" s="174">
        <v>1</v>
      </c>
      <c r="H13" s="185">
        <v>1500</v>
      </c>
      <c r="I13" s="175">
        <f t="shared" si="0"/>
        <v>1500</v>
      </c>
      <c r="J13" s="166"/>
      <c r="M13" s="184"/>
    </row>
    <row r="14" spans="1:13" x14ac:dyDescent="0.35">
      <c r="A14" s="675"/>
      <c r="B14" s="178"/>
      <c r="C14" s="179">
        <v>5551</v>
      </c>
      <c r="D14" s="180" t="s">
        <v>700</v>
      </c>
      <c r="E14" s="181">
        <v>3</v>
      </c>
      <c r="F14" s="181" t="s">
        <v>683</v>
      </c>
      <c r="G14" s="181">
        <v>1</v>
      </c>
      <c r="H14" s="182">
        <v>675</v>
      </c>
      <c r="I14" s="183">
        <f t="shared" si="0"/>
        <v>2025</v>
      </c>
      <c r="J14" s="166"/>
      <c r="M14" s="184"/>
    </row>
    <row r="15" spans="1:13" ht="25" x14ac:dyDescent="0.35">
      <c r="A15" s="675"/>
      <c r="B15" s="186">
        <v>5300</v>
      </c>
      <c r="C15" s="187">
        <v>5156</v>
      </c>
      <c r="D15" s="188" t="s">
        <v>701</v>
      </c>
      <c r="E15" s="189"/>
      <c r="F15" s="190"/>
      <c r="G15" s="190">
        <f>(E5*G5)</f>
        <v>1</v>
      </c>
      <c r="H15" s="191">
        <v>267</v>
      </c>
      <c r="I15" s="192">
        <f>G15*H15</f>
        <v>267</v>
      </c>
      <c r="J15" s="193" t="s">
        <v>702</v>
      </c>
      <c r="M15" s="184"/>
    </row>
    <row r="16" spans="1:13" s="198" customFormat="1" ht="23" x14ac:dyDescent="0.3">
      <c r="A16" s="675"/>
      <c r="B16" s="186">
        <v>5570</v>
      </c>
      <c r="C16" s="187">
        <v>5556</v>
      </c>
      <c r="D16" s="194" t="s">
        <v>703</v>
      </c>
      <c r="E16" s="194"/>
      <c r="F16" s="195"/>
      <c r="G16" s="196"/>
      <c r="H16" s="196">
        <v>187</v>
      </c>
      <c r="I16" s="192">
        <f t="shared" ref="I16:I17" si="1">G16*H16</f>
        <v>0</v>
      </c>
      <c r="J16" s="197" t="s">
        <v>704</v>
      </c>
    </row>
    <row r="17" spans="1:10" ht="25" x14ac:dyDescent="0.35">
      <c r="A17" s="675"/>
      <c r="B17" s="186">
        <v>5570</v>
      </c>
      <c r="C17" s="187">
        <v>5556</v>
      </c>
      <c r="D17" s="188" t="s">
        <v>705</v>
      </c>
      <c r="E17" s="189"/>
      <c r="F17" s="199"/>
      <c r="G17" s="200">
        <f>(E7*G7)+(E8*G8)+(E9*G9)+(E10*G10)+(E11*G11)+(E12*G12)+(E13*G13)+(E14*G14)</f>
        <v>15</v>
      </c>
      <c r="H17" s="200">
        <v>27</v>
      </c>
      <c r="I17" s="192">
        <f t="shared" si="1"/>
        <v>405</v>
      </c>
      <c r="J17" s="197" t="s">
        <v>704</v>
      </c>
    </row>
    <row r="18" spans="1:10" x14ac:dyDescent="0.35">
      <c r="A18" s="201"/>
      <c r="B18" s="201"/>
      <c r="C18" s="201"/>
      <c r="D18" s="202" t="s">
        <v>706</v>
      </c>
      <c r="E18" s="202"/>
      <c r="F18" s="203"/>
      <c r="G18" s="203"/>
      <c r="H18" s="203"/>
      <c r="I18" s="204">
        <f>SUM(I4:I17)</f>
        <v>45715.267419962336</v>
      </c>
      <c r="J18" s="205"/>
    </row>
    <row r="19" spans="1:10" x14ac:dyDescent="0.35">
      <c r="A19" s="675" t="s">
        <v>1</v>
      </c>
      <c r="B19" s="168"/>
      <c r="C19" s="206">
        <v>5024</v>
      </c>
      <c r="D19" s="169" t="s">
        <v>707</v>
      </c>
      <c r="E19" s="169"/>
      <c r="F19" s="207"/>
      <c r="G19" s="207"/>
      <c r="H19" s="207"/>
      <c r="I19" s="207"/>
      <c r="J19" s="677"/>
    </row>
    <row r="20" spans="1:10" x14ac:dyDescent="0.35">
      <c r="A20" s="675"/>
      <c r="B20" s="178"/>
      <c r="C20" s="179">
        <v>5940</v>
      </c>
      <c r="D20" s="180" t="s">
        <v>708</v>
      </c>
      <c r="E20" s="180"/>
      <c r="F20" s="208" t="s">
        <v>709</v>
      </c>
      <c r="G20" s="209">
        <v>2000</v>
      </c>
      <c r="H20" s="210">
        <v>1.8181818181818181</v>
      </c>
      <c r="I20" s="211">
        <f>+G20*H20</f>
        <v>3636.363636363636</v>
      </c>
      <c r="J20" s="677"/>
    </row>
    <row r="21" spans="1:10" ht="25" x14ac:dyDescent="0.35">
      <c r="A21" s="675"/>
      <c r="B21" s="178"/>
      <c r="C21" s="179">
        <v>5921</v>
      </c>
      <c r="D21" s="180" t="s">
        <v>710</v>
      </c>
      <c r="E21" s="180"/>
      <c r="F21" s="208" t="s">
        <v>711</v>
      </c>
      <c r="G21" s="209">
        <v>150</v>
      </c>
      <c r="H21" s="211">
        <v>10</v>
      </c>
      <c r="I21" s="211">
        <f t="shared" ref="I21:I27" si="2">+G21*H21</f>
        <v>1500</v>
      </c>
      <c r="J21" s="677"/>
    </row>
    <row r="22" spans="1:10" x14ac:dyDescent="0.35">
      <c r="A22" s="675"/>
      <c r="B22" s="178"/>
      <c r="C22" s="179">
        <v>5934</v>
      </c>
      <c r="D22" s="180" t="s">
        <v>712</v>
      </c>
      <c r="E22" s="180"/>
      <c r="F22" s="208" t="s">
        <v>713</v>
      </c>
      <c r="G22" s="209">
        <v>45</v>
      </c>
      <c r="H22" s="211">
        <v>300</v>
      </c>
      <c r="I22" s="211">
        <f t="shared" si="2"/>
        <v>13500</v>
      </c>
      <c r="J22" s="677"/>
    </row>
    <row r="23" spans="1:10" x14ac:dyDescent="0.35">
      <c r="A23" s="675"/>
      <c r="B23" s="178"/>
      <c r="C23" s="179">
        <v>5924</v>
      </c>
      <c r="D23" s="180" t="s">
        <v>714</v>
      </c>
      <c r="E23" s="180"/>
      <c r="F23" s="208" t="s">
        <v>683</v>
      </c>
      <c r="G23" s="209">
        <v>100</v>
      </c>
      <c r="H23" s="211">
        <v>10</v>
      </c>
      <c r="I23" s="211">
        <f t="shared" si="2"/>
        <v>1000</v>
      </c>
      <c r="J23" s="677"/>
    </row>
    <row r="24" spans="1:10" x14ac:dyDescent="0.35">
      <c r="A24" s="675"/>
      <c r="B24" s="178"/>
      <c r="C24" s="179">
        <v>5938</v>
      </c>
      <c r="D24" s="180" t="s">
        <v>715</v>
      </c>
      <c r="E24" s="180"/>
      <c r="F24" s="208" t="s">
        <v>716</v>
      </c>
      <c r="G24" s="209">
        <v>6000</v>
      </c>
      <c r="H24" s="210">
        <v>0.10909090909090909</v>
      </c>
      <c r="I24" s="211">
        <f>+G24*H24</f>
        <v>654.5454545454545</v>
      </c>
      <c r="J24" s="677"/>
    </row>
    <row r="25" spans="1:10" x14ac:dyDescent="0.35">
      <c r="A25" s="675"/>
      <c r="B25" s="178"/>
      <c r="C25" s="179">
        <v>5924</v>
      </c>
      <c r="D25" s="180" t="s">
        <v>717</v>
      </c>
      <c r="E25" s="180"/>
      <c r="F25" s="208" t="s">
        <v>683</v>
      </c>
      <c r="G25" s="209">
        <v>100</v>
      </c>
      <c r="H25" s="211">
        <f>50000/590</f>
        <v>84.745762711864401</v>
      </c>
      <c r="I25" s="211">
        <f t="shared" si="2"/>
        <v>8474.5762711864409</v>
      </c>
      <c r="J25" s="677"/>
    </row>
    <row r="26" spans="1:10" ht="25" x14ac:dyDescent="0.35">
      <c r="A26" s="675"/>
      <c r="B26" s="186">
        <v>6000</v>
      </c>
      <c r="C26" s="187">
        <v>5956</v>
      </c>
      <c r="D26" s="212" t="s">
        <v>718</v>
      </c>
      <c r="E26" s="212"/>
      <c r="F26" s="213"/>
      <c r="G26" s="213"/>
      <c r="H26" s="213">
        <v>860</v>
      </c>
      <c r="I26" s="200">
        <f t="shared" si="2"/>
        <v>0</v>
      </c>
      <c r="J26" s="214"/>
    </row>
    <row r="27" spans="1:10" ht="25" x14ac:dyDescent="0.35">
      <c r="A27" s="675"/>
      <c r="B27" s="186">
        <v>6000</v>
      </c>
      <c r="C27" s="187">
        <v>5956</v>
      </c>
      <c r="D27" s="188" t="s">
        <v>719</v>
      </c>
      <c r="E27" s="189"/>
      <c r="F27" s="200"/>
      <c r="G27" s="192">
        <v>6</v>
      </c>
      <c r="H27" s="200">
        <v>44</v>
      </c>
      <c r="I27" s="200">
        <f t="shared" si="2"/>
        <v>264</v>
      </c>
      <c r="J27" s="214"/>
    </row>
    <row r="28" spans="1:10" x14ac:dyDescent="0.35">
      <c r="A28" s="675"/>
      <c r="B28" s="206"/>
      <c r="C28" s="168">
        <v>5030</v>
      </c>
      <c r="D28" s="169" t="s">
        <v>720</v>
      </c>
      <c r="E28" s="169"/>
      <c r="F28" s="170"/>
      <c r="G28" s="215"/>
      <c r="H28" s="170"/>
      <c r="I28" s="215"/>
      <c r="J28" s="214"/>
    </row>
    <row r="29" spans="1:10" x14ac:dyDescent="0.35">
      <c r="A29" s="675"/>
      <c r="B29" s="178"/>
      <c r="C29" s="179">
        <v>5730</v>
      </c>
      <c r="D29" s="180" t="s">
        <v>721</v>
      </c>
      <c r="E29" s="180"/>
      <c r="F29" s="208"/>
      <c r="G29" s="209"/>
      <c r="H29" s="211"/>
      <c r="I29" s="211"/>
      <c r="J29" s="214"/>
    </row>
    <row r="30" spans="1:10" x14ac:dyDescent="0.35">
      <c r="A30" s="675"/>
      <c r="B30" s="178"/>
      <c r="C30" s="179">
        <v>5731</v>
      </c>
      <c r="D30" s="180" t="s">
        <v>722</v>
      </c>
      <c r="E30" s="180"/>
      <c r="F30" s="208"/>
      <c r="G30" s="209"/>
      <c r="H30" s="211"/>
      <c r="I30" s="216"/>
      <c r="J30" s="214"/>
    </row>
    <row r="31" spans="1:10" x14ac:dyDescent="0.35">
      <c r="A31" s="675"/>
      <c r="B31" s="178"/>
      <c r="C31" s="179">
        <v>5732</v>
      </c>
      <c r="D31" s="180" t="s">
        <v>723</v>
      </c>
      <c r="E31" s="180"/>
      <c r="F31" s="208"/>
      <c r="G31" s="209"/>
      <c r="H31" s="211"/>
      <c r="I31" s="211"/>
      <c r="J31" s="214"/>
    </row>
    <row r="32" spans="1:10" ht="14.75" customHeight="1" x14ac:dyDescent="0.35">
      <c r="A32" s="675"/>
      <c r="B32" s="186">
        <v>5800</v>
      </c>
      <c r="C32" s="187">
        <v>5739</v>
      </c>
      <c r="D32" s="212" t="s">
        <v>724</v>
      </c>
      <c r="E32" s="212"/>
      <c r="F32" s="208"/>
      <c r="G32" s="208"/>
      <c r="H32" s="213"/>
      <c r="I32" s="211"/>
      <c r="J32" s="217" t="s">
        <v>725</v>
      </c>
    </row>
    <row r="33" spans="1:13" x14ac:dyDescent="0.35">
      <c r="A33" s="201"/>
      <c r="B33" s="201"/>
      <c r="C33" s="201"/>
      <c r="D33" s="202" t="s">
        <v>706</v>
      </c>
      <c r="E33" s="202"/>
      <c r="F33" s="218"/>
      <c r="G33" s="218"/>
      <c r="H33" s="218"/>
      <c r="I33" s="218">
        <f>SUM(I20:I32)</f>
        <v>29029.485362095533</v>
      </c>
      <c r="J33" s="205"/>
    </row>
    <row r="34" spans="1:13" x14ac:dyDescent="0.35">
      <c r="A34" s="675" t="s">
        <v>726</v>
      </c>
      <c r="B34" s="206"/>
      <c r="C34" s="206">
        <v>5025</v>
      </c>
      <c r="D34" s="169" t="s">
        <v>727</v>
      </c>
      <c r="E34" s="169"/>
      <c r="F34" s="219"/>
      <c r="G34" s="219"/>
      <c r="H34" s="219"/>
      <c r="I34" s="219"/>
      <c r="J34" s="220"/>
    </row>
    <row r="35" spans="1:13" ht="25" x14ac:dyDescent="0.35">
      <c r="A35" s="675"/>
      <c r="B35" s="178"/>
      <c r="C35" s="221">
        <v>6004</v>
      </c>
      <c r="D35" s="180" t="s">
        <v>728</v>
      </c>
      <c r="E35" s="180"/>
      <c r="F35" s="208" t="s">
        <v>683</v>
      </c>
      <c r="G35" s="208">
        <v>2</v>
      </c>
      <c r="H35" s="208">
        <v>1000</v>
      </c>
      <c r="I35" s="208">
        <f>+G35*H35</f>
        <v>2000</v>
      </c>
      <c r="J35" s="214"/>
      <c r="K35" s="222"/>
      <c r="L35" s="223"/>
    </row>
    <row r="36" spans="1:13" ht="25" x14ac:dyDescent="0.35">
      <c r="A36" s="675"/>
      <c r="B36" s="186">
        <v>6100</v>
      </c>
      <c r="C36" s="224">
        <v>6056</v>
      </c>
      <c r="D36" s="212" t="s">
        <v>729</v>
      </c>
      <c r="E36" s="212"/>
      <c r="F36" s="213"/>
      <c r="G36" s="213"/>
      <c r="H36" s="213">
        <v>860</v>
      </c>
      <c r="I36" s="213">
        <f t="shared" ref="I36:I37" si="3">+G36*H36</f>
        <v>0</v>
      </c>
      <c r="J36" s="678" t="s">
        <v>730</v>
      </c>
      <c r="K36" s="222"/>
      <c r="L36" s="223"/>
    </row>
    <row r="37" spans="1:13" ht="25" x14ac:dyDescent="0.35">
      <c r="A37" s="675"/>
      <c r="B37" s="186">
        <v>6100</v>
      </c>
      <c r="C37" s="224">
        <v>6056</v>
      </c>
      <c r="D37" s="188" t="s">
        <v>731</v>
      </c>
      <c r="E37" s="189"/>
      <c r="F37" s="225"/>
      <c r="G37" s="192">
        <v>1</v>
      </c>
      <c r="H37" s="200">
        <v>44</v>
      </c>
      <c r="I37" s="213">
        <f t="shared" si="3"/>
        <v>44</v>
      </c>
      <c r="J37" s="679"/>
    </row>
    <row r="38" spans="1:13" x14ac:dyDescent="0.35">
      <c r="A38" s="201"/>
      <c r="B38" s="201"/>
      <c r="C38" s="201"/>
      <c r="D38" s="202" t="s">
        <v>706</v>
      </c>
      <c r="E38" s="202"/>
      <c r="F38" s="218"/>
      <c r="G38" s="218"/>
      <c r="H38" s="218"/>
      <c r="I38" s="218">
        <f>SUM(I35:I37)</f>
        <v>2044</v>
      </c>
      <c r="J38" s="226"/>
    </row>
    <row r="39" spans="1:13" x14ac:dyDescent="0.35">
      <c r="A39" s="675" t="s">
        <v>732</v>
      </c>
      <c r="B39" s="206"/>
      <c r="C39" s="206">
        <v>5014</v>
      </c>
      <c r="D39" s="169" t="s">
        <v>733</v>
      </c>
      <c r="E39" s="169"/>
      <c r="F39" s="219"/>
      <c r="G39" s="219"/>
      <c r="H39" s="219"/>
      <c r="I39" s="219"/>
      <c r="J39" s="197" t="s">
        <v>734</v>
      </c>
    </row>
    <row r="40" spans="1:13" x14ac:dyDescent="0.35">
      <c r="A40" s="675"/>
      <c r="B40" s="178"/>
      <c r="C40" s="221">
        <v>5571</v>
      </c>
      <c r="D40" s="227" t="s">
        <v>735</v>
      </c>
      <c r="E40" s="227"/>
      <c r="F40" s="208" t="s">
        <v>683</v>
      </c>
      <c r="G40" s="228">
        <v>60</v>
      </c>
      <c r="H40" s="228">
        <v>200</v>
      </c>
      <c r="I40" s="228">
        <f t="shared" ref="I40:I45" si="4">+G40*H40</f>
        <v>12000</v>
      </c>
      <c r="J40" s="229"/>
      <c r="L40" s="230"/>
    </row>
    <row r="41" spans="1:13" x14ac:dyDescent="0.35">
      <c r="A41" s="675"/>
      <c r="B41" s="178"/>
      <c r="C41" s="221">
        <v>5571</v>
      </c>
      <c r="D41" s="227" t="s">
        <v>736</v>
      </c>
      <c r="E41" s="227"/>
      <c r="F41" s="208" t="s">
        <v>683</v>
      </c>
      <c r="G41" s="228">
        <v>7</v>
      </c>
      <c r="H41" s="228">
        <f>5000000/550</f>
        <v>9090.9090909090901</v>
      </c>
      <c r="I41" s="228">
        <f t="shared" si="4"/>
        <v>63636.363636363632</v>
      </c>
      <c r="J41" s="229"/>
      <c r="L41" s="230"/>
    </row>
    <row r="42" spans="1:13" x14ac:dyDescent="0.35">
      <c r="A42" s="675"/>
      <c r="B42" s="178"/>
      <c r="C42" s="221">
        <v>5571</v>
      </c>
      <c r="D42" s="227" t="s">
        <v>737</v>
      </c>
      <c r="E42" s="227"/>
      <c r="F42" s="208" t="s">
        <v>683</v>
      </c>
      <c r="G42" s="228">
        <v>5</v>
      </c>
      <c r="H42" s="228">
        <f>5000000/550</f>
        <v>9090.9090909090901</v>
      </c>
      <c r="I42" s="228">
        <f t="shared" si="4"/>
        <v>45454.545454545449</v>
      </c>
      <c r="J42" s="229"/>
      <c r="L42" s="230"/>
    </row>
    <row r="43" spans="1:13" ht="25" x14ac:dyDescent="0.35">
      <c r="A43" s="675"/>
      <c r="B43" s="178"/>
      <c r="C43" s="221">
        <v>5571</v>
      </c>
      <c r="D43" s="227" t="s">
        <v>738</v>
      </c>
      <c r="E43" s="227"/>
      <c r="F43" s="208" t="s">
        <v>739</v>
      </c>
      <c r="G43" s="228">
        <v>500</v>
      </c>
      <c r="H43" s="228">
        <f>70000/550</f>
        <v>127.27272727272727</v>
      </c>
      <c r="I43" s="228">
        <f t="shared" si="4"/>
        <v>63636.363636363632</v>
      </c>
      <c r="J43" s="229"/>
      <c r="L43" s="230"/>
    </row>
    <row r="44" spans="1:13" x14ac:dyDescent="0.35">
      <c r="A44" s="675"/>
      <c r="B44" s="178"/>
      <c r="C44" s="221">
        <v>5571</v>
      </c>
      <c r="D44" s="227" t="s">
        <v>740</v>
      </c>
      <c r="E44" s="227"/>
      <c r="F44" s="208" t="s">
        <v>683</v>
      </c>
      <c r="G44" s="228">
        <v>1</v>
      </c>
      <c r="H44" s="228">
        <f>3000000/550</f>
        <v>5454.545454545455</v>
      </c>
      <c r="I44" s="228">
        <f t="shared" si="4"/>
        <v>5454.545454545455</v>
      </c>
      <c r="J44" s="229"/>
      <c r="L44" s="230"/>
    </row>
    <row r="45" spans="1:13" ht="26" x14ac:dyDescent="0.35">
      <c r="A45" s="675"/>
      <c r="B45" s="186">
        <v>5650</v>
      </c>
      <c r="C45" s="224">
        <v>5588</v>
      </c>
      <c r="D45" s="189" t="s">
        <v>741</v>
      </c>
      <c r="E45" s="189"/>
      <c r="F45" s="225"/>
      <c r="G45" s="200">
        <v>5</v>
      </c>
      <c r="H45" s="200">
        <v>44</v>
      </c>
      <c r="I45" s="200">
        <f t="shared" si="4"/>
        <v>220</v>
      </c>
      <c r="J45" s="217" t="s">
        <v>730</v>
      </c>
    </row>
    <row r="46" spans="1:13" x14ac:dyDescent="0.35">
      <c r="A46" s="202"/>
      <c r="B46" s="202"/>
      <c r="C46" s="202"/>
      <c r="D46" s="202" t="s">
        <v>706</v>
      </c>
      <c r="E46" s="202"/>
      <c r="F46" s="218"/>
      <c r="G46" s="218"/>
      <c r="H46" s="218"/>
      <c r="I46" s="218">
        <f>SUM(I40:I45)</f>
        <v>190401.81818181815</v>
      </c>
      <c r="J46" s="231"/>
    </row>
    <row r="47" spans="1:13" x14ac:dyDescent="0.35">
      <c r="A47" s="680" t="s">
        <v>6</v>
      </c>
      <c r="B47" s="206"/>
      <c r="C47" s="206">
        <v>5021</v>
      </c>
      <c r="D47" s="169" t="s">
        <v>742</v>
      </c>
      <c r="E47" s="169"/>
      <c r="F47" s="232"/>
      <c r="G47" s="232"/>
      <c r="H47" s="232"/>
      <c r="I47" s="232"/>
      <c r="J47" s="220"/>
      <c r="M47" s="184"/>
    </row>
    <row r="48" spans="1:13" x14ac:dyDescent="0.35">
      <c r="A48" s="680"/>
      <c r="B48" s="233"/>
      <c r="C48" s="234">
        <v>5696</v>
      </c>
      <c r="D48" s="235" t="s">
        <v>743</v>
      </c>
      <c r="E48" s="235"/>
      <c r="F48" s="236">
        <v>1</v>
      </c>
      <c r="G48" s="236" t="s">
        <v>744</v>
      </c>
      <c r="H48" s="236">
        <v>10000</v>
      </c>
      <c r="I48" s="236">
        <f>+F48*H48</f>
        <v>10000</v>
      </c>
      <c r="J48" s="677"/>
      <c r="M48" s="184"/>
    </row>
    <row r="49" spans="1:13" ht="18.5" x14ac:dyDescent="0.35">
      <c r="A49" s="681"/>
      <c r="B49" s="179"/>
      <c r="C49" s="179">
        <v>5664</v>
      </c>
      <c r="D49" s="235" t="s">
        <v>745</v>
      </c>
      <c r="E49" s="180"/>
      <c r="F49" s="236">
        <v>1</v>
      </c>
      <c r="G49" s="236" t="s">
        <v>744</v>
      </c>
      <c r="H49" s="236">
        <v>5000</v>
      </c>
      <c r="I49" s="236">
        <f>+F49*H49</f>
        <v>5000</v>
      </c>
      <c r="J49" s="677"/>
      <c r="K49" s="237"/>
      <c r="L49" s="238"/>
      <c r="M49" s="239"/>
    </row>
    <row r="50" spans="1:13" x14ac:dyDescent="0.35">
      <c r="A50" s="201"/>
      <c r="B50" s="201"/>
      <c r="C50" s="201"/>
      <c r="D50" s="202" t="s">
        <v>706</v>
      </c>
      <c r="E50" s="202"/>
      <c r="F50" s="218"/>
      <c r="G50" s="218"/>
      <c r="H50" s="218"/>
      <c r="I50" s="218">
        <f>SUM(I48:I49)</f>
        <v>15000</v>
      </c>
      <c r="J50" s="205"/>
    </row>
    <row r="51" spans="1:13" x14ac:dyDescent="0.35">
      <c r="A51" s="675" t="s">
        <v>4</v>
      </c>
      <c r="B51" s="206"/>
      <c r="C51" s="168">
        <v>5014</v>
      </c>
      <c r="D51" s="169" t="s">
        <v>733</v>
      </c>
      <c r="E51" s="169"/>
      <c r="F51" s="240"/>
      <c r="G51" s="240"/>
      <c r="H51" s="240"/>
      <c r="I51" s="240"/>
      <c r="J51" s="220"/>
    </row>
    <row r="52" spans="1:13" ht="62.5" x14ac:dyDescent="0.35">
      <c r="A52" s="675"/>
      <c r="B52" s="178"/>
      <c r="C52" s="241">
        <v>5579</v>
      </c>
      <c r="D52" s="242" t="s">
        <v>746</v>
      </c>
      <c r="E52" s="242"/>
      <c r="F52" s="211">
        <v>1</v>
      </c>
      <c r="G52" s="209" t="s">
        <v>683</v>
      </c>
      <c r="H52" s="209">
        <f>15000000/590</f>
        <v>25423.728813559323</v>
      </c>
      <c r="I52" s="243">
        <f>+F52*H52</f>
        <v>25423.728813559323</v>
      </c>
      <c r="J52" s="244" t="s">
        <v>747</v>
      </c>
    </row>
    <row r="53" spans="1:13" x14ac:dyDescent="0.35">
      <c r="A53" s="675"/>
      <c r="B53" s="178"/>
      <c r="C53" s="241">
        <v>5577</v>
      </c>
      <c r="D53" s="242" t="s">
        <v>748</v>
      </c>
      <c r="E53" s="242"/>
      <c r="F53" s="211">
        <v>1</v>
      </c>
      <c r="G53" s="209" t="s">
        <v>683</v>
      </c>
      <c r="H53" s="209">
        <f>20000000/590</f>
        <v>33898.305084745763</v>
      </c>
      <c r="I53" s="243">
        <f>+F53*H53</f>
        <v>33898.305084745763</v>
      </c>
      <c r="J53" s="245"/>
    </row>
    <row r="54" spans="1:13" ht="25" x14ac:dyDescent="0.35">
      <c r="A54" s="675"/>
      <c r="B54" s="186">
        <v>5650</v>
      </c>
      <c r="C54" s="187">
        <v>5586</v>
      </c>
      <c r="D54" s="188" t="s">
        <v>749</v>
      </c>
      <c r="E54" s="189"/>
      <c r="F54" s="200"/>
      <c r="G54" s="192"/>
      <c r="H54" s="192">
        <v>1948</v>
      </c>
      <c r="I54" s="246">
        <f t="shared" ref="I54:I55" si="5">+F54*H54</f>
        <v>0</v>
      </c>
      <c r="J54" s="678" t="s">
        <v>750</v>
      </c>
    </row>
    <row r="55" spans="1:13" x14ac:dyDescent="0.35">
      <c r="A55" s="675"/>
      <c r="B55" s="186">
        <v>5650</v>
      </c>
      <c r="C55" s="187">
        <v>5586</v>
      </c>
      <c r="D55" s="188" t="s">
        <v>751</v>
      </c>
      <c r="E55" s="189"/>
      <c r="F55" s="200">
        <v>2</v>
      </c>
      <c r="G55" s="192"/>
      <c r="H55" s="192">
        <v>100</v>
      </c>
      <c r="I55" s="246">
        <f t="shared" si="5"/>
        <v>200</v>
      </c>
      <c r="J55" s="679"/>
    </row>
    <row r="56" spans="1:13" x14ac:dyDescent="0.35">
      <c r="A56" s="202"/>
      <c r="B56" s="202"/>
      <c r="C56" s="202"/>
      <c r="D56" s="202" t="s">
        <v>706</v>
      </c>
      <c r="E56" s="202"/>
      <c r="F56" s="218"/>
      <c r="G56" s="218"/>
      <c r="H56" s="218"/>
      <c r="I56" s="218">
        <f>SUM(I52:I55)</f>
        <v>59522.03389830509</v>
      </c>
      <c r="J56" s="231"/>
    </row>
    <row r="57" spans="1:13" x14ac:dyDescent="0.35">
      <c r="A57" s="671" t="s">
        <v>752</v>
      </c>
      <c r="B57" s="206"/>
      <c r="C57" s="206">
        <v>5023</v>
      </c>
      <c r="D57" s="169" t="s">
        <v>753</v>
      </c>
      <c r="E57" s="169"/>
      <c r="F57" s="219"/>
      <c r="G57" s="219"/>
      <c r="H57" s="219"/>
      <c r="I57" s="219"/>
      <c r="J57" s="220"/>
    </row>
    <row r="58" spans="1:13" ht="37.5" x14ac:dyDescent="0.35">
      <c r="A58" s="672"/>
      <c r="B58" s="221"/>
      <c r="C58" s="221">
        <v>5905</v>
      </c>
      <c r="D58" s="247" t="s">
        <v>754</v>
      </c>
      <c r="E58" s="247"/>
      <c r="F58" s="236">
        <v>1</v>
      </c>
      <c r="G58" s="236" t="s">
        <v>744</v>
      </c>
      <c r="H58" s="208">
        <v>30000</v>
      </c>
      <c r="I58" s="208">
        <f>+F58*H58</f>
        <v>30000</v>
      </c>
      <c r="J58" s="214"/>
    </row>
    <row r="59" spans="1:13" x14ac:dyDescent="0.35">
      <c r="A59" s="672"/>
      <c r="B59" s="202"/>
      <c r="C59" s="202"/>
      <c r="D59" s="202" t="s">
        <v>755</v>
      </c>
      <c r="E59" s="202"/>
      <c r="F59" s="218"/>
      <c r="G59" s="218"/>
      <c r="H59" s="218"/>
      <c r="I59" s="218">
        <f>SUM(I58:I58)</f>
        <v>30000</v>
      </c>
      <c r="J59" s="205"/>
    </row>
    <row r="60" spans="1:13" x14ac:dyDescent="0.35">
      <c r="A60" s="672"/>
      <c r="B60" s="206"/>
      <c r="C60" s="206">
        <v>5027</v>
      </c>
      <c r="D60" s="248" t="s">
        <v>756</v>
      </c>
      <c r="E60" s="248"/>
      <c r="F60" s="249"/>
      <c r="G60" s="249"/>
      <c r="H60" s="249"/>
      <c r="I60" s="249"/>
      <c r="J60" s="220"/>
    </row>
    <row r="61" spans="1:13" ht="52" x14ac:dyDescent="0.35">
      <c r="A61" s="672"/>
      <c r="B61" s="221"/>
      <c r="C61" s="250">
        <v>6120</v>
      </c>
      <c r="D61" s="251" t="s">
        <v>757</v>
      </c>
      <c r="E61" s="251"/>
      <c r="F61" s="228">
        <v>1</v>
      </c>
      <c r="G61" s="228" t="s">
        <v>744</v>
      </c>
      <c r="H61" s="228">
        <v>3072</v>
      </c>
      <c r="I61" s="228">
        <f>+F61*H61</f>
        <v>3072</v>
      </c>
      <c r="J61" s="217" t="s">
        <v>758</v>
      </c>
    </row>
    <row r="62" spans="1:13" x14ac:dyDescent="0.35">
      <c r="A62" s="672"/>
      <c r="B62" s="221"/>
      <c r="C62" s="250">
        <v>6120</v>
      </c>
      <c r="D62" s="251" t="s">
        <v>759</v>
      </c>
      <c r="E62" s="251"/>
      <c r="F62" s="228">
        <v>1</v>
      </c>
      <c r="G62" s="228" t="s">
        <v>744</v>
      </c>
      <c r="H62" s="228">
        <v>3333.3333333333335</v>
      </c>
      <c r="I62" s="228">
        <f t="shared" ref="I62:I64" si="6">+F62*H62</f>
        <v>3333.3333333333335</v>
      </c>
      <c r="J62" s="217"/>
    </row>
    <row r="63" spans="1:13" ht="78" x14ac:dyDescent="0.35">
      <c r="A63" s="672"/>
      <c r="B63" s="221"/>
      <c r="C63" s="250">
        <v>6116</v>
      </c>
      <c r="D63" s="251" t="s">
        <v>760</v>
      </c>
      <c r="E63" s="251"/>
      <c r="F63" s="228">
        <v>1</v>
      </c>
      <c r="G63" s="228" t="s">
        <v>744</v>
      </c>
      <c r="H63" s="200">
        <f>12500</f>
        <v>12500</v>
      </c>
      <c r="I63" s="228">
        <f t="shared" si="6"/>
        <v>12500</v>
      </c>
      <c r="J63" s="217" t="s">
        <v>761</v>
      </c>
    </row>
    <row r="64" spans="1:13" x14ac:dyDescent="0.35">
      <c r="A64" s="672"/>
      <c r="B64" s="221"/>
      <c r="C64" s="250">
        <v>6111</v>
      </c>
      <c r="D64" s="251" t="s">
        <v>762</v>
      </c>
      <c r="E64" s="251"/>
      <c r="F64" s="228">
        <v>0</v>
      </c>
      <c r="G64" s="228" t="s">
        <v>683</v>
      </c>
      <c r="H64" s="228">
        <v>0</v>
      </c>
      <c r="I64" s="228">
        <f t="shared" si="6"/>
        <v>0</v>
      </c>
      <c r="J64" s="197" t="s">
        <v>763</v>
      </c>
    </row>
    <row r="65" spans="1:11" x14ac:dyDescent="0.35">
      <c r="A65" s="672"/>
      <c r="B65" s="202"/>
      <c r="C65" s="252"/>
      <c r="D65" s="253" t="s">
        <v>755</v>
      </c>
      <c r="E65" s="253"/>
      <c r="F65" s="254"/>
      <c r="G65" s="254"/>
      <c r="H65" s="254"/>
      <c r="I65" s="255">
        <f>+I61+I62+I63+I64</f>
        <v>18905.333333333336</v>
      </c>
      <c r="J65" s="256"/>
    </row>
    <row r="66" spans="1:11" x14ac:dyDescent="0.35">
      <c r="A66" s="672"/>
      <c r="B66" s="206"/>
      <c r="C66" s="206">
        <v>5028</v>
      </c>
      <c r="D66" s="257" t="s">
        <v>764</v>
      </c>
      <c r="E66" s="257"/>
      <c r="F66" s="240"/>
      <c r="G66" s="240"/>
      <c r="H66" s="240"/>
      <c r="I66" s="240"/>
      <c r="J66" s="220"/>
    </row>
    <row r="67" spans="1:11" x14ac:dyDescent="0.35">
      <c r="A67" s="672"/>
      <c r="B67" s="221"/>
      <c r="C67" s="179">
        <v>6152</v>
      </c>
      <c r="D67" s="251" t="s">
        <v>765</v>
      </c>
      <c r="E67" s="251"/>
      <c r="F67" s="209">
        <v>1</v>
      </c>
      <c r="G67" s="209" t="s">
        <v>744</v>
      </c>
      <c r="H67" s="209">
        <v>1000</v>
      </c>
      <c r="I67" s="209">
        <f>+F67*H67</f>
        <v>1000</v>
      </c>
      <c r="J67" s="673"/>
    </row>
    <row r="68" spans="1:11" x14ac:dyDescent="0.35">
      <c r="A68" s="672"/>
      <c r="B68" s="221"/>
      <c r="C68" s="179">
        <v>6175</v>
      </c>
      <c r="D68" s="180" t="s">
        <v>766</v>
      </c>
      <c r="E68" s="180"/>
      <c r="F68" s="209">
        <v>1</v>
      </c>
      <c r="G68" s="209" t="s">
        <v>744</v>
      </c>
      <c r="H68" s="209">
        <v>7000</v>
      </c>
      <c r="I68" s="209">
        <f t="shared" ref="I68:I72" si="7">+F68*H68</f>
        <v>7000</v>
      </c>
      <c r="J68" s="673"/>
      <c r="K68" s="258"/>
    </row>
    <row r="69" spans="1:11" x14ac:dyDescent="0.35">
      <c r="A69" s="672"/>
      <c r="B69" s="221"/>
      <c r="C69" s="179">
        <v>6176</v>
      </c>
      <c r="D69" s="180" t="s">
        <v>767</v>
      </c>
      <c r="E69" s="180"/>
      <c r="F69" s="209">
        <v>1</v>
      </c>
      <c r="G69" s="209" t="s">
        <v>744</v>
      </c>
      <c r="H69" s="209">
        <v>5000</v>
      </c>
      <c r="I69" s="209">
        <f t="shared" si="7"/>
        <v>5000</v>
      </c>
      <c r="J69" s="673"/>
      <c r="K69" s="258"/>
    </row>
    <row r="70" spans="1:11" x14ac:dyDescent="0.35">
      <c r="A70" s="672"/>
      <c r="B70" s="221"/>
      <c r="C70" s="179">
        <v>6177</v>
      </c>
      <c r="D70" s="180" t="s">
        <v>768</v>
      </c>
      <c r="E70" s="180"/>
      <c r="F70" s="209">
        <v>1</v>
      </c>
      <c r="G70" s="209" t="s">
        <v>744</v>
      </c>
      <c r="H70" s="209">
        <v>2500</v>
      </c>
      <c r="I70" s="209">
        <f t="shared" si="7"/>
        <v>2500</v>
      </c>
      <c r="J70" s="673"/>
      <c r="K70" s="258"/>
    </row>
    <row r="71" spans="1:11" ht="25" x14ac:dyDescent="0.35">
      <c r="A71" s="672"/>
      <c r="B71" s="221"/>
      <c r="C71" s="179">
        <v>6190</v>
      </c>
      <c r="D71" s="180" t="s">
        <v>769</v>
      </c>
      <c r="E71" s="180"/>
      <c r="F71" s="209">
        <v>1</v>
      </c>
      <c r="G71" s="209" t="s">
        <v>744</v>
      </c>
      <c r="H71" s="209">
        <v>5000</v>
      </c>
      <c r="I71" s="209">
        <f t="shared" si="7"/>
        <v>5000</v>
      </c>
      <c r="J71" s="673"/>
    </row>
    <row r="72" spans="1:11" x14ac:dyDescent="0.35">
      <c r="A72" s="672"/>
      <c r="B72" s="221"/>
      <c r="C72" s="179">
        <v>6309</v>
      </c>
      <c r="D72" s="180" t="s">
        <v>770</v>
      </c>
      <c r="E72" s="180"/>
      <c r="F72" s="209">
        <v>1</v>
      </c>
      <c r="G72" s="209" t="s">
        <v>744</v>
      </c>
      <c r="H72" s="209">
        <v>1791</v>
      </c>
      <c r="I72" s="209">
        <f t="shared" si="7"/>
        <v>1791</v>
      </c>
      <c r="J72" s="673"/>
    </row>
    <row r="73" spans="1:11" ht="26" x14ac:dyDescent="0.35">
      <c r="A73" s="672"/>
      <c r="B73" s="259">
        <v>6300</v>
      </c>
      <c r="C73" s="187">
        <v>6280</v>
      </c>
      <c r="D73" s="212" t="s">
        <v>771</v>
      </c>
      <c r="E73" s="212"/>
      <c r="F73" s="200">
        <v>12</v>
      </c>
      <c r="G73" s="200" t="s">
        <v>772</v>
      </c>
      <c r="H73" s="192">
        <v>44</v>
      </c>
      <c r="I73" s="192">
        <f>+F73*H73</f>
        <v>528</v>
      </c>
      <c r="J73" s="217" t="s">
        <v>730</v>
      </c>
    </row>
    <row r="74" spans="1:11" x14ac:dyDescent="0.35">
      <c r="A74" s="672"/>
      <c r="B74" s="259">
        <v>6300</v>
      </c>
      <c r="C74" s="187">
        <v>6216</v>
      </c>
      <c r="D74" s="212" t="s">
        <v>773</v>
      </c>
      <c r="E74" s="212"/>
      <c r="F74" s="200">
        <f>G15+G17</f>
        <v>16</v>
      </c>
      <c r="G74" s="200"/>
      <c r="H74" s="192">
        <v>135</v>
      </c>
      <c r="I74" s="192">
        <f>+F74*H74</f>
        <v>2160</v>
      </c>
      <c r="J74" s="217" t="s">
        <v>774</v>
      </c>
    </row>
    <row r="75" spans="1:11" x14ac:dyDescent="0.35">
      <c r="A75" s="672"/>
      <c r="B75" s="202"/>
      <c r="C75" s="202"/>
      <c r="D75" s="202" t="s">
        <v>755</v>
      </c>
      <c r="E75" s="202"/>
      <c r="F75" s="260"/>
      <c r="G75" s="260"/>
      <c r="H75" s="260"/>
      <c r="I75" s="255">
        <f>SUM(I67:I74)</f>
        <v>24979</v>
      </c>
      <c r="J75" s="226"/>
    </row>
    <row r="76" spans="1:11" ht="26" x14ac:dyDescent="0.35">
      <c r="A76" s="672"/>
      <c r="B76" s="206"/>
      <c r="C76" s="206">
        <v>5050</v>
      </c>
      <c r="D76" s="248" t="s">
        <v>775</v>
      </c>
      <c r="E76" s="248"/>
      <c r="F76" s="240"/>
      <c r="G76" s="240"/>
      <c r="H76" s="240"/>
      <c r="I76" s="240"/>
      <c r="J76" s="197"/>
    </row>
    <row r="77" spans="1:11" x14ac:dyDescent="0.35">
      <c r="A77" s="672"/>
      <c r="B77" s="259">
        <v>6500</v>
      </c>
      <c r="C77" s="187">
        <v>6420</v>
      </c>
      <c r="D77" s="189" t="s">
        <v>776</v>
      </c>
      <c r="E77" s="189"/>
      <c r="F77" s="200">
        <f>F74</f>
        <v>16</v>
      </c>
      <c r="G77" s="192"/>
      <c r="H77" s="192">
        <v>137</v>
      </c>
      <c r="I77" s="192">
        <f>F77+H77</f>
        <v>153</v>
      </c>
      <c r="J77" s="197" t="s">
        <v>704</v>
      </c>
    </row>
    <row r="78" spans="1:11" x14ac:dyDescent="0.35">
      <c r="A78" s="672"/>
      <c r="B78" s="259">
        <v>6500</v>
      </c>
      <c r="C78" s="261">
        <v>6421</v>
      </c>
      <c r="D78" s="189" t="s">
        <v>777</v>
      </c>
      <c r="E78" s="189"/>
      <c r="F78" s="200" t="s">
        <v>778</v>
      </c>
      <c r="G78" s="200"/>
      <c r="H78" s="200"/>
      <c r="I78" s="200">
        <v>4811</v>
      </c>
      <c r="J78" s="197" t="s">
        <v>779</v>
      </c>
    </row>
    <row r="79" spans="1:11" x14ac:dyDescent="0.35">
      <c r="A79" s="672"/>
      <c r="B79" s="202"/>
      <c r="C79" s="262"/>
      <c r="D79" s="202" t="s">
        <v>755</v>
      </c>
      <c r="E79" s="202"/>
      <c r="F79" s="260"/>
      <c r="G79" s="260"/>
      <c r="H79" s="260"/>
      <c r="I79" s="255">
        <f>SUM(I77:I78)</f>
        <v>4964</v>
      </c>
      <c r="J79" s="231"/>
    </row>
    <row r="80" spans="1:11" x14ac:dyDescent="0.35">
      <c r="A80" s="263"/>
      <c r="B80" s="263"/>
      <c r="C80" s="264" t="s">
        <v>780</v>
      </c>
      <c r="D80" s="264"/>
      <c r="E80" s="264"/>
      <c r="F80" s="265"/>
      <c r="G80" s="265"/>
      <c r="H80" s="265"/>
      <c r="I80" s="265">
        <f>SUM(I79,I75,I65,I59,I56,I50,I46,I38,I33,I18)</f>
        <v>420560.93819551443</v>
      </c>
      <c r="J80" s="266"/>
    </row>
    <row r="81" spans="1:10" x14ac:dyDescent="0.35">
      <c r="A81" s="267" t="s">
        <v>781</v>
      </c>
      <c r="B81" s="268"/>
      <c r="C81" s="268">
        <v>5029</v>
      </c>
      <c r="D81" s="248" t="s">
        <v>782</v>
      </c>
      <c r="E81" s="248"/>
      <c r="F81" s="240"/>
      <c r="G81" s="240"/>
      <c r="H81" s="240"/>
      <c r="I81" s="240">
        <f>I80*0.07</f>
        <v>29439.265673686012</v>
      </c>
      <c r="J81" s="205"/>
    </row>
    <row r="82" spans="1:10" x14ac:dyDescent="0.35">
      <c r="A82" s="269"/>
      <c r="B82" s="269"/>
      <c r="C82" s="270" t="s">
        <v>783</v>
      </c>
      <c r="D82" s="270"/>
      <c r="E82" s="270"/>
      <c r="F82" s="271"/>
      <c r="G82" s="271"/>
      <c r="H82" s="271"/>
      <c r="I82" s="271">
        <f>SUM(I80:I81)</f>
        <v>450000.20386920043</v>
      </c>
      <c r="J82" s="231"/>
    </row>
  </sheetData>
  <mergeCells count="14">
    <mergeCell ref="A57:A79"/>
    <mergeCell ref="J67:J72"/>
    <mergeCell ref="A1:J2"/>
    <mergeCell ref="A4:A17"/>
    <mergeCell ref="J4:J7"/>
    <mergeCell ref="A19:A32"/>
    <mergeCell ref="J19:J25"/>
    <mergeCell ref="A34:A37"/>
    <mergeCell ref="J36:J37"/>
    <mergeCell ref="A39:A45"/>
    <mergeCell ref="A47:A49"/>
    <mergeCell ref="J48:J49"/>
    <mergeCell ref="A51:A55"/>
    <mergeCell ref="J54:J5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4" t="s">
        <v>24</v>
      </c>
      <c r="B1" s="85" t="s">
        <v>25</v>
      </c>
    </row>
    <row r="2" spans="1:2" x14ac:dyDescent="0.35">
      <c r="A2" s="86" t="s">
        <v>26</v>
      </c>
      <c r="B2" s="87" t="s">
        <v>27</v>
      </c>
    </row>
    <row r="3" spans="1:2" x14ac:dyDescent="0.35">
      <c r="A3" s="86" t="s">
        <v>28</v>
      </c>
      <c r="B3" s="87" t="s">
        <v>29</v>
      </c>
    </row>
    <row r="4" spans="1:2" x14ac:dyDescent="0.35">
      <c r="A4" s="86" t="s">
        <v>30</v>
      </c>
      <c r="B4" s="87" t="s">
        <v>31</v>
      </c>
    </row>
    <row r="5" spans="1:2" x14ac:dyDescent="0.35">
      <c r="A5" s="86" t="s">
        <v>32</v>
      </c>
      <c r="B5" s="87" t="s">
        <v>33</v>
      </c>
    </row>
    <row r="6" spans="1:2" x14ac:dyDescent="0.35">
      <c r="A6" s="86" t="s">
        <v>34</v>
      </c>
      <c r="B6" s="87" t="s">
        <v>35</v>
      </c>
    </row>
    <row r="7" spans="1:2" x14ac:dyDescent="0.35">
      <c r="A7" s="86" t="s">
        <v>36</v>
      </c>
      <c r="B7" s="87" t="s">
        <v>37</v>
      </c>
    </row>
    <row r="8" spans="1:2" x14ac:dyDescent="0.35">
      <c r="A8" s="86" t="s">
        <v>38</v>
      </c>
      <c r="B8" s="87" t="s">
        <v>39</v>
      </c>
    </row>
    <row r="9" spans="1:2" x14ac:dyDescent="0.35">
      <c r="A9" s="86" t="s">
        <v>40</v>
      </c>
      <c r="B9" s="87" t="s">
        <v>41</v>
      </c>
    </row>
    <row r="10" spans="1:2" x14ac:dyDescent="0.35">
      <c r="A10" s="86" t="s">
        <v>42</v>
      </c>
      <c r="B10" s="87" t="s">
        <v>43</v>
      </c>
    </row>
    <row r="11" spans="1:2" x14ac:dyDescent="0.35">
      <c r="A11" s="86" t="s">
        <v>44</v>
      </c>
      <c r="B11" s="87" t="s">
        <v>45</v>
      </c>
    </row>
    <row r="12" spans="1:2" x14ac:dyDescent="0.35">
      <c r="A12" s="86" t="s">
        <v>46</v>
      </c>
      <c r="B12" s="87" t="s">
        <v>47</v>
      </c>
    </row>
    <row r="13" spans="1:2" x14ac:dyDescent="0.35">
      <c r="A13" s="86" t="s">
        <v>48</v>
      </c>
      <c r="B13" s="87" t="s">
        <v>49</v>
      </c>
    </row>
    <row r="14" spans="1:2" x14ac:dyDescent="0.35">
      <c r="A14" s="86" t="s">
        <v>50</v>
      </c>
      <c r="B14" s="87" t="s">
        <v>51</v>
      </c>
    </row>
    <row r="15" spans="1:2" x14ac:dyDescent="0.35">
      <c r="A15" s="86" t="s">
        <v>52</v>
      </c>
      <c r="B15" s="87" t="s">
        <v>53</v>
      </c>
    </row>
    <row r="16" spans="1:2" x14ac:dyDescent="0.35">
      <c r="A16" s="86" t="s">
        <v>54</v>
      </c>
      <c r="B16" s="87" t="s">
        <v>55</v>
      </c>
    </row>
    <row r="17" spans="1:2" x14ac:dyDescent="0.35">
      <c r="A17" s="86" t="s">
        <v>56</v>
      </c>
      <c r="B17" s="87" t="s">
        <v>57</v>
      </c>
    </row>
    <row r="18" spans="1:2" x14ac:dyDescent="0.35">
      <c r="A18" s="86" t="s">
        <v>58</v>
      </c>
      <c r="B18" s="87" t="s">
        <v>59</v>
      </c>
    </row>
    <row r="19" spans="1:2" x14ac:dyDescent="0.35">
      <c r="A19" s="86" t="s">
        <v>60</v>
      </c>
      <c r="B19" s="87" t="s">
        <v>61</v>
      </c>
    </row>
    <row r="20" spans="1:2" x14ac:dyDescent="0.35">
      <c r="A20" s="86" t="s">
        <v>62</v>
      </c>
      <c r="B20" s="87" t="s">
        <v>63</v>
      </c>
    </row>
    <row r="21" spans="1:2" x14ac:dyDescent="0.35">
      <c r="A21" s="86" t="s">
        <v>64</v>
      </c>
      <c r="B21" s="87" t="s">
        <v>65</v>
      </c>
    </row>
    <row r="22" spans="1:2" x14ac:dyDescent="0.35">
      <c r="A22" s="86" t="s">
        <v>66</v>
      </c>
      <c r="B22" s="87" t="s">
        <v>67</v>
      </c>
    </row>
    <row r="23" spans="1:2" x14ac:dyDescent="0.35">
      <c r="A23" s="86" t="s">
        <v>68</v>
      </c>
      <c r="B23" s="87" t="s">
        <v>69</v>
      </c>
    </row>
    <row r="24" spans="1:2" x14ac:dyDescent="0.35">
      <c r="A24" s="86" t="s">
        <v>70</v>
      </c>
      <c r="B24" s="87" t="s">
        <v>71</v>
      </c>
    </row>
    <row r="25" spans="1:2" x14ac:dyDescent="0.35">
      <c r="A25" s="86" t="s">
        <v>72</v>
      </c>
      <c r="B25" s="87" t="s">
        <v>73</v>
      </c>
    </row>
    <row r="26" spans="1:2" x14ac:dyDescent="0.35">
      <c r="A26" s="86" t="s">
        <v>74</v>
      </c>
      <c r="B26" s="87" t="s">
        <v>75</v>
      </c>
    </row>
    <row r="27" spans="1:2" x14ac:dyDescent="0.35">
      <c r="A27" s="86" t="s">
        <v>76</v>
      </c>
      <c r="B27" s="87" t="s">
        <v>77</v>
      </c>
    </row>
    <row r="28" spans="1:2" x14ac:dyDescent="0.35">
      <c r="A28" s="86" t="s">
        <v>78</v>
      </c>
      <c r="B28" s="87" t="s">
        <v>79</v>
      </c>
    </row>
    <row r="29" spans="1:2" x14ac:dyDescent="0.35">
      <c r="A29" s="86" t="s">
        <v>80</v>
      </c>
      <c r="B29" s="87" t="s">
        <v>81</v>
      </c>
    </row>
    <row r="30" spans="1:2" x14ac:dyDescent="0.35">
      <c r="A30" s="86" t="s">
        <v>82</v>
      </c>
      <c r="B30" s="87" t="s">
        <v>83</v>
      </c>
    </row>
    <row r="31" spans="1:2" x14ac:dyDescent="0.35">
      <c r="A31" s="86" t="s">
        <v>84</v>
      </c>
      <c r="B31" s="87" t="s">
        <v>85</v>
      </c>
    </row>
    <row r="32" spans="1:2" x14ac:dyDescent="0.35">
      <c r="A32" s="86" t="s">
        <v>86</v>
      </c>
      <c r="B32" s="87" t="s">
        <v>87</v>
      </c>
    </row>
    <row r="33" spans="1:2" x14ac:dyDescent="0.35">
      <c r="A33" s="86" t="s">
        <v>88</v>
      </c>
      <c r="B33" s="87" t="s">
        <v>89</v>
      </c>
    </row>
    <row r="34" spans="1:2" x14ac:dyDescent="0.35">
      <c r="A34" s="86" t="s">
        <v>90</v>
      </c>
      <c r="B34" s="87" t="s">
        <v>91</v>
      </c>
    </row>
    <row r="35" spans="1:2" x14ac:dyDescent="0.35">
      <c r="A35" s="86" t="s">
        <v>92</v>
      </c>
      <c r="B35" s="87" t="s">
        <v>93</v>
      </c>
    </row>
    <row r="36" spans="1:2" x14ac:dyDescent="0.35">
      <c r="A36" s="86" t="s">
        <v>94</v>
      </c>
      <c r="B36" s="87" t="s">
        <v>95</v>
      </c>
    </row>
    <row r="37" spans="1:2" x14ac:dyDescent="0.35">
      <c r="A37" s="86" t="s">
        <v>96</v>
      </c>
      <c r="B37" s="87" t="s">
        <v>97</v>
      </c>
    </row>
    <row r="38" spans="1:2" x14ac:dyDescent="0.35">
      <c r="A38" s="86" t="s">
        <v>98</v>
      </c>
      <c r="B38" s="87" t="s">
        <v>99</v>
      </c>
    </row>
    <row r="39" spans="1:2" x14ac:dyDescent="0.35">
      <c r="A39" s="86" t="s">
        <v>100</v>
      </c>
      <c r="B39" s="87" t="s">
        <v>101</v>
      </c>
    </row>
    <row r="40" spans="1:2" x14ac:dyDescent="0.35">
      <c r="A40" s="86" t="s">
        <v>102</v>
      </c>
      <c r="B40" s="87" t="s">
        <v>103</v>
      </c>
    </row>
    <row r="41" spans="1:2" x14ac:dyDescent="0.35">
      <c r="A41" s="86" t="s">
        <v>104</v>
      </c>
      <c r="B41" s="87" t="s">
        <v>105</v>
      </c>
    </row>
    <row r="42" spans="1:2" x14ac:dyDescent="0.35">
      <c r="A42" s="86" t="s">
        <v>106</v>
      </c>
      <c r="B42" s="87" t="s">
        <v>107</v>
      </c>
    </row>
    <row r="43" spans="1:2" x14ac:dyDescent="0.35">
      <c r="A43" s="86" t="s">
        <v>108</v>
      </c>
      <c r="B43" s="87" t="s">
        <v>109</v>
      </c>
    </row>
    <row r="44" spans="1:2" x14ac:dyDescent="0.35">
      <c r="A44" s="86" t="s">
        <v>110</v>
      </c>
      <c r="B44" s="87" t="s">
        <v>111</v>
      </c>
    </row>
    <row r="45" spans="1:2" x14ac:dyDescent="0.35">
      <c r="A45" s="86" t="s">
        <v>112</v>
      </c>
      <c r="B45" s="87" t="s">
        <v>113</v>
      </c>
    </row>
    <row r="46" spans="1:2" x14ac:dyDescent="0.35">
      <c r="A46" s="86" t="s">
        <v>114</v>
      </c>
      <c r="B46" s="87" t="s">
        <v>115</v>
      </c>
    </row>
    <row r="47" spans="1:2" x14ac:dyDescent="0.35">
      <c r="A47" s="86" t="s">
        <v>116</v>
      </c>
      <c r="B47" s="87" t="s">
        <v>117</v>
      </c>
    </row>
    <row r="48" spans="1:2" x14ac:dyDescent="0.35">
      <c r="A48" s="86" t="s">
        <v>118</v>
      </c>
      <c r="B48" s="87" t="s">
        <v>119</v>
      </c>
    </row>
    <row r="49" spans="1:2" x14ac:dyDescent="0.35">
      <c r="A49" s="86" t="s">
        <v>120</v>
      </c>
      <c r="B49" s="87" t="s">
        <v>121</v>
      </c>
    </row>
    <row r="50" spans="1:2" x14ac:dyDescent="0.35">
      <c r="A50" s="86" t="s">
        <v>122</v>
      </c>
      <c r="B50" s="87" t="s">
        <v>123</v>
      </c>
    </row>
    <row r="51" spans="1:2" x14ac:dyDescent="0.35">
      <c r="A51" s="86" t="s">
        <v>124</v>
      </c>
      <c r="B51" s="87" t="s">
        <v>125</v>
      </c>
    </row>
    <row r="52" spans="1:2" x14ac:dyDescent="0.35">
      <c r="A52" s="86" t="s">
        <v>126</v>
      </c>
      <c r="B52" s="87" t="s">
        <v>127</v>
      </c>
    </row>
    <row r="53" spans="1:2" x14ac:dyDescent="0.35">
      <c r="A53" s="86" t="s">
        <v>128</v>
      </c>
      <c r="B53" s="87" t="s">
        <v>129</v>
      </c>
    </row>
    <row r="54" spans="1:2" x14ac:dyDescent="0.35">
      <c r="A54" s="86" t="s">
        <v>130</v>
      </c>
      <c r="B54" s="87" t="s">
        <v>131</v>
      </c>
    </row>
    <row r="55" spans="1:2" x14ac:dyDescent="0.35">
      <c r="A55" s="86" t="s">
        <v>132</v>
      </c>
      <c r="B55" s="87" t="s">
        <v>133</v>
      </c>
    </row>
    <row r="56" spans="1:2" x14ac:dyDescent="0.35">
      <c r="A56" s="86" t="s">
        <v>134</v>
      </c>
      <c r="B56" s="87" t="s">
        <v>135</v>
      </c>
    </row>
    <row r="57" spans="1:2" x14ac:dyDescent="0.35">
      <c r="A57" s="86" t="s">
        <v>136</v>
      </c>
      <c r="B57" s="87" t="s">
        <v>137</v>
      </c>
    </row>
    <row r="58" spans="1:2" x14ac:dyDescent="0.35">
      <c r="A58" s="86" t="s">
        <v>138</v>
      </c>
      <c r="B58" s="87" t="s">
        <v>139</v>
      </c>
    </row>
    <row r="59" spans="1:2" x14ac:dyDescent="0.35">
      <c r="A59" s="86" t="s">
        <v>140</v>
      </c>
      <c r="B59" s="87" t="s">
        <v>141</v>
      </c>
    </row>
    <row r="60" spans="1:2" x14ac:dyDescent="0.35">
      <c r="A60" s="86" t="s">
        <v>142</v>
      </c>
      <c r="B60" s="87" t="s">
        <v>143</v>
      </c>
    </row>
    <row r="61" spans="1:2" x14ac:dyDescent="0.35">
      <c r="A61" s="86" t="s">
        <v>144</v>
      </c>
      <c r="B61" s="87" t="s">
        <v>145</v>
      </c>
    </row>
    <row r="62" spans="1:2" x14ac:dyDescent="0.35">
      <c r="A62" s="86" t="s">
        <v>146</v>
      </c>
      <c r="B62" s="87" t="s">
        <v>147</v>
      </c>
    </row>
    <row r="63" spans="1:2" x14ac:dyDescent="0.35">
      <c r="A63" s="86" t="s">
        <v>148</v>
      </c>
      <c r="B63" s="87" t="s">
        <v>149</v>
      </c>
    </row>
    <row r="64" spans="1:2" x14ac:dyDescent="0.35">
      <c r="A64" s="86" t="s">
        <v>150</v>
      </c>
      <c r="B64" s="87" t="s">
        <v>151</v>
      </c>
    </row>
    <row r="65" spans="1:2" x14ac:dyDescent="0.35">
      <c r="A65" s="86" t="s">
        <v>152</v>
      </c>
      <c r="B65" s="87" t="s">
        <v>153</v>
      </c>
    </row>
    <row r="66" spans="1:2" x14ac:dyDescent="0.35">
      <c r="A66" s="86" t="s">
        <v>154</v>
      </c>
      <c r="B66" s="87" t="s">
        <v>155</v>
      </c>
    </row>
    <row r="67" spans="1:2" x14ac:dyDescent="0.35">
      <c r="A67" s="86" t="s">
        <v>156</v>
      </c>
      <c r="B67" s="87" t="s">
        <v>157</v>
      </c>
    </row>
    <row r="68" spans="1:2" x14ac:dyDescent="0.35">
      <c r="A68" s="86" t="s">
        <v>158</v>
      </c>
      <c r="B68" s="87" t="s">
        <v>159</v>
      </c>
    </row>
    <row r="69" spans="1:2" x14ac:dyDescent="0.35">
      <c r="A69" s="86" t="s">
        <v>160</v>
      </c>
      <c r="B69" s="87" t="s">
        <v>161</v>
      </c>
    </row>
    <row r="70" spans="1:2" x14ac:dyDescent="0.35">
      <c r="A70" s="86" t="s">
        <v>162</v>
      </c>
      <c r="B70" s="87" t="s">
        <v>163</v>
      </c>
    </row>
    <row r="71" spans="1:2" x14ac:dyDescent="0.35">
      <c r="A71" s="86" t="s">
        <v>164</v>
      </c>
      <c r="B71" s="87" t="s">
        <v>165</v>
      </c>
    </row>
    <row r="72" spans="1:2" x14ac:dyDescent="0.35">
      <c r="A72" s="86" t="s">
        <v>166</v>
      </c>
      <c r="B72" s="87" t="s">
        <v>167</v>
      </c>
    </row>
    <row r="73" spans="1:2" x14ac:dyDescent="0.35">
      <c r="A73" s="86" t="s">
        <v>168</v>
      </c>
      <c r="B73" s="87" t="s">
        <v>169</v>
      </c>
    </row>
    <row r="74" spans="1:2" x14ac:dyDescent="0.35">
      <c r="A74" s="86" t="s">
        <v>170</v>
      </c>
      <c r="B74" s="87" t="s">
        <v>171</v>
      </c>
    </row>
    <row r="75" spans="1:2" x14ac:dyDescent="0.35">
      <c r="A75" s="86" t="s">
        <v>172</v>
      </c>
      <c r="B75" s="88" t="s">
        <v>173</v>
      </c>
    </row>
    <row r="76" spans="1:2" x14ac:dyDescent="0.35">
      <c r="A76" s="86" t="s">
        <v>174</v>
      </c>
      <c r="B76" s="88" t="s">
        <v>175</v>
      </c>
    </row>
    <row r="77" spans="1:2" x14ac:dyDescent="0.35">
      <c r="A77" s="86" t="s">
        <v>176</v>
      </c>
      <c r="B77" s="88" t="s">
        <v>177</v>
      </c>
    </row>
    <row r="78" spans="1:2" x14ac:dyDescent="0.35">
      <c r="A78" s="86" t="s">
        <v>178</v>
      </c>
      <c r="B78" s="88" t="s">
        <v>179</v>
      </c>
    </row>
    <row r="79" spans="1:2" x14ac:dyDescent="0.35">
      <c r="A79" s="86" t="s">
        <v>180</v>
      </c>
      <c r="B79" s="88" t="s">
        <v>181</v>
      </c>
    </row>
    <row r="80" spans="1:2" x14ac:dyDescent="0.35">
      <c r="A80" s="86" t="s">
        <v>182</v>
      </c>
      <c r="B80" s="88" t="s">
        <v>183</v>
      </c>
    </row>
    <row r="81" spans="1:2" x14ac:dyDescent="0.35">
      <c r="A81" s="86" t="s">
        <v>184</v>
      </c>
      <c r="B81" s="88" t="s">
        <v>185</v>
      </c>
    </row>
    <row r="82" spans="1:2" x14ac:dyDescent="0.35">
      <c r="A82" s="86" t="s">
        <v>186</v>
      </c>
      <c r="B82" s="88" t="s">
        <v>187</v>
      </c>
    </row>
    <row r="83" spans="1:2" x14ac:dyDescent="0.35">
      <c r="A83" s="86" t="s">
        <v>188</v>
      </c>
      <c r="B83" s="88" t="s">
        <v>189</v>
      </c>
    </row>
    <row r="84" spans="1:2" x14ac:dyDescent="0.35">
      <c r="A84" s="86" t="s">
        <v>190</v>
      </c>
      <c r="B84" s="88" t="s">
        <v>191</v>
      </c>
    </row>
    <row r="85" spans="1:2" x14ac:dyDescent="0.35">
      <c r="A85" s="86" t="s">
        <v>192</v>
      </c>
      <c r="B85" s="88" t="s">
        <v>193</v>
      </c>
    </row>
    <row r="86" spans="1:2" x14ac:dyDescent="0.35">
      <c r="A86" s="86" t="s">
        <v>194</v>
      </c>
      <c r="B86" s="88" t="s">
        <v>195</v>
      </c>
    </row>
    <row r="87" spans="1:2" x14ac:dyDescent="0.35">
      <c r="A87" s="86" t="s">
        <v>196</v>
      </c>
      <c r="B87" s="88" t="s">
        <v>197</v>
      </c>
    </row>
    <row r="88" spans="1:2" x14ac:dyDescent="0.35">
      <c r="A88" s="86" t="s">
        <v>198</v>
      </c>
      <c r="B88" s="88" t="s">
        <v>199</v>
      </c>
    </row>
    <row r="89" spans="1:2" x14ac:dyDescent="0.35">
      <c r="A89" s="86" t="s">
        <v>200</v>
      </c>
      <c r="B89" s="88" t="s">
        <v>201</v>
      </c>
    </row>
    <row r="90" spans="1:2" x14ac:dyDescent="0.35">
      <c r="A90" s="86" t="s">
        <v>202</v>
      </c>
      <c r="B90" s="88" t="s">
        <v>203</v>
      </c>
    </row>
    <row r="91" spans="1:2" x14ac:dyDescent="0.35">
      <c r="A91" s="86" t="s">
        <v>204</v>
      </c>
      <c r="B91" s="88" t="s">
        <v>205</v>
      </c>
    </row>
    <row r="92" spans="1:2" x14ac:dyDescent="0.35">
      <c r="A92" s="86" t="s">
        <v>206</v>
      </c>
      <c r="B92" s="88" t="s">
        <v>207</v>
      </c>
    </row>
    <row r="93" spans="1:2" x14ac:dyDescent="0.35">
      <c r="A93" s="86" t="s">
        <v>208</v>
      </c>
      <c r="B93" s="88" t="s">
        <v>209</v>
      </c>
    </row>
    <row r="94" spans="1:2" x14ac:dyDescent="0.35">
      <c r="A94" s="86" t="s">
        <v>210</v>
      </c>
      <c r="B94" s="88" t="s">
        <v>211</v>
      </c>
    </row>
    <row r="95" spans="1:2" x14ac:dyDescent="0.35">
      <c r="A95" s="86" t="s">
        <v>212</v>
      </c>
      <c r="B95" s="88" t="s">
        <v>213</v>
      </c>
    </row>
    <row r="96" spans="1:2" x14ac:dyDescent="0.35">
      <c r="A96" s="86" t="s">
        <v>214</v>
      </c>
      <c r="B96" s="88" t="s">
        <v>215</v>
      </c>
    </row>
    <row r="97" spans="1:2" x14ac:dyDescent="0.35">
      <c r="A97" s="86" t="s">
        <v>216</v>
      </c>
      <c r="B97" s="88" t="s">
        <v>217</v>
      </c>
    </row>
    <row r="98" spans="1:2" x14ac:dyDescent="0.35">
      <c r="A98" s="86" t="s">
        <v>218</v>
      </c>
      <c r="B98" s="88" t="s">
        <v>219</v>
      </c>
    </row>
    <row r="99" spans="1:2" x14ac:dyDescent="0.35">
      <c r="A99" s="86" t="s">
        <v>220</v>
      </c>
      <c r="B99" s="88" t="s">
        <v>221</v>
      </c>
    </row>
    <row r="100" spans="1:2" x14ac:dyDescent="0.35">
      <c r="A100" s="86" t="s">
        <v>222</v>
      </c>
      <c r="B100" s="88" t="s">
        <v>223</v>
      </c>
    </row>
    <row r="101" spans="1:2" x14ac:dyDescent="0.35">
      <c r="A101" s="86" t="s">
        <v>224</v>
      </c>
      <c r="B101" s="88" t="s">
        <v>225</v>
      </c>
    </row>
    <row r="102" spans="1:2" x14ac:dyDescent="0.35">
      <c r="A102" s="86" t="s">
        <v>226</v>
      </c>
      <c r="B102" s="88" t="s">
        <v>227</v>
      </c>
    </row>
    <row r="103" spans="1:2" x14ac:dyDescent="0.35">
      <c r="A103" s="86" t="s">
        <v>228</v>
      </c>
      <c r="B103" s="88" t="s">
        <v>229</v>
      </c>
    </row>
    <row r="104" spans="1:2" x14ac:dyDescent="0.35">
      <c r="A104" s="86" t="s">
        <v>230</v>
      </c>
      <c r="B104" s="88" t="s">
        <v>231</v>
      </c>
    </row>
    <row r="105" spans="1:2" x14ac:dyDescent="0.35">
      <c r="A105" s="86" t="s">
        <v>232</v>
      </c>
      <c r="B105" s="88" t="s">
        <v>233</v>
      </c>
    </row>
    <row r="106" spans="1:2" x14ac:dyDescent="0.35">
      <c r="A106" s="86" t="s">
        <v>234</v>
      </c>
      <c r="B106" s="88" t="s">
        <v>235</v>
      </c>
    </row>
    <row r="107" spans="1:2" x14ac:dyDescent="0.35">
      <c r="A107" s="86" t="s">
        <v>236</v>
      </c>
      <c r="B107" s="88" t="s">
        <v>237</v>
      </c>
    </row>
    <row r="108" spans="1:2" x14ac:dyDescent="0.35">
      <c r="A108" s="86" t="s">
        <v>238</v>
      </c>
      <c r="B108" s="88" t="s">
        <v>239</v>
      </c>
    </row>
    <row r="109" spans="1:2" x14ac:dyDescent="0.35">
      <c r="A109" s="86" t="s">
        <v>240</v>
      </c>
      <c r="B109" s="88" t="s">
        <v>241</v>
      </c>
    </row>
    <row r="110" spans="1:2" x14ac:dyDescent="0.35">
      <c r="A110" s="86" t="s">
        <v>242</v>
      </c>
      <c r="B110" s="88" t="s">
        <v>243</v>
      </c>
    </row>
    <row r="111" spans="1:2" x14ac:dyDescent="0.35">
      <c r="A111" s="86" t="s">
        <v>244</v>
      </c>
      <c r="B111" s="88" t="s">
        <v>245</v>
      </c>
    </row>
    <row r="112" spans="1:2" x14ac:dyDescent="0.35">
      <c r="A112" s="86" t="s">
        <v>246</v>
      </c>
      <c r="B112" s="88" t="s">
        <v>247</v>
      </c>
    </row>
    <row r="113" spans="1:2" x14ac:dyDescent="0.35">
      <c r="A113" s="86" t="s">
        <v>248</v>
      </c>
      <c r="B113" s="88" t="s">
        <v>249</v>
      </c>
    </row>
    <row r="114" spans="1:2" x14ac:dyDescent="0.35">
      <c r="A114" s="86" t="s">
        <v>250</v>
      </c>
      <c r="B114" s="88" t="s">
        <v>251</v>
      </c>
    </row>
    <row r="115" spans="1:2" x14ac:dyDescent="0.35">
      <c r="A115" s="86" t="s">
        <v>252</v>
      </c>
      <c r="B115" s="88" t="s">
        <v>253</v>
      </c>
    </row>
    <row r="116" spans="1:2" x14ac:dyDescent="0.35">
      <c r="A116" s="86" t="s">
        <v>254</v>
      </c>
      <c r="B116" s="88" t="s">
        <v>255</v>
      </c>
    </row>
    <row r="117" spans="1:2" x14ac:dyDescent="0.35">
      <c r="A117" s="86" t="s">
        <v>256</v>
      </c>
      <c r="B117" s="88" t="s">
        <v>257</v>
      </c>
    </row>
    <row r="118" spans="1:2" x14ac:dyDescent="0.35">
      <c r="A118" s="86" t="s">
        <v>258</v>
      </c>
      <c r="B118" s="88" t="s">
        <v>259</v>
      </c>
    </row>
    <row r="119" spans="1:2" x14ac:dyDescent="0.35">
      <c r="A119" s="86" t="s">
        <v>260</v>
      </c>
      <c r="B119" s="88" t="s">
        <v>261</v>
      </c>
    </row>
    <row r="120" spans="1:2" x14ac:dyDescent="0.35">
      <c r="A120" s="86" t="s">
        <v>262</v>
      </c>
      <c r="B120" s="88" t="s">
        <v>263</v>
      </c>
    </row>
    <row r="121" spans="1:2" x14ac:dyDescent="0.35">
      <c r="A121" s="86" t="s">
        <v>264</v>
      </c>
      <c r="B121" s="88" t="s">
        <v>265</v>
      </c>
    </row>
    <row r="122" spans="1:2" x14ac:dyDescent="0.35">
      <c r="A122" s="86" t="s">
        <v>266</v>
      </c>
      <c r="B122" s="88" t="s">
        <v>267</v>
      </c>
    </row>
    <row r="123" spans="1:2" x14ac:dyDescent="0.35">
      <c r="A123" s="86" t="s">
        <v>268</v>
      </c>
      <c r="B123" s="88" t="s">
        <v>269</v>
      </c>
    </row>
    <row r="124" spans="1:2" x14ac:dyDescent="0.35">
      <c r="A124" s="86" t="s">
        <v>270</v>
      </c>
      <c r="B124" s="88" t="s">
        <v>271</v>
      </c>
    </row>
    <row r="125" spans="1:2" x14ac:dyDescent="0.35">
      <c r="A125" s="86" t="s">
        <v>272</v>
      </c>
      <c r="B125" s="88" t="s">
        <v>273</v>
      </c>
    </row>
    <row r="126" spans="1:2" x14ac:dyDescent="0.35">
      <c r="A126" s="86" t="s">
        <v>274</v>
      </c>
      <c r="B126" s="88" t="s">
        <v>275</v>
      </c>
    </row>
    <row r="127" spans="1:2" x14ac:dyDescent="0.35">
      <c r="A127" s="86" t="s">
        <v>276</v>
      </c>
      <c r="B127" s="88" t="s">
        <v>277</v>
      </c>
    </row>
    <row r="128" spans="1:2" x14ac:dyDescent="0.35">
      <c r="A128" s="86" t="s">
        <v>278</v>
      </c>
      <c r="B128" s="88" t="s">
        <v>279</v>
      </c>
    </row>
    <row r="129" spans="1:2" x14ac:dyDescent="0.35">
      <c r="A129" s="86" t="s">
        <v>280</v>
      </c>
      <c r="B129" s="88" t="s">
        <v>281</v>
      </c>
    </row>
    <row r="130" spans="1:2" x14ac:dyDescent="0.35">
      <c r="A130" s="86" t="s">
        <v>282</v>
      </c>
      <c r="B130" s="88" t="s">
        <v>283</v>
      </c>
    </row>
    <row r="131" spans="1:2" x14ac:dyDescent="0.35">
      <c r="A131" s="86" t="s">
        <v>284</v>
      </c>
      <c r="B131" s="88" t="s">
        <v>285</v>
      </c>
    </row>
    <row r="132" spans="1:2" x14ac:dyDescent="0.35">
      <c r="A132" s="86" t="s">
        <v>286</v>
      </c>
      <c r="B132" s="88" t="s">
        <v>287</v>
      </c>
    </row>
    <row r="133" spans="1:2" x14ac:dyDescent="0.35">
      <c r="A133" s="86" t="s">
        <v>288</v>
      </c>
      <c r="B133" s="88" t="s">
        <v>289</v>
      </c>
    </row>
    <row r="134" spans="1:2" x14ac:dyDescent="0.35">
      <c r="A134" s="86" t="s">
        <v>290</v>
      </c>
      <c r="B134" s="88" t="s">
        <v>291</v>
      </c>
    </row>
    <row r="135" spans="1:2" x14ac:dyDescent="0.35">
      <c r="A135" s="86" t="s">
        <v>292</v>
      </c>
      <c r="B135" s="88" t="s">
        <v>293</v>
      </c>
    </row>
    <row r="136" spans="1:2" x14ac:dyDescent="0.35">
      <c r="A136" s="86" t="s">
        <v>294</v>
      </c>
      <c r="B136" s="88" t="s">
        <v>295</v>
      </c>
    </row>
    <row r="137" spans="1:2" x14ac:dyDescent="0.35">
      <c r="A137" s="86" t="s">
        <v>296</v>
      </c>
      <c r="B137" s="88" t="s">
        <v>297</v>
      </c>
    </row>
    <row r="138" spans="1:2" x14ac:dyDescent="0.35">
      <c r="A138" s="86" t="s">
        <v>298</v>
      </c>
      <c r="B138" s="88" t="s">
        <v>299</v>
      </c>
    </row>
    <row r="139" spans="1:2" x14ac:dyDescent="0.35">
      <c r="A139" s="86" t="s">
        <v>300</v>
      </c>
      <c r="B139" s="88" t="s">
        <v>301</v>
      </c>
    </row>
    <row r="140" spans="1:2" x14ac:dyDescent="0.35">
      <c r="A140" s="86" t="s">
        <v>302</v>
      </c>
      <c r="B140" s="88" t="s">
        <v>303</v>
      </c>
    </row>
    <row r="141" spans="1:2" x14ac:dyDescent="0.35">
      <c r="A141" s="86" t="s">
        <v>304</v>
      </c>
      <c r="B141" s="88" t="s">
        <v>305</v>
      </c>
    </row>
    <row r="142" spans="1:2" x14ac:dyDescent="0.35">
      <c r="A142" s="86" t="s">
        <v>306</v>
      </c>
      <c r="B142" s="88" t="s">
        <v>307</v>
      </c>
    </row>
    <row r="143" spans="1:2" x14ac:dyDescent="0.35">
      <c r="A143" s="86" t="s">
        <v>308</v>
      </c>
      <c r="B143" s="88" t="s">
        <v>309</v>
      </c>
    </row>
    <row r="144" spans="1:2" x14ac:dyDescent="0.35">
      <c r="A144" s="86" t="s">
        <v>310</v>
      </c>
      <c r="B144" s="89" t="s">
        <v>311</v>
      </c>
    </row>
    <row r="145" spans="1:2" x14ac:dyDescent="0.35">
      <c r="A145" s="86" t="s">
        <v>312</v>
      </c>
      <c r="B145" s="88" t="s">
        <v>313</v>
      </c>
    </row>
    <row r="146" spans="1:2" x14ac:dyDescent="0.35">
      <c r="A146" s="86" t="s">
        <v>314</v>
      </c>
      <c r="B146" s="88" t="s">
        <v>315</v>
      </c>
    </row>
    <row r="147" spans="1:2" x14ac:dyDescent="0.35">
      <c r="A147" s="86" t="s">
        <v>316</v>
      </c>
      <c r="B147" s="88" t="s">
        <v>317</v>
      </c>
    </row>
    <row r="148" spans="1:2" x14ac:dyDescent="0.35">
      <c r="A148" s="86" t="s">
        <v>318</v>
      </c>
      <c r="B148" s="88" t="s">
        <v>319</v>
      </c>
    </row>
    <row r="149" spans="1:2" x14ac:dyDescent="0.35">
      <c r="A149" s="86" t="s">
        <v>320</v>
      </c>
      <c r="B149" s="88" t="s">
        <v>321</v>
      </c>
    </row>
    <row r="150" spans="1:2" x14ac:dyDescent="0.35">
      <c r="A150" s="86" t="s">
        <v>322</v>
      </c>
      <c r="B150" s="88" t="s">
        <v>323</v>
      </c>
    </row>
    <row r="151" spans="1:2" x14ac:dyDescent="0.35">
      <c r="A151" s="86" t="s">
        <v>324</v>
      </c>
      <c r="B151" s="88" t="s">
        <v>325</v>
      </c>
    </row>
    <row r="152" spans="1:2" x14ac:dyDescent="0.35">
      <c r="A152" s="86" t="s">
        <v>326</v>
      </c>
      <c r="B152" s="88" t="s">
        <v>327</v>
      </c>
    </row>
    <row r="153" spans="1:2" x14ac:dyDescent="0.35">
      <c r="A153" s="86" t="s">
        <v>328</v>
      </c>
      <c r="B153" s="88" t="s">
        <v>329</v>
      </c>
    </row>
    <row r="154" spans="1:2" x14ac:dyDescent="0.35">
      <c r="A154" s="86" t="s">
        <v>330</v>
      </c>
      <c r="B154" s="88" t="s">
        <v>331</v>
      </c>
    </row>
    <row r="155" spans="1:2" x14ac:dyDescent="0.35">
      <c r="A155" s="86" t="s">
        <v>332</v>
      </c>
      <c r="B155" s="88" t="s">
        <v>333</v>
      </c>
    </row>
    <row r="156" spans="1:2" x14ac:dyDescent="0.35">
      <c r="A156" s="86" t="s">
        <v>334</v>
      </c>
      <c r="B156" s="88" t="s">
        <v>335</v>
      </c>
    </row>
    <row r="157" spans="1:2" x14ac:dyDescent="0.35">
      <c r="A157" s="86" t="s">
        <v>336</v>
      </c>
      <c r="B157" s="88" t="s">
        <v>337</v>
      </c>
    </row>
    <row r="158" spans="1:2" x14ac:dyDescent="0.35">
      <c r="A158" s="86" t="s">
        <v>338</v>
      </c>
      <c r="B158" s="88" t="s">
        <v>339</v>
      </c>
    </row>
    <row r="159" spans="1:2" x14ac:dyDescent="0.35">
      <c r="A159" s="86" t="s">
        <v>340</v>
      </c>
      <c r="B159" s="88" t="s">
        <v>341</v>
      </c>
    </row>
    <row r="160" spans="1:2" x14ac:dyDescent="0.35">
      <c r="A160" s="86" t="s">
        <v>342</v>
      </c>
      <c r="B160" s="88" t="s">
        <v>343</v>
      </c>
    </row>
    <row r="161" spans="1:2" x14ac:dyDescent="0.35">
      <c r="A161" s="86" t="s">
        <v>344</v>
      </c>
      <c r="B161" s="88" t="s">
        <v>345</v>
      </c>
    </row>
    <row r="162" spans="1:2" x14ac:dyDescent="0.35">
      <c r="A162" s="86" t="s">
        <v>346</v>
      </c>
      <c r="B162" s="88" t="s">
        <v>347</v>
      </c>
    </row>
    <row r="163" spans="1:2" x14ac:dyDescent="0.35">
      <c r="A163" s="86" t="s">
        <v>348</v>
      </c>
      <c r="B163" s="88" t="s">
        <v>349</v>
      </c>
    </row>
    <row r="164" spans="1:2" x14ac:dyDescent="0.35">
      <c r="A164" s="86" t="s">
        <v>350</v>
      </c>
      <c r="B164" s="88" t="s">
        <v>351</v>
      </c>
    </row>
    <row r="165" spans="1:2" x14ac:dyDescent="0.35">
      <c r="A165" s="86" t="s">
        <v>352</v>
      </c>
      <c r="B165" s="88" t="s">
        <v>353</v>
      </c>
    </row>
    <row r="166" spans="1:2" x14ac:dyDescent="0.35">
      <c r="A166" s="86" t="s">
        <v>354</v>
      </c>
      <c r="B166" s="88" t="s">
        <v>355</v>
      </c>
    </row>
    <row r="167" spans="1:2" x14ac:dyDescent="0.35">
      <c r="A167" s="86" t="s">
        <v>356</v>
      </c>
      <c r="B167" s="88" t="s">
        <v>357</v>
      </c>
    </row>
    <row r="168" spans="1:2" x14ac:dyDescent="0.35">
      <c r="A168" s="86" t="s">
        <v>358</v>
      </c>
      <c r="B168" s="88" t="s">
        <v>359</v>
      </c>
    </row>
    <row r="169" spans="1:2" x14ac:dyDescent="0.35">
      <c r="A169" s="86" t="s">
        <v>360</v>
      </c>
      <c r="B169" s="88" t="s">
        <v>361</v>
      </c>
    </row>
    <row r="170" spans="1:2" x14ac:dyDescent="0.35">
      <c r="A170" s="86" t="s">
        <v>362</v>
      </c>
      <c r="B170" s="88" t="s">
        <v>363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59"/>
  <sheetViews>
    <sheetView topLeftCell="A39" workbookViewId="0">
      <selection activeCell="D62" sqref="D62"/>
    </sheetView>
  </sheetViews>
  <sheetFormatPr baseColWidth="10" defaultColWidth="11.453125" defaultRowHeight="14.5" x14ac:dyDescent="0.35"/>
  <cols>
    <col min="1" max="1" width="15.81640625" style="273" customWidth="1"/>
    <col min="2" max="2" width="14.453125" style="273" customWidth="1"/>
    <col min="3" max="3" width="60.453125" style="272" customWidth="1"/>
    <col min="4" max="4" width="14.453125" style="272" bestFit="1" customWidth="1"/>
    <col min="5" max="5" width="14.453125" style="272" customWidth="1"/>
    <col min="6" max="6" width="13.453125" style="275" customWidth="1"/>
    <col min="7" max="7" width="12.453125" style="339" customWidth="1"/>
    <col min="8" max="16384" width="11.453125" style="272"/>
  </cols>
  <sheetData>
    <row r="1" spans="1:8" x14ac:dyDescent="0.35">
      <c r="A1" s="272"/>
      <c r="B1" s="692" t="s">
        <v>672</v>
      </c>
      <c r="C1" s="692"/>
      <c r="D1" s="692"/>
      <c r="E1" s="692"/>
      <c r="F1" s="692"/>
      <c r="G1" s="692"/>
    </row>
    <row r="3" spans="1:8" x14ac:dyDescent="0.35">
      <c r="A3" s="273" t="s">
        <v>784</v>
      </c>
      <c r="B3" s="273" t="s">
        <v>784</v>
      </c>
      <c r="C3" s="274" t="s">
        <v>785</v>
      </c>
      <c r="G3" s="276">
        <v>590.40039999999999</v>
      </c>
    </row>
    <row r="6" spans="1:8" ht="59.25" customHeight="1" x14ac:dyDescent="0.35">
      <c r="A6" s="164" t="s">
        <v>678</v>
      </c>
      <c r="B6" s="164" t="s">
        <v>680</v>
      </c>
      <c r="C6" s="164" t="s">
        <v>681</v>
      </c>
      <c r="D6" s="164" t="s">
        <v>683</v>
      </c>
      <c r="E6" s="164" t="s">
        <v>684</v>
      </c>
      <c r="F6" s="277" t="s">
        <v>685</v>
      </c>
      <c r="G6" s="277" t="s">
        <v>686</v>
      </c>
    </row>
    <row r="7" spans="1:8" ht="15" x14ac:dyDescent="0.35">
      <c r="A7" s="278"/>
      <c r="B7" s="279"/>
      <c r="C7" s="280"/>
      <c r="D7" s="281"/>
      <c r="E7" s="281"/>
      <c r="F7" s="282"/>
      <c r="G7" s="283"/>
    </row>
    <row r="8" spans="1:8" ht="15.5" x14ac:dyDescent="0.35">
      <c r="A8" s="686">
        <v>1</v>
      </c>
      <c r="B8" s="284"/>
      <c r="C8" s="285" t="s">
        <v>892</v>
      </c>
      <c r="D8" s="286"/>
      <c r="E8" s="286"/>
      <c r="F8" s="287"/>
      <c r="G8" s="288">
        <v>0</v>
      </c>
    </row>
    <row r="9" spans="1:8" ht="12.75" customHeight="1" x14ac:dyDescent="0.35">
      <c r="A9" s="687"/>
      <c r="B9" s="289">
        <v>5156</v>
      </c>
      <c r="C9" s="290" t="s">
        <v>787</v>
      </c>
      <c r="D9" s="291">
        <v>1</v>
      </c>
      <c r="E9" s="291">
        <v>0</v>
      </c>
      <c r="F9" s="291">
        <v>0</v>
      </c>
      <c r="G9" s="292">
        <f>E9*D9*F9</f>
        <v>0</v>
      </c>
    </row>
    <row r="10" spans="1:8" s="294" customFormat="1" ht="12.75" customHeight="1" x14ac:dyDescent="0.35">
      <c r="A10" s="687"/>
      <c r="B10" s="187">
        <v>5156</v>
      </c>
      <c r="C10" s="189" t="s">
        <v>701</v>
      </c>
      <c r="D10" s="293">
        <v>1</v>
      </c>
      <c r="E10" s="293">
        <f>E9</f>
        <v>0</v>
      </c>
      <c r="F10" s="293">
        <v>267</v>
      </c>
      <c r="G10" s="293"/>
    </row>
    <row r="11" spans="1:8" ht="12.75" customHeight="1" x14ac:dyDescent="0.35">
      <c r="A11" s="686" t="s">
        <v>688</v>
      </c>
      <c r="B11" s="284">
        <v>5013</v>
      </c>
      <c r="C11" s="285" t="s">
        <v>788</v>
      </c>
      <c r="D11" s="295"/>
      <c r="E11" s="295"/>
      <c r="F11" s="295"/>
      <c r="G11" s="295">
        <f>SUM(G12:G18)</f>
        <v>50000</v>
      </c>
    </row>
    <row r="12" spans="1:8" ht="12.75" customHeight="1" x14ac:dyDescent="0.35">
      <c r="A12" s="687"/>
      <c r="B12" s="289">
        <v>5542</v>
      </c>
      <c r="C12" s="290" t="s">
        <v>789</v>
      </c>
      <c r="D12" s="291">
        <v>1</v>
      </c>
      <c r="E12" s="291">
        <v>1</v>
      </c>
      <c r="F12" s="291">
        <v>9838</v>
      </c>
      <c r="G12" s="296">
        <f>E12*D12*F12</f>
        <v>9838</v>
      </c>
    </row>
    <row r="13" spans="1:8" ht="12.75" customHeight="1" x14ac:dyDescent="0.35">
      <c r="A13" s="687"/>
      <c r="B13" s="289">
        <v>5551</v>
      </c>
      <c r="C13" s="290" t="s">
        <v>790</v>
      </c>
      <c r="D13" s="291">
        <v>1</v>
      </c>
      <c r="E13" s="291">
        <v>6</v>
      </c>
      <c r="F13" s="291">
        <v>2500</v>
      </c>
      <c r="G13" s="296">
        <f>E13*D13*F13</f>
        <v>15000</v>
      </c>
    </row>
    <row r="14" spans="1:8" ht="12.75" customHeight="1" x14ac:dyDescent="0.35">
      <c r="A14" s="687"/>
      <c r="B14" s="289">
        <v>5551</v>
      </c>
      <c r="C14" s="290" t="s">
        <v>791</v>
      </c>
      <c r="D14" s="291">
        <v>1</v>
      </c>
      <c r="E14" s="291">
        <v>6</v>
      </c>
      <c r="F14" s="291">
        <v>2500</v>
      </c>
      <c r="G14" s="296">
        <f>E14*D14*F14</f>
        <v>15000</v>
      </c>
      <c r="H14" s="297"/>
    </row>
    <row r="15" spans="1:8" ht="12.75" customHeight="1" x14ac:dyDescent="0.35">
      <c r="A15" s="687"/>
      <c r="B15" s="289">
        <v>5551</v>
      </c>
      <c r="C15" s="290" t="s">
        <v>792</v>
      </c>
      <c r="D15" s="291">
        <v>1</v>
      </c>
      <c r="E15" s="291">
        <v>6</v>
      </c>
      <c r="F15" s="291">
        <v>950</v>
      </c>
      <c r="G15" s="296">
        <f>E15*D15*F15</f>
        <v>5700</v>
      </c>
      <c r="H15" s="297"/>
    </row>
    <row r="16" spans="1:8" ht="12.75" customHeight="1" x14ac:dyDescent="0.35">
      <c r="A16" s="687"/>
      <c r="B16" s="289">
        <v>5551</v>
      </c>
      <c r="C16" s="290" t="s">
        <v>793</v>
      </c>
      <c r="D16" s="291">
        <v>1</v>
      </c>
      <c r="E16" s="291">
        <v>6</v>
      </c>
      <c r="F16" s="291">
        <v>600</v>
      </c>
      <c r="G16" s="296">
        <f>E16*D16*F16</f>
        <v>3600</v>
      </c>
    </row>
    <row r="17" spans="1:9" ht="12.75" customHeight="1" x14ac:dyDescent="0.35">
      <c r="A17" s="687"/>
      <c r="B17" s="298">
        <v>5556</v>
      </c>
      <c r="C17" s="299" t="s">
        <v>794</v>
      </c>
      <c r="D17" s="300">
        <v>1</v>
      </c>
      <c r="E17" s="300">
        <f>E12*D12</f>
        <v>1</v>
      </c>
      <c r="F17" s="300">
        <v>187</v>
      </c>
      <c r="G17" s="301">
        <f>+F17*E17</f>
        <v>187</v>
      </c>
    </row>
    <row r="18" spans="1:9" ht="12.75" customHeight="1" x14ac:dyDescent="0.35">
      <c r="A18" s="693"/>
      <c r="B18" s="298">
        <v>5543</v>
      </c>
      <c r="C18" s="299" t="s">
        <v>795</v>
      </c>
      <c r="D18" s="300"/>
      <c r="E18" s="300">
        <f>+E12*D12+E13*D13+E14*D14+E15*D15+E16*D16</f>
        <v>25</v>
      </c>
      <c r="F18" s="300">
        <v>27</v>
      </c>
      <c r="G18" s="301">
        <f>+F18*E18</f>
        <v>675</v>
      </c>
    </row>
    <row r="19" spans="1:9" ht="12.75" customHeight="1" x14ac:dyDescent="0.35">
      <c r="A19" s="675" t="s">
        <v>796</v>
      </c>
      <c r="B19" s="302"/>
      <c r="C19" s="285" t="s">
        <v>797</v>
      </c>
      <c r="D19" s="303"/>
      <c r="E19" s="303"/>
      <c r="F19" s="303"/>
      <c r="G19" s="304">
        <f>SUM(G20:G23)</f>
        <v>45000</v>
      </c>
    </row>
    <row r="20" spans="1:9" ht="12.75" customHeight="1" x14ac:dyDescent="0.35">
      <c r="A20" s="675"/>
      <c r="B20" s="289">
        <v>5921</v>
      </c>
      <c r="C20" s="305" t="s">
        <v>798</v>
      </c>
      <c r="D20" s="306">
        <v>1</v>
      </c>
      <c r="E20" s="306"/>
      <c r="F20" s="291">
        <v>15000</v>
      </c>
      <c r="G20" s="296">
        <f>D20*F20</f>
        <v>15000</v>
      </c>
    </row>
    <row r="21" spans="1:9" ht="12.75" customHeight="1" x14ac:dyDescent="0.35">
      <c r="A21" s="675"/>
      <c r="B21" s="289">
        <v>5934</v>
      </c>
      <c r="C21" s="307" t="s">
        <v>799</v>
      </c>
      <c r="D21" s="306">
        <v>2</v>
      </c>
      <c r="E21" s="306"/>
      <c r="F21" s="291">
        <v>7500</v>
      </c>
      <c r="G21" s="296">
        <f>D21*F21</f>
        <v>15000</v>
      </c>
    </row>
    <row r="22" spans="1:9" ht="12.75" customHeight="1" x14ac:dyDescent="0.35">
      <c r="A22" s="675"/>
      <c r="B22" s="289">
        <v>5940</v>
      </c>
      <c r="C22" s="305" t="s">
        <v>800</v>
      </c>
      <c r="D22" s="306">
        <v>1</v>
      </c>
      <c r="E22" s="306"/>
      <c r="F22" s="291">
        <v>14824</v>
      </c>
      <c r="G22" s="296">
        <f>D22*F22</f>
        <v>14824</v>
      </c>
    </row>
    <row r="23" spans="1:9" ht="12.75" customHeight="1" x14ac:dyDescent="0.35">
      <c r="A23" s="675"/>
      <c r="B23" s="298">
        <v>5921</v>
      </c>
      <c r="C23" s="299" t="s">
        <v>801</v>
      </c>
      <c r="D23" s="300">
        <f>SUM(D20:D22)</f>
        <v>4</v>
      </c>
      <c r="E23" s="300"/>
      <c r="F23" s="300">
        <v>44</v>
      </c>
      <c r="G23" s="308">
        <f>+F23*D23</f>
        <v>176</v>
      </c>
    </row>
    <row r="24" spans="1:9" ht="12.75" customHeight="1" x14ac:dyDescent="0.35">
      <c r="A24" s="694" t="s">
        <v>726</v>
      </c>
      <c r="B24" s="309">
        <v>5025</v>
      </c>
      <c r="C24" s="310" t="s">
        <v>802</v>
      </c>
      <c r="D24" s="311"/>
      <c r="E24" s="311"/>
      <c r="F24" s="311"/>
      <c r="G24" s="312">
        <f>SUM(G25:G26)</f>
        <v>0</v>
      </c>
    </row>
    <row r="25" spans="1:9" ht="12.75" customHeight="1" x14ac:dyDescent="0.35">
      <c r="A25" s="695"/>
      <c r="B25" s="289"/>
      <c r="C25" s="313"/>
      <c r="D25" s="314"/>
      <c r="E25" s="314"/>
      <c r="F25" s="314"/>
      <c r="G25" s="296"/>
    </row>
    <row r="26" spans="1:9" ht="12.75" customHeight="1" x14ac:dyDescent="0.35">
      <c r="A26" s="695"/>
      <c r="B26" s="298">
        <v>6011</v>
      </c>
      <c r="C26" s="299" t="s">
        <v>803</v>
      </c>
      <c r="D26" s="300">
        <v>0</v>
      </c>
      <c r="E26" s="300"/>
      <c r="F26" s="300">
        <v>44</v>
      </c>
      <c r="G26" s="308">
        <f>D26*F402</f>
        <v>0</v>
      </c>
    </row>
    <row r="27" spans="1:9" ht="37.5" customHeight="1" x14ac:dyDescent="0.35">
      <c r="A27" s="675" t="s">
        <v>732</v>
      </c>
      <c r="B27" s="315"/>
      <c r="C27" s="285" t="s">
        <v>804</v>
      </c>
      <c r="D27" s="295"/>
      <c r="E27" s="295"/>
      <c r="F27" s="295"/>
      <c r="G27" s="288">
        <f>G28+G29+G30</f>
        <v>185000</v>
      </c>
      <c r="H27" s="297"/>
    </row>
    <row r="28" spans="1:9" ht="12.75" customHeight="1" x14ac:dyDescent="0.35">
      <c r="A28" s="675"/>
      <c r="B28" s="289"/>
      <c r="C28" s="290" t="s">
        <v>805</v>
      </c>
      <c r="D28" s="306">
        <v>5</v>
      </c>
      <c r="E28" s="291"/>
      <c r="F28" s="291">
        <v>30000</v>
      </c>
      <c r="G28" s="296">
        <f>D28*F28</f>
        <v>150000</v>
      </c>
      <c r="H28" s="297"/>
    </row>
    <row r="29" spans="1:9" ht="12.75" customHeight="1" x14ac:dyDescent="0.35">
      <c r="A29" s="675"/>
      <c r="B29" s="289"/>
      <c r="C29" s="290" t="s">
        <v>806</v>
      </c>
      <c r="D29" s="306">
        <v>2</v>
      </c>
      <c r="E29" s="291"/>
      <c r="F29" s="291">
        <v>17150</v>
      </c>
      <c r="G29" s="296">
        <f>D29*F29</f>
        <v>34300</v>
      </c>
      <c r="H29" s="297"/>
      <c r="I29" s="297"/>
    </row>
    <row r="30" spans="1:9" ht="12.75" customHeight="1" x14ac:dyDescent="0.35">
      <c r="A30" s="675"/>
      <c r="B30" s="298">
        <v>5586</v>
      </c>
      <c r="C30" s="299" t="s">
        <v>807</v>
      </c>
      <c r="D30" s="300">
        <f>SUM(D28:D29)</f>
        <v>7</v>
      </c>
      <c r="E30" s="300"/>
      <c r="F30" s="300">
        <v>100</v>
      </c>
      <c r="G30" s="308">
        <f>D30*F30</f>
        <v>700</v>
      </c>
    </row>
    <row r="31" spans="1:9" ht="12.75" customHeight="1" x14ac:dyDescent="0.35">
      <c r="A31" s="675" t="s">
        <v>6</v>
      </c>
      <c r="B31" s="284">
        <v>5021</v>
      </c>
      <c r="C31" s="285" t="s">
        <v>742</v>
      </c>
      <c r="D31" s="295"/>
      <c r="E31" s="295"/>
      <c r="F31" s="295"/>
      <c r="G31" s="288">
        <f>+SUM(G32:G33)</f>
        <v>21894</v>
      </c>
    </row>
    <row r="32" spans="1:9" ht="12.75" customHeight="1" x14ac:dyDescent="0.35">
      <c r="A32" s="675"/>
      <c r="B32" s="289">
        <v>5696</v>
      </c>
      <c r="C32" s="290" t="s">
        <v>808</v>
      </c>
      <c r="D32" s="306">
        <v>12</v>
      </c>
      <c r="E32" s="291"/>
      <c r="F32" s="291">
        <v>1780.5</v>
      </c>
      <c r="G32" s="296">
        <f>D32*F32</f>
        <v>21366</v>
      </c>
    </row>
    <row r="33" spans="1:8" ht="12.75" customHeight="1" x14ac:dyDescent="0.35">
      <c r="A33" s="675"/>
      <c r="B33" s="298">
        <v>5696</v>
      </c>
      <c r="C33" s="299" t="s">
        <v>809</v>
      </c>
      <c r="D33" s="300">
        <v>12</v>
      </c>
      <c r="E33" s="300"/>
      <c r="F33" s="300">
        <v>44</v>
      </c>
      <c r="G33" s="308">
        <f>D33*F33</f>
        <v>528</v>
      </c>
    </row>
    <row r="34" spans="1:8" s="316" customFormat="1" ht="12.75" customHeight="1" x14ac:dyDescent="0.35">
      <c r="A34" s="682" t="s">
        <v>4</v>
      </c>
      <c r="B34" s="315">
        <v>5014</v>
      </c>
      <c r="C34" s="285" t="s">
        <v>810</v>
      </c>
      <c r="D34" s="295"/>
      <c r="E34" s="295"/>
      <c r="F34" s="295"/>
      <c r="G34" s="288">
        <f>+SUM(G35:G39)</f>
        <v>76700</v>
      </c>
    </row>
    <row r="35" spans="1:8" ht="26.25" customHeight="1" x14ac:dyDescent="0.35">
      <c r="A35" s="683"/>
      <c r="B35" s="289">
        <v>5577</v>
      </c>
      <c r="C35" s="317" t="s">
        <v>811</v>
      </c>
      <c r="D35" s="306">
        <v>2</v>
      </c>
      <c r="E35" s="291" t="s">
        <v>812</v>
      </c>
      <c r="F35" s="291">
        <v>5250</v>
      </c>
      <c r="G35" s="296">
        <f t="shared" ref="G35:G39" si="0">D35*F35</f>
        <v>10500</v>
      </c>
    </row>
    <row r="36" spans="1:8" ht="30" customHeight="1" x14ac:dyDescent="0.35">
      <c r="A36" s="683"/>
      <c r="B36" s="289"/>
      <c r="C36" s="318" t="s">
        <v>813</v>
      </c>
      <c r="D36" s="306">
        <v>5</v>
      </c>
      <c r="E36" s="291"/>
      <c r="F36" s="291">
        <v>6000</v>
      </c>
      <c r="G36" s="296">
        <f t="shared" si="0"/>
        <v>30000</v>
      </c>
    </row>
    <row r="37" spans="1:8" ht="30.75" customHeight="1" x14ac:dyDescent="0.35">
      <c r="A37" s="684"/>
      <c r="B37" s="289"/>
      <c r="C37" s="317" t="s">
        <v>814</v>
      </c>
      <c r="D37" s="306">
        <v>2</v>
      </c>
      <c r="E37" s="291"/>
      <c r="F37" s="291">
        <v>10500</v>
      </c>
      <c r="G37" s="296">
        <f t="shared" si="0"/>
        <v>21000</v>
      </c>
    </row>
    <row r="38" spans="1:8" ht="45" customHeight="1" x14ac:dyDescent="0.35">
      <c r="A38" s="684"/>
      <c r="B38" s="289"/>
      <c r="C38" s="317" t="s">
        <v>815</v>
      </c>
      <c r="D38" s="306">
        <v>2</v>
      </c>
      <c r="E38" s="291"/>
      <c r="F38" s="291">
        <v>7050</v>
      </c>
      <c r="G38" s="296">
        <f t="shared" si="0"/>
        <v>14100</v>
      </c>
    </row>
    <row r="39" spans="1:8" ht="45" customHeight="1" x14ac:dyDescent="0.35">
      <c r="A39" s="685"/>
      <c r="B39" s="289"/>
      <c r="C39" s="299" t="s">
        <v>807</v>
      </c>
      <c r="D39" s="300">
        <f>SUM(D35:D38)</f>
        <v>11</v>
      </c>
      <c r="E39" s="291"/>
      <c r="F39" s="300">
        <v>100</v>
      </c>
      <c r="G39" s="308">
        <f t="shared" si="0"/>
        <v>1100</v>
      </c>
    </row>
    <row r="40" spans="1:8" ht="12.75" customHeight="1" x14ac:dyDescent="0.35">
      <c r="A40" s="686" t="s">
        <v>752</v>
      </c>
      <c r="B40" s="319"/>
      <c r="C40" s="310" t="s">
        <v>816</v>
      </c>
      <c r="D40" s="311"/>
      <c r="E40" s="311"/>
      <c r="F40" s="311"/>
      <c r="G40" s="312">
        <f>G42+G46+G50</f>
        <v>41967</v>
      </c>
    </row>
    <row r="41" spans="1:8" ht="35.25" customHeight="1" x14ac:dyDescent="0.35">
      <c r="A41" s="687"/>
      <c r="B41" s="320">
        <v>5902</v>
      </c>
      <c r="C41" s="299" t="s">
        <v>817</v>
      </c>
      <c r="D41" s="300"/>
      <c r="E41" s="300"/>
      <c r="F41" s="300">
        <v>44</v>
      </c>
      <c r="G41" s="308">
        <f>+D41*F41</f>
        <v>0</v>
      </c>
    </row>
    <row r="42" spans="1:8" ht="35.25" customHeight="1" x14ac:dyDescent="0.35">
      <c r="A42" s="687"/>
      <c r="B42" s="319">
        <v>5027</v>
      </c>
      <c r="C42" s="310" t="s">
        <v>756</v>
      </c>
      <c r="D42" s="311"/>
      <c r="E42" s="311"/>
      <c r="F42" s="311"/>
      <c r="G42" s="312">
        <f>G44+G43+G45</f>
        <v>23072</v>
      </c>
    </row>
    <row r="43" spans="1:8" ht="12.75" customHeight="1" x14ac:dyDescent="0.35">
      <c r="A43" s="688"/>
      <c r="B43" s="321">
        <v>6120</v>
      </c>
      <c r="C43" s="322" t="s">
        <v>818</v>
      </c>
      <c r="D43" s="306"/>
      <c r="E43" s="306"/>
      <c r="F43" s="306">
        <v>3072</v>
      </c>
      <c r="G43" s="296">
        <f>F43</f>
        <v>3072</v>
      </c>
      <c r="H43" s="297"/>
    </row>
    <row r="44" spans="1:8" ht="12.75" customHeight="1" x14ac:dyDescent="0.35">
      <c r="A44" s="688"/>
      <c r="B44" s="321">
        <v>6120</v>
      </c>
      <c r="C44" s="322" t="s">
        <v>819</v>
      </c>
      <c r="D44" s="306"/>
      <c r="E44" s="306"/>
      <c r="F44" s="306">
        <v>3333</v>
      </c>
      <c r="G44" s="296">
        <f>F44</f>
        <v>3333</v>
      </c>
    </row>
    <row r="45" spans="1:8" ht="12.75" customHeight="1" x14ac:dyDescent="0.35">
      <c r="A45" s="688"/>
      <c r="B45" s="323">
        <v>6116</v>
      </c>
      <c r="C45" s="299" t="s">
        <v>820</v>
      </c>
      <c r="D45" s="324"/>
      <c r="E45" s="324"/>
      <c r="F45" s="324">
        <v>16667</v>
      </c>
      <c r="G45" s="325">
        <f>F45</f>
        <v>16667</v>
      </c>
    </row>
    <row r="46" spans="1:8" ht="12.75" customHeight="1" x14ac:dyDescent="0.35">
      <c r="A46" s="688"/>
      <c r="B46" s="319">
        <v>5028</v>
      </c>
      <c r="C46" s="310" t="s">
        <v>764</v>
      </c>
      <c r="D46" s="311"/>
      <c r="E46" s="311"/>
      <c r="F46" s="311"/>
      <c r="G46" s="312">
        <f>+G47+G48+G49</f>
        <v>10522</v>
      </c>
      <c r="H46" s="297"/>
    </row>
    <row r="47" spans="1:8" ht="12.75" customHeight="1" x14ac:dyDescent="0.35">
      <c r="A47" s="688"/>
      <c r="B47" s="321">
        <v>6177</v>
      </c>
      <c r="C47" s="307" t="s">
        <v>821</v>
      </c>
      <c r="D47" s="326"/>
      <c r="E47" s="326"/>
      <c r="F47" s="326"/>
      <c r="G47" s="296">
        <v>9002</v>
      </c>
      <c r="H47" s="297"/>
    </row>
    <row r="48" spans="1:8" ht="12.75" customHeight="1" x14ac:dyDescent="0.35">
      <c r="A48" s="688"/>
      <c r="B48" s="320">
        <v>6207</v>
      </c>
      <c r="C48" s="299" t="s">
        <v>822</v>
      </c>
      <c r="D48" s="300"/>
      <c r="E48" s="300">
        <f>E10+E17+E18</f>
        <v>26</v>
      </c>
      <c r="F48" s="300">
        <v>50</v>
      </c>
      <c r="G48" s="308">
        <f>+F48*E48</f>
        <v>1300</v>
      </c>
      <c r="H48" s="297"/>
    </row>
    <row r="49" spans="1:8" ht="12.75" customHeight="1" x14ac:dyDescent="0.35">
      <c r="A49" s="688"/>
      <c r="B49" s="320">
        <v>6177</v>
      </c>
      <c r="C49" s="299" t="s">
        <v>823</v>
      </c>
      <c r="D49" s="300">
        <v>5</v>
      </c>
      <c r="E49" s="300"/>
      <c r="F49" s="300">
        <v>44</v>
      </c>
      <c r="G49" s="308">
        <f>+D49*F49</f>
        <v>220</v>
      </c>
    </row>
    <row r="50" spans="1:8" ht="12.75" customHeight="1" x14ac:dyDescent="0.35">
      <c r="A50" s="688"/>
      <c r="B50" s="319">
        <v>5050</v>
      </c>
      <c r="C50" s="310" t="s">
        <v>775</v>
      </c>
      <c r="D50" s="311"/>
      <c r="E50" s="311"/>
      <c r="F50" s="311"/>
      <c r="G50" s="312">
        <f>+G51+G52</f>
        <v>8373</v>
      </c>
    </row>
    <row r="51" spans="1:8" ht="12.75" customHeight="1" x14ac:dyDescent="0.35">
      <c r="A51" s="688"/>
      <c r="B51" s="320">
        <v>6420</v>
      </c>
      <c r="C51" s="299" t="s">
        <v>824</v>
      </c>
      <c r="D51" s="300"/>
      <c r="E51" s="300">
        <f>+E10+E17+E18</f>
        <v>26</v>
      </c>
      <c r="F51" s="300">
        <v>137</v>
      </c>
      <c r="G51" s="308">
        <f>+E51*F51</f>
        <v>3562</v>
      </c>
    </row>
    <row r="52" spans="1:8" ht="12.75" customHeight="1" x14ac:dyDescent="0.35">
      <c r="A52" s="689"/>
      <c r="B52" s="320">
        <v>6421</v>
      </c>
      <c r="C52" s="299" t="s">
        <v>777</v>
      </c>
      <c r="D52" s="300"/>
      <c r="E52" s="300"/>
      <c r="F52" s="300"/>
      <c r="G52" s="308">
        <v>4811</v>
      </c>
    </row>
    <row r="53" spans="1:8" ht="12.75" customHeight="1" x14ac:dyDescent="0.35">
      <c r="A53" s="327"/>
      <c r="B53" s="327"/>
      <c r="C53" s="328" t="s">
        <v>825</v>
      </c>
      <c r="D53" s="329"/>
      <c r="E53" s="329"/>
      <c r="F53" s="329"/>
      <c r="G53" s="330">
        <f>G40+G34+G31+G27+G19+G11</f>
        <v>420561</v>
      </c>
    </row>
    <row r="54" spans="1:8" ht="31.5" customHeight="1" x14ac:dyDescent="0.35">
      <c r="A54" s="331" t="s">
        <v>781</v>
      </c>
      <c r="B54" s="332">
        <v>6112</v>
      </c>
      <c r="C54" s="322" t="s">
        <v>826</v>
      </c>
      <c r="D54" s="333"/>
      <c r="E54" s="333"/>
      <c r="F54" s="334"/>
      <c r="G54" s="335">
        <f>+G53*0.07</f>
        <v>29439.270000000004</v>
      </c>
    </row>
    <row r="55" spans="1:8" ht="12.75" customHeight="1" thickBot="1" x14ac:dyDescent="0.4">
      <c r="A55" s="336"/>
      <c r="B55" s="690" t="s">
        <v>827</v>
      </c>
      <c r="C55" s="691"/>
      <c r="D55" s="337"/>
      <c r="E55" s="337"/>
      <c r="F55" s="337"/>
      <c r="G55" s="338">
        <f>+G54+G53</f>
        <v>450000.27</v>
      </c>
    </row>
    <row r="56" spans="1:8" ht="12.75" customHeight="1" x14ac:dyDescent="0.35"/>
    <row r="57" spans="1:8" ht="12.75" customHeight="1" x14ac:dyDescent="0.35">
      <c r="B57" s="272"/>
      <c r="H57" s="297"/>
    </row>
    <row r="58" spans="1:8" ht="12.75" customHeight="1" x14ac:dyDescent="0.35"/>
    <row r="59" spans="1:8" ht="12.75" customHeight="1" x14ac:dyDescent="0.35"/>
  </sheetData>
  <mergeCells count="10">
    <mergeCell ref="A31:A33"/>
    <mergeCell ref="A34:A39"/>
    <mergeCell ref="A40:A52"/>
    <mergeCell ref="B55:C55"/>
    <mergeCell ref="B1:G1"/>
    <mergeCell ref="A8:A10"/>
    <mergeCell ref="A11:A18"/>
    <mergeCell ref="A19:A23"/>
    <mergeCell ref="A24:A26"/>
    <mergeCell ref="A27:A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5:L94"/>
  <sheetViews>
    <sheetView workbookViewId="0">
      <selection activeCell="D62" sqref="D62"/>
    </sheetView>
  </sheetViews>
  <sheetFormatPr baseColWidth="10" defaultColWidth="8.54296875" defaultRowHeight="14.5" x14ac:dyDescent="0.35"/>
  <cols>
    <col min="3" max="3" width="35.453125" customWidth="1"/>
    <col min="4" max="4" width="15" customWidth="1"/>
    <col min="5" max="5" width="11.81640625" customWidth="1"/>
    <col min="6" max="6" width="13.81640625" customWidth="1"/>
    <col min="7" max="7" width="19.453125" hidden="1" customWidth="1"/>
    <col min="8" max="8" width="13.81640625" customWidth="1"/>
    <col min="10" max="10" width="9.453125" bestFit="1" customWidth="1"/>
    <col min="11" max="11" width="10.453125" bestFit="1" customWidth="1"/>
    <col min="12" max="12" width="11.453125" bestFit="1" customWidth="1"/>
  </cols>
  <sheetData>
    <row r="5" spans="2:8" x14ac:dyDescent="0.35">
      <c r="F5" s="340"/>
      <c r="G5" s="340"/>
      <c r="H5" s="340"/>
    </row>
    <row r="6" spans="2:8" x14ac:dyDescent="0.35">
      <c r="C6" s="274" t="s">
        <v>828</v>
      </c>
      <c r="F6" s="341"/>
      <c r="G6" s="342"/>
      <c r="H6" s="341"/>
    </row>
    <row r="7" spans="2:8" x14ac:dyDescent="0.35">
      <c r="B7" t="s">
        <v>784</v>
      </c>
      <c r="C7" t="s">
        <v>829</v>
      </c>
      <c r="F7" s="343"/>
      <c r="G7" s="343"/>
      <c r="H7" s="343"/>
    </row>
    <row r="8" spans="2:8" ht="15" thickBot="1" x14ac:dyDescent="0.4"/>
    <row r="9" spans="2:8" ht="26.5" thickBot="1" x14ac:dyDescent="0.4">
      <c r="B9" s="344" t="s">
        <v>830</v>
      </c>
      <c r="C9" s="344" t="s">
        <v>831</v>
      </c>
      <c r="D9" s="345" t="s">
        <v>832</v>
      </c>
      <c r="E9" s="346" t="s">
        <v>833</v>
      </c>
      <c r="F9" s="346" t="s">
        <v>834</v>
      </c>
      <c r="G9" s="347" t="s">
        <v>835</v>
      </c>
      <c r="H9" s="346" t="s">
        <v>836</v>
      </c>
    </row>
    <row r="10" spans="2:8" ht="15" thickBot="1" x14ac:dyDescent="0.4">
      <c r="B10" s="348"/>
      <c r="C10" s="348" t="s">
        <v>786</v>
      </c>
      <c r="D10" s="349"/>
      <c r="E10" s="350"/>
      <c r="F10" s="351"/>
      <c r="G10" s="352">
        <v>0</v>
      </c>
      <c r="H10" s="537">
        <v>0</v>
      </c>
    </row>
    <row r="11" spans="2:8" x14ac:dyDescent="0.35">
      <c r="B11" s="353">
        <v>5011</v>
      </c>
      <c r="C11" s="354" t="s">
        <v>837</v>
      </c>
      <c r="D11" s="355"/>
      <c r="E11" s="356"/>
      <c r="F11" s="357"/>
      <c r="G11" s="358">
        <f>+G12+G13+G14</f>
        <v>0</v>
      </c>
      <c r="H11" s="538"/>
    </row>
    <row r="12" spans="2:8" x14ac:dyDescent="0.35">
      <c r="B12" s="359"/>
      <c r="C12" s="360" t="s">
        <v>838</v>
      </c>
      <c r="D12" s="361"/>
      <c r="E12" s="362"/>
      <c r="F12" s="363"/>
      <c r="G12" s="364"/>
      <c r="H12" s="539"/>
    </row>
    <row r="13" spans="2:8" x14ac:dyDescent="0.35">
      <c r="B13" s="365"/>
      <c r="C13" s="366" t="s">
        <v>839</v>
      </c>
      <c r="D13" s="367">
        <v>0</v>
      </c>
      <c r="E13" s="368">
        <v>0</v>
      </c>
      <c r="F13" s="369">
        <v>0</v>
      </c>
      <c r="G13" s="370">
        <f>D13*E13*F13</f>
        <v>0</v>
      </c>
      <c r="H13" s="540"/>
    </row>
    <row r="14" spans="2:8" ht="26.5" thickBot="1" x14ac:dyDescent="0.4">
      <c r="B14" s="371"/>
      <c r="C14" s="372" t="s">
        <v>840</v>
      </c>
      <c r="D14" s="373">
        <v>0</v>
      </c>
      <c r="E14" s="374">
        <v>1</v>
      </c>
      <c r="F14" s="375">
        <v>267</v>
      </c>
      <c r="G14" s="376">
        <f>D14*E14*F14</f>
        <v>0</v>
      </c>
      <c r="H14" s="541"/>
    </row>
    <row r="15" spans="2:8" x14ac:dyDescent="0.35">
      <c r="B15" s="377">
        <v>5012</v>
      </c>
      <c r="C15" s="378" t="s">
        <v>841</v>
      </c>
      <c r="D15" s="379"/>
      <c r="E15" s="380"/>
      <c r="F15" s="381"/>
      <c r="G15" s="382"/>
      <c r="H15" s="542"/>
    </row>
    <row r="16" spans="2:8" x14ac:dyDescent="0.35">
      <c r="B16" s="383"/>
      <c r="C16" s="384" t="s">
        <v>842</v>
      </c>
      <c r="D16" s="385"/>
      <c r="E16" s="386"/>
      <c r="F16" s="387"/>
      <c r="G16" s="388"/>
      <c r="H16" s="543"/>
    </row>
    <row r="17" spans="2:8" x14ac:dyDescent="0.35">
      <c r="B17" s="389"/>
      <c r="C17" s="390" t="s">
        <v>843</v>
      </c>
      <c r="D17" s="391"/>
      <c r="E17" s="392"/>
      <c r="F17" s="393"/>
      <c r="G17" s="394"/>
      <c r="H17" s="544"/>
    </row>
    <row r="18" spans="2:8" x14ac:dyDescent="0.35">
      <c r="B18" s="377">
        <v>5013</v>
      </c>
      <c r="C18" s="378" t="s">
        <v>788</v>
      </c>
      <c r="D18" s="395"/>
      <c r="E18" s="380"/>
      <c r="F18" s="381"/>
      <c r="G18" s="396">
        <f>+SUM(G19:G43)</f>
        <v>168068.88936029692</v>
      </c>
      <c r="H18" s="542">
        <f>SUM(H19:H43)</f>
        <v>159773</v>
      </c>
    </row>
    <row r="19" spans="2:8" ht="26" x14ac:dyDescent="0.35">
      <c r="B19" s="397">
        <v>5584</v>
      </c>
      <c r="C19" s="398" t="s">
        <v>844</v>
      </c>
      <c r="D19" s="399">
        <v>5</v>
      </c>
      <c r="E19" s="362">
        <v>1</v>
      </c>
      <c r="F19" s="363">
        <v>12600</v>
      </c>
      <c r="G19" s="400">
        <f>D19*E19*F19</f>
        <v>63000</v>
      </c>
      <c r="H19" s="539">
        <f>63000+40000</f>
        <v>103000</v>
      </c>
    </row>
    <row r="20" spans="2:8" x14ac:dyDescent="0.35">
      <c r="B20" s="397">
        <v>5551</v>
      </c>
      <c r="C20" s="401" t="s">
        <v>845</v>
      </c>
      <c r="D20" s="402">
        <v>5</v>
      </c>
      <c r="E20" s="403">
        <v>3</v>
      </c>
      <c r="F20" s="404">
        <v>3578</v>
      </c>
      <c r="G20" s="364">
        <f t="shared" ref="G20:G42" si="0">D20*E20*F20</f>
        <v>53670</v>
      </c>
      <c r="H20" s="545">
        <f>F20*5*1</f>
        <v>17890</v>
      </c>
    </row>
    <row r="21" spans="2:8" x14ac:dyDescent="0.35">
      <c r="B21" s="397">
        <v>5551</v>
      </c>
      <c r="C21" s="401" t="s">
        <v>846</v>
      </c>
      <c r="D21" s="405"/>
      <c r="E21" s="406"/>
      <c r="F21" s="404"/>
      <c r="G21" s="364">
        <f t="shared" si="0"/>
        <v>0</v>
      </c>
      <c r="H21" s="545"/>
    </row>
    <row r="22" spans="2:8" x14ac:dyDescent="0.35">
      <c r="B22" s="397">
        <v>5551</v>
      </c>
      <c r="C22" s="401" t="s">
        <v>847</v>
      </c>
      <c r="D22" s="361">
        <v>0</v>
      </c>
      <c r="E22" s="406"/>
      <c r="F22" s="404">
        <v>0</v>
      </c>
      <c r="G22" s="364">
        <f t="shared" si="0"/>
        <v>0</v>
      </c>
      <c r="H22" s="545"/>
    </row>
    <row r="23" spans="2:8" x14ac:dyDescent="0.35">
      <c r="B23" s="397">
        <v>5551</v>
      </c>
      <c r="C23" s="401" t="s">
        <v>848</v>
      </c>
      <c r="D23" s="361"/>
      <c r="E23" s="406"/>
      <c r="F23" s="404"/>
      <c r="G23" s="364">
        <f t="shared" si="0"/>
        <v>0</v>
      </c>
      <c r="H23" s="545"/>
    </row>
    <row r="24" spans="2:8" x14ac:dyDescent="0.35">
      <c r="B24" s="397">
        <v>5543</v>
      </c>
      <c r="C24" s="401" t="s">
        <v>849</v>
      </c>
      <c r="D24" s="361"/>
      <c r="E24" s="406"/>
      <c r="F24" s="406"/>
      <c r="G24" s="364">
        <f t="shared" si="0"/>
        <v>0</v>
      </c>
      <c r="H24" s="546"/>
    </row>
    <row r="25" spans="2:8" x14ac:dyDescent="0.35">
      <c r="B25" s="397">
        <v>5551</v>
      </c>
      <c r="C25" s="401" t="s">
        <v>850</v>
      </c>
      <c r="D25" s="361"/>
      <c r="E25" s="406">
        <v>0</v>
      </c>
      <c r="F25" s="406">
        <v>0</v>
      </c>
      <c r="G25" s="364">
        <f t="shared" si="0"/>
        <v>0</v>
      </c>
      <c r="H25" s="546"/>
    </row>
    <row r="26" spans="2:8" x14ac:dyDescent="0.35">
      <c r="B26" s="397">
        <v>5551</v>
      </c>
      <c r="C26" s="407" t="s">
        <v>851</v>
      </c>
      <c r="D26" s="408">
        <v>5</v>
      </c>
      <c r="E26" s="406">
        <v>1</v>
      </c>
      <c r="F26" s="406">
        <v>3578.1544256120528</v>
      </c>
      <c r="G26" s="364">
        <f t="shared" si="0"/>
        <v>17890.772128060264</v>
      </c>
      <c r="H26" s="546">
        <f>3578*1*5</f>
        <v>17890</v>
      </c>
    </row>
    <row r="27" spans="2:8" x14ac:dyDescent="0.35">
      <c r="B27" s="397">
        <v>5551</v>
      </c>
      <c r="C27" s="407" t="s">
        <v>852</v>
      </c>
      <c r="D27" s="408">
        <v>0</v>
      </c>
      <c r="E27" s="406">
        <v>1</v>
      </c>
      <c r="F27" s="406"/>
      <c r="G27" s="364">
        <f t="shared" si="0"/>
        <v>0</v>
      </c>
      <c r="H27" s="546"/>
    </row>
    <row r="28" spans="2:8" x14ac:dyDescent="0.35">
      <c r="B28" s="397">
        <v>5551</v>
      </c>
      <c r="C28" s="407" t="s">
        <v>853</v>
      </c>
      <c r="D28" s="408"/>
      <c r="E28" s="406"/>
      <c r="F28" s="409"/>
      <c r="G28" s="364">
        <f t="shared" si="0"/>
        <v>0</v>
      </c>
      <c r="H28" s="547"/>
    </row>
    <row r="29" spans="2:8" x14ac:dyDescent="0.35">
      <c r="B29" s="397">
        <v>5551</v>
      </c>
      <c r="C29" s="407" t="s">
        <v>854</v>
      </c>
      <c r="D29" s="408"/>
      <c r="E29" s="406"/>
      <c r="F29" s="409"/>
      <c r="G29" s="364">
        <f t="shared" si="0"/>
        <v>0</v>
      </c>
      <c r="H29" s="547"/>
    </row>
    <row r="30" spans="2:8" x14ac:dyDescent="0.35">
      <c r="B30" s="397">
        <v>5551</v>
      </c>
      <c r="C30" s="407" t="s">
        <v>855</v>
      </c>
      <c r="D30" s="408"/>
      <c r="E30" s="406"/>
      <c r="F30" s="409"/>
      <c r="G30" s="364">
        <f t="shared" si="0"/>
        <v>0</v>
      </c>
      <c r="H30" s="547"/>
    </row>
    <row r="31" spans="2:8" x14ac:dyDescent="0.35">
      <c r="B31" s="410">
        <v>5551</v>
      </c>
      <c r="C31" s="401" t="s">
        <v>856</v>
      </c>
      <c r="D31" s="361"/>
      <c r="E31" s="406">
        <v>0</v>
      </c>
      <c r="F31" s="363">
        <v>1506.5913370998117</v>
      </c>
      <c r="G31" s="364">
        <f t="shared" si="0"/>
        <v>0</v>
      </c>
      <c r="H31" s="539"/>
    </row>
    <row r="32" spans="2:8" x14ac:dyDescent="0.35">
      <c r="B32" s="410">
        <v>5551</v>
      </c>
      <c r="C32" s="401" t="s">
        <v>857</v>
      </c>
      <c r="D32" s="361">
        <v>5</v>
      </c>
      <c r="E32" s="406">
        <v>1</v>
      </c>
      <c r="F32" s="363">
        <v>941.61958568738225</v>
      </c>
      <c r="G32" s="364">
        <f t="shared" si="0"/>
        <v>4708.0979284369114</v>
      </c>
      <c r="H32" s="539">
        <f>942*1*5</f>
        <v>4710</v>
      </c>
    </row>
    <row r="33" spans="2:8" x14ac:dyDescent="0.35">
      <c r="B33" s="410">
        <v>5551</v>
      </c>
      <c r="C33" s="401" t="s">
        <v>858</v>
      </c>
      <c r="D33" s="361">
        <v>5</v>
      </c>
      <c r="E33" s="406">
        <v>1</v>
      </c>
      <c r="F33" s="363">
        <v>1694.9152542372881</v>
      </c>
      <c r="G33" s="364">
        <f t="shared" si="0"/>
        <v>8474.5762711864409</v>
      </c>
      <c r="H33" s="539">
        <f>1695*1*5</f>
        <v>8475</v>
      </c>
    </row>
    <row r="34" spans="2:8" ht="15" thickBot="1" x14ac:dyDescent="0.4">
      <c r="B34" s="410">
        <v>5551</v>
      </c>
      <c r="C34" s="401" t="s">
        <v>859</v>
      </c>
      <c r="D34" s="361"/>
      <c r="E34" s="406">
        <v>1</v>
      </c>
      <c r="F34" s="363">
        <v>512</v>
      </c>
      <c r="G34" s="364">
        <f t="shared" si="0"/>
        <v>0</v>
      </c>
      <c r="H34" s="539"/>
    </row>
    <row r="35" spans="2:8" ht="15" thickBot="1" x14ac:dyDescent="0.4">
      <c r="B35" s="410">
        <v>5543</v>
      </c>
      <c r="C35" s="411" t="s">
        <v>860</v>
      </c>
      <c r="D35" s="412">
        <v>1</v>
      </c>
      <c r="E35" s="406">
        <v>3</v>
      </c>
      <c r="F35" s="363">
        <f>103379/531.225*15</f>
        <v>2919.073838768883</v>
      </c>
      <c r="G35" s="364">
        <f t="shared" si="0"/>
        <v>8757.2215163066485</v>
      </c>
      <c r="H35" s="539">
        <f>2919*1*1</f>
        <v>2919</v>
      </c>
    </row>
    <row r="36" spans="2:8" ht="15" thickBot="1" x14ac:dyDescent="0.4">
      <c r="B36" s="410">
        <v>5543</v>
      </c>
      <c r="C36" s="411" t="s">
        <v>861</v>
      </c>
      <c r="D36" s="412"/>
      <c r="E36" s="406">
        <v>3</v>
      </c>
      <c r="F36" s="363">
        <f>103379/531.225*15</f>
        <v>2919.073838768883</v>
      </c>
      <c r="G36" s="364">
        <f t="shared" si="0"/>
        <v>0</v>
      </c>
      <c r="H36" s="539"/>
    </row>
    <row r="37" spans="2:8" ht="15" thickBot="1" x14ac:dyDescent="0.4">
      <c r="B37" s="410">
        <v>5543</v>
      </c>
      <c r="C37" s="411" t="s">
        <v>862</v>
      </c>
      <c r="D37" s="412">
        <v>1</v>
      </c>
      <c r="E37" s="406">
        <v>3</v>
      </c>
      <c r="F37" s="363">
        <f>103379/531.225*15</f>
        <v>2919.073838768883</v>
      </c>
      <c r="G37" s="364">
        <f t="shared" si="0"/>
        <v>8757.2215163066485</v>
      </c>
      <c r="H37" s="539">
        <f>2919*1*1</f>
        <v>2919</v>
      </c>
    </row>
    <row r="38" spans="2:8" ht="15" thickBot="1" x14ac:dyDescent="0.4">
      <c r="B38" s="410">
        <v>5543</v>
      </c>
      <c r="C38" s="411" t="s">
        <v>863</v>
      </c>
      <c r="D38" s="412"/>
      <c r="E38" s="406">
        <v>3</v>
      </c>
      <c r="F38" s="363">
        <f>103379/531.225*15</f>
        <v>2919.073838768883</v>
      </c>
      <c r="G38" s="364">
        <f t="shared" si="0"/>
        <v>0</v>
      </c>
      <c r="H38" s="539"/>
    </row>
    <row r="39" spans="2:8" ht="15" thickBot="1" x14ac:dyDescent="0.4">
      <c r="B39" s="410">
        <v>5543</v>
      </c>
      <c r="C39" s="411" t="s">
        <v>864</v>
      </c>
      <c r="D39" s="412"/>
      <c r="E39" s="406"/>
      <c r="F39" s="363"/>
      <c r="G39" s="364">
        <f t="shared" si="0"/>
        <v>0</v>
      </c>
      <c r="H39" s="539"/>
    </row>
    <row r="40" spans="2:8" ht="15" thickBot="1" x14ac:dyDescent="0.4">
      <c r="B40" s="410">
        <v>5543</v>
      </c>
      <c r="C40" s="411" t="s">
        <v>865</v>
      </c>
      <c r="D40" s="412"/>
      <c r="E40" s="406"/>
      <c r="F40" s="363"/>
      <c r="G40" s="364">
        <f t="shared" si="0"/>
        <v>0</v>
      </c>
      <c r="H40" s="539"/>
    </row>
    <row r="41" spans="2:8" x14ac:dyDescent="0.35">
      <c r="B41" s="410">
        <v>5543</v>
      </c>
      <c r="C41" s="411" t="s">
        <v>866</v>
      </c>
      <c r="D41" s="412"/>
      <c r="E41" s="406"/>
      <c r="F41" s="363"/>
      <c r="G41" s="364">
        <f t="shared" si="0"/>
        <v>0</v>
      </c>
      <c r="H41" s="539"/>
    </row>
    <row r="42" spans="2:8" ht="26" x14ac:dyDescent="0.35">
      <c r="B42" s="413"/>
      <c r="C42" s="414" t="s">
        <v>867</v>
      </c>
      <c r="D42" s="391">
        <v>12</v>
      </c>
      <c r="E42" s="393">
        <v>1</v>
      </c>
      <c r="F42" s="375">
        <v>187</v>
      </c>
      <c r="G42" s="376">
        <f t="shared" si="0"/>
        <v>2244</v>
      </c>
      <c r="H42" s="541">
        <v>1573</v>
      </c>
    </row>
    <row r="43" spans="2:8" ht="26.5" thickBot="1" x14ac:dyDescent="0.4">
      <c r="B43" s="376"/>
      <c r="C43" s="414" t="s">
        <v>795</v>
      </c>
      <c r="D43" s="415">
        <v>0</v>
      </c>
      <c r="E43" s="393">
        <f>D21*E21+D22*E22+D23*E23+D24*E24+D26*E26+D27*E27+D28*E28+D29*E29+D30*E30+D31*E31+D32*E32+D33*E33+D34*E34+D35*E35+D36*E36+D37*E37+D38*E38+D39*E39+D40*E40+D41*E41</f>
        <v>21</v>
      </c>
      <c r="F43" s="393">
        <v>27</v>
      </c>
      <c r="G43" s="376">
        <f>E43*F43</f>
        <v>567</v>
      </c>
      <c r="H43" s="544">
        <v>397</v>
      </c>
    </row>
    <row r="44" spans="2:8" ht="15" thickBot="1" x14ac:dyDescent="0.4">
      <c r="B44" s="416">
        <v>5014</v>
      </c>
      <c r="C44" s="416" t="s">
        <v>810</v>
      </c>
      <c r="D44" s="417"/>
      <c r="E44" s="418"/>
      <c r="F44" s="419"/>
      <c r="G44" s="420">
        <f>G45+G46+G47+G48+G49</f>
        <v>15688</v>
      </c>
      <c r="H44" s="548">
        <f>H45+H46+H47+H48</f>
        <v>5230</v>
      </c>
    </row>
    <row r="45" spans="2:8" x14ac:dyDescent="0.35">
      <c r="B45" s="421"/>
      <c r="C45" s="422" t="s">
        <v>868</v>
      </c>
      <c r="D45" s="423">
        <v>1</v>
      </c>
      <c r="E45" s="424">
        <v>3</v>
      </c>
      <c r="F45" s="425">
        <v>2500</v>
      </c>
      <c r="G45" s="426">
        <f>D45*E45*F45</f>
        <v>7500</v>
      </c>
      <c r="H45" s="549">
        <v>2500</v>
      </c>
    </row>
    <row r="46" spans="2:8" x14ac:dyDescent="0.35">
      <c r="B46" s="421"/>
      <c r="C46" s="427" t="s">
        <v>869</v>
      </c>
      <c r="D46" s="423">
        <v>1</v>
      </c>
      <c r="E46" s="424">
        <v>3</v>
      </c>
      <c r="F46" s="425">
        <v>2500</v>
      </c>
      <c r="G46" s="426">
        <f>D46*E46*F46</f>
        <v>7500</v>
      </c>
      <c r="H46" s="549">
        <v>2500</v>
      </c>
    </row>
    <row r="47" spans="2:8" x14ac:dyDescent="0.35">
      <c r="B47" s="376"/>
      <c r="C47" s="414" t="s">
        <v>870</v>
      </c>
      <c r="D47" s="415"/>
      <c r="E47" s="393">
        <f>SUM(E44:E46)</f>
        <v>6</v>
      </c>
      <c r="F47" s="393">
        <v>100</v>
      </c>
      <c r="G47" s="376">
        <f>+F47*E47</f>
        <v>600</v>
      </c>
      <c r="H47" s="544">
        <v>200</v>
      </c>
    </row>
    <row r="48" spans="2:8" x14ac:dyDescent="0.35">
      <c r="B48" s="376"/>
      <c r="C48" s="414" t="s">
        <v>870</v>
      </c>
      <c r="D48" s="415"/>
      <c r="E48" s="393">
        <v>2</v>
      </c>
      <c r="F48" s="393">
        <v>44</v>
      </c>
      <c r="G48" s="376">
        <f>+F48*E48</f>
        <v>88</v>
      </c>
      <c r="H48" s="544">
        <v>30</v>
      </c>
    </row>
    <row r="49" spans="2:12" ht="26.5" thickBot="1" x14ac:dyDescent="0.4">
      <c r="B49" s="376"/>
      <c r="C49" s="376" t="s">
        <v>871</v>
      </c>
      <c r="D49" s="415"/>
      <c r="E49" s="393">
        <v>0</v>
      </c>
      <c r="F49" s="393">
        <v>1948</v>
      </c>
      <c r="G49" s="376">
        <f>+F49*E49</f>
        <v>0</v>
      </c>
      <c r="H49" s="544"/>
    </row>
    <row r="50" spans="2:12" ht="15" thickBot="1" x14ac:dyDescent="0.4">
      <c r="B50" s="416">
        <v>5020</v>
      </c>
      <c r="C50" s="428" t="s">
        <v>872</v>
      </c>
      <c r="D50" s="429"/>
      <c r="E50" s="430"/>
      <c r="F50" s="431"/>
      <c r="G50" s="432">
        <v>17000</v>
      </c>
      <c r="H50" s="550">
        <v>7000</v>
      </c>
    </row>
    <row r="51" spans="2:12" x14ac:dyDescent="0.35">
      <c r="B51" s="433"/>
      <c r="C51" s="434" t="s">
        <v>872</v>
      </c>
      <c r="D51" s="435"/>
      <c r="E51" s="436"/>
      <c r="F51" s="437"/>
      <c r="G51" s="438">
        <v>17000</v>
      </c>
      <c r="H51" s="551">
        <v>7000</v>
      </c>
    </row>
    <row r="52" spans="2:12" ht="15" thickBot="1" x14ac:dyDescent="0.4">
      <c r="B52" s="439">
        <v>5021</v>
      </c>
      <c r="C52" s="439" t="s">
        <v>742</v>
      </c>
      <c r="D52" s="440"/>
      <c r="E52" s="441"/>
      <c r="F52" s="442"/>
      <c r="G52" s="443">
        <f>SUM(G53:G60)</f>
        <v>88720</v>
      </c>
      <c r="H52" s="552">
        <f>SUM(H53:H61)</f>
        <v>46024</v>
      </c>
    </row>
    <row r="53" spans="2:12" x14ac:dyDescent="0.35">
      <c r="B53" s="444">
        <v>5685</v>
      </c>
      <c r="C53" s="444" t="s">
        <v>873</v>
      </c>
      <c r="D53" s="445"/>
      <c r="E53" s="446"/>
      <c r="F53" s="447"/>
      <c r="G53" s="448">
        <v>60000</v>
      </c>
      <c r="H53" s="553">
        <v>20000</v>
      </c>
    </row>
    <row r="54" spans="2:12" x14ac:dyDescent="0.35">
      <c r="B54" s="360">
        <v>5686</v>
      </c>
      <c r="C54" s="444" t="s">
        <v>874</v>
      </c>
      <c r="D54" s="449">
        <v>1</v>
      </c>
      <c r="E54" s="450">
        <v>1</v>
      </c>
      <c r="F54" s="451">
        <v>2500</v>
      </c>
      <c r="G54" s="452">
        <f>D54*E54*F54</f>
        <v>2500</v>
      </c>
      <c r="H54" s="554">
        <v>12500</v>
      </c>
    </row>
    <row r="55" spans="2:12" x14ac:dyDescent="0.35">
      <c r="B55" s="360">
        <v>5661</v>
      </c>
      <c r="C55" s="360" t="s">
        <v>875</v>
      </c>
      <c r="D55" s="449"/>
      <c r="E55" s="450">
        <v>40</v>
      </c>
      <c r="F55" s="451">
        <v>195</v>
      </c>
      <c r="G55" s="426">
        <f>D55*E55*F55</f>
        <v>0</v>
      </c>
      <c r="H55" s="554"/>
    </row>
    <row r="56" spans="2:12" x14ac:dyDescent="0.35">
      <c r="B56" s="360">
        <v>5661</v>
      </c>
      <c r="C56" s="360" t="s">
        <v>876</v>
      </c>
      <c r="D56" s="449"/>
      <c r="E56" s="450">
        <v>1</v>
      </c>
      <c r="F56" s="451">
        <v>3012</v>
      </c>
      <c r="G56" s="426">
        <f>D56*E56*F56</f>
        <v>0</v>
      </c>
      <c r="H56" s="554"/>
    </row>
    <row r="57" spans="2:12" x14ac:dyDescent="0.35">
      <c r="B57" s="360">
        <v>5661</v>
      </c>
      <c r="C57" s="360" t="s">
        <v>877</v>
      </c>
      <c r="D57" s="449">
        <v>1</v>
      </c>
      <c r="E57" s="450">
        <v>2</v>
      </c>
      <c r="F57" s="451">
        <v>3000</v>
      </c>
      <c r="G57" s="426">
        <f t="shared" ref="G57:G59" si="1">D57*E57*F57</f>
        <v>6000</v>
      </c>
      <c r="H57" s="554">
        <v>3454</v>
      </c>
    </row>
    <row r="58" spans="2:12" x14ac:dyDescent="0.35">
      <c r="B58" s="360">
        <v>5661</v>
      </c>
      <c r="C58" s="360" t="s">
        <v>878</v>
      </c>
      <c r="D58" s="449">
        <v>1</v>
      </c>
      <c r="E58" s="450">
        <v>4</v>
      </c>
      <c r="F58" s="451">
        <v>2500</v>
      </c>
      <c r="G58" s="426">
        <f t="shared" si="1"/>
        <v>10000</v>
      </c>
      <c r="H58" s="554">
        <v>5000</v>
      </c>
    </row>
    <row r="59" spans="2:12" x14ac:dyDescent="0.35">
      <c r="B59" s="360">
        <v>5661</v>
      </c>
      <c r="C59" s="360" t="s">
        <v>879</v>
      </c>
      <c r="D59" s="449">
        <v>1</v>
      </c>
      <c r="E59" s="450">
        <v>4</v>
      </c>
      <c r="F59" s="451">
        <v>2500</v>
      </c>
      <c r="G59" s="426">
        <f t="shared" si="1"/>
        <v>10000</v>
      </c>
      <c r="H59" s="554">
        <v>5000</v>
      </c>
    </row>
    <row r="60" spans="2:12" x14ac:dyDescent="0.35">
      <c r="B60" s="453"/>
      <c r="C60" s="454" t="s">
        <v>809</v>
      </c>
      <c r="D60" s="455"/>
      <c r="E60" s="456">
        <v>5</v>
      </c>
      <c r="F60" s="457">
        <v>44</v>
      </c>
      <c r="G60" s="458">
        <f>+E60*F60</f>
        <v>220</v>
      </c>
      <c r="H60" s="555">
        <v>70</v>
      </c>
    </row>
    <row r="61" spans="2:12" ht="15" thickBot="1" x14ac:dyDescent="0.4">
      <c r="B61" s="459"/>
      <c r="C61" s="460"/>
      <c r="D61" s="461"/>
      <c r="E61" s="462"/>
      <c r="F61" s="463"/>
      <c r="G61" s="464"/>
      <c r="H61" s="556"/>
    </row>
    <row r="62" spans="2:12" ht="15" thickBot="1" x14ac:dyDescent="0.4">
      <c r="B62" s="465">
        <v>5023</v>
      </c>
      <c r="C62" s="465" t="s">
        <v>753</v>
      </c>
      <c r="D62" s="466"/>
      <c r="E62" s="467"/>
      <c r="F62" s="468"/>
      <c r="G62" s="469">
        <f>+G63+G64</f>
        <v>150176</v>
      </c>
      <c r="H62" s="557">
        <f>H63+H64</f>
        <v>67827.666666666672</v>
      </c>
      <c r="L62" s="470">
        <f>G62+G52</f>
        <v>238896</v>
      </c>
    </row>
    <row r="63" spans="2:12" x14ac:dyDescent="0.35">
      <c r="B63" s="444">
        <v>5905</v>
      </c>
      <c r="C63" s="444" t="s">
        <v>880</v>
      </c>
      <c r="D63" s="445"/>
      <c r="E63" s="446">
        <v>1</v>
      </c>
      <c r="F63" s="447">
        <v>1</v>
      </c>
      <c r="G63" s="471">
        <v>150000</v>
      </c>
      <c r="H63" s="553">
        <v>67769</v>
      </c>
    </row>
    <row r="64" spans="2:12" ht="15" thickBot="1" x14ac:dyDescent="0.4">
      <c r="B64" s="472"/>
      <c r="C64" s="473" t="s">
        <v>817</v>
      </c>
      <c r="D64" s="455"/>
      <c r="E64" s="456">
        <v>4</v>
      </c>
      <c r="F64" s="457">
        <v>44</v>
      </c>
      <c r="G64" s="458">
        <f>+E64*F64</f>
        <v>176</v>
      </c>
      <c r="H64" s="555">
        <f>50000*176/150000</f>
        <v>58.666666666666664</v>
      </c>
    </row>
    <row r="65" spans="2:11" ht="15" thickBot="1" x14ac:dyDescent="0.4">
      <c r="B65" s="416">
        <v>5024</v>
      </c>
      <c r="C65" s="416" t="s">
        <v>797</v>
      </c>
      <c r="D65" s="417"/>
      <c r="E65" s="418"/>
      <c r="F65" s="419"/>
      <c r="G65" s="474">
        <f>SUM(G66:G71)</f>
        <v>897514</v>
      </c>
      <c r="H65" s="548">
        <f>H66+H67+H68+H69+H71+H70</f>
        <v>299172.00000000006</v>
      </c>
    </row>
    <row r="66" spans="2:11" ht="42" customHeight="1" x14ac:dyDescent="0.35">
      <c r="B66" s="475">
        <v>6000</v>
      </c>
      <c r="C66" s="444" t="s">
        <v>881</v>
      </c>
      <c r="D66" s="444">
        <v>1</v>
      </c>
      <c r="E66" s="444">
        <v>1</v>
      </c>
      <c r="F66" s="447">
        <v>692770</v>
      </c>
      <c r="G66" s="448">
        <f>F66*E66*D66</f>
        <v>692770</v>
      </c>
      <c r="H66" s="553">
        <f>692770/3</f>
        <v>230923.33333333334</v>
      </c>
    </row>
    <row r="67" spans="2:11" ht="42" customHeight="1" x14ac:dyDescent="0.35">
      <c r="B67" s="360"/>
      <c r="C67" s="444" t="s">
        <v>603</v>
      </c>
      <c r="D67" s="444">
        <v>1</v>
      </c>
      <c r="E67" s="444">
        <v>1</v>
      </c>
      <c r="F67" s="447">
        <v>105000</v>
      </c>
      <c r="G67" s="448">
        <f t="shared" ref="G67" si="2">F67*E67*D67</f>
        <v>105000</v>
      </c>
      <c r="H67" s="553">
        <f>105000/3</f>
        <v>35000</v>
      </c>
    </row>
    <row r="68" spans="2:11" ht="15.75" customHeight="1" x14ac:dyDescent="0.35">
      <c r="B68" s="444">
        <v>6000</v>
      </c>
      <c r="C68" s="444" t="s">
        <v>600</v>
      </c>
      <c r="D68" s="444">
        <v>1</v>
      </c>
      <c r="E68" s="444">
        <v>1</v>
      </c>
      <c r="F68" s="447">
        <v>60500</v>
      </c>
      <c r="G68" s="448">
        <f>F68*E68*D68</f>
        <v>60500</v>
      </c>
      <c r="H68" s="553">
        <f>60500/3</f>
        <v>20166.666666666668</v>
      </c>
    </row>
    <row r="69" spans="2:11" x14ac:dyDescent="0.35">
      <c r="B69" s="476">
        <v>6000</v>
      </c>
      <c r="C69" s="477" t="s">
        <v>801</v>
      </c>
      <c r="D69" s="478"/>
      <c r="E69" s="479">
        <f>E66</f>
        <v>1</v>
      </c>
      <c r="F69" s="480">
        <v>44</v>
      </c>
      <c r="G69" s="481">
        <f>+F69*E69</f>
        <v>44</v>
      </c>
      <c r="H69" s="558">
        <v>15</v>
      </c>
    </row>
    <row r="70" spans="2:11" ht="26" x14ac:dyDescent="0.35">
      <c r="B70" s="476">
        <v>6000</v>
      </c>
      <c r="C70" s="477" t="s">
        <v>882</v>
      </c>
      <c r="D70" s="478"/>
      <c r="E70" s="479"/>
      <c r="F70" s="480">
        <v>4320</v>
      </c>
      <c r="G70" s="481">
        <f>+F70*E70</f>
        <v>0</v>
      </c>
      <c r="H70" s="558">
        <v>0</v>
      </c>
    </row>
    <row r="71" spans="2:11" x14ac:dyDescent="0.35">
      <c r="B71" s="476">
        <v>6000</v>
      </c>
      <c r="C71" s="482" t="s">
        <v>883</v>
      </c>
      <c r="D71" s="478">
        <v>1</v>
      </c>
      <c r="E71" s="479">
        <v>4</v>
      </c>
      <c r="F71" s="480">
        <v>9800</v>
      </c>
      <c r="G71" s="481">
        <f>+F71*E71</f>
        <v>39200</v>
      </c>
      <c r="H71" s="558">
        <v>13067</v>
      </c>
    </row>
    <row r="72" spans="2:11" ht="15" thickBot="1" x14ac:dyDescent="0.4">
      <c r="B72" s="439">
        <v>5025</v>
      </c>
      <c r="C72" s="439" t="s">
        <v>802</v>
      </c>
      <c r="D72" s="440"/>
      <c r="E72" s="441"/>
      <c r="F72" s="442"/>
      <c r="G72" s="443">
        <f>SUM(G73:G79)</f>
        <v>45088</v>
      </c>
      <c r="H72" s="552">
        <f>SUM(H73:H79)</f>
        <v>5088</v>
      </c>
    </row>
    <row r="73" spans="2:11" ht="15" thickBot="1" x14ac:dyDescent="0.4">
      <c r="B73" s="483">
        <v>6100</v>
      </c>
      <c r="C73" s="484" t="s">
        <v>884</v>
      </c>
      <c r="D73" s="485">
        <v>1</v>
      </c>
      <c r="E73" s="486">
        <v>1</v>
      </c>
      <c r="F73" s="487">
        <v>45000</v>
      </c>
      <c r="G73" s="488">
        <f>D73*E73*F73</f>
        <v>45000</v>
      </c>
      <c r="H73" s="559"/>
    </row>
    <row r="74" spans="2:11" x14ac:dyDescent="0.35">
      <c r="B74" s="475">
        <v>6100</v>
      </c>
      <c r="C74" s="484" t="s">
        <v>884</v>
      </c>
      <c r="D74" s="485"/>
      <c r="E74" s="486">
        <v>1</v>
      </c>
      <c r="F74" s="487">
        <v>35000</v>
      </c>
      <c r="G74" s="488">
        <f>D74*E74*F74</f>
        <v>0</v>
      </c>
      <c r="H74" s="559"/>
    </row>
    <row r="75" spans="2:11" x14ac:dyDescent="0.35">
      <c r="B75" s="489">
        <v>6100</v>
      </c>
      <c r="C75" s="489" t="s">
        <v>885</v>
      </c>
      <c r="D75" s="445"/>
      <c r="E75" s="490">
        <v>2</v>
      </c>
      <c r="F75" s="447">
        <v>1600</v>
      </c>
      <c r="G75" s="448">
        <f>D75*E75*F75</f>
        <v>0</v>
      </c>
      <c r="H75" s="553">
        <v>3000</v>
      </c>
    </row>
    <row r="76" spans="2:11" x14ac:dyDescent="0.35">
      <c r="B76" s="489">
        <v>6100</v>
      </c>
      <c r="C76" s="489" t="s">
        <v>886</v>
      </c>
      <c r="D76" s="445"/>
      <c r="E76" s="447">
        <v>5</v>
      </c>
      <c r="F76" s="447">
        <v>1600</v>
      </c>
      <c r="G76" s="448">
        <f>D76*E76*F76</f>
        <v>0</v>
      </c>
      <c r="H76" s="553">
        <v>2000</v>
      </c>
    </row>
    <row r="77" spans="2:11" x14ac:dyDescent="0.35">
      <c r="B77" s="489">
        <v>6100</v>
      </c>
      <c r="C77" s="489" t="s">
        <v>887</v>
      </c>
      <c r="D77" s="445"/>
      <c r="E77" s="447">
        <v>1</v>
      </c>
      <c r="F77" s="447">
        <v>7500</v>
      </c>
      <c r="G77" s="448">
        <f>D77*E77*F77</f>
        <v>0</v>
      </c>
      <c r="H77" s="553"/>
    </row>
    <row r="78" spans="2:11" x14ac:dyDescent="0.35">
      <c r="B78" s="476">
        <v>6100</v>
      </c>
      <c r="C78" s="477" t="s">
        <v>803</v>
      </c>
      <c r="D78" s="478">
        <v>1</v>
      </c>
      <c r="E78" s="480">
        <v>2</v>
      </c>
      <c r="F78" s="480">
        <v>44</v>
      </c>
      <c r="G78" s="458">
        <f>E78*F78</f>
        <v>88</v>
      </c>
      <c r="H78" s="558">
        <v>88</v>
      </c>
    </row>
    <row r="79" spans="2:11" ht="27" thickBot="1" x14ac:dyDescent="0.4">
      <c r="B79" s="476">
        <v>6100</v>
      </c>
      <c r="C79" s="491" t="s">
        <v>882</v>
      </c>
      <c r="D79" s="492"/>
      <c r="E79" s="480"/>
      <c r="F79" s="480">
        <v>4320</v>
      </c>
      <c r="G79" s="458">
        <f>E79*F79</f>
        <v>0</v>
      </c>
      <c r="H79" s="558"/>
    </row>
    <row r="80" spans="2:11" ht="15" thickBot="1" x14ac:dyDescent="0.4">
      <c r="B80" s="465">
        <v>5027</v>
      </c>
      <c r="C80" s="465" t="s">
        <v>756</v>
      </c>
      <c r="D80" s="466"/>
      <c r="E80" s="467"/>
      <c r="F80" s="468"/>
      <c r="G80" s="469">
        <f>SUM(G81:G83)</f>
        <v>65003</v>
      </c>
      <c r="H80" s="557">
        <f>H81+H82+H83</f>
        <v>43334</v>
      </c>
      <c r="K80" s="470"/>
    </row>
    <row r="81" spans="2:12" x14ac:dyDescent="0.35">
      <c r="B81" s="493">
        <v>6120</v>
      </c>
      <c r="C81" s="494" t="s">
        <v>888</v>
      </c>
      <c r="D81" s="495"/>
      <c r="E81" s="450">
        <v>1</v>
      </c>
      <c r="F81" s="496">
        <v>3</v>
      </c>
      <c r="G81" s="497">
        <f>+E81*F81</f>
        <v>3</v>
      </c>
      <c r="H81" s="560">
        <v>13334</v>
      </c>
    </row>
    <row r="82" spans="2:12" x14ac:dyDescent="0.35">
      <c r="B82" s="489">
        <v>6111</v>
      </c>
      <c r="C82" s="498" t="s">
        <v>889</v>
      </c>
      <c r="D82" s="499"/>
      <c r="E82" s="446">
        <v>1</v>
      </c>
      <c r="F82" s="500">
        <v>5000</v>
      </c>
      <c r="G82" s="497">
        <f>+E82*F82</f>
        <v>5000</v>
      </c>
      <c r="H82" s="561">
        <v>5000</v>
      </c>
    </row>
    <row r="83" spans="2:12" ht="15" thickBot="1" x14ac:dyDescent="0.4">
      <c r="B83" s="501">
        <v>6116</v>
      </c>
      <c r="C83" s="502" t="s">
        <v>760</v>
      </c>
      <c r="D83" s="503"/>
      <c r="E83" s="504">
        <v>1</v>
      </c>
      <c r="F83" s="505">
        <v>60000</v>
      </c>
      <c r="G83" s="497">
        <f>+E83*F83</f>
        <v>60000</v>
      </c>
      <c r="H83" s="562">
        <v>25000</v>
      </c>
    </row>
    <row r="84" spans="2:12" ht="15" thickBot="1" x14ac:dyDescent="0.4">
      <c r="B84" s="506">
        <v>5028</v>
      </c>
      <c r="C84" s="465" t="s">
        <v>764</v>
      </c>
      <c r="D84" s="466"/>
      <c r="E84" s="507"/>
      <c r="F84" s="508"/>
      <c r="G84" s="509">
        <f>SUM(G85:G88)</f>
        <v>30038</v>
      </c>
      <c r="H84" s="563">
        <f>H85+H86+H87+H88</f>
        <v>14638</v>
      </c>
    </row>
    <row r="85" spans="2:12" x14ac:dyDescent="0.35">
      <c r="B85" s="489">
        <v>6300</v>
      </c>
      <c r="C85" s="510" t="s">
        <v>821</v>
      </c>
      <c r="D85" s="511"/>
      <c r="E85" s="512">
        <v>1</v>
      </c>
      <c r="F85" s="513">
        <v>10000</v>
      </c>
      <c r="G85" s="514">
        <f>E85*F85</f>
        <v>10000</v>
      </c>
      <c r="H85" s="564">
        <v>5000</v>
      </c>
    </row>
    <row r="86" spans="2:12" ht="15" thickBot="1" x14ac:dyDescent="0.4">
      <c r="B86" s="489">
        <v>6300</v>
      </c>
      <c r="C86" s="510" t="s">
        <v>890</v>
      </c>
      <c r="D86" s="511"/>
      <c r="E86" s="512">
        <v>1</v>
      </c>
      <c r="F86" s="513">
        <v>15000</v>
      </c>
      <c r="G86" s="515">
        <f>E86*F86</f>
        <v>15000</v>
      </c>
      <c r="H86" s="564">
        <v>7000</v>
      </c>
    </row>
    <row r="87" spans="2:12" x14ac:dyDescent="0.35">
      <c r="B87" s="477">
        <v>6300</v>
      </c>
      <c r="C87" s="516" t="s">
        <v>822</v>
      </c>
      <c r="D87" s="478">
        <f>+E43+12</f>
        <v>33</v>
      </c>
      <c r="E87" s="479"/>
      <c r="F87" s="480">
        <v>130</v>
      </c>
      <c r="G87" s="458">
        <f>D87*F87</f>
        <v>4290</v>
      </c>
      <c r="H87" s="558">
        <v>2290</v>
      </c>
      <c r="J87" s="517"/>
      <c r="K87" s="517"/>
      <c r="L87" s="517"/>
    </row>
    <row r="88" spans="2:12" ht="26.5" thickBot="1" x14ac:dyDescent="0.4">
      <c r="B88" s="516">
        <v>6300</v>
      </c>
      <c r="C88" s="477" t="s">
        <v>823</v>
      </c>
      <c r="D88" s="478"/>
      <c r="E88" s="479">
        <f>10+7</f>
        <v>17</v>
      </c>
      <c r="F88" s="480">
        <v>44</v>
      </c>
      <c r="G88" s="481">
        <f>+E88*F88</f>
        <v>748</v>
      </c>
      <c r="H88" s="558">
        <v>348</v>
      </c>
    </row>
    <row r="89" spans="2:12" ht="26.5" thickBot="1" x14ac:dyDescent="0.4">
      <c r="B89" s="565">
        <v>5050</v>
      </c>
      <c r="C89" s="518" t="s">
        <v>775</v>
      </c>
      <c r="D89" s="519"/>
      <c r="E89" s="507"/>
      <c r="F89" s="508"/>
      <c r="G89" s="509">
        <f>+G90+G91</f>
        <v>13360</v>
      </c>
      <c r="H89" s="563">
        <f>H90+H91</f>
        <v>6120</v>
      </c>
    </row>
    <row r="90" spans="2:12" x14ac:dyDescent="0.35">
      <c r="B90" s="520"/>
      <c r="C90" s="477" t="s">
        <v>824</v>
      </c>
      <c r="D90" s="521">
        <f>D19*E19+D21*E21+D23*E23+D24*E24+D26*E26+D28*E28+D29*E29+D30*E30+D32*E32+D33*E33+D34*E34</f>
        <v>20</v>
      </c>
      <c r="E90" s="479">
        <v>1</v>
      </c>
      <c r="F90" s="480">
        <v>168</v>
      </c>
      <c r="G90" s="522">
        <f>D90*F90</f>
        <v>3360</v>
      </c>
      <c r="H90" s="558">
        <v>1120</v>
      </c>
    </row>
    <row r="91" spans="2:12" ht="15" thickBot="1" x14ac:dyDescent="0.4">
      <c r="B91" s="520"/>
      <c r="C91" s="520" t="s">
        <v>777</v>
      </c>
      <c r="D91" s="461"/>
      <c r="E91" s="462"/>
      <c r="F91" s="463"/>
      <c r="G91" s="464">
        <v>10000</v>
      </c>
      <c r="H91" s="556">
        <v>5000</v>
      </c>
    </row>
    <row r="92" spans="2:12" ht="15" thickBot="1" x14ac:dyDescent="0.4">
      <c r="B92" s="523"/>
      <c r="C92" s="523" t="s">
        <v>891</v>
      </c>
      <c r="D92" s="524"/>
      <c r="E92" s="525"/>
      <c r="F92" s="526"/>
      <c r="G92" s="527">
        <f>G89+G84+G80+G72+G65+G62+G52+G50+G44+G10</f>
        <v>1322587</v>
      </c>
      <c r="H92" s="566">
        <f>H89+H84+H80+H72+H65+H62+H52+H50+H44+H18+H15+H11</f>
        <v>654206.66666666674</v>
      </c>
    </row>
    <row r="93" spans="2:12" ht="15" thickBot="1" x14ac:dyDescent="0.4">
      <c r="B93" s="529">
        <v>5029</v>
      </c>
      <c r="C93" s="529" t="s">
        <v>826</v>
      </c>
      <c r="D93" s="530"/>
      <c r="E93" s="531"/>
      <c r="F93" s="532"/>
      <c r="G93" s="533">
        <f>+G92*0.07</f>
        <v>92581.090000000011</v>
      </c>
      <c r="H93" s="567">
        <f>H92*7/100</f>
        <v>45794.466666666667</v>
      </c>
    </row>
    <row r="94" spans="2:12" ht="15" thickBot="1" x14ac:dyDescent="0.4">
      <c r="B94" s="696" t="s">
        <v>827</v>
      </c>
      <c r="C94" s="697"/>
      <c r="D94" s="534"/>
      <c r="E94" s="535"/>
      <c r="F94" s="536"/>
      <c r="G94" s="528">
        <f>+G93+G92</f>
        <v>1415168.09</v>
      </c>
      <c r="H94" s="568">
        <f>H92+H93</f>
        <v>700001.13333333342</v>
      </c>
    </row>
  </sheetData>
  <mergeCells count="1">
    <mergeCell ref="B94:C94"/>
  </mergeCells>
  <dataValidations count="1">
    <dataValidation allowBlank="1" showInputMessage="1" showErrorMessage="1" prompt="Insert *text* description of Output here" sqref="C66:C68" xr:uid="{00000000-0002-0000-0200-000000000000}"/>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V221"/>
  <sheetViews>
    <sheetView showGridLines="0" showZeros="0" tabSelected="1" topLeftCell="A205" zoomScale="70" zoomScaleNormal="70" workbookViewId="0">
      <pane xSplit="3" topLeftCell="M1" activePane="topRight" state="frozen"/>
      <selection activeCell="A91" sqref="A91"/>
      <selection pane="topRight" activeCell="P12" sqref="P12"/>
    </sheetView>
  </sheetViews>
  <sheetFormatPr baseColWidth="10" defaultColWidth="9.1796875" defaultRowHeight="14.5" x14ac:dyDescent="0.35"/>
  <cols>
    <col min="1" max="1" width="9.1796875" style="43"/>
    <col min="2" max="2" width="30.453125" style="43" customWidth="1"/>
    <col min="3" max="3" width="51.453125" style="43" customWidth="1"/>
    <col min="4" max="6" width="23.1796875" style="43" customWidth="1"/>
    <col min="7" max="7" width="24" style="43" customWidth="1"/>
    <col min="8" max="9" width="19.453125" style="43" customWidth="1"/>
    <col min="10" max="10" width="23.1796875" style="610" customWidth="1"/>
    <col min="11" max="14" width="22.453125" style="43" customWidth="1"/>
    <col min="15" max="15" width="22.453125" style="45" customWidth="1"/>
    <col min="16" max="17" width="22.453125" style="43" customWidth="1"/>
    <col min="18" max="18" width="22.453125" style="610" customWidth="1"/>
    <col min="19" max="19" width="30.453125" style="43" customWidth="1"/>
    <col min="20" max="20" width="6.1796875" style="43" hidden="1" customWidth="1"/>
    <col min="21" max="21" width="26.453125" style="43" hidden="1" customWidth="1"/>
    <col min="22" max="22" width="22.453125" style="43" customWidth="1"/>
    <col min="23" max="23" width="29.453125" style="43" customWidth="1"/>
    <col min="24" max="24" width="23.453125" style="43" customWidth="1"/>
    <col min="25" max="25" width="18.453125" style="43" customWidth="1"/>
    <col min="26" max="26" width="17.453125" style="43" customWidth="1"/>
    <col min="27" max="27" width="25.1796875" style="43" customWidth="1"/>
    <col min="28" max="16384" width="9.1796875" style="43"/>
  </cols>
  <sheetData>
    <row r="2" spans="2:21" ht="46" x14ac:dyDescent="1">
      <c r="B2" s="719" t="s">
        <v>527</v>
      </c>
      <c r="C2" s="719"/>
      <c r="D2" s="719"/>
      <c r="E2" s="719"/>
      <c r="F2" s="41"/>
      <c r="G2" s="41"/>
      <c r="H2" s="41"/>
      <c r="I2" s="41"/>
      <c r="J2" s="609"/>
      <c r="K2" s="42"/>
      <c r="L2" s="42"/>
      <c r="M2" s="42"/>
      <c r="N2" s="42"/>
      <c r="O2" s="652"/>
      <c r="P2" s="42"/>
      <c r="Q2" s="42"/>
      <c r="R2" s="634"/>
      <c r="S2" s="42"/>
    </row>
    <row r="3" spans="2:21" ht="15.5" x14ac:dyDescent="0.35">
      <c r="B3" s="141"/>
    </row>
    <row r="4" spans="2:21" ht="16" thickBot="1" x14ac:dyDescent="0.4">
      <c r="B4" s="46"/>
    </row>
    <row r="5" spans="2:21" ht="36" x14ac:dyDescent="0.8">
      <c r="B5" s="117" t="s">
        <v>5</v>
      </c>
      <c r="C5" s="142"/>
      <c r="D5" s="142"/>
      <c r="E5" s="142"/>
      <c r="F5" s="142"/>
      <c r="G5" s="142"/>
      <c r="H5" s="142"/>
      <c r="I5" s="142"/>
      <c r="J5" s="611"/>
      <c r="K5" s="142"/>
      <c r="L5" s="142"/>
      <c r="M5" s="142"/>
      <c r="N5" s="142"/>
      <c r="O5" s="142"/>
      <c r="P5" s="142"/>
      <c r="Q5" s="142"/>
      <c r="R5" s="611"/>
      <c r="S5" s="142"/>
      <c r="T5" s="143"/>
    </row>
    <row r="6" spans="2:21" ht="21.5" thickBot="1" x14ac:dyDescent="0.55000000000000004">
      <c r="B6" s="725" t="s">
        <v>586</v>
      </c>
      <c r="C6" s="726"/>
      <c r="D6" s="726"/>
      <c r="E6" s="726"/>
      <c r="F6" s="726"/>
      <c r="G6" s="726"/>
      <c r="H6" s="726"/>
      <c r="I6" s="726"/>
      <c r="J6" s="726"/>
      <c r="K6" s="726"/>
      <c r="L6" s="726"/>
      <c r="M6" s="726"/>
      <c r="N6" s="726"/>
      <c r="O6" s="726"/>
      <c r="P6" s="726"/>
      <c r="Q6" s="726"/>
      <c r="R6" s="726"/>
      <c r="S6" s="726"/>
      <c r="T6" s="727"/>
    </row>
    <row r="7" spans="2:21" x14ac:dyDescent="0.35">
      <c r="B7" s="47"/>
    </row>
    <row r="8" spans="2:21" ht="15" thickBot="1" x14ac:dyDescent="0.4"/>
    <row r="9" spans="2:21" ht="26.5" thickBot="1" x14ac:dyDescent="0.65">
      <c r="B9" s="720" t="s">
        <v>373</v>
      </c>
      <c r="C9" s="721"/>
      <c r="D9" s="721"/>
      <c r="E9" s="721"/>
      <c r="F9" s="721"/>
      <c r="G9" s="721"/>
      <c r="H9" s="721"/>
      <c r="I9" s="721"/>
      <c r="J9" s="721"/>
      <c r="K9" s="722"/>
      <c r="L9" s="155"/>
      <c r="M9" s="155"/>
      <c r="N9" s="155"/>
      <c r="O9" s="155"/>
      <c r="P9" s="155"/>
      <c r="Q9" s="155"/>
      <c r="R9" s="635"/>
    </row>
    <row r="11" spans="2:21" x14ac:dyDescent="0.35">
      <c r="D11" s="48"/>
      <c r="E11" s="48"/>
      <c r="F11" s="48"/>
      <c r="G11" s="48"/>
      <c r="H11" s="48"/>
      <c r="I11" s="48"/>
      <c r="J11" s="612"/>
      <c r="K11" s="45"/>
      <c r="L11" s="45"/>
      <c r="M11" s="45"/>
      <c r="N11" s="45"/>
      <c r="P11" s="45"/>
      <c r="Q11" s="45"/>
      <c r="S11" s="44"/>
    </row>
    <row r="12" spans="2:21" ht="124" x14ac:dyDescent="0.35">
      <c r="B12" s="108" t="s">
        <v>374</v>
      </c>
      <c r="C12" s="108" t="s">
        <v>528</v>
      </c>
      <c r="D12" s="108" t="s">
        <v>667</v>
      </c>
      <c r="E12" s="108" t="s">
        <v>668</v>
      </c>
      <c r="F12" s="108" t="s">
        <v>669</v>
      </c>
      <c r="G12" s="108" t="s">
        <v>666</v>
      </c>
      <c r="H12" s="108" t="s">
        <v>670</v>
      </c>
      <c r="I12" s="108" t="s">
        <v>674</v>
      </c>
      <c r="J12" s="613" t="s">
        <v>13</v>
      </c>
      <c r="K12" s="108" t="s">
        <v>529</v>
      </c>
      <c r="L12" s="30" t="s">
        <v>899</v>
      </c>
      <c r="M12" s="30" t="s">
        <v>899</v>
      </c>
      <c r="N12" s="30" t="s">
        <v>899</v>
      </c>
      <c r="O12" s="30" t="s">
        <v>899</v>
      </c>
      <c r="P12" s="30" t="s">
        <v>899</v>
      </c>
      <c r="Q12" s="30" t="s">
        <v>899</v>
      </c>
      <c r="R12" s="636" t="s">
        <v>904</v>
      </c>
      <c r="S12" s="108" t="s">
        <v>530</v>
      </c>
      <c r="U12" s="661" t="s">
        <v>903</v>
      </c>
    </row>
    <row r="13" spans="2:21" ht="15.5" x14ac:dyDescent="0.35">
      <c r="B13" s="54"/>
      <c r="C13" s="54"/>
      <c r="D13" s="158" t="s">
        <v>663</v>
      </c>
      <c r="E13" s="158" t="s">
        <v>664</v>
      </c>
      <c r="F13" s="158" t="s">
        <v>665</v>
      </c>
      <c r="G13" s="158" t="s">
        <v>671</v>
      </c>
      <c r="H13" s="158" t="s">
        <v>672</v>
      </c>
      <c r="I13" s="158" t="s">
        <v>673</v>
      </c>
      <c r="J13" s="613"/>
      <c r="K13" s="54"/>
      <c r="L13" s="158" t="s">
        <v>663</v>
      </c>
      <c r="M13" s="158" t="s">
        <v>664</v>
      </c>
      <c r="N13" s="158" t="s">
        <v>665</v>
      </c>
      <c r="O13" s="158" t="s">
        <v>671</v>
      </c>
      <c r="P13" s="158" t="s">
        <v>673</v>
      </c>
      <c r="Q13" s="158" t="s">
        <v>672</v>
      </c>
      <c r="R13" s="637"/>
      <c r="S13" s="54"/>
    </row>
    <row r="14" spans="2:21" ht="15.5" x14ac:dyDescent="0.35">
      <c r="B14" s="104" t="s">
        <v>375</v>
      </c>
      <c r="C14" s="723" t="s">
        <v>593</v>
      </c>
      <c r="D14" s="723"/>
      <c r="E14" s="723"/>
      <c r="F14" s="723"/>
      <c r="G14" s="723"/>
      <c r="H14" s="723"/>
      <c r="I14" s="723"/>
      <c r="J14" s="723"/>
      <c r="K14" s="723"/>
      <c r="L14" s="723"/>
      <c r="M14" s="723"/>
      <c r="N14" s="723"/>
      <c r="O14" s="723"/>
      <c r="P14" s="723"/>
      <c r="Q14" s="723"/>
      <c r="R14" s="723"/>
      <c r="S14" s="723"/>
    </row>
    <row r="15" spans="2:21" ht="15.5" x14ac:dyDescent="0.35">
      <c r="B15" s="104" t="s">
        <v>376</v>
      </c>
      <c r="C15" s="723" t="s">
        <v>594</v>
      </c>
      <c r="D15" s="723"/>
      <c r="E15" s="723"/>
      <c r="F15" s="723"/>
      <c r="G15" s="723"/>
      <c r="H15" s="723"/>
      <c r="I15" s="723"/>
      <c r="J15" s="723"/>
      <c r="K15" s="723"/>
      <c r="L15" s="723"/>
      <c r="M15" s="723"/>
      <c r="N15" s="723"/>
      <c r="O15" s="723"/>
      <c r="P15" s="723"/>
      <c r="Q15" s="723"/>
      <c r="R15" s="723"/>
      <c r="S15" s="723"/>
    </row>
    <row r="16" spans="2:21" ht="62" x14ac:dyDescent="0.35">
      <c r="B16" s="105" t="s">
        <v>377</v>
      </c>
      <c r="C16" s="19" t="s">
        <v>641</v>
      </c>
      <c r="D16" s="20">
        <v>56935</v>
      </c>
      <c r="E16" s="20">
        <v>10915</v>
      </c>
      <c r="F16" s="20">
        <v>10915</v>
      </c>
      <c r="G16" s="20"/>
      <c r="H16" s="20">
        <v>0</v>
      </c>
      <c r="I16" s="20"/>
      <c r="J16" s="614">
        <f>SUM(D16:I16)</f>
        <v>78765</v>
      </c>
      <c r="K16" s="124">
        <v>0.3</v>
      </c>
      <c r="L16" s="20">
        <v>49337.86</v>
      </c>
      <c r="M16" s="258">
        <v>8314.59</v>
      </c>
      <c r="N16" s="20">
        <v>9845.83</v>
      </c>
      <c r="O16" s="663"/>
      <c r="P16" s="663"/>
      <c r="Q16" s="663">
        <v>2000</v>
      </c>
      <c r="R16" s="659">
        <f>SUM(L16:Q16)</f>
        <v>69498.28</v>
      </c>
      <c r="S16" s="115" t="s">
        <v>653</v>
      </c>
      <c r="T16" s="43">
        <v>6</v>
      </c>
      <c r="U16" s="43">
        <f>+R16*K16</f>
        <v>20849.484</v>
      </c>
    </row>
    <row r="17" spans="1:21" ht="62" x14ac:dyDescent="0.35">
      <c r="B17" s="105" t="s">
        <v>378</v>
      </c>
      <c r="C17" s="19" t="s">
        <v>642</v>
      </c>
      <c r="D17" s="20">
        <v>11705</v>
      </c>
      <c r="E17" s="20">
        <v>4920</v>
      </c>
      <c r="F17" s="20">
        <v>4920</v>
      </c>
      <c r="G17" s="20"/>
      <c r="H17" s="20">
        <v>0</v>
      </c>
      <c r="I17" s="20"/>
      <c r="J17" s="614">
        <f>SUM(D17:I17)</f>
        <v>21545</v>
      </c>
      <c r="K17" s="124">
        <v>0.3</v>
      </c>
      <c r="L17" s="20">
        <v>12842.2</v>
      </c>
      <c r="M17" s="124"/>
      <c r="N17" s="20">
        <v>1557.09</v>
      </c>
      <c r="O17" s="663"/>
      <c r="P17" s="663"/>
      <c r="Q17" s="663"/>
      <c r="R17" s="659">
        <f t="shared" ref="R17:R20" si="0">SUM(L17:Q17)</f>
        <v>14399.29</v>
      </c>
      <c r="S17" s="115" t="s">
        <v>648</v>
      </c>
      <c r="T17" s="43">
        <v>6</v>
      </c>
      <c r="U17" s="43">
        <f t="shared" ref="U17:U19" si="1">+R17*K17</f>
        <v>4319.7870000000003</v>
      </c>
    </row>
    <row r="18" spans="1:21" ht="77.5" x14ac:dyDescent="0.35">
      <c r="B18" s="105" t="s">
        <v>379</v>
      </c>
      <c r="C18" s="19" t="s">
        <v>643</v>
      </c>
      <c r="D18" s="20">
        <v>198550</v>
      </c>
      <c r="E18" s="20">
        <v>51580</v>
      </c>
      <c r="F18" s="20">
        <v>51580</v>
      </c>
      <c r="G18" s="20"/>
      <c r="H18" s="20">
        <v>0</v>
      </c>
      <c r="I18" s="20"/>
      <c r="J18" s="614">
        <f t="shared" ref="J18:J23" si="2">SUM(D18:I18)</f>
        <v>301710</v>
      </c>
      <c r="K18" s="124">
        <v>0.3</v>
      </c>
      <c r="L18" s="20">
        <v>172824.38</v>
      </c>
      <c r="M18" s="667">
        <v>51477.04</v>
      </c>
      <c r="N18" s="20">
        <v>41369.57</v>
      </c>
      <c r="O18" s="663"/>
      <c r="P18" s="663"/>
      <c r="Q18" s="663"/>
      <c r="R18" s="659">
        <f t="shared" si="0"/>
        <v>265670.99</v>
      </c>
      <c r="S18" s="115" t="s">
        <v>654</v>
      </c>
      <c r="T18" s="43">
        <v>6</v>
      </c>
      <c r="U18" s="43">
        <f t="shared" si="1"/>
        <v>79701.296999999991</v>
      </c>
    </row>
    <row r="19" spans="1:21" ht="46.5" x14ac:dyDescent="0.35">
      <c r="B19" s="105" t="s">
        <v>380</v>
      </c>
      <c r="C19" s="156" t="s">
        <v>644</v>
      </c>
      <c r="D19" s="20">
        <v>6000</v>
      </c>
      <c r="E19" s="20">
        <v>2000</v>
      </c>
      <c r="F19" s="20">
        <v>2000</v>
      </c>
      <c r="G19" s="20"/>
      <c r="H19" s="20"/>
      <c r="I19" s="20"/>
      <c r="J19" s="614">
        <f t="shared" si="2"/>
        <v>10000</v>
      </c>
      <c r="K19" s="124">
        <v>0.3</v>
      </c>
      <c r="L19" s="20">
        <v>6202.55</v>
      </c>
      <c r="M19" s="258">
        <v>1953.85</v>
      </c>
      <c r="N19" s="20"/>
      <c r="O19" s="663"/>
      <c r="P19" s="663"/>
      <c r="Q19" s="663"/>
      <c r="R19" s="659">
        <f t="shared" si="0"/>
        <v>8156.4</v>
      </c>
      <c r="S19" s="115" t="s">
        <v>649</v>
      </c>
      <c r="T19" s="43">
        <v>4</v>
      </c>
      <c r="U19" s="43">
        <f t="shared" si="1"/>
        <v>2446.9199999999996</v>
      </c>
    </row>
    <row r="20" spans="1:21" ht="15.5" x14ac:dyDescent="0.35">
      <c r="B20" s="105" t="s">
        <v>381</v>
      </c>
      <c r="C20" s="19"/>
      <c r="D20" s="20"/>
      <c r="E20" s="20"/>
      <c r="F20" s="20"/>
      <c r="G20" s="20"/>
      <c r="H20" s="20"/>
      <c r="I20" s="20"/>
      <c r="J20" s="614">
        <f t="shared" si="2"/>
        <v>0</v>
      </c>
      <c r="K20" s="124"/>
      <c r="L20" s="663"/>
      <c r="M20" s="663"/>
      <c r="N20" s="663"/>
      <c r="O20" s="663"/>
      <c r="P20" s="663"/>
      <c r="Q20" s="663"/>
      <c r="R20" s="659">
        <f t="shared" si="0"/>
        <v>0</v>
      </c>
      <c r="S20" s="115"/>
    </row>
    <row r="21" spans="1:21" ht="15.5" x14ac:dyDescent="0.35">
      <c r="B21" s="105" t="s">
        <v>382</v>
      </c>
      <c r="C21" s="19"/>
      <c r="D21" s="20"/>
      <c r="E21" s="20"/>
      <c r="F21" s="20"/>
      <c r="G21" s="20"/>
      <c r="H21" s="20"/>
      <c r="I21" s="20"/>
      <c r="J21" s="614">
        <f t="shared" si="2"/>
        <v>0</v>
      </c>
      <c r="K21" s="124"/>
      <c r="L21" s="663"/>
      <c r="M21" s="663"/>
      <c r="N21" s="663"/>
      <c r="O21" s="663"/>
      <c r="P21" s="663"/>
      <c r="Q21" s="663"/>
      <c r="R21" s="638">
        <f t="shared" ref="R21:R23" si="3">SUM(L21:N21)</f>
        <v>0</v>
      </c>
      <c r="S21" s="115"/>
    </row>
    <row r="22" spans="1:21" ht="15.5" x14ac:dyDescent="0.35">
      <c r="B22" s="105" t="s">
        <v>383</v>
      </c>
      <c r="C22" s="53"/>
      <c r="D22" s="21"/>
      <c r="E22" s="21"/>
      <c r="F22" s="21"/>
      <c r="G22" s="21"/>
      <c r="H22" s="21"/>
      <c r="I22" s="21"/>
      <c r="J22" s="614">
        <f t="shared" si="2"/>
        <v>0</v>
      </c>
      <c r="K22" s="125"/>
      <c r="L22" s="663"/>
      <c r="M22" s="663"/>
      <c r="N22" s="663"/>
      <c r="O22" s="663"/>
      <c r="P22" s="663"/>
      <c r="Q22" s="663"/>
      <c r="R22" s="638">
        <f t="shared" si="3"/>
        <v>0</v>
      </c>
      <c r="S22" s="116"/>
    </row>
    <row r="23" spans="1:21" ht="15.5" x14ac:dyDescent="0.35">
      <c r="A23" s="44"/>
      <c r="B23" s="105" t="s">
        <v>384</v>
      </c>
      <c r="C23" s="53"/>
      <c r="D23" s="21"/>
      <c r="E23" s="21"/>
      <c r="F23" s="21"/>
      <c r="G23" s="21"/>
      <c r="H23" s="21"/>
      <c r="I23" s="21"/>
      <c r="J23" s="614">
        <f t="shared" si="2"/>
        <v>0</v>
      </c>
      <c r="K23" s="125"/>
      <c r="L23" s="663"/>
      <c r="M23" s="663"/>
      <c r="N23" s="663"/>
      <c r="O23" s="663"/>
      <c r="P23" s="663"/>
      <c r="Q23" s="663"/>
      <c r="R23" s="638">
        <f t="shared" si="3"/>
        <v>0</v>
      </c>
      <c r="S23" s="116"/>
    </row>
    <row r="24" spans="1:21" ht="15.5" x14ac:dyDescent="0.35">
      <c r="A24" s="44"/>
      <c r="C24" s="106" t="s">
        <v>531</v>
      </c>
      <c r="D24" s="22">
        <f>SUM(D16:D23)</f>
        <v>273190</v>
      </c>
      <c r="E24" s="22">
        <f>SUM(E16:E23)</f>
        <v>69415</v>
      </c>
      <c r="F24" s="22">
        <f>SUM(F16:F23)</f>
        <v>69415</v>
      </c>
      <c r="G24" s="22">
        <f t="shared" ref="G24:I24" si="4">SUM(G16:G23)</f>
        <v>0</v>
      </c>
      <c r="H24" s="22">
        <f t="shared" si="4"/>
        <v>0</v>
      </c>
      <c r="I24" s="22">
        <f t="shared" si="4"/>
        <v>0</v>
      </c>
      <c r="J24" s="615">
        <f>SUM(J16:J23)</f>
        <v>412020</v>
      </c>
      <c r="K24" s="118">
        <f>(K16*J16)+(K17*J17)+(K18*J18)+(K19*J19)+(K20*J20)+(K21*J21)+(K22*J22)+(K23*J23)</f>
        <v>123606</v>
      </c>
      <c r="L24" s="118">
        <f t="shared" ref="L24:N24" si="5">SUM(L16:L23)</f>
        <v>241206.99</v>
      </c>
      <c r="M24" s="118">
        <f t="shared" si="5"/>
        <v>61745.48</v>
      </c>
      <c r="N24" s="118">
        <f t="shared" si="5"/>
        <v>52772.49</v>
      </c>
      <c r="O24" s="118">
        <f t="shared" ref="O24:R24" si="6">SUM(O16:O23)</f>
        <v>0</v>
      </c>
      <c r="P24" s="118">
        <f t="shared" si="6"/>
        <v>0</v>
      </c>
      <c r="Q24" s="118">
        <f t="shared" si="6"/>
        <v>2000</v>
      </c>
      <c r="R24" s="639">
        <f t="shared" si="6"/>
        <v>357724.96</v>
      </c>
      <c r="S24" s="116"/>
    </row>
    <row r="25" spans="1:21" ht="15.5" x14ac:dyDescent="0.35">
      <c r="A25" s="44"/>
      <c r="B25" s="104" t="s">
        <v>385</v>
      </c>
      <c r="C25" s="723" t="s">
        <v>595</v>
      </c>
      <c r="D25" s="723"/>
      <c r="E25" s="723"/>
      <c r="F25" s="723"/>
      <c r="G25" s="723"/>
      <c r="H25" s="723"/>
      <c r="I25" s="723"/>
      <c r="J25" s="723"/>
      <c r="K25" s="723"/>
      <c r="L25" s="723"/>
      <c r="M25" s="723"/>
      <c r="N25" s="723"/>
      <c r="O25" s="723"/>
      <c r="P25" s="723"/>
      <c r="Q25" s="723"/>
      <c r="R25" s="723"/>
      <c r="S25" s="723"/>
    </row>
    <row r="26" spans="1:21" ht="46.5" x14ac:dyDescent="0.35">
      <c r="A26" s="44"/>
      <c r="B26" s="105" t="s">
        <v>386</v>
      </c>
      <c r="C26" s="157" t="s">
        <v>645</v>
      </c>
      <c r="D26" s="20">
        <v>6000</v>
      </c>
      <c r="E26" s="20">
        <v>8661.5</v>
      </c>
      <c r="F26" s="20">
        <v>8661.5</v>
      </c>
      <c r="G26" s="20"/>
      <c r="H26" s="20">
        <v>0</v>
      </c>
      <c r="I26" s="20"/>
      <c r="J26" s="614">
        <f>SUM(D26:I26)</f>
        <v>23323</v>
      </c>
      <c r="K26" s="124">
        <v>0.3</v>
      </c>
      <c r="L26" s="20">
        <v>6202.55</v>
      </c>
      <c r="M26" s="20">
        <v>8588.64</v>
      </c>
      <c r="N26" s="20">
        <v>1038.06</v>
      </c>
      <c r="O26" s="663"/>
      <c r="P26" s="663"/>
      <c r="Q26" s="663"/>
      <c r="R26" s="659">
        <f>SUM(L26:Q26)</f>
        <v>15829.249999999998</v>
      </c>
      <c r="S26" s="115" t="s">
        <v>650</v>
      </c>
      <c r="T26" s="43">
        <v>4</v>
      </c>
      <c r="U26" s="43">
        <f>+R26*K26</f>
        <v>4748.7749999999996</v>
      </c>
    </row>
    <row r="27" spans="1:21" ht="62" x14ac:dyDescent="0.35">
      <c r="A27" s="44"/>
      <c r="B27" s="105" t="s">
        <v>387</v>
      </c>
      <c r="C27" s="157" t="s">
        <v>646</v>
      </c>
      <c r="D27" s="20">
        <v>15760</v>
      </c>
      <c r="E27" s="20">
        <v>44740</v>
      </c>
      <c r="F27" s="20">
        <v>44740</v>
      </c>
      <c r="G27" s="20"/>
      <c r="H27" s="20">
        <v>0</v>
      </c>
      <c r="I27" s="20"/>
      <c r="J27" s="614">
        <f t="shared" ref="J27:J33" si="7">SUM(D27:I27)</f>
        <v>105240</v>
      </c>
      <c r="K27" s="124">
        <v>0.3</v>
      </c>
      <c r="L27" s="20">
        <v>667.35</v>
      </c>
      <c r="M27" s="20"/>
      <c r="N27" s="20"/>
      <c r="O27" s="663"/>
      <c r="P27" s="663"/>
      <c r="Q27" s="663"/>
      <c r="R27" s="659">
        <f t="shared" ref="R27:R33" si="8">SUM(L27:Q27)</f>
        <v>667.35</v>
      </c>
      <c r="S27" s="115" t="s">
        <v>651</v>
      </c>
      <c r="T27" s="43">
        <v>2</v>
      </c>
      <c r="U27" s="43">
        <f t="shared" ref="U27:U28" si="9">+R27*K27</f>
        <v>200.20500000000001</v>
      </c>
    </row>
    <row r="28" spans="1:21" ht="77.5" x14ac:dyDescent="0.35">
      <c r="A28" s="44"/>
      <c r="B28" s="105" t="s">
        <v>388</v>
      </c>
      <c r="C28" s="157" t="s">
        <v>647</v>
      </c>
      <c r="D28" s="20">
        <v>14620</v>
      </c>
      <c r="E28" s="20">
        <v>4255</v>
      </c>
      <c r="F28" s="20">
        <v>4255</v>
      </c>
      <c r="G28" s="20"/>
      <c r="H28" s="20">
        <v>0</v>
      </c>
      <c r="I28" s="20"/>
      <c r="J28" s="614">
        <f t="shared" si="7"/>
        <v>23130</v>
      </c>
      <c r="K28" s="124">
        <v>0.3</v>
      </c>
      <c r="L28" s="20">
        <v>16126.63</v>
      </c>
      <c r="M28" s="20"/>
      <c r="N28" s="20">
        <v>2076.12</v>
      </c>
      <c r="O28" s="663"/>
      <c r="P28" s="663"/>
      <c r="Q28" s="663"/>
      <c r="R28" s="659">
        <f t="shared" si="8"/>
        <v>18202.75</v>
      </c>
      <c r="S28" s="115" t="s">
        <v>652</v>
      </c>
      <c r="T28" s="43">
        <v>2</v>
      </c>
      <c r="U28" s="43">
        <f t="shared" si="9"/>
        <v>5460.8249999999998</v>
      </c>
    </row>
    <row r="29" spans="1:21" ht="15.5" x14ac:dyDescent="0.35">
      <c r="A29" s="44"/>
      <c r="B29" s="105" t="s">
        <v>389</v>
      </c>
      <c r="C29" s="19"/>
      <c r="D29" s="20"/>
      <c r="E29" s="20"/>
      <c r="F29" s="20"/>
      <c r="G29" s="20"/>
      <c r="H29" s="20"/>
      <c r="I29" s="20"/>
      <c r="J29" s="614">
        <f t="shared" si="7"/>
        <v>0</v>
      </c>
      <c r="K29" s="124"/>
      <c r="L29" s="663"/>
      <c r="M29" s="663"/>
      <c r="N29" s="663"/>
      <c r="O29" s="663"/>
      <c r="P29" s="663"/>
      <c r="Q29" s="663"/>
      <c r="R29" s="659">
        <f t="shared" si="8"/>
        <v>0</v>
      </c>
      <c r="S29" s="115"/>
    </row>
    <row r="30" spans="1:21" ht="15.5" x14ac:dyDescent="0.35">
      <c r="A30" s="44"/>
      <c r="B30" s="105" t="s">
        <v>390</v>
      </c>
      <c r="C30" s="19"/>
      <c r="D30" s="20"/>
      <c r="E30" s="20"/>
      <c r="F30" s="20"/>
      <c r="G30" s="20"/>
      <c r="H30" s="20"/>
      <c r="I30" s="20"/>
      <c r="J30" s="614">
        <f t="shared" si="7"/>
        <v>0</v>
      </c>
      <c r="K30" s="124"/>
      <c r="L30" s="663"/>
      <c r="M30" s="663"/>
      <c r="N30" s="663"/>
      <c r="O30" s="663"/>
      <c r="P30" s="663"/>
      <c r="Q30" s="663"/>
      <c r="R30" s="659">
        <f t="shared" si="8"/>
        <v>0</v>
      </c>
      <c r="S30" s="115"/>
    </row>
    <row r="31" spans="1:21" ht="15.5" x14ac:dyDescent="0.35">
      <c r="A31" s="44"/>
      <c r="B31" s="105" t="s">
        <v>391</v>
      </c>
      <c r="C31" s="19"/>
      <c r="D31" s="20"/>
      <c r="E31" s="20"/>
      <c r="F31" s="20"/>
      <c r="G31" s="20"/>
      <c r="H31" s="20"/>
      <c r="I31" s="20"/>
      <c r="J31" s="614">
        <f t="shared" si="7"/>
        <v>0</v>
      </c>
      <c r="K31" s="124"/>
      <c r="L31" s="663"/>
      <c r="M31" s="663"/>
      <c r="N31" s="663"/>
      <c r="O31" s="663"/>
      <c r="P31" s="663"/>
      <c r="Q31" s="663"/>
      <c r="R31" s="659">
        <f t="shared" si="8"/>
        <v>0</v>
      </c>
      <c r="S31" s="115"/>
    </row>
    <row r="32" spans="1:21" ht="15.5" x14ac:dyDescent="0.35">
      <c r="A32" s="44"/>
      <c r="B32" s="105" t="s">
        <v>392</v>
      </c>
      <c r="C32" s="53"/>
      <c r="D32" s="21"/>
      <c r="E32" s="21"/>
      <c r="F32" s="21"/>
      <c r="G32" s="21"/>
      <c r="H32" s="21"/>
      <c r="I32" s="21"/>
      <c r="J32" s="614">
        <f t="shared" si="7"/>
        <v>0</v>
      </c>
      <c r="K32" s="125"/>
      <c r="L32" s="663"/>
      <c r="M32" s="663"/>
      <c r="N32" s="663"/>
      <c r="O32" s="663"/>
      <c r="P32" s="663"/>
      <c r="Q32" s="663"/>
      <c r="R32" s="659">
        <f t="shared" si="8"/>
        <v>0</v>
      </c>
      <c r="S32" s="116"/>
    </row>
    <row r="33" spans="1:20" ht="15.5" x14ac:dyDescent="0.35">
      <c r="A33" s="44"/>
      <c r="B33" s="105" t="s">
        <v>393</v>
      </c>
      <c r="C33" s="53"/>
      <c r="D33" s="21"/>
      <c r="E33" s="21"/>
      <c r="F33" s="21"/>
      <c r="G33" s="21"/>
      <c r="H33" s="21"/>
      <c r="I33" s="21"/>
      <c r="J33" s="614">
        <f t="shared" si="7"/>
        <v>0</v>
      </c>
      <c r="K33" s="125"/>
      <c r="L33" s="663"/>
      <c r="M33" s="663"/>
      <c r="N33" s="663"/>
      <c r="O33" s="663"/>
      <c r="P33" s="663"/>
      <c r="Q33" s="663"/>
      <c r="R33" s="659">
        <f t="shared" si="8"/>
        <v>0</v>
      </c>
      <c r="S33" s="116"/>
    </row>
    <row r="34" spans="1:20" ht="15.5" x14ac:dyDescent="0.35">
      <c r="A34" s="44"/>
      <c r="C34" s="106" t="s">
        <v>531</v>
      </c>
      <c r="D34" s="25">
        <f>SUM(D26:D33)</f>
        <v>36380</v>
      </c>
      <c r="E34" s="25">
        <f>SUM(E26:E33)</f>
        <v>57656.5</v>
      </c>
      <c r="F34" s="25">
        <f>SUM(F26:F33)</f>
        <v>57656.5</v>
      </c>
      <c r="G34" s="25">
        <f t="shared" ref="G34:I34" si="10">SUM(G26:G33)</f>
        <v>0</v>
      </c>
      <c r="H34" s="25">
        <f t="shared" si="10"/>
        <v>0</v>
      </c>
      <c r="I34" s="25">
        <f t="shared" si="10"/>
        <v>0</v>
      </c>
      <c r="J34" s="616">
        <f>SUM(J26:J33)</f>
        <v>151693</v>
      </c>
      <c r="K34" s="118">
        <f>(K26*J26)+(K27*J27)+(K28*J28)+(K29*J29)+(K30*J30)+(K31*J31)+(K32*J32)+(K33*J33)</f>
        <v>45507.9</v>
      </c>
      <c r="L34" s="118">
        <f t="shared" ref="L34:N34" si="11">SUM(L26:L33)</f>
        <v>22996.53</v>
      </c>
      <c r="M34" s="118">
        <f t="shared" si="11"/>
        <v>8588.64</v>
      </c>
      <c r="N34" s="118">
        <f t="shared" si="11"/>
        <v>3114.18</v>
      </c>
      <c r="O34" s="118">
        <f t="shared" ref="O34:R34" si="12">SUM(O26:O33)</f>
        <v>0</v>
      </c>
      <c r="P34" s="118">
        <f t="shared" si="12"/>
        <v>0</v>
      </c>
      <c r="Q34" s="118">
        <f t="shared" si="12"/>
        <v>0</v>
      </c>
      <c r="R34" s="639">
        <f t="shared" si="12"/>
        <v>34699.35</v>
      </c>
      <c r="S34" s="116"/>
    </row>
    <row r="35" spans="1:20" ht="15.5" x14ac:dyDescent="0.35">
      <c r="A35" s="44"/>
      <c r="B35" s="104" t="s">
        <v>394</v>
      </c>
      <c r="C35" s="723"/>
      <c r="D35" s="723"/>
      <c r="E35" s="723"/>
      <c r="F35" s="723"/>
      <c r="G35" s="723"/>
      <c r="H35" s="723"/>
      <c r="I35" s="723"/>
      <c r="J35" s="723"/>
      <c r="K35" s="723"/>
      <c r="L35" s="723"/>
      <c r="M35" s="723"/>
      <c r="N35" s="723"/>
      <c r="O35" s="723"/>
      <c r="P35" s="723"/>
      <c r="Q35" s="723"/>
      <c r="R35" s="723"/>
      <c r="S35" s="723"/>
    </row>
    <row r="36" spans="1:20" ht="15.5" x14ac:dyDescent="0.35">
      <c r="A36" s="44"/>
      <c r="B36" s="105" t="s">
        <v>395</v>
      </c>
      <c r="C36" s="19"/>
      <c r="D36" s="20"/>
      <c r="E36" s="20"/>
      <c r="F36" s="20"/>
      <c r="G36" s="20"/>
      <c r="H36" s="20"/>
      <c r="I36" s="20"/>
      <c r="J36" s="614">
        <f>SUM(D36:I36)</f>
        <v>0</v>
      </c>
      <c r="K36" s="124"/>
      <c r="L36" s="663"/>
      <c r="M36" s="663"/>
      <c r="N36" s="663"/>
      <c r="O36" s="663"/>
      <c r="P36" s="663"/>
      <c r="Q36" s="663"/>
      <c r="R36" s="638">
        <f>SUM(L36:Q36)</f>
        <v>0</v>
      </c>
      <c r="S36" s="115"/>
      <c r="T36" s="43">
        <v>2</v>
      </c>
    </row>
    <row r="37" spans="1:20" ht="15.5" x14ac:dyDescent="0.35">
      <c r="A37" s="44"/>
      <c r="B37" s="105" t="s">
        <v>396</v>
      </c>
      <c r="C37" s="19"/>
      <c r="D37" s="20"/>
      <c r="E37" s="20"/>
      <c r="F37" s="20"/>
      <c r="G37" s="20"/>
      <c r="H37" s="20"/>
      <c r="I37" s="20"/>
      <c r="J37" s="614">
        <f t="shared" ref="J37:J43" si="13">SUM(D37:I37)</f>
        <v>0</v>
      </c>
      <c r="K37" s="124"/>
      <c r="L37" s="663"/>
      <c r="M37" s="663"/>
      <c r="N37" s="663"/>
      <c r="O37" s="663"/>
      <c r="P37" s="663"/>
      <c r="Q37" s="663"/>
      <c r="R37" s="638">
        <f t="shared" ref="R37:R43" si="14">SUM(L37:Q37)</f>
        <v>0</v>
      </c>
      <c r="S37" s="115"/>
      <c r="T37" s="43">
        <v>2</v>
      </c>
    </row>
    <row r="38" spans="1:20" ht="15.5" x14ac:dyDescent="0.35">
      <c r="A38" s="44"/>
      <c r="B38" s="105" t="s">
        <v>397</v>
      </c>
      <c r="C38" s="19"/>
      <c r="D38" s="20"/>
      <c r="E38" s="20"/>
      <c r="F38" s="20"/>
      <c r="G38" s="20"/>
      <c r="H38" s="20"/>
      <c r="I38" s="20"/>
      <c r="J38" s="614">
        <f t="shared" si="13"/>
        <v>0</v>
      </c>
      <c r="K38" s="124"/>
      <c r="L38" s="663"/>
      <c r="M38" s="663"/>
      <c r="N38" s="663"/>
      <c r="O38" s="663"/>
      <c r="P38" s="663"/>
      <c r="Q38" s="663"/>
      <c r="R38" s="638">
        <f t="shared" si="14"/>
        <v>0</v>
      </c>
      <c r="S38" s="115"/>
    </row>
    <row r="39" spans="1:20" ht="15.5" x14ac:dyDescent="0.35">
      <c r="A39" s="44"/>
      <c r="B39" s="105" t="s">
        <v>398</v>
      </c>
      <c r="C39" s="19"/>
      <c r="D39" s="20"/>
      <c r="E39" s="20"/>
      <c r="F39" s="20"/>
      <c r="G39" s="20"/>
      <c r="H39" s="20"/>
      <c r="I39" s="20"/>
      <c r="J39" s="614">
        <f t="shared" si="13"/>
        <v>0</v>
      </c>
      <c r="K39" s="124"/>
      <c r="L39" s="663"/>
      <c r="M39" s="663"/>
      <c r="N39" s="663"/>
      <c r="O39" s="663"/>
      <c r="P39" s="663"/>
      <c r="Q39" s="663"/>
      <c r="R39" s="638">
        <f t="shared" si="14"/>
        <v>0</v>
      </c>
      <c r="S39" s="115"/>
    </row>
    <row r="40" spans="1:20" s="44" customFormat="1" ht="15.5" x14ac:dyDescent="0.35">
      <c r="B40" s="105" t="s">
        <v>399</v>
      </c>
      <c r="C40" s="19"/>
      <c r="D40" s="20"/>
      <c r="E40" s="20"/>
      <c r="F40" s="20"/>
      <c r="G40" s="20"/>
      <c r="H40" s="20"/>
      <c r="I40" s="20"/>
      <c r="J40" s="614">
        <f t="shared" si="13"/>
        <v>0</v>
      </c>
      <c r="K40" s="124"/>
      <c r="L40" s="663"/>
      <c r="M40" s="663"/>
      <c r="N40" s="663"/>
      <c r="O40" s="663"/>
      <c r="P40" s="663"/>
      <c r="Q40" s="663"/>
      <c r="R40" s="638">
        <f t="shared" si="14"/>
        <v>0</v>
      </c>
      <c r="S40" s="115"/>
    </row>
    <row r="41" spans="1:20" s="44" customFormat="1" ht="15.5" x14ac:dyDescent="0.35">
      <c r="B41" s="105" t="s">
        <v>400</v>
      </c>
      <c r="C41" s="19"/>
      <c r="D41" s="20"/>
      <c r="E41" s="20"/>
      <c r="F41" s="20"/>
      <c r="G41" s="20"/>
      <c r="H41" s="20"/>
      <c r="I41" s="20"/>
      <c r="J41" s="614">
        <f t="shared" si="13"/>
        <v>0</v>
      </c>
      <c r="K41" s="124"/>
      <c r="L41" s="663"/>
      <c r="M41" s="663"/>
      <c r="N41" s="663"/>
      <c r="O41" s="663"/>
      <c r="P41" s="663"/>
      <c r="Q41" s="663"/>
      <c r="R41" s="638">
        <f t="shared" si="14"/>
        <v>0</v>
      </c>
      <c r="S41" s="115"/>
    </row>
    <row r="42" spans="1:20" s="44" customFormat="1" ht="15.5" x14ac:dyDescent="0.35">
      <c r="A42" s="43"/>
      <c r="B42" s="105" t="s">
        <v>401</v>
      </c>
      <c r="C42" s="53"/>
      <c r="D42" s="21"/>
      <c r="E42" s="21"/>
      <c r="F42" s="21"/>
      <c r="G42" s="21"/>
      <c r="H42" s="21"/>
      <c r="I42" s="21"/>
      <c r="J42" s="614">
        <f t="shared" si="13"/>
        <v>0</v>
      </c>
      <c r="K42" s="125"/>
      <c r="L42" s="663"/>
      <c r="M42" s="663"/>
      <c r="N42" s="663"/>
      <c r="O42" s="663"/>
      <c r="P42" s="663"/>
      <c r="Q42" s="663"/>
      <c r="R42" s="638">
        <f t="shared" si="14"/>
        <v>0</v>
      </c>
      <c r="S42" s="116"/>
    </row>
    <row r="43" spans="1:20" ht="15.5" x14ac:dyDescent="0.35">
      <c r="B43" s="105" t="s">
        <v>402</v>
      </c>
      <c r="C43" s="53"/>
      <c r="D43" s="21"/>
      <c r="E43" s="21"/>
      <c r="F43" s="21"/>
      <c r="G43" s="21"/>
      <c r="H43" s="21"/>
      <c r="I43" s="21"/>
      <c r="J43" s="614">
        <f t="shared" si="13"/>
        <v>0</v>
      </c>
      <c r="K43" s="125"/>
      <c r="L43" s="663"/>
      <c r="M43" s="663"/>
      <c r="N43" s="663"/>
      <c r="O43" s="663"/>
      <c r="P43" s="663"/>
      <c r="Q43" s="663"/>
      <c r="R43" s="638">
        <f t="shared" si="14"/>
        <v>0</v>
      </c>
      <c r="S43" s="116"/>
    </row>
    <row r="44" spans="1:20" ht="15.5" x14ac:dyDescent="0.35">
      <c r="C44" s="106" t="s">
        <v>531</v>
      </c>
      <c r="D44" s="25">
        <f>SUM(D36:D43)</f>
        <v>0</v>
      </c>
      <c r="E44" s="25">
        <f>SUM(E36:E43)</f>
        <v>0</v>
      </c>
      <c r="F44" s="25">
        <f>SUM(F36:F43)</f>
        <v>0</v>
      </c>
      <c r="G44" s="25">
        <f t="shared" ref="G44:I44" si="15">SUM(G36:G43)</f>
        <v>0</v>
      </c>
      <c r="H44" s="25">
        <f t="shared" si="15"/>
        <v>0</v>
      </c>
      <c r="I44" s="25">
        <f t="shared" si="15"/>
        <v>0</v>
      </c>
      <c r="J44" s="616">
        <f>SUM(J36:J43)</f>
        <v>0</v>
      </c>
      <c r="K44" s="118">
        <f>(K36*J36)+(K37*J37)+(K38*J38)+(K39*J39)+(K40*J40)+(K41*J41)+(K42*J42)+(K43*J43)</f>
        <v>0</v>
      </c>
      <c r="L44" s="118">
        <f t="shared" ref="L44:N44" si="16">SUM(L36:L43)</f>
        <v>0</v>
      </c>
      <c r="M44" s="118">
        <f t="shared" si="16"/>
        <v>0</v>
      </c>
      <c r="N44" s="118">
        <f t="shared" si="16"/>
        <v>0</v>
      </c>
      <c r="O44" s="118">
        <f t="shared" ref="O44:R44" si="17">SUM(O36:O43)</f>
        <v>0</v>
      </c>
      <c r="P44" s="118">
        <f t="shared" si="17"/>
        <v>0</v>
      </c>
      <c r="Q44" s="118">
        <f t="shared" si="17"/>
        <v>0</v>
      </c>
      <c r="R44" s="639">
        <f t="shared" si="17"/>
        <v>0</v>
      </c>
      <c r="S44" s="116"/>
    </row>
    <row r="45" spans="1:20" ht="15.5" x14ac:dyDescent="0.35">
      <c r="B45" s="104" t="s">
        <v>403</v>
      </c>
      <c r="C45" s="698"/>
      <c r="D45" s="698"/>
      <c r="E45" s="698"/>
      <c r="F45" s="698"/>
      <c r="G45" s="698"/>
      <c r="H45" s="698"/>
      <c r="I45" s="698"/>
      <c r="J45" s="698"/>
      <c r="K45" s="698"/>
      <c r="L45" s="698"/>
      <c r="M45" s="698"/>
      <c r="N45" s="698"/>
      <c r="O45" s="698"/>
      <c r="P45" s="698"/>
      <c r="Q45" s="698"/>
      <c r="R45" s="698"/>
      <c r="S45" s="698"/>
    </row>
    <row r="46" spans="1:20" ht="15.5" x14ac:dyDescent="0.35">
      <c r="B46" s="105" t="s">
        <v>404</v>
      </c>
      <c r="C46" s="19"/>
      <c r="D46" s="20"/>
      <c r="E46" s="20"/>
      <c r="F46" s="20"/>
      <c r="G46" s="20"/>
      <c r="H46" s="20"/>
      <c r="I46" s="20"/>
      <c r="J46" s="614">
        <f>SUM(D46:I46)</f>
        <v>0</v>
      </c>
      <c r="K46" s="124"/>
      <c r="L46" s="663"/>
      <c r="M46" s="663"/>
      <c r="N46" s="663"/>
      <c r="O46" s="663"/>
      <c r="P46" s="663"/>
      <c r="Q46" s="663"/>
      <c r="R46" s="638">
        <f>SUM(L46:Q46)</f>
        <v>0</v>
      </c>
      <c r="S46" s="115"/>
    </row>
    <row r="47" spans="1:20" ht="15.5" x14ac:dyDescent="0.35">
      <c r="B47" s="105" t="s">
        <v>405</v>
      </c>
      <c r="C47" s="19"/>
      <c r="D47" s="20"/>
      <c r="E47" s="20"/>
      <c r="F47" s="20"/>
      <c r="G47" s="20"/>
      <c r="H47" s="20"/>
      <c r="I47" s="20"/>
      <c r="J47" s="614">
        <f t="shared" ref="J47:J53" si="18">SUM(D47:I47)</f>
        <v>0</v>
      </c>
      <c r="K47" s="124"/>
      <c r="L47" s="663"/>
      <c r="M47" s="663"/>
      <c r="N47" s="663"/>
      <c r="O47" s="663"/>
      <c r="P47" s="663"/>
      <c r="Q47" s="663"/>
      <c r="R47" s="638">
        <f t="shared" ref="R47:R53" si="19">SUM(L47:Q47)</f>
        <v>0</v>
      </c>
      <c r="S47" s="115"/>
    </row>
    <row r="48" spans="1:20" ht="15.5" x14ac:dyDescent="0.35">
      <c r="B48" s="105" t="s">
        <v>406</v>
      </c>
      <c r="C48" s="19"/>
      <c r="D48" s="20"/>
      <c r="E48" s="20"/>
      <c r="F48" s="20"/>
      <c r="G48" s="20"/>
      <c r="H48" s="20"/>
      <c r="I48" s="20"/>
      <c r="J48" s="614">
        <f t="shared" si="18"/>
        <v>0</v>
      </c>
      <c r="K48" s="124"/>
      <c r="L48" s="663"/>
      <c r="M48" s="663"/>
      <c r="N48" s="663"/>
      <c r="O48" s="663"/>
      <c r="P48" s="663"/>
      <c r="Q48" s="663"/>
      <c r="R48" s="638">
        <f t="shared" si="19"/>
        <v>0</v>
      </c>
      <c r="S48" s="115"/>
    </row>
    <row r="49" spans="1:21" ht="15.5" x14ac:dyDescent="0.35">
      <c r="B49" s="105" t="s">
        <v>407</v>
      </c>
      <c r="C49" s="19"/>
      <c r="D49" s="20"/>
      <c r="E49" s="20"/>
      <c r="F49" s="20"/>
      <c r="G49" s="20"/>
      <c r="H49" s="20"/>
      <c r="I49" s="20"/>
      <c r="J49" s="614">
        <f t="shared" si="18"/>
        <v>0</v>
      </c>
      <c r="K49" s="124"/>
      <c r="L49" s="663"/>
      <c r="M49" s="663"/>
      <c r="N49" s="663"/>
      <c r="O49" s="663"/>
      <c r="P49" s="663"/>
      <c r="Q49" s="663"/>
      <c r="R49" s="638">
        <f t="shared" si="19"/>
        <v>0</v>
      </c>
      <c r="S49" s="115"/>
    </row>
    <row r="50" spans="1:21" ht="15.5" x14ac:dyDescent="0.35">
      <c r="B50" s="105" t="s">
        <v>408</v>
      </c>
      <c r="C50" s="19"/>
      <c r="D50" s="20"/>
      <c r="E50" s="20"/>
      <c r="F50" s="20"/>
      <c r="G50" s="20"/>
      <c r="H50" s="20"/>
      <c r="I50" s="20"/>
      <c r="J50" s="614">
        <f t="shared" si="18"/>
        <v>0</v>
      </c>
      <c r="K50" s="124"/>
      <c r="L50" s="663"/>
      <c r="M50" s="663"/>
      <c r="N50" s="663"/>
      <c r="O50" s="663"/>
      <c r="P50" s="663"/>
      <c r="Q50" s="663"/>
      <c r="R50" s="638">
        <f t="shared" si="19"/>
        <v>0</v>
      </c>
      <c r="S50" s="115"/>
    </row>
    <row r="51" spans="1:21" ht="15.5" x14ac:dyDescent="0.35">
      <c r="A51" s="44"/>
      <c r="B51" s="105" t="s">
        <v>409</v>
      </c>
      <c r="C51" s="19"/>
      <c r="D51" s="20"/>
      <c r="E51" s="20"/>
      <c r="F51" s="20"/>
      <c r="G51" s="20"/>
      <c r="H51" s="20"/>
      <c r="I51" s="20"/>
      <c r="J51" s="614">
        <f t="shared" si="18"/>
        <v>0</v>
      </c>
      <c r="K51" s="124"/>
      <c r="L51" s="663"/>
      <c r="M51" s="663"/>
      <c r="N51" s="663"/>
      <c r="O51" s="663"/>
      <c r="P51" s="663"/>
      <c r="Q51" s="663"/>
      <c r="R51" s="638">
        <f t="shared" si="19"/>
        <v>0</v>
      </c>
      <c r="S51" s="115"/>
    </row>
    <row r="52" spans="1:21" s="44" customFormat="1" ht="15.5" x14ac:dyDescent="0.35">
      <c r="A52" s="43"/>
      <c r="B52" s="105" t="s">
        <v>410</v>
      </c>
      <c r="C52" s="53"/>
      <c r="D52" s="21"/>
      <c r="E52" s="21"/>
      <c r="F52" s="21"/>
      <c r="G52" s="21"/>
      <c r="H52" s="21"/>
      <c r="I52" s="21"/>
      <c r="J52" s="614">
        <f t="shared" si="18"/>
        <v>0</v>
      </c>
      <c r="K52" s="125"/>
      <c r="L52" s="663"/>
      <c r="M52" s="663"/>
      <c r="N52" s="663"/>
      <c r="O52" s="663"/>
      <c r="P52" s="663"/>
      <c r="Q52" s="663"/>
      <c r="R52" s="638">
        <f t="shared" si="19"/>
        <v>0</v>
      </c>
      <c r="S52" s="116"/>
    </row>
    <row r="53" spans="1:21" ht="15.5" x14ac:dyDescent="0.35">
      <c r="B53" s="105" t="s">
        <v>411</v>
      </c>
      <c r="C53" s="53"/>
      <c r="D53" s="21"/>
      <c r="E53" s="21"/>
      <c r="F53" s="21"/>
      <c r="G53" s="21"/>
      <c r="H53" s="21"/>
      <c r="I53" s="21"/>
      <c r="J53" s="614">
        <f t="shared" si="18"/>
        <v>0</v>
      </c>
      <c r="K53" s="125"/>
      <c r="L53" s="663"/>
      <c r="M53" s="663"/>
      <c r="N53" s="663"/>
      <c r="O53" s="663"/>
      <c r="P53" s="663"/>
      <c r="Q53" s="663"/>
      <c r="R53" s="638">
        <f t="shared" si="19"/>
        <v>0</v>
      </c>
      <c r="S53" s="116"/>
    </row>
    <row r="54" spans="1:21" ht="15.5" x14ac:dyDescent="0.35">
      <c r="C54" s="106" t="s">
        <v>531</v>
      </c>
      <c r="D54" s="22">
        <f>SUM(D46:D53)</f>
        <v>0</v>
      </c>
      <c r="E54" s="22">
        <f>SUM(E46:E53)</f>
        <v>0</v>
      </c>
      <c r="F54" s="22">
        <f>SUM(F46:F53)</f>
        <v>0</v>
      </c>
      <c r="G54" s="22">
        <f t="shared" ref="G54:I54" si="20">SUM(G46:G53)</f>
        <v>0</v>
      </c>
      <c r="H54" s="22">
        <f t="shared" si="20"/>
        <v>0</v>
      </c>
      <c r="I54" s="22">
        <f t="shared" si="20"/>
        <v>0</v>
      </c>
      <c r="J54" s="615">
        <f>SUM(J46:J53)</f>
        <v>0</v>
      </c>
      <c r="K54" s="118">
        <f>(K46*J46)+(K47*J47)+(K48*J48)+(K49*J49)+(K50*J50)+(K51*J51)+(K52*J52)+(K53*J53)</f>
        <v>0</v>
      </c>
      <c r="L54" s="118">
        <f t="shared" ref="L54:N54" si="21">SUM(L46:L53)</f>
        <v>0</v>
      </c>
      <c r="M54" s="118">
        <f t="shared" si="21"/>
        <v>0</v>
      </c>
      <c r="N54" s="118">
        <f t="shared" si="21"/>
        <v>0</v>
      </c>
      <c r="O54" s="118">
        <f t="shared" ref="O54:R54" si="22">SUM(O46:O53)</f>
        <v>0</v>
      </c>
      <c r="P54" s="118">
        <f t="shared" si="22"/>
        <v>0</v>
      </c>
      <c r="Q54" s="118">
        <f t="shared" si="22"/>
        <v>0</v>
      </c>
      <c r="R54" s="639">
        <f t="shared" si="22"/>
        <v>0</v>
      </c>
      <c r="S54" s="116"/>
    </row>
    <row r="55" spans="1:21" ht="15.5" x14ac:dyDescent="0.35">
      <c r="B55" s="13"/>
      <c r="C55" s="14"/>
      <c r="D55" s="12"/>
      <c r="E55" s="12"/>
      <c r="F55" s="12"/>
      <c r="G55" s="12"/>
      <c r="H55" s="12"/>
      <c r="I55" s="12"/>
      <c r="J55" s="617"/>
      <c r="K55" s="12"/>
      <c r="L55" s="12"/>
      <c r="M55" s="12"/>
      <c r="N55" s="12"/>
      <c r="O55" s="654"/>
      <c r="P55" s="12"/>
      <c r="Q55" s="12"/>
      <c r="R55" s="617"/>
      <c r="S55" s="12"/>
    </row>
    <row r="56" spans="1:21" ht="15.5" x14ac:dyDescent="0.35">
      <c r="B56" s="106" t="s">
        <v>412</v>
      </c>
      <c r="C56" s="724" t="s">
        <v>596</v>
      </c>
      <c r="D56" s="724"/>
      <c r="E56" s="724"/>
      <c r="F56" s="724"/>
      <c r="G56" s="724"/>
      <c r="H56" s="724"/>
      <c r="I56" s="724"/>
      <c r="J56" s="724"/>
      <c r="K56" s="724"/>
      <c r="L56" s="724"/>
      <c r="M56" s="724"/>
      <c r="N56" s="724"/>
      <c r="O56" s="724"/>
      <c r="P56" s="724"/>
      <c r="Q56" s="724"/>
      <c r="R56" s="724"/>
      <c r="S56" s="724"/>
    </row>
    <row r="57" spans="1:21" ht="15.5" x14ac:dyDescent="0.35">
      <c r="B57" s="104" t="s">
        <v>413</v>
      </c>
      <c r="C57" s="724" t="s">
        <v>622</v>
      </c>
      <c r="D57" s="724"/>
      <c r="E57" s="724"/>
      <c r="F57" s="724"/>
      <c r="G57" s="724"/>
      <c r="H57" s="724"/>
      <c r="I57" s="724"/>
      <c r="J57" s="724"/>
      <c r="K57" s="724"/>
      <c r="L57" s="724"/>
      <c r="M57" s="724"/>
      <c r="N57" s="724"/>
      <c r="O57" s="724"/>
      <c r="P57" s="724"/>
      <c r="Q57" s="724"/>
      <c r="R57" s="724"/>
      <c r="S57" s="724"/>
    </row>
    <row r="58" spans="1:21" ht="139.5" x14ac:dyDescent="0.35">
      <c r="B58" s="105" t="s">
        <v>414</v>
      </c>
      <c r="C58" s="19" t="s">
        <v>615</v>
      </c>
      <c r="D58" s="20">
        <v>6000</v>
      </c>
      <c r="E58" s="20">
        <v>7000</v>
      </c>
      <c r="F58" s="20">
        <v>7000</v>
      </c>
      <c r="G58" s="20"/>
      <c r="H58" s="20">
        <v>4500</v>
      </c>
      <c r="I58" s="20"/>
      <c r="J58" s="614">
        <f>SUM(D58:I58)</f>
        <v>24500</v>
      </c>
      <c r="K58" s="124">
        <v>0.3</v>
      </c>
      <c r="L58" s="20">
        <v>6202.55</v>
      </c>
      <c r="M58" s="124"/>
      <c r="N58" s="124"/>
      <c r="O58" s="663"/>
      <c r="P58" s="663"/>
      <c r="Q58" s="663">
        <v>2000</v>
      </c>
      <c r="R58" s="659">
        <f>SUM(L58:Q58)</f>
        <v>8202.5499999999993</v>
      </c>
      <c r="S58" s="115" t="s">
        <v>655</v>
      </c>
      <c r="T58" s="43">
        <v>4</v>
      </c>
      <c r="U58" s="43">
        <f>+R58*K58</f>
        <v>2460.7649999999999</v>
      </c>
    </row>
    <row r="59" spans="1:21" ht="62" x14ac:dyDescent="0.35">
      <c r="B59" s="105" t="s">
        <v>415</v>
      </c>
      <c r="C59" s="19" t="s">
        <v>630</v>
      </c>
      <c r="D59" s="20">
        <v>18000</v>
      </c>
      <c r="E59" s="20">
        <v>22000</v>
      </c>
      <c r="F59" s="20">
        <v>17300</v>
      </c>
      <c r="G59" s="20"/>
      <c r="H59" s="20"/>
      <c r="I59" s="20"/>
      <c r="J59" s="614">
        <f t="shared" ref="J59:J65" si="23">SUM(D59:I59)</f>
        <v>57300</v>
      </c>
      <c r="K59" s="124">
        <v>0.3</v>
      </c>
      <c r="L59" s="20">
        <v>18022.27</v>
      </c>
      <c r="M59" s="20">
        <v>5101</v>
      </c>
      <c r="N59" s="667">
        <v>11246.75</v>
      </c>
      <c r="O59" s="663"/>
      <c r="P59" s="663"/>
      <c r="Q59" s="663">
        <v>2000</v>
      </c>
      <c r="R59" s="659">
        <f t="shared" ref="R59:R63" si="24">SUM(L59:Q59)</f>
        <v>36370.020000000004</v>
      </c>
      <c r="S59" s="115" t="s">
        <v>656</v>
      </c>
      <c r="T59" s="43">
        <v>2</v>
      </c>
      <c r="U59" s="43">
        <f t="shared" ref="U59:U63" si="25">+R59*K59</f>
        <v>10911.006000000001</v>
      </c>
    </row>
    <row r="60" spans="1:21" ht="62" x14ac:dyDescent="0.35">
      <c r="B60" s="105" t="s">
        <v>416</v>
      </c>
      <c r="C60" s="19" t="s">
        <v>616</v>
      </c>
      <c r="D60" s="20">
        <v>6000</v>
      </c>
      <c r="E60" s="20">
        <v>12000</v>
      </c>
      <c r="F60" s="20">
        <v>12000</v>
      </c>
      <c r="G60" s="20"/>
      <c r="H60" s="20">
        <v>12000</v>
      </c>
      <c r="I60" s="20"/>
      <c r="J60" s="614">
        <f t="shared" si="23"/>
        <v>42000</v>
      </c>
      <c r="K60" s="124">
        <v>0.3</v>
      </c>
      <c r="L60" s="20">
        <v>6156.76</v>
      </c>
      <c r="M60" s="20">
        <v>3493.37</v>
      </c>
      <c r="N60" s="667">
        <v>1740.06</v>
      </c>
      <c r="O60" s="663"/>
      <c r="P60" s="663"/>
      <c r="Q60" s="663">
        <v>12000</v>
      </c>
      <c r="R60" s="659">
        <f t="shared" si="24"/>
        <v>23390.190000000002</v>
      </c>
      <c r="S60" s="115" t="s">
        <v>656</v>
      </c>
      <c r="T60" s="43">
        <v>2</v>
      </c>
      <c r="U60" s="43">
        <f t="shared" si="25"/>
        <v>7017.0570000000007</v>
      </c>
    </row>
    <row r="61" spans="1:21" ht="46.5" x14ac:dyDescent="0.35">
      <c r="B61" s="105" t="s">
        <v>417</v>
      </c>
      <c r="C61" s="19" t="s">
        <v>617</v>
      </c>
      <c r="D61" s="20">
        <v>0</v>
      </c>
      <c r="E61" s="20">
        <v>0</v>
      </c>
      <c r="F61" s="20">
        <v>0</v>
      </c>
      <c r="G61" s="20"/>
      <c r="H61" s="20"/>
      <c r="I61" s="20"/>
      <c r="J61" s="614">
        <f t="shared" si="23"/>
        <v>0</v>
      </c>
      <c r="K61" s="124">
        <v>0.5</v>
      </c>
      <c r="L61" s="20"/>
      <c r="M61" s="20"/>
      <c r="N61" s="124"/>
      <c r="O61" s="663"/>
      <c r="P61" s="663"/>
      <c r="Q61" s="663"/>
      <c r="R61" s="659">
        <f t="shared" si="24"/>
        <v>0</v>
      </c>
      <c r="S61" s="115" t="s">
        <v>657</v>
      </c>
      <c r="T61" s="43">
        <v>2</v>
      </c>
      <c r="U61" s="43">
        <f t="shared" si="25"/>
        <v>0</v>
      </c>
    </row>
    <row r="62" spans="1:21" ht="46.5" x14ac:dyDescent="0.35">
      <c r="B62" s="105" t="s">
        <v>418</v>
      </c>
      <c r="C62" s="19" t="s">
        <v>618</v>
      </c>
      <c r="D62" s="20">
        <v>21000</v>
      </c>
      <c r="E62" s="20">
        <v>27000</v>
      </c>
      <c r="F62" s="20">
        <v>11000</v>
      </c>
      <c r="G62" s="20"/>
      <c r="H62" s="20"/>
      <c r="I62" s="20"/>
      <c r="J62" s="614">
        <f t="shared" si="23"/>
        <v>59000</v>
      </c>
      <c r="K62" s="124">
        <v>0.3</v>
      </c>
      <c r="L62" s="20">
        <v>8164.59</v>
      </c>
      <c r="M62" s="20">
        <v>8389.52</v>
      </c>
      <c r="N62" s="124"/>
      <c r="O62" s="663"/>
      <c r="P62" s="663"/>
      <c r="Q62" s="663"/>
      <c r="R62" s="659">
        <f t="shared" si="24"/>
        <v>16554.11</v>
      </c>
      <c r="S62" s="115" t="s">
        <v>658</v>
      </c>
      <c r="T62" s="43">
        <v>2</v>
      </c>
      <c r="U62" s="43">
        <f t="shared" si="25"/>
        <v>4966.2330000000002</v>
      </c>
    </row>
    <row r="63" spans="1:21" ht="62" x14ac:dyDescent="0.35">
      <c r="B63" s="105" t="s">
        <v>419</v>
      </c>
      <c r="C63" s="19" t="s">
        <v>619</v>
      </c>
      <c r="D63" s="21">
        <v>0</v>
      </c>
      <c r="E63" s="21">
        <v>11000</v>
      </c>
      <c r="F63" s="21">
        <v>11000</v>
      </c>
      <c r="G63" s="20"/>
      <c r="H63" s="20"/>
      <c r="I63" s="20"/>
      <c r="J63" s="614">
        <f t="shared" si="23"/>
        <v>22000</v>
      </c>
      <c r="K63" s="124">
        <v>0.3</v>
      </c>
      <c r="L63" s="20"/>
      <c r="M63" s="667">
        <v>6108</v>
      </c>
      <c r="N63" s="667">
        <v>7150.63</v>
      </c>
      <c r="O63" s="663"/>
      <c r="P63" s="663"/>
      <c r="Q63" s="663"/>
      <c r="R63" s="659">
        <f t="shared" si="24"/>
        <v>13258.630000000001</v>
      </c>
      <c r="S63" s="115" t="s">
        <v>659</v>
      </c>
      <c r="T63" s="43">
        <v>2</v>
      </c>
      <c r="U63" s="43">
        <f t="shared" si="25"/>
        <v>3977.5889999999999</v>
      </c>
    </row>
    <row r="64" spans="1:21" ht="15.5" x14ac:dyDescent="0.35">
      <c r="A64" s="44"/>
      <c r="B64" s="105" t="s">
        <v>420</v>
      </c>
      <c r="C64" s="53"/>
      <c r="D64" s="21"/>
      <c r="E64" s="21"/>
      <c r="F64" s="21"/>
      <c r="G64" s="21"/>
      <c r="H64" s="21"/>
      <c r="I64" s="21"/>
      <c r="J64" s="614">
        <f t="shared" si="23"/>
        <v>0</v>
      </c>
      <c r="K64" s="125"/>
      <c r="L64" s="663"/>
      <c r="M64" s="663"/>
      <c r="N64" s="663"/>
      <c r="O64" s="663"/>
      <c r="P64" s="663"/>
      <c r="Q64" s="663"/>
      <c r="R64" s="659">
        <f>SUM(L64:Q64)</f>
        <v>0</v>
      </c>
      <c r="S64" s="116"/>
    </row>
    <row r="65" spans="1:21" s="44" customFormat="1" ht="15.5" x14ac:dyDescent="0.35">
      <c r="B65" s="105" t="s">
        <v>421</v>
      </c>
      <c r="C65" s="53"/>
      <c r="D65" s="21"/>
      <c r="E65" s="21"/>
      <c r="F65" s="21"/>
      <c r="G65" s="21"/>
      <c r="H65" s="21"/>
      <c r="I65" s="21"/>
      <c r="J65" s="614">
        <f t="shared" si="23"/>
        <v>0</v>
      </c>
      <c r="K65" s="125"/>
      <c r="L65" s="663"/>
      <c r="M65" s="663"/>
      <c r="N65" s="663"/>
      <c r="O65" s="663"/>
      <c r="P65" s="663"/>
      <c r="Q65" s="663"/>
      <c r="R65" s="659">
        <f>SUM(L65:Q65)</f>
        <v>0</v>
      </c>
      <c r="S65" s="116"/>
    </row>
    <row r="66" spans="1:21" s="44" customFormat="1" ht="15.5" x14ac:dyDescent="0.35">
      <c r="A66" s="43"/>
      <c r="B66" s="43"/>
      <c r="C66" s="106" t="s">
        <v>531</v>
      </c>
      <c r="D66" s="22">
        <f>SUM(D58:D65)</f>
        <v>51000</v>
      </c>
      <c r="E66" s="22">
        <f>SUM(E58:E65)</f>
        <v>79000</v>
      </c>
      <c r="F66" s="22">
        <f>SUM(F58:F65)</f>
        <v>58300</v>
      </c>
      <c r="G66" s="22">
        <f t="shared" ref="G66:I66" si="26">SUM(G58:G65)</f>
        <v>0</v>
      </c>
      <c r="H66" s="22">
        <f t="shared" si="26"/>
        <v>16500</v>
      </c>
      <c r="I66" s="22">
        <f t="shared" si="26"/>
        <v>0</v>
      </c>
      <c r="J66" s="616">
        <f>SUM(J58:J65)</f>
        <v>204800</v>
      </c>
      <c r="K66" s="118">
        <f>(K58*J58)+(K59*J59)+(K60*J60)+(K61*J61)+(K62*J62)+(K63*J63)+(K64*J64)+(K65*J65)</f>
        <v>61440</v>
      </c>
      <c r="L66" s="118">
        <f t="shared" ref="L66:N66" si="27">SUM(L58:L65)</f>
        <v>38546.17</v>
      </c>
      <c r="M66" s="118">
        <f t="shared" si="27"/>
        <v>23091.89</v>
      </c>
      <c r="N66" s="118">
        <f t="shared" si="27"/>
        <v>20137.439999999999</v>
      </c>
      <c r="O66" s="118">
        <f t="shared" ref="O66:R66" si="28">SUM(O58:O65)</f>
        <v>0</v>
      </c>
      <c r="P66" s="118">
        <f t="shared" si="28"/>
        <v>0</v>
      </c>
      <c r="Q66" s="118">
        <f t="shared" si="28"/>
        <v>16000</v>
      </c>
      <c r="R66" s="639">
        <f t="shared" si="28"/>
        <v>97775.500000000015</v>
      </c>
      <c r="S66" s="116"/>
    </row>
    <row r="67" spans="1:21" ht="15.5" x14ac:dyDescent="0.35">
      <c r="B67" s="104" t="s">
        <v>422</v>
      </c>
      <c r="C67" s="724" t="s">
        <v>621</v>
      </c>
      <c r="D67" s="724"/>
      <c r="E67" s="724"/>
      <c r="F67" s="724"/>
      <c r="G67" s="724"/>
      <c r="H67" s="724"/>
      <c r="I67" s="724"/>
      <c r="J67" s="724"/>
      <c r="K67" s="724"/>
      <c r="L67" s="724"/>
      <c r="M67" s="724"/>
      <c r="N67" s="724"/>
      <c r="O67" s="724"/>
      <c r="P67" s="724"/>
      <c r="Q67" s="724"/>
      <c r="R67" s="724"/>
      <c r="S67" s="724"/>
    </row>
    <row r="68" spans="1:21" ht="62" x14ac:dyDescent="0.35">
      <c r="B68" s="105" t="s">
        <v>423</v>
      </c>
      <c r="C68" s="19" t="s">
        <v>620</v>
      </c>
      <c r="D68" s="20">
        <v>6000</v>
      </c>
      <c r="E68" s="20">
        <v>0</v>
      </c>
      <c r="F68" s="20">
        <v>4700</v>
      </c>
      <c r="G68" s="20"/>
      <c r="H68" s="20">
        <v>0</v>
      </c>
      <c r="I68" s="20"/>
      <c r="J68" s="614">
        <f>SUM(D68:I68)</f>
        <v>10700</v>
      </c>
      <c r="K68" s="124">
        <v>0.3</v>
      </c>
      <c r="L68" s="668"/>
      <c r="M68" s="668"/>
      <c r="N68" s="258">
        <v>4693.32</v>
      </c>
      <c r="O68" s="663"/>
      <c r="P68" s="663"/>
      <c r="Q68" s="663"/>
      <c r="R68" s="659">
        <f>SUM(L68:Q68)</f>
        <v>4693.32</v>
      </c>
      <c r="S68" s="115" t="s">
        <v>660</v>
      </c>
      <c r="T68" s="43">
        <v>2</v>
      </c>
      <c r="U68" s="43">
        <f>+R68*K68</f>
        <v>1407.9959999999999</v>
      </c>
    </row>
    <row r="69" spans="1:21" ht="62" x14ac:dyDescent="0.35">
      <c r="B69" s="105" t="s">
        <v>424</v>
      </c>
      <c r="C69" s="19" t="s">
        <v>631</v>
      </c>
      <c r="D69" s="20">
        <v>0</v>
      </c>
      <c r="E69" s="20">
        <v>16000</v>
      </c>
      <c r="F69" s="20">
        <v>16000</v>
      </c>
      <c r="G69" s="20"/>
      <c r="H69" s="20">
        <v>5000</v>
      </c>
      <c r="I69" s="20"/>
      <c r="J69" s="614">
        <f t="shared" ref="J69:J75" si="29">SUM(D69:I69)</f>
        <v>37000</v>
      </c>
      <c r="K69" s="124">
        <v>0.3</v>
      </c>
      <c r="L69" s="667"/>
      <c r="M69" s="667">
        <v>7405.29</v>
      </c>
      <c r="N69" s="667">
        <v>31003.96</v>
      </c>
      <c r="O69" s="663"/>
      <c r="P69" s="663"/>
      <c r="Q69" s="663">
        <v>12000</v>
      </c>
      <c r="R69" s="659">
        <f t="shared" ref="R69:R75" si="30">SUM(L69:Q69)</f>
        <v>50409.25</v>
      </c>
      <c r="S69" s="115" t="s">
        <v>656</v>
      </c>
      <c r="T69" s="43">
        <v>2</v>
      </c>
      <c r="U69" s="43">
        <f t="shared" ref="U69:U70" si="31">+R69*K69</f>
        <v>15122.775</v>
      </c>
    </row>
    <row r="70" spans="1:21" ht="77.5" x14ac:dyDescent="0.35">
      <c r="B70" s="105" t="s">
        <v>425</v>
      </c>
      <c r="C70" s="19" t="s">
        <v>623</v>
      </c>
      <c r="D70" s="21">
        <v>8000</v>
      </c>
      <c r="E70" s="21">
        <v>0</v>
      </c>
      <c r="F70" s="21">
        <v>16000</v>
      </c>
      <c r="G70" s="20"/>
      <c r="H70" s="20"/>
      <c r="I70" s="20"/>
      <c r="J70" s="614">
        <f t="shared" si="29"/>
        <v>24000</v>
      </c>
      <c r="K70" s="124">
        <v>0.3</v>
      </c>
      <c r="L70" s="667">
        <v>7978.29</v>
      </c>
      <c r="M70" s="124"/>
      <c r="N70" s="667">
        <v>11378.95</v>
      </c>
      <c r="O70" s="663"/>
      <c r="P70" s="663"/>
      <c r="Q70" s="663"/>
      <c r="R70" s="659">
        <f t="shared" si="30"/>
        <v>19357.240000000002</v>
      </c>
      <c r="S70" s="115" t="s">
        <v>661</v>
      </c>
      <c r="T70" s="43">
        <v>2</v>
      </c>
      <c r="U70" s="43">
        <f t="shared" si="31"/>
        <v>5807.1720000000005</v>
      </c>
    </row>
    <row r="71" spans="1:21" ht="77.5" x14ac:dyDescent="0.35">
      <c r="B71" s="105" t="s">
        <v>426</v>
      </c>
      <c r="C71" s="19" t="s">
        <v>624</v>
      </c>
      <c r="D71" s="20">
        <v>8000</v>
      </c>
      <c r="E71" s="20">
        <v>16000</v>
      </c>
      <c r="F71" s="20">
        <v>16000</v>
      </c>
      <c r="G71" s="20"/>
      <c r="H71" s="20"/>
      <c r="I71" s="20"/>
      <c r="J71" s="614">
        <f t="shared" si="29"/>
        <v>40000</v>
      </c>
      <c r="K71" s="124">
        <v>0.3</v>
      </c>
      <c r="L71" s="667">
        <v>3950.91</v>
      </c>
      <c r="M71" s="667">
        <v>9613.09</v>
      </c>
      <c r="N71" s="667">
        <v>11751.37</v>
      </c>
      <c r="O71" s="663"/>
      <c r="P71" s="663"/>
      <c r="Q71" s="663"/>
      <c r="R71" s="659">
        <f t="shared" si="30"/>
        <v>25315.370000000003</v>
      </c>
      <c r="S71" s="115" t="s">
        <v>662</v>
      </c>
      <c r="T71" s="43">
        <v>4</v>
      </c>
    </row>
    <row r="72" spans="1:21" ht="15.5" x14ac:dyDescent="0.35">
      <c r="B72" s="105" t="s">
        <v>427</v>
      </c>
      <c r="C72" s="19"/>
      <c r="D72" s="20"/>
      <c r="E72" s="20"/>
      <c r="F72" s="20"/>
      <c r="G72" s="20"/>
      <c r="H72" s="20"/>
      <c r="I72" s="20"/>
      <c r="J72" s="614">
        <f t="shared" si="29"/>
        <v>0</v>
      </c>
      <c r="K72" s="124"/>
      <c r="L72" s="663"/>
      <c r="M72" s="663"/>
      <c r="N72" s="663"/>
      <c r="O72" s="663"/>
      <c r="P72" s="663"/>
      <c r="Q72" s="663"/>
      <c r="R72" s="659">
        <f t="shared" si="30"/>
        <v>0</v>
      </c>
      <c r="S72" s="115"/>
    </row>
    <row r="73" spans="1:21" ht="15.5" x14ac:dyDescent="0.35">
      <c r="B73" s="105" t="s">
        <v>428</v>
      </c>
      <c r="C73" s="19"/>
      <c r="D73" s="20"/>
      <c r="E73" s="20"/>
      <c r="F73" s="20"/>
      <c r="G73" s="20"/>
      <c r="H73" s="20"/>
      <c r="I73" s="20"/>
      <c r="J73" s="614">
        <f t="shared" si="29"/>
        <v>0</v>
      </c>
      <c r="K73" s="124"/>
      <c r="L73" s="663"/>
      <c r="M73" s="663"/>
      <c r="N73" s="663"/>
      <c r="O73" s="663"/>
      <c r="P73" s="663"/>
      <c r="Q73" s="663"/>
      <c r="R73" s="659">
        <f t="shared" si="30"/>
        <v>0</v>
      </c>
      <c r="S73" s="115"/>
    </row>
    <row r="74" spans="1:21" ht="15.5" x14ac:dyDescent="0.35">
      <c r="B74" s="105" t="s">
        <v>429</v>
      </c>
      <c r="C74" s="53"/>
      <c r="D74" s="21"/>
      <c r="E74" s="21"/>
      <c r="F74" s="21"/>
      <c r="G74" s="21"/>
      <c r="H74" s="21"/>
      <c r="I74" s="21"/>
      <c r="J74" s="614">
        <f t="shared" si="29"/>
        <v>0</v>
      </c>
      <c r="K74" s="125"/>
      <c r="L74" s="663"/>
      <c r="M74" s="663"/>
      <c r="N74" s="663"/>
      <c r="O74" s="663"/>
      <c r="P74" s="663"/>
      <c r="Q74" s="663"/>
      <c r="R74" s="659">
        <f t="shared" si="30"/>
        <v>0</v>
      </c>
      <c r="S74" s="116"/>
    </row>
    <row r="75" spans="1:21" ht="15.5" x14ac:dyDescent="0.35">
      <c r="B75" s="105" t="s">
        <v>430</v>
      </c>
      <c r="C75" s="53"/>
      <c r="D75" s="21"/>
      <c r="E75" s="21"/>
      <c r="F75" s="21"/>
      <c r="G75" s="21"/>
      <c r="H75" s="21"/>
      <c r="I75" s="21"/>
      <c r="J75" s="614">
        <f t="shared" si="29"/>
        <v>0</v>
      </c>
      <c r="K75" s="125"/>
      <c r="L75" s="663"/>
      <c r="M75" s="663"/>
      <c r="N75" s="663"/>
      <c r="O75" s="663"/>
      <c r="P75" s="663"/>
      <c r="Q75" s="663"/>
      <c r="R75" s="659">
        <f t="shared" si="30"/>
        <v>0</v>
      </c>
      <c r="S75" s="116"/>
    </row>
    <row r="76" spans="1:21" ht="15.5" x14ac:dyDescent="0.35">
      <c r="C76" s="106" t="s">
        <v>531</v>
      </c>
      <c r="D76" s="25">
        <f>SUM(D68:D75)</f>
        <v>22000</v>
      </c>
      <c r="E76" s="25">
        <f>SUM(E68:E75)</f>
        <v>32000</v>
      </c>
      <c r="F76" s="25">
        <f>SUM(F68:F75)</f>
        <v>52700</v>
      </c>
      <c r="G76" s="25">
        <f t="shared" ref="G76:I76" si="32">SUM(G68:G75)</f>
        <v>0</v>
      </c>
      <c r="H76" s="25">
        <f t="shared" si="32"/>
        <v>5000</v>
      </c>
      <c r="I76" s="25">
        <f t="shared" si="32"/>
        <v>0</v>
      </c>
      <c r="J76" s="616">
        <f>SUM(J68:J75)</f>
        <v>111700</v>
      </c>
      <c r="K76" s="118">
        <f>(K68*J68)+(K69*J69)+(K70*J70)+(K71*J71)+(K72*J72)+(K73*J73)+(K74*J74)+(K75*J75)</f>
        <v>33510</v>
      </c>
      <c r="L76" s="118">
        <f t="shared" ref="L76:N76" si="33">SUM(L68:L75)</f>
        <v>11929.2</v>
      </c>
      <c r="M76" s="118">
        <f t="shared" si="33"/>
        <v>17018.38</v>
      </c>
      <c r="N76" s="118">
        <f t="shared" si="33"/>
        <v>58827.6</v>
      </c>
      <c r="O76" s="118">
        <f t="shared" ref="O76:R76" si="34">SUM(O68:O75)</f>
        <v>0</v>
      </c>
      <c r="P76" s="118">
        <f t="shared" si="34"/>
        <v>0</v>
      </c>
      <c r="Q76" s="118">
        <f t="shared" si="34"/>
        <v>12000</v>
      </c>
      <c r="R76" s="639">
        <f t="shared" si="34"/>
        <v>99775.18</v>
      </c>
      <c r="S76" s="116"/>
    </row>
    <row r="77" spans="1:21" ht="15.5" x14ac:dyDescent="0.35">
      <c r="B77" s="104" t="s">
        <v>431</v>
      </c>
      <c r="C77" s="728"/>
      <c r="D77" s="698"/>
      <c r="E77" s="698"/>
      <c r="F77" s="698"/>
      <c r="G77" s="698"/>
      <c r="H77" s="698"/>
      <c r="I77" s="698"/>
      <c r="J77" s="698"/>
      <c r="K77" s="698"/>
      <c r="L77" s="698"/>
      <c r="M77" s="698"/>
      <c r="N77" s="698"/>
      <c r="O77" s="698"/>
      <c r="P77" s="698"/>
      <c r="Q77" s="698"/>
      <c r="R77" s="698"/>
      <c r="S77" s="698"/>
    </row>
    <row r="78" spans="1:21" ht="15.5" x14ac:dyDescent="0.35">
      <c r="B78" s="105" t="s">
        <v>432</v>
      </c>
      <c r="C78" s="19"/>
      <c r="D78" s="20"/>
      <c r="E78" s="20"/>
      <c r="F78" s="20"/>
      <c r="G78" s="20"/>
      <c r="H78" s="20"/>
      <c r="I78" s="20"/>
      <c r="J78" s="614">
        <f>SUM(D78:I78)</f>
        <v>0</v>
      </c>
      <c r="K78" s="124"/>
      <c r="L78" s="663"/>
      <c r="M78" s="663"/>
      <c r="N78" s="663"/>
      <c r="O78" s="663"/>
      <c r="P78" s="663"/>
      <c r="Q78" s="663"/>
      <c r="R78" s="638">
        <f>SUM(L78:Q78)</f>
        <v>0</v>
      </c>
      <c r="S78" s="115"/>
    </row>
    <row r="79" spans="1:21" ht="15.5" x14ac:dyDescent="0.35">
      <c r="B79" s="105" t="s">
        <v>433</v>
      </c>
      <c r="C79" s="19"/>
      <c r="D79" s="20"/>
      <c r="E79" s="20"/>
      <c r="F79" s="20"/>
      <c r="G79" s="20"/>
      <c r="H79" s="20"/>
      <c r="I79" s="20"/>
      <c r="J79" s="614">
        <f t="shared" ref="J79:J85" si="35">SUM(D79:I79)</f>
        <v>0</v>
      </c>
      <c r="K79" s="124"/>
      <c r="L79" s="663"/>
      <c r="M79" s="663"/>
      <c r="N79" s="663"/>
      <c r="O79" s="663"/>
      <c r="P79" s="663"/>
      <c r="Q79" s="663"/>
      <c r="R79" s="638">
        <f t="shared" ref="R79:R85" si="36">SUM(L79:Q79)</f>
        <v>0</v>
      </c>
      <c r="S79" s="115"/>
    </row>
    <row r="80" spans="1:21" ht="15.5" x14ac:dyDescent="0.35">
      <c r="B80" s="105" t="s">
        <v>434</v>
      </c>
      <c r="C80" s="19"/>
      <c r="D80" s="20"/>
      <c r="E80" s="20"/>
      <c r="F80" s="20"/>
      <c r="G80" s="20"/>
      <c r="H80" s="20"/>
      <c r="I80" s="20"/>
      <c r="J80" s="614">
        <f t="shared" si="35"/>
        <v>0</v>
      </c>
      <c r="K80" s="124"/>
      <c r="L80" s="663"/>
      <c r="M80" s="663"/>
      <c r="N80" s="663"/>
      <c r="O80" s="663"/>
      <c r="P80" s="663"/>
      <c r="Q80" s="663"/>
      <c r="R80" s="638">
        <f t="shared" si="36"/>
        <v>0</v>
      </c>
      <c r="S80" s="115"/>
    </row>
    <row r="81" spans="1:19" ht="15.5" x14ac:dyDescent="0.35">
      <c r="A81" s="44"/>
      <c r="B81" s="105" t="s">
        <v>435</v>
      </c>
      <c r="C81" s="19"/>
      <c r="D81" s="20"/>
      <c r="E81" s="20"/>
      <c r="F81" s="20"/>
      <c r="G81" s="20"/>
      <c r="H81" s="20"/>
      <c r="I81" s="20"/>
      <c r="J81" s="614">
        <f t="shared" si="35"/>
        <v>0</v>
      </c>
      <c r="K81" s="124"/>
      <c r="L81" s="663"/>
      <c r="M81" s="663"/>
      <c r="N81" s="663"/>
      <c r="O81" s="663"/>
      <c r="P81" s="663"/>
      <c r="Q81" s="663"/>
      <c r="R81" s="638">
        <f t="shared" si="36"/>
        <v>0</v>
      </c>
      <c r="S81" s="115"/>
    </row>
    <row r="82" spans="1:19" s="44" customFormat="1" ht="15.5" x14ac:dyDescent="0.35">
      <c r="A82" s="43"/>
      <c r="B82" s="105" t="s">
        <v>436</v>
      </c>
      <c r="C82" s="19"/>
      <c r="D82" s="20"/>
      <c r="E82" s="20"/>
      <c r="F82" s="20"/>
      <c r="G82" s="20"/>
      <c r="H82" s="20"/>
      <c r="I82" s="20"/>
      <c r="J82" s="614">
        <f t="shared" si="35"/>
        <v>0</v>
      </c>
      <c r="K82" s="124"/>
      <c r="L82" s="663"/>
      <c r="M82" s="663"/>
      <c r="N82" s="663"/>
      <c r="O82" s="663"/>
      <c r="P82" s="663"/>
      <c r="Q82" s="663"/>
      <c r="R82" s="638">
        <f t="shared" si="36"/>
        <v>0</v>
      </c>
      <c r="S82" s="115"/>
    </row>
    <row r="83" spans="1:19" ht="15.5" x14ac:dyDescent="0.35">
      <c r="B83" s="105" t="s">
        <v>437</v>
      </c>
      <c r="C83" s="19"/>
      <c r="D83" s="20"/>
      <c r="E83" s="20"/>
      <c r="F83" s="20"/>
      <c r="G83" s="20"/>
      <c r="H83" s="20"/>
      <c r="I83" s="20"/>
      <c r="J83" s="614">
        <f t="shared" si="35"/>
        <v>0</v>
      </c>
      <c r="K83" s="124"/>
      <c r="L83" s="663"/>
      <c r="M83" s="663"/>
      <c r="N83" s="663"/>
      <c r="O83" s="663"/>
      <c r="P83" s="663"/>
      <c r="Q83" s="663"/>
      <c r="R83" s="638">
        <f t="shared" si="36"/>
        <v>0</v>
      </c>
      <c r="S83" s="115"/>
    </row>
    <row r="84" spans="1:19" ht="15.5" x14ac:dyDescent="0.35">
      <c r="B84" s="105" t="s">
        <v>438</v>
      </c>
      <c r="C84" s="53"/>
      <c r="D84" s="21"/>
      <c r="E84" s="21"/>
      <c r="F84" s="21"/>
      <c r="G84" s="21"/>
      <c r="H84" s="21"/>
      <c r="I84" s="21"/>
      <c r="J84" s="614">
        <f t="shared" si="35"/>
        <v>0</v>
      </c>
      <c r="K84" s="125"/>
      <c r="L84" s="663"/>
      <c r="M84" s="663"/>
      <c r="N84" s="663"/>
      <c r="O84" s="663"/>
      <c r="P84" s="663"/>
      <c r="Q84" s="663"/>
      <c r="R84" s="638">
        <f t="shared" si="36"/>
        <v>0</v>
      </c>
      <c r="S84" s="116"/>
    </row>
    <row r="85" spans="1:19" ht="15.5" x14ac:dyDescent="0.35">
      <c r="B85" s="105" t="s">
        <v>439</v>
      </c>
      <c r="C85" s="53"/>
      <c r="D85" s="21"/>
      <c r="E85" s="21"/>
      <c r="F85" s="21"/>
      <c r="G85" s="21"/>
      <c r="H85" s="21"/>
      <c r="I85" s="21"/>
      <c r="J85" s="614">
        <f t="shared" si="35"/>
        <v>0</v>
      </c>
      <c r="K85" s="125"/>
      <c r="L85" s="663"/>
      <c r="M85" s="663"/>
      <c r="N85" s="663"/>
      <c r="O85" s="663"/>
      <c r="P85" s="663"/>
      <c r="Q85" s="663"/>
      <c r="R85" s="638">
        <f t="shared" si="36"/>
        <v>0</v>
      </c>
      <c r="S85" s="116"/>
    </row>
    <row r="86" spans="1:19" ht="15.5" x14ac:dyDescent="0.35">
      <c r="C86" s="106" t="s">
        <v>531</v>
      </c>
      <c r="D86" s="25">
        <f>SUM(D78:D85)</f>
        <v>0</v>
      </c>
      <c r="E86" s="25">
        <f>SUM(E78:E85)</f>
        <v>0</v>
      </c>
      <c r="F86" s="25">
        <f>SUM(F78:F85)</f>
        <v>0</v>
      </c>
      <c r="G86" s="25">
        <f t="shared" ref="G86:I86" si="37">SUM(G78:G85)</f>
        <v>0</v>
      </c>
      <c r="H86" s="25">
        <f t="shared" si="37"/>
        <v>0</v>
      </c>
      <c r="I86" s="25">
        <f t="shared" si="37"/>
        <v>0</v>
      </c>
      <c r="J86" s="616">
        <f>SUM(J78:J85)</f>
        <v>0</v>
      </c>
      <c r="K86" s="118">
        <f>(K78*J78)+(K79*J79)+(K80*J80)+(K81*J81)+(K82*J82)+(K83*J83)+(K84*J84)+(K85*J85)</f>
        <v>0</v>
      </c>
      <c r="L86" s="646">
        <f>SUM(L78:L85)</f>
        <v>0</v>
      </c>
      <c r="M86" s="118">
        <f t="shared" ref="M86:N86" si="38">SUM(M78:M85)</f>
        <v>0</v>
      </c>
      <c r="N86" s="118">
        <f t="shared" si="38"/>
        <v>0</v>
      </c>
      <c r="O86" s="118">
        <f t="shared" ref="O86:R86" si="39">SUM(O78:O85)</f>
        <v>0</v>
      </c>
      <c r="P86" s="118">
        <f t="shared" si="39"/>
        <v>0</v>
      </c>
      <c r="Q86" s="118">
        <f t="shared" si="39"/>
        <v>0</v>
      </c>
      <c r="R86" s="639">
        <f t="shared" si="39"/>
        <v>0</v>
      </c>
      <c r="S86" s="116"/>
    </row>
    <row r="87" spans="1:19" ht="15.5" x14ac:dyDescent="0.35">
      <c r="B87" s="104" t="s">
        <v>440</v>
      </c>
      <c r="C87" s="698"/>
      <c r="D87" s="698"/>
      <c r="E87" s="698"/>
      <c r="F87" s="698"/>
      <c r="G87" s="698"/>
      <c r="H87" s="698"/>
      <c r="I87" s="698"/>
      <c r="J87" s="698"/>
      <c r="K87" s="698"/>
      <c r="L87" s="698"/>
      <c r="M87" s="698"/>
      <c r="N87" s="698"/>
      <c r="O87" s="698"/>
      <c r="P87" s="698"/>
      <c r="Q87" s="698"/>
      <c r="R87" s="698"/>
      <c r="S87" s="698"/>
    </row>
    <row r="88" spans="1:19" ht="15.5" x14ac:dyDescent="0.35">
      <c r="B88" s="105" t="s">
        <v>441</v>
      </c>
      <c r="C88" s="19"/>
      <c r="D88" s="20"/>
      <c r="E88" s="20"/>
      <c r="F88" s="20"/>
      <c r="G88" s="20"/>
      <c r="H88" s="20"/>
      <c r="I88" s="20"/>
      <c r="J88" s="614">
        <f>SUM(D88:I88)</f>
        <v>0</v>
      </c>
      <c r="K88" s="124"/>
      <c r="L88" s="663"/>
      <c r="M88" s="663"/>
      <c r="N88" s="663"/>
      <c r="O88" s="663"/>
      <c r="P88" s="663"/>
      <c r="Q88" s="663"/>
      <c r="R88" s="638">
        <f>SUM(L88:Q88)</f>
        <v>0</v>
      </c>
      <c r="S88" s="115"/>
    </row>
    <row r="89" spans="1:19" ht="15.5" x14ac:dyDescent="0.35">
      <c r="B89" s="105" t="s">
        <v>442</v>
      </c>
      <c r="C89" s="19"/>
      <c r="D89" s="20"/>
      <c r="E89" s="20"/>
      <c r="F89" s="20"/>
      <c r="G89" s="20"/>
      <c r="H89" s="20"/>
      <c r="I89" s="20"/>
      <c r="J89" s="614">
        <f t="shared" ref="J89:J95" si="40">SUM(D89:I89)</f>
        <v>0</v>
      </c>
      <c r="K89" s="124"/>
      <c r="L89" s="663"/>
      <c r="M89" s="663"/>
      <c r="N89" s="663"/>
      <c r="O89" s="663"/>
      <c r="P89" s="663"/>
      <c r="Q89" s="663"/>
      <c r="R89" s="638">
        <f t="shared" ref="R89:R95" si="41">SUM(L89:Q89)</f>
        <v>0</v>
      </c>
      <c r="S89" s="115"/>
    </row>
    <row r="90" spans="1:19" ht="15.5" x14ac:dyDescent="0.35">
      <c r="B90" s="105" t="s">
        <v>443</v>
      </c>
      <c r="C90" s="19"/>
      <c r="D90" s="20"/>
      <c r="E90" s="20"/>
      <c r="F90" s="20"/>
      <c r="G90" s="20"/>
      <c r="H90" s="20"/>
      <c r="I90" s="20"/>
      <c r="J90" s="614">
        <f t="shared" si="40"/>
        <v>0</v>
      </c>
      <c r="K90" s="124"/>
      <c r="L90" s="663"/>
      <c r="M90" s="663"/>
      <c r="N90" s="663"/>
      <c r="O90" s="663"/>
      <c r="P90" s="663"/>
      <c r="Q90" s="663"/>
      <c r="R90" s="638">
        <f t="shared" si="41"/>
        <v>0</v>
      </c>
      <c r="S90" s="115"/>
    </row>
    <row r="91" spans="1:19" ht="15.5" x14ac:dyDescent="0.35">
      <c r="B91" s="105" t="s">
        <v>444</v>
      </c>
      <c r="C91" s="19"/>
      <c r="D91" s="20"/>
      <c r="E91" s="20"/>
      <c r="F91" s="20"/>
      <c r="G91" s="20"/>
      <c r="H91" s="20"/>
      <c r="I91" s="20"/>
      <c r="J91" s="614">
        <f t="shared" si="40"/>
        <v>0</v>
      </c>
      <c r="K91" s="124"/>
      <c r="L91" s="663"/>
      <c r="M91" s="663"/>
      <c r="N91" s="663"/>
      <c r="O91" s="663"/>
      <c r="P91" s="663"/>
      <c r="Q91" s="663"/>
      <c r="R91" s="638">
        <f t="shared" si="41"/>
        <v>0</v>
      </c>
      <c r="S91" s="115"/>
    </row>
    <row r="92" spans="1:19" ht="15.5" x14ac:dyDescent="0.35">
      <c r="B92" s="105" t="s">
        <v>445</v>
      </c>
      <c r="C92" s="19"/>
      <c r="D92" s="20"/>
      <c r="E92" s="20"/>
      <c r="F92" s="20"/>
      <c r="G92" s="20"/>
      <c r="H92" s="20"/>
      <c r="I92" s="20"/>
      <c r="J92" s="614">
        <f t="shared" si="40"/>
        <v>0</v>
      </c>
      <c r="K92" s="124"/>
      <c r="L92" s="663"/>
      <c r="M92" s="663"/>
      <c r="N92" s="663"/>
      <c r="O92" s="663"/>
      <c r="P92" s="663"/>
      <c r="Q92" s="663"/>
      <c r="R92" s="638">
        <f t="shared" si="41"/>
        <v>0</v>
      </c>
      <c r="S92" s="115"/>
    </row>
    <row r="93" spans="1:19" ht="15.5" x14ac:dyDescent="0.35">
      <c r="B93" s="105" t="s">
        <v>446</v>
      </c>
      <c r="C93" s="19"/>
      <c r="D93" s="20"/>
      <c r="E93" s="20"/>
      <c r="F93" s="20"/>
      <c r="G93" s="20"/>
      <c r="H93" s="20"/>
      <c r="I93" s="20"/>
      <c r="J93" s="614">
        <f t="shared" si="40"/>
        <v>0</v>
      </c>
      <c r="K93" s="124"/>
      <c r="L93" s="663"/>
      <c r="M93" s="663"/>
      <c r="N93" s="663"/>
      <c r="O93" s="663"/>
      <c r="P93" s="663"/>
      <c r="Q93" s="663"/>
      <c r="R93" s="638">
        <f t="shared" si="41"/>
        <v>0</v>
      </c>
      <c r="S93" s="115"/>
    </row>
    <row r="94" spans="1:19" ht="15.5" x14ac:dyDescent="0.35">
      <c r="B94" s="105" t="s">
        <v>447</v>
      </c>
      <c r="C94" s="53"/>
      <c r="D94" s="21"/>
      <c r="E94" s="21"/>
      <c r="F94" s="21"/>
      <c r="G94" s="21"/>
      <c r="H94" s="21"/>
      <c r="I94" s="21"/>
      <c r="J94" s="614">
        <f t="shared" si="40"/>
        <v>0</v>
      </c>
      <c r="K94" s="125"/>
      <c r="L94" s="663"/>
      <c r="M94" s="663"/>
      <c r="N94" s="663"/>
      <c r="O94" s="663"/>
      <c r="P94" s="663"/>
      <c r="Q94" s="663"/>
      <c r="R94" s="638">
        <f t="shared" si="41"/>
        <v>0</v>
      </c>
      <c r="S94" s="116"/>
    </row>
    <row r="95" spans="1:19" ht="15.5" x14ac:dyDescent="0.35">
      <c r="B95" s="105" t="s">
        <v>448</v>
      </c>
      <c r="C95" s="53"/>
      <c r="D95" s="21"/>
      <c r="E95" s="21"/>
      <c r="F95" s="21"/>
      <c r="G95" s="21"/>
      <c r="H95" s="21"/>
      <c r="I95" s="21"/>
      <c r="J95" s="614">
        <f t="shared" si="40"/>
        <v>0</v>
      </c>
      <c r="K95" s="125"/>
      <c r="L95" s="663"/>
      <c r="M95" s="663"/>
      <c r="N95" s="663"/>
      <c r="O95" s="663"/>
      <c r="P95" s="663"/>
      <c r="Q95" s="663"/>
      <c r="R95" s="638">
        <f t="shared" si="41"/>
        <v>0</v>
      </c>
      <c r="S95" s="116"/>
    </row>
    <row r="96" spans="1:19" ht="15.5" x14ac:dyDescent="0.35">
      <c r="C96" s="106" t="s">
        <v>531</v>
      </c>
      <c r="D96" s="22">
        <f>SUM(D88:D95)</f>
        <v>0</v>
      </c>
      <c r="E96" s="22">
        <f>SUM(E88:E95)</f>
        <v>0</v>
      </c>
      <c r="F96" s="22">
        <f>SUM(F88:F95)</f>
        <v>0</v>
      </c>
      <c r="G96" s="22">
        <f t="shared" ref="G96:I96" si="42">SUM(G88:G95)</f>
        <v>0</v>
      </c>
      <c r="H96" s="22">
        <f t="shared" si="42"/>
        <v>0</v>
      </c>
      <c r="I96" s="22">
        <f t="shared" si="42"/>
        <v>0</v>
      </c>
      <c r="J96" s="615">
        <f>SUM(J88:J95)</f>
        <v>0</v>
      </c>
      <c r="K96" s="118">
        <f>(K88*J88)+(K89*J89)+(K90*J90)+(K91*J91)+(K92*J92)+(K93*J93)+(K94*J94)+(K95*J95)</f>
        <v>0</v>
      </c>
      <c r="L96" s="118">
        <f t="shared" ref="L96:N96" si="43">SUM(L88:L95)</f>
        <v>0</v>
      </c>
      <c r="M96" s="118">
        <f t="shared" si="43"/>
        <v>0</v>
      </c>
      <c r="N96" s="118">
        <f t="shared" si="43"/>
        <v>0</v>
      </c>
      <c r="O96" s="118">
        <f t="shared" ref="O96:R96" si="44">SUM(O88:O95)</f>
        <v>0</v>
      </c>
      <c r="P96" s="118">
        <f t="shared" si="44"/>
        <v>0</v>
      </c>
      <c r="Q96" s="118">
        <f t="shared" si="44"/>
        <v>0</v>
      </c>
      <c r="R96" s="639">
        <f t="shared" si="44"/>
        <v>0</v>
      </c>
      <c r="S96" s="116"/>
    </row>
    <row r="97" spans="2:21" ht="15.5" x14ac:dyDescent="0.35">
      <c r="B97" s="7"/>
      <c r="C97" s="13"/>
      <c r="D97" s="27"/>
      <c r="E97" s="27"/>
      <c r="F97" s="27"/>
      <c r="G97" s="27"/>
      <c r="H97" s="27"/>
      <c r="I97" s="27"/>
      <c r="J97" s="618"/>
      <c r="K97" s="27"/>
      <c r="L97" s="27"/>
      <c r="M97" s="27"/>
      <c r="N97" s="27"/>
      <c r="O97" s="655"/>
      <c r="P97" s="27"/>
      <c r="Q97" s="27"/>
      <c r="R97" s="618"/>
      <c r="S97" s="13"/>
    </row>
    <row r="98" spans="2:21" ht="15.5" x14ac:dyDescent="0.35">
      <c r="B98" s="106" t="s">
        <v>449</v>
      </c>
      <c r="C98" s="728" t="s">
        <v>597</v>
      </c>
      <c r="D98" s="728"/>
      <c r="E98" s="728"/>
      <c r="F98" s="728"/>
      <c r="G98" s="728"/>
      <c r="H98" s="728"/>
      <c r="I98" s="728"/>
      <c r="J98" s="728"/>
      <c r="K98" s="728"/>
      <c r="L98" s="728"/>
      <c r="M98" s="728"/>
      <c r="N98" s="728"/>
      <c r="O98" s="728"/>
      <c r="P98" s="728"/>
      <c r="Q98" s="728"/>
      <c r="R98" s="728"/>
      <c r="S98" s="728"/>
    </row>
    <row r="99" spans="2:21" ht="15.5" x14ac:dyDescent="0.35">
      <c r="B99" s="104" t="s">
        <v>450</v>
      </c>
      <c r="C99" s="728" t="s">
        <v>598</v>
      </c>
      <c r="D99" s="728"/>
      <c r="E99" s="728"/>
      <c r="F99" s="728"/>
      <c r="G99" s="728"/>
      <c r="H99" s="728"/>
      <c r="I99" s="728"/>
      <c r="J99" s="728"/>
      <c r="K99" s="728"/>
      <c r="L99" s="728"/>
      <c r="M99" s="728"/>
      <c r="N99" s="728"/>
      <c r="O99" s="728"/>
      <c r="P99" s="728"/>
      <c r="Q99" s="728"/>
      <c r="R99" s="728"/>
      <c r="S99" s="728"/>
    </row>
    <row r="100" spans="2:21" ht="15.5" x14ac:dyDescent="0.35">
      <c r="B100" s="105" t="s">
        <v>451</v>
      </c>
      <c r="C100" s="19" t="s">
        <v>612</v>
      </c>
      <c r="D100" s="20"/>
      <c r="E100" s="20"/>
      <c r="F100" s="20"/>
      <c r="G100" s="20">
        <v>60000.263999999996</v>
      </c>
      <c r="H100" s="20">
        <v>70000</v>
      </c>
      <c r="I100" s="20">
        <v>43000</v>
      </c>
      <c r="J100" s="614">
        <f>SUM(D100:I100)</f>
        <v>173000.264</v>
      </c>
      <c r="K100" s="124">
        <v>0.1</v>
      </c>
      <c r="L100" s="653"/>
      <c r="M100" s="653"/>
      <c r="N100" s="653"/>
      <c r="O100" s="663">
        <v>70725.53</v>
      </c>
      <c r="P100" s="663">
        <v>8848.8365909091008</v>
      </c>
      <c r="Q100" s="663">
        <v>54000</v>
      </c>
      <c r="R100" s="659">
        <f>SUM(L100:Q100)</f>
        <v>133574.36659090911</v>
      </c>
      <c r="S100" s="115" t="s">
        <v>893</v>
      </c>
      <c r="U100" s="43">
        <f>+R100*K100</f>
        <v>13357.436659090912</v>
      </c>
    </row>
    <row r="101" spans="2:21" ht="15.5" x14ac:dyDescent="0.35">
      <c r="B101" s="105" t="s">
        <v>452</v>
      </c>
      <c r="C101" s="19" t="s">
        <v>614</v>
      </c>
      <c r="D101" s="20"/>
      <c r="E101" s="20"/>
      <c r="F101" s="20"/>
      <c r="G101" s="20">
        <v>70025</v>
      </c>
      <c r="H101" s="20">
        <v>80000</v>
      </c>
      <c r="I101" s="20">
        <v>35656.985105290201</v>
      </c>
      <c r="J101" s="614">
        <f t="shared" ref="J101:J107" si="45">SUM(D101:I101)</f>
        <v>185681.98510529019</v>
      </c>
      <c r="K101" s="124">
        <v>0.5</v>
      </c>
      <c r="L101" s="653"/>
      <c r="M101" s="653"/>
      <c r="N101" s="653"/>
      <c r="O101" s="663">
        <v>32359.21</v>
      </c>
      <c r="P101" s="663">
        <v>6100</v>
      </c>
      <c r="Q101" s="663">
        <v>87000</v>
      </c>
      <c r="R101" s="659">
        <f t="shared" ref="R101:R107" si="46">SUM(L101:Q101)</f>
        <v>125459.20999999999</v>
      </c>
      <c r="S101" s="115" t="s">
        <v>893</v>
      </c>
    </row>
    <row r="102" spans="2:21" ht="15.5" x14ac:dyDescent="0.35">
      <c r="B102" s="105" t="s">
        <v>453</v>
      </c>
      <c r="C102" s="19" t="s">
        <v>613</v>
      </c>
      <c r="D102" s="20"/>
      <c r="E102" s="20"/>
      <c r="F102" s="20"/>
      <c r="G102" s="20">
        <v>39824.000000000015</v>
      </c>
      <c r="H102" s="20">
        <v>43000</v>
      </c>
      <c r="I102" s="20">
        <v>45454.545454545398</v>
      </c>
      <c r="J102" s="614">
        <f t="shared" si="45"/>
        <v>128278.54545454541</v>
      </c>
      <c r="K102" s="124"/>
      <c r="L102" s="653"/>
      <c r="M102" s="653"/>
      <c r="N102" s="653"/>
      <c r="O102" s="663">
        <v>48485.06</v>
      </c>
      <c r="P102" s="663">
        <v>45454.545454545449</v>
      </c>
      <c r="Q102" s="663">
        <v>45862</v>
      </c>
      <c r="R102" s="659">
        <f t="shared" si="46"/>
        <v>139801.60545454544</v>
      </c>
      <c r="S102" s="115" t="s">
        <v>893</v>
      </c>
      <c r="U102" s="648"/>
    </row>
    <row r="103" spans="2:21" ht="46.5" x14ac:dyDescent="0.35">
      <c r="B103" s="105" t="s">
        <v>454</v>
      </c>
      <c r="C103" s="19" t="s">
        <v>599</v>
      </c>
      <c r="D103" s="20"/>
      <c r="E103" s="20"/>
      <c r="F103" s="20"/>
      <c r="G103" s="20">
        <v>20000</v>
      </c>
      <c r="H103" s="20">
        <v>12000</v>
      </c>
      <c r="I103" s="20">
        <v>35656.985105290201</v>
      </c>
      <c r="J103" s="614">
        <f t="shared" si="45"/>
        <v>67656.985105290194</v>
      </c>
      <c r="K103" s="124"/>
      <c r="L103" s="653"/>
      <c r="M103" s="653"/>
      <c r="N103" s="653"/>
      <c r="O103" s="663">
        <v>20000</v>
      </c>
      <c r="P103" s="663">
        <v>6100</v>
      </c>
      <c r="Q103" s="663">
        <v>15000</v>
      </c>
      <c r="R103" s="659">
        <f t="shared" si="46"/>
        <v>41100</v>
      </c>
      <c r="S103" s="115" t="s">
        <v>893</v>
      </c>
      <c r="U103" s="648"/>
    </row>
    <row r="104" spans="2:21" ht="62" x14ac:dyDescent="0.35">
      <c r="B104" s="105" t="s">
        <v>455</v>
      </c>
      <c r="C104" s="19" t="s">
        <v>625</v>
      </c>
      <c r="D104" s="20"/>
      <c r="E104" s="20"/>
      <c r="F104" s="20"/>
      <c r="G104" s="20">
        <v>10000</v>
      </c>
      <c r="H104" s="20">
        <v>3000</v>
      </c>
      <c r="I104" s="20">
        <v>8541.2429378531069</v>
      </c>
      <c r="J104" s="614">
        <f t="shared" si="45"/>
        <v>21541.242937853109</v>
      </c>
      <c r="K104" s="124">
        <v>0.3</v>
      </c>
      <c r="L104" s="653"/>
      <c r="M104" s="653"/>
      <c r="N104" s="653"/>
      <c r="O104" s="663">
        <v>0</v>
      </c>
      <c r="P104" s="663">
        <v>7200</v>
      </c>
      <c r="Q104" s="663">
        <v>6000</v>
      </c>
      <c r="R104" s="659">
        <f t="shared" si="46"/>
        <v>13200</v>
      </c>
      <c r="S104" s="115" t="s">
        <v>894</v>
      </c>
    </row>
    <row r="105" spans="2:21" ht="46.5" x14ac:dyDescent="0.35">
      <c r="B105" s="105" t="s">
        <v>456</v>
      </c>
      <c r="C105" s="19" t="s">
        <v>626</v>
      </c>
      <c r="D105" s="20"/>
      <c r="E105" s="20"/>
      <c r="F105" s="20"/>
      <c r="G105" s="20">
        <v>10000</v>
      </c>
      <c r="H105" s="20">
        <v>3000</v>
      </c>
      <c r="I105" s="20">
        <v>33898.305084745763</v>
      </c>
      <c r="J105" s="614">
        <f t="shared" si="45"/>
        <v>46898.305084745763</v>
      </c>
      <c r="K105" s="124">
        <v>0.3</v>
      </c>
      <c r="L105" s="653"/>
      <c r="M105" s="653"/>
      <c r="N105" s="653"/>
      <c r="O105" s="663"/>
      <c r="P105" s="663">
        <v>45623.635336414998</v>
      </c>
      <c r="Q105" s="663">
        <v>6000</v>
      </c>
      <c r="R105" s="659">
        <f t="shared" si="46"/>
        <v>51623.635336414998</v>
      </c>
      <c r="S105" s="115" t="s">
        <v>894</v>
      </c>
    </row>
    <row r="106" spans="2:21" ht="46.5" x14ac:dyDescent="0.35">
      <c r="B106" s="105" t="s">
        <v>457</v>
      </c>
      <c r="C106" s="53" t="s">
        <v>627</v>
      </c>
      <c r="D106" s="21"/>
      <c r="E106" s="21"/>
      <c r="F106" s="21"/>
      <c r="G106" s="21">
        <v>40446</v>
      </c>
      <c r="H106" s="21">
        <v>12000</v>
      </c>
      <c r="I106" s="21">
        <v>5674.545454545455</v>
      </c>
      <c r="J106" s="614">
        <f>SUM(D106:I106)</f>
        <v>58120.545454545456</v>
      </c>
      <c r="K106" s="125">
        <v>1</v>
      </c>
      <c r="L106" s="653"/>
      <c r="M106" s="653"/>
      <c r="N106" s="653"/>
      <c r="O106" s="663">
        <v>40446</v>
      </c>
      <c r="P106" s="663">
        <v>5674.5454545454504</v>
      </c>
      <c r="Q106" s="663">
        <v>36992</v>
      </c>
      <c r="R106" s="659">
        <f t="shared" si="46"/>
        <v>83112.545454545441</v>
      </c>
      <c r="S106" s="115" t="s">
        <v>893</v>
      </c>
    </row>
    <row r="107" spans="2:21" ht="77.5" x14ac:dyDescent="0.35">
      <c r="B107" s="105" t="s">
        <v>458</v>
      </c>
      <c r="C107" s="53" t="s">
        <v>628</v>
      </c>
      <c r="D107" s="21"/>
      <c r="E107" s="21"/>
      <c r="F107" s="21"/>
      <c r="G107" s="21">
        <v>10000</v>
      </c>
      <c r="H107" s="21">
        <v>4000</v>
      </c>
      <c r="I107" s="21">
        <v>20000</v>
      </c>
      <c r="J107" s="614">
        <f t="shared" si="45"/>
        <v>34000</v>
      </c>
      <c r="K107" s="125">
        <v>0.3</v>
      </c>
      <c r="L107" s="653"/>
      <c r="M107" s="653"/>
      <c r="N107" s="653"/>
      <c r="O107" s="663">
        <v>0</v>
      </c>
      <c r="P107" s="665">
        <f>7200+5000</f>
        <v>12200</v>
      </c>
      <c r="Q107" s="663">
        <v>8000</v>
      </c>
      <c r="R107" s="659">
        <f t="shared" si="46"/>
        <v>20200</v>
      </c>
      <c r="S107" s="115" t="s">
        <v>894</v>
      </c>
    </row>
    <row r="108" spans="2:21" ht="15.5" x14ac:dyDescent="0.35">
      <c r="C108" s="106" t="s">
        <v>531</v>
      </c>
      <c r="D108" s="22">
        <f>SUM(D100:D107)</f>
        <v>0</v>
      </c>
      <c r="E108" s="22">
        <f>SUM(E100:E107)</f>
        <v>0</v>
      </c>
      <c r="F108" s="22">
        <f>SUM(F100:F107)</f>
        <v>0</v>
      </c>
      <c r="G108" s="22">
        <f>SUM(G100:G107)</f>
        <v>260295.26400000002</v>
      </c>
      <c r="H108" s="22">
        <f t="shared" ref="H108" si="47">SUM(H100:H107)</f>
        <v>227000</v>
      </c>
      <c r="I108" s="22">
        <f>SUM(I100:I107)</f>
        <v>227882.60914227008</v>
      </c>
      <c r="J108" s="616">
        <f>SUM(J100:J107)</f>
        <v>715177.87314227002</v>
      </c>
      <c r="K108" s="118">
        <f>(K100*J100)+(K101*J101)+(K102*J102)+(K103*J103)+(K104*J104)+(K105*J105)+(K106*J106)+(K107*J107)</f>
        <v>198993.42881397021</v>
      </c>
      <c r="L108" s="118">
        <f t="shared" ref="L108:N108" si="48">SUM(L100:L107)</f>
        <v>0</v>
      </c>
      <c r="M108" s="118">
        <f t="shared" si="48"/>
        <v>0</v>
      </c>
      <c r="N108" s="118">
        <f t="shared" si="48"/>
        <v>0</v>
      </c>
      <c r="O108" s="118">
        <f t="shared" ref="O108:P108" si="49">SUM(O100:O107)</f>
        <v>212015.8</v>
      </c>
      <c r="P108" s="118">
        <f t="shared" si="49"/>
        <v>137201.56283641502</v>
      </c>
      <c r="Q108" s="118">
        <f>SUM(Q100:Q107)</f>
        <v>258854</v>
      </c>
      <c r="R108" s="639">
        <f>SUM(R100:R107)</f>
        <v>608071.36283641495</v>
      </c>
      <c r="S108" s="116"/>
    </row>
    <row r="109" spans="2:21" ht="15.5" x14ac:dyDescent="0.35">
      <c r="B109" s="104" t="s">
        <v>459</v>
      </c>
      <c r="C109" s="728" t="s">
        <v>898</v>
      </c>
      <c r="D109" s="728"/>
      <c r="E109" s="728"/>
      <c r="F109" s="728"/>
      <c r="G109" s="728"/>
      <c r="H109" s="728"/>
      <c r="I109" s="728"/>
      <c r="J109" s="728"/>
      <c r="K109" s="728"/>
      <c r="L109" s="728"/>
      <c r="M109" s="728"/>
      <c r="N109" s="728"/>
      <c r="O109" s="728"/>
      <c r="P109" s="728"/>
      <c r="Q109" s="728"/>
      <c r="R109" s="728"/>
      <c r="S109" s="728"/>
    </row>
    <row r="110" spans="2:21" ht="46.5" x14ac:dyDescent="0.35">
      <c r="B110" s="105" t="s">
        <v>460</v>
      </c>
      <c r="C110" s="19" t="s">
        <v>601</v>
      </c>
      <c r="D110" s="20"/>
      <c r="E110" s="20"/>
      <c r="F110" s="20"/>
      <c r="G110" s="20">
        <v>13750</v>
      </c>
      <c r="H110" s="20">
        <v>12000</v>
      </c>
      <c r="I110" s="20">
        <v>3636.363636363636</v>
      </c>
      <c r="J110" s="614">
        <f>SUM(D110:I110)</f>
        <v>29386.363636363636</v>
      </c>
      <c r="K110" s="124">
        <v>0.3</v>
      </c>
      <c r="L110" s="653"/>
      <c r="M110" s="653"/>
      <c r="N110" s="653"/>
      <c r="O110" s="20">
        <v>11600</v>
      </c>
      <c r="P110" s="20"/>
      <c r="Q110" s="663" t="s">
        <v>905</v>
      </c>
      <c r="R110" s="659">
        <f>SUM(L110:Q110)</f>
        <v>11600</v>
      </c>
      <c r="S110" s="115" t="s">
        <v>895</v>
      </c>
      <c r="U110" s="43">
        <f>+R110*K110</f>
        <v>3480</v>
      </c>
    </row>
    <row r="111" spans="2:21" ht="46.5" x14ac:dyDescent="0.35">
      <c r="B111" s="105" t="s">
        <v>461</v>
      </c>
      <c r="C111" s="19" t="s">
        <v>629</v>
      </c>
      <c r="D111" s="20"/>
      <c r="E111" s="20"/>
      <c r="F111" s="20"/>
      <c r="G111" s="20">
        <v>13750</v>
      </c>
      <c r="H111" s="20">
        <v>12000</v>
      </c>
      <c r="I111" s="20">
        <v>0</v>
      </c>
      <c r="J111" s="614">
        <f t="shared" ref="J111:J117" si="50">SUM(D111:I111)</f>
        <v>25750</v>
      </c>
      <c r="K111" s="124"/>
      <c r="L111" s="653"/>
      <c r="M111" s="653"/>
      <c r="N111" s="653"/>
      <c r="O111" s="20">
        <v>16351.259999999998</v>
      </c>
      <c r="P111" s="20"/>
      <c r="Q111" s="663">
        <v>6000</v>
      </c>
      <c r="R111" s="659">
        <f t="shared" ref="R111:R116" si="51">SUM(L111:Q111)</f>
        <v>22351.26</v>
      </c>
      <c r="S111" s="115" t="s">
        <v>895</v>
      </c>
      <c r="U111" s="43">
        <f t="shared" ref="U111:U116" si="52">+R111*K111</f>
        <v>0</v>
      </c>
    </row>
    <row r="112" spans="2:21" ht="46.5" x14ac:dyDescent="0.35">
      <c r="B112" s="105" t="s">
        <v>462</v>
      </c>
      <c r="C112" s="19" t="s">
        <v>602</v>
      </c>
      <c r="D112" s="20"/>
      <c r="E112" s="20"/>
      <c r="F112" s="20"/>
      <c r="G112" s="20">
        <v>15000</v>
      </c>
      <c r="H112" s="670">
        <v>2000</v>
      </c>
      <c r="I112" s="20">
        <v>13500</v>
      </c>
      <c r="J112" s="614">
        <f t="shared" si="50"/>
        <v>30500</v>
      </c>
      <c r="K112" s="124">
        <v>1</v>
      </c>
      <c r="L112" s="653"/>
      <c r="M112" s="653"/>
      <c r="N112" s="653"/>
      <c r="O112" s="20">
        <v>14664.34</v>
      </c>
      <c r="P112" s="20">
        <v>12073</v>
      </c>
      <c r="Q112" s="663">
        <v>6000</v>
      </c>
      <c r="R112" s="659">
        <f t="shared" si="51"/>
        <v>32737.34</v>
      </c>
      <c r="S112" s="115" t="s">
        <v>895</v>
      </c>
      <c r="U112" s="43">
        <f t="shared" si="52"/>
        <v>32737.34</v>
      </c>
    </row>
    <row r="113" spans="2:21" ht="46.5" x14ac:dyDescent="0.35">
      <c r="B113" s="105" t="s">
        <v>463</v>
      </c>
      <c r="C113" s="19" t="s">
        <v>604</v>
      </c>
      <c r="D113" s="20"/>
      <c r="E113" s="20"/>
      <c r="F113" s="20"/>
      <c r="G113" s="20">
        <v>16500</v>
      </c>
      <c r="H113" s="20">
        <v>6000</v>
      </c>
      <c r="I113" s="20">
        <v>1000</v>
      </c>
      <c r="J113" s="614">
        <f>SUM(D113:I113)</f>
        <v>23500</v>
      </c>
      <c r="K113" s="124">
        <v>0.3</v>
      </c>
      <c r="L113" s="653"/>
      <c r="M113" s="653"/>
      <c r="N113" s="653"/>
      <c r="O113" s="20">
        <v>17708.330000000002</v>
      </c>
      <c r="P113" s="20">
        <v>1000</v>
      </c>
      <c r="Q113" s="663">
        <v>6000</v>
      </c>
      <c r="R113" s="659">
        <f t="shared" si="51"/>
        <v>24708.33</v>
      </c>
      <c r="S113" s="115" t="s">
        <v>895</v>
      </c>
      <c r="U113" s="43">
        <f t="shared" si="52"/>
        <v>7412.4989999999998</v>
      </c>
    </row>
    <row r="114" spans="2:21" ht="46.5" x14ac:dyDescent="0.35">
      <c r="B114" s="105" t="s">
        <v>464</v>
      </c>
      <c r="C114" s="19" t="s">
        <v>605</v>
      </c>
      <c r="D114" s="20"/>
      <c r="E114" s="20"/>
      <c r="F114" s="20"/>
      <c r="G114" s="20">
        <v>15000</v>
      </c>
      <c r="H114" s="20">
        <v>6000</v>
      </c>
      <c r="I114" s="20">
        <v>654.54545454545496</v>
      </c>
      <c r="J114" s="614">
        <f>SUM(D114:I114)</f>
        <v>21654.545454545456</v>
      </c>
      <c r="K114" s="124"/>
      <c r="L114" s="653"/>
      <c r="M114" s="653"/>
      <c r="N114" s="653"/>
      <c r="O114" s="20">
        <v>26815.46</v>
      </c>
      <c r="P114" s="20">
        <v>654.54545454545496</v>
      </c>
      <c r="Q114" s="663">
        <v>6000</v>
      </c>
      <c r="R114" s="659">
        <f t="shared" si="51"/>
        <v>33470.005454545455</v>
      </c>
      <c r="S114" s="115" t="s">
        <v>895</v>
      </c>
      <c r="U114" s="43">
        <f t="shared" si="52"/>
        <v>0</v>
      </c>
    </row>
    <row r="115" spans="2:21" ht="46.5" x14ac:dyDescent="0.35">
      <c r="B115" s="105" t="s">
        <v>465</v>
      </c>
      <c r="C115" s="19" t="s">
        <v>606</v>
      </c>
      <c r="D115" s="20"/>
      <c r="E115" s="20"/>
      <c r="F115" s="20"/>
      <c r="G115" s="20">
        <v>10999.640000000001</v>
      </c>
      <c r="H115" s="20">
        <v>6000</v>
      </c>
      <c r="I115" s="20">
        <v>8738.5762711864409</v>
      </c>
      <c r="J115" s="614">
        <f>SUM(D115:I115)</f>
        <v>25738.21627118644</v>
      </c>
      <c r="K115" s="124"/>
      <c r="L115" s="653"/>
      <c r="M115" s="653"/>
      <c r="N115" s="653"/>
      <c r="O115" s="20">
        <v>65027.82</v>
      </c>
      <c r="P115" s="20">
        <v>8738.5762711864409</v>
      </c>
      <c r="Q115" s="663">
        <v>6000</v>
      </c>
      <c r="R115" s="659">
        <f t="shared" si="51"/>
        <v>79766.396271186444</v>
      </c>
      <c r="S115" s="115" t="s">
        <v>895</v>
      </c>
      <c r="U115" s="43">
        <f t="shared" si="52"/>
        <v>0</v>
      </c>
    </row>
    <row r="116" spans="2:21" ht="31" x14ac:dyDescent="0.35">
      <c r="B116" s="105" t="s">
        <v>466</v>
      </c>
      <c r="C116" s="19" t="s">
        <v>607</v>
      </c>
      <c r="D116" s="20"/>
      <c r="E116" s="20"/>
      <c r="F116" s="20"/>
      <c r="G116" s="20">
        <v>10000</v>
      </c>
      <c r="H116" s="20">
        <v>6000</v>
      </c>
      <c r="I116" s="20">
        <v>8541.2429378531106</v>
      </c>
      <c r="J116" s="614">
        <f>SUM(D116:I116)</f>
        <v>24541.242937853109</v>
      </c>
      <c r="K116" s="124">
        <v>0.3</v>
      </c>
      <c r="L116" s="653"/>
      <c r="M116" s="653"/>
      <c r="N116" s="653"/>
      <c r="O116" s="20">
        <v>23250.19</v>
      </c>
      <c r="P116" s="20">
        <v>8541.2429378531106</v>
      </c>
      <c r="Q116" s="663">
        <v>3000</v>
      </c>
      <c r="R116" s="659">
        <f t="shared" si="51"/>
        <v>34791.432937853111</v>
      </c>
      <c r="S116" s="115" t="s">
        <v>896</v>
      </c>
      <c r="U116" s="43">
        <f t="shared" si="52"/>
        <v>10437.429881355933</v>
      </c>
    </row>
    <row r="117" spans="2:21" ht="15.5" x14ac:dyDescent="0.35">
      <c r="B117" s="105" t="s">
        <v>467</v>
      </c>
      <c r="C117" s="53"/>
      <c r="D117" s="21"/>
      <c r="E117" s="21"/>
      <c r="F117" s="21"/>
      <c r="G117" s="21"/>
      <c r="H117" s="21"/>
      <c r="I117" s="21"/>
      <c r="J117" s="614">
        <f t="shared" si="50"/>
        <v>0</v>
      </c>
      <c r="K117" s="125"/>
      <c r="L117" s="653"/>
      <c r="M117" s="653"/>
      <c r="N117" s="653"/>
      <c r="O117" s="653"/>
      <c r="P117" s="20"/>
      <c r="Q117" s="20"/>
      <c r="R117" s="659">
        <f>SUM(L117:Q117)</f>
        <v>0</v>
      </c>
      <c r="S117" s="116"/>
    </row>
    <row r="118" spans="2:21" ht="15.5" x14ac:dyDescent="0.35">
      <c r="C118" s="106" t="s">
        <v>531</v>
      </c>
      <c r="D118" s="25">
        <f>SUM(D110:D117)</f>
        <v>0</v>
      </c>
      <c r="E118" s="25">
        <f>SUM(E110:E117)</f>
        <v>0</v>
      </c>
      <c r="F118" s="25">
        <f>SUM(F110:F117)</f>
        <v>0</v>
      </c>
      <c r="G118" s="25">
        <f>SUM(G110:G117)</f>
        <v>94999.64</v>
      </c>
      <c r="H118" s="25">
        <f t="shared" ref="H118:I118" si="53">SUM(H110:H117)</f>
        <v>50000</v>
      </c>
      <c r="I118" s="25">
        <f t="shared" si="53"/>
        <v>36070.728299948642</v>
      </c>
      <c r="J118" s="616">
        <f>SUM(J110:J117)</f>
        <v>181070.36829994863</v>
      </c>
      <c r="K118" s="118">
        <f>(K110*J110)+(K111*J111)+(K112*J112)+(K113*J113)+(K114*J114)+(K115*J115)+(K116*J116)+(K117*J117)</f>
        <v>53728.281972265024</v>
      </c>
      <c r="L118" s="646">
        <f>SUM(L110:L117)</f>
        <v>0</v>
      </c>
      <c r="M118" s="118">
        <f t="shared" ref="M118:N118" si="54">SUM(M110:M117)</f>
        <v>0</v>
      </c>
      <c r="N118" s="118">
        <f t="shared" si="54"/>
        <v>0</v>
      </c>
      <c r="O118" s="118">
        <f t="shared" ref="O118:Q118" si="55">SUM(O110:O117)</f>
        <v>175417.4</v>
      </c>
      <c r="P118" s="118">
        <f t="shared" si="55"/>
        <v>31007.364663585009</v>
      </c>
      <c r="Q118" s="118">
        <f t="shared" si="55"/>
        <v>33000</v>
      </c>
      <c r="R118" s="639">
        <f>SUM(R110:R117)</f>
        <v>239424.764663585</v>
      </c>
      <c r="S118" s="116"/>
    </row>
    <row r="119" spans="2:21" ht="15.5" x14ac:dyDescent="0.35">
      <c r="B119" s="107" t="s">
        <v>468</v>
      </c>
      <c r="C119" s="728" t="s">
        <v>603</v>
      </c>
      <c r="D119" s="728"/>
      <c r="E119" s="728"/>
      <c r="F119" s="728"/>
      <c r="G119" s="728"/>
      <c r="H119" s="728"/>
      <c r="I119" s="728"/>
      <c r="J119" s="728"/>
      <c r="K119" s="728"/>
      <c r="L119" s="728"/>
      <c r="M119" s="728"/>
      <c r="N119" s="728"/>
      <c r="O119" s="728"/>
      <c r="P119" s="728"/>
      <c r="Q119" s="728"/>
      <c r="R119" s="728"/>
      <c r="S119" s="728"/>
    </row>
    <row r="120" spans="2:21" ht="15.5" x14ac:dyDescent="0.35">
      <c r="B120" s="105" t="s">
        <v>469</v>
      </c>
      <c r="C120" s="19"/>
      <c r="D120" s="20"/>
      <c r="E120" s="20"/>
      <c r="F120" s="20"/>
      <c r="G120" s="20"/>
      <c r="H120" s="20"/>
      <c r="I120" s="20"/>
      <c r="J120" s="614"/>
      <c r="K120" s="124"/>
      <c r="L120" s="653"/>
      <c r="M120" s="653"/>
      <c r="N120" s="653"/>
      <c r="O120" s="20"/>
      <c r="P120" s="20"/>
      <c r="Q120" s="20"/>
      <c r="R120" s="638">
        <f>SUM(L120:Q120)</f>
        <v>0</v>
      </c>
      <c r="S120" s="115"/>
    </row>
    <row r="121" spans="2:21" ht="15.5" x14ac:dyDescent="0.35">
      <c r="B121" s="105" t="s">
        <v>470</v>
      </c>
      <c r="C121" s="19"/>
      <c r="D121" s="20"/>
      <c r="E121" s="20"/>
      <c r="F121" s="20"/>
      <c r="G121" s="20"/>
      <c r="H121" s="20"/>
      <c r="I121" s="20"/>
      <c r="J121" s="614"/>
      <c r="K121" s="124"/>
      <c r="L121" s="653"/>
      <c r="M121" s="653"/>
      <c r="N121" s="653"/>
      <c r="O121" s="20"/>
      <c r="P121" s="20"/>
      <c r="Q121" s="20"/>
      <c r="R121" s="638"/>
      <c r="S121" s="115"/>
    </row>
    <row r="122" spans="2:21" ht="15.5" x14ac:dyDescent="0.35">
      <c r="B122" s="105" t="s">
        <v>471</v>
      </c>
      <c r="C122" s="19"/>
      <c r="D122" s="20"/>
      <c r="E122" s="20"/>
      <c r="F122" s="20"/>
      <c r="G122" s="20"/>
      <c r="H122" s="20"/>
      <c r="I122" s="20"/>
      <c r="J122" s="614"/>
      <c r="K122" s="124"/>
      <c r="L122" s="653"/>
      <c r="M122" s="653"/>
      <c r="N122" s="653"/>
      <c r="O122" s="20"/>
      <c r="P122" s="20"/>
      <c r="Q122" s="20"/>
      <c r="R122" s="638"/>
      <c r="S122" s="115"/>
    </row>
    <row r="123" spans="2:21" ht="15.5" x14ac:dyDescent="0.35">
      <c r="B123" s="105" t="s">
        <v>472</v>
      </c>
      <c r="C123" s="19"/>
      <c r="D123" s="20"/>
      <c r="E123" s="20"/>
      <c r="F123" s="20"/>
      <c r="G123" s="20"/>
      <c r="H123" s="20"/>
      <c r="I123" s="20"/>
      <c r="J123" s="614"/>
      <c r="K123" s="124"/>
      <c r="L123" s="653"/>
      <c r="M123" s="653"/>
      <c r="N123" s="653"/>
      <c r="O123" s="20"/>
      <c r="P123" s="20"/>
      <c r="Q123" s="20"/>
      <c r="R123" s="638"/>
      <c r="S123" s="115"/>
    </row>
    <row r="124" spans="2:21" ht="15.5" x14ac:dyDescent="0.35">
      <c r="B124" s="105" t="s">
        <v>473</v>
      </c>
      <c r="C124" s="19"/>
      <c r="D124" s="20"/>
      <c r="E124" s="20"/>
      <c r="F124" s="20"/>
      <c r="G124" s="20"/>
      <c r="H124" s="20"/>
      <c r="I124" s="21"/>
      <c r="J124" s="614">
        <f t="shared" ref="J124:J127" si="56">SUM(D124:I124)</f>
        <v>0</v>
      </c>
      <c r="K124" s="124"/>
      <c r="L124" s="653"/>
      <c r="M124" s="653"/>
      <c r="N124" s="653"/>
      <c r="O124" s="20"/>
      <c r="P124" s="20"/>
      <c r="Q124" s="20"/>
      <c r="R124" s="638"/>
      <c r="S124" s="115"/>
    </row>
    <row r="125" spans="2:21" ht="15.5" x14ac:dyDescent="0.35">
      <c r="B125" s="105" t="s">
        <v>474</v>
      </c>
      <c r="C125" s="19"/>
      <c r="D125" s="20"/>
      <c r="E125" s="20"/>
      <c r="F125" s="20"/>
      <c r="G125" s="20"/>
      <c r="H125" s="20"/>
      <c r="I125" s="20"/>
      <c r="J125" s="614">
        <f t="shared" si="56"/>
        <v>0</v>
      </c>
      <c r="K125" s="124"/>
      <c r="L125" s="653"/>
      <c r="M125" s="653"/>
      <c r="N125" s="653"/>
      <c r="O125" s="20"/>
      <c r="P125" s="20"/>
      <c r="Q125" s="20"/>
      <c r="R125" s="638"/>
      <c r="S125" s="115"/>
    </row>
    <row r="126" spans="2:21" ht="15.5" x14ac:dyDescent="0.35">
      <c r="B126" s="105" t="s">
        <v>475</v>
      </c>
      <c r="C126" s="53"/>
      <c r="D126" s="21"/>
      <c r="E126" s="21"/>
      <c r="F126" s="21"/>
      <c r="G126" s="21"/>
      <c r="H126" s="21"/>
      <c r="I126" s="21"/>
      <c r="J126" s="614">
        <f t="shared" si="56"/>
        <v>0</v>
      </c>
      <c r="K126" s="125"/>
      <c r="L126" s="653"/>
      <c r="M126" s="653"/>
      <c r="N126" s="653"/>
      <c r="O126" s="20"/>
      <c r="P126" s="20"/>
      <c r="Q126" s="20"/>
      <c r="R126" s="638"/>
      <c r="S126" s="116"/>
    </row>
    <row r="127" spans="2:21" ht="15.5" x14ac:dyDescent="0.35">
      <c r="B127" s="105" t="s">
        <v>476</v>
      </c>
      <c r="C127" s="53"/>
      <c r="D127" s="21"/>
      <c r="E127" s="21"/>
      <c r="F127" s="21"/>
      <c r="G127" s="21"/>
      <c r="H127" s="21"/>
      <c r="I127" s="21"/>
      <c r="J127" s="614">
        <f t="shared" si="56"/>
        <v>0</v>
      </c>
      <c r="K127" s="125"/>
      <c r="L127" s="653"/>
      <c r="M127" s="653"/>
      <c r="N127" s="653"/>
      <c r="O127" s="20"/>
      <c r="P127" s="20"/>
      <c r="Q127" s="20"/>
      <c r="R127" s="638"/>
      <c r="S127" s="116"/>
    </row>
    <row r="128" spans="2:21" ht="15.5" x14ac:dyDescent="0.35">
      <c r="C128" s="106" t="s">
        <v>531</v>
      </c>
      <c r="D128" s="25">
        <f t="shared" ref="D128:J128" si="57">SUM(D120:D127)</f>
        <v>0</v>
      </c>
      <c r="E128" s="25">
        <f t="shared" si="57"/>
        <v>0</v>
      </c>
      <c r="F128" s="25">
        <f t="shared" si="57"/>
        <v>0</v>
      </c>
      <c r="G128" s="25">
        <f t="shared" si="57"/>
        <v>0</v>
      </c>
      <c r="H128" s="25">
        <f t="shared" si="57"/>
        <v>0</v>
      </c>
      <c r="I128" s="25">
        <f t="shared" si="57"/>
        <v>0</v>
      </c>
      <c r="J128" s="616">
        <f t="shared" si="57"/>
        <v>0</v>
      </c>
      <c r="K128" s="118">
        <f>(K120*J120)+(K121*J121)+(K122*J122)+(K123*J123)+(K124*J124)+(K125*J125)+(K126*J126)+(K127*J127)</f>
        <v>0</v>
      </c>
      <c r="L128" s="118"/>
      <c r="M128" s="118"/>
      <c r="N128" s="118"/>
      <c r="O128" s="118">
        <f t="shared" ref="O128:Q128" si="58">(O120*N120)+(O121*N121)+(O122*N122)+(O123*N123)+(O124*N124)+(O125*N125)+(O126*N126)+(O127*N127)</f>
        <v>0</v>
      </c>
      <c r="P128" s="118">
        <f t="shared" si="58"/>
        <v>0</v>
      </c>
      <c r="Q128" s="118">
        <f t="shared" si="58"/>
        <v>0</v>
      </c>
      <c r="R128" s="639">
        <f>SUM(R120:R127)</f>
        <v>0</v>
      </c>
      <c r="S128" s="116"/>
    </row>
    <row r="129" spans="2:21" ht="15.5" x14ac:dyDescent="0.35">
      <c r="B129" s="107" t="s">
        <v>477</v>
      </c>
      <c r="C129" s="728" t="s">
        <v>608</v>
      </c>
      <c r="D129" s="728"/>
      <c r="E129" s="728"/>
      <c r="F129" s="728"/>
      <c r="G129" s="728"/>
      <c r="H129" s="728"/>
      <c r="I129" s="728"/>
      <c r="J129" s="728"/>
      <c r="K129" s="728"/>
      <c r="L129" s="728"/>
      <c r="M129" s="728"/>
      <c r="N129" s="728"/>
      <c r="O129" s="728"/>
      <c r="P129" s="728"/>
      <c r="Q129" s="728"/>
      <c r="R129" s="728"/>
      <c r="S129" s="728"/>
    </row>
    <row r="130" spans="2:21" ht="31" x14ac:dyDescent="0.35">
      <c r="B130" s="105" t="s">
        <v>478</v>
      </c>
      <c r="C130" s="19" t="s">
        <v>609</v>
      </c>
      <c r="D130" s="20"/>
      <c r="E130" s="20"/>
      <c r="F130" s="20"/>
      <c r="G130" s="571">
        <v>12231.545171339563</v>
      </c>
      <c r="H130" s="20">
        <v>2000</v>
      </c>
      <c r="I130" s="20">
        <v>15000</v>
      </c>
      <c r="J130" s="614">
        <f>SUM(D130:I130)</f>
        <v>29231.545171339563</v>
      </c>
      <c r="K130" s="124">
        <v>0.3</v>
      </c>
      <c r="L130" s="653"/>
      <c r="M130" s="653"/>
      <c r="N130" s="653"/>
      <c r="O130" s="20">
        <v>14977</v>
      </c>
      <c r="P130" s="664">
        <v>10000</v>
      </c>
      <c r="Q130" s="663">
        <v>5000</v>
      </c>
      <c r="R130" s="659">
        <f>SUM(L130:Q130)</f>
        <v>29977</v>
      </c>
      <c r="S130" s="115"/>
      <c r="U130" s="43">
        <f>+R130*K130</f>
        <v>8993.1</v>
      </c>
    </row>
    <row r="131" spans="2:21" ht="31" x14ac:dyDescent="0.35">
      <c r="B131" s="105" t="s">
        <v>479</v>
      </c>
      <c r="C131" s="19" t="s">
        <v>610</v>
      </c>
      <c r="D131" s="20"/>
      <c r="E131" s="20"/>
      <c r="F131" s="20"/>
      <c r="G131" s="571">
        <v>8172.6666666666661</v>
      </c>
      <c r="H131" s="20">
        <v>3000</v>
      </c>
      <c r="I131" s="20">
        <v>15000</v>
      </c>
      <c r="J131" s="614">
        <f t="shared" ref="J131:J137" si="59">SUM(D131:I131)</f>
        <v>26172.666666666664</v>
      </c>
      <c r="K131" s="124">
        <v>0.3</v>
      </c>
      <c r="L131" s="653"/>
      <c r="M131" s="653"/>
      <c r="N131" s="653"/>
      <c r="O131" s="20">
        <v>8250</v>
      </c>
      <c r="P131" s="664">
        <v>10000</v>
      </c>
      <c r="Q131" s="663">
        <v>5000</v>
      </c>
      <c r="R131" s="659">
        <f t="shared" ref="R131:R137" si="60">SUM(L131:Q131)</f>
        <v>23250</v>
      </c>
      <c r="S131" s="115"/>
      <c r="U131" s="43">
        <f t="shared" ref="U131:U132" si="61">+R131*K131</f>
        <v>6975</v>
      </c>
    </row>
    <row r="132" spans="2:21" ht="31" x14ac:dyDescent="0.35">
      <c r="B132" s="105" t="s">
        <v>480</v>
      </c>
      <c r="C132" s="19" t="s">
        <v>611</v>
      </c>
      <c r="D132" s="20"/>
      <c r="E132" s="20"/>
      <c r="F132" s="20"/>
      <c r="G132" s="571">
        <v>8172.6666666666661</v>
      </c>
      <c r="H132" s="20">
        <v>3000</v>
      </c>
      <c r="I132" s="20">
        <v>15000</v>
      </c>
      <c r="J132" s="614">
        <f t="shared" si="59"/>
        <v>26172.666666666664</v>
      </c>
      <c r="K132" s="124">
        <v>0.3</v>
      </c>
      <c r="L132" s="653"/>
      <c r="M132" s="653"/>
      <c r="N132" s="653"/>
      <c r="O132" s="20">
        <v>9431</v>
      </c>
      <c r="P132" s="664">
        <v>10000</v>
      </c>
      <c r="Q132" s="663">
        <v>5000</v>
      </c>
      <c r="R132" s="659">
        <f t="shared" si="60"/>
        <v>24431</v>
      </c>
      <c r="S132" s="115"/>
      <c r="U132" s="43">
        <f t="shared" si="61"/>
        <v>7329.3</v>
      </c>
    </row>
    <row r="133" spans="2:21" ht="15.5" x14ac:dyDescent="0.35">
      <c r="B133" s="105" t="s">
        <v>481</v>
      </c>
      <c r="C133" s="19"/>
      <c r="D133" s="20"/>
      <c r="E133" s="20"/>
      <c r="F133" s="20"/>
      <c r="G133" s="20"/>
      <c r="H133" s="20"/>
      <c r="I133" s="20"/>
      <c r="J133" s="614">
        <f t="shared" si="59"/>
        <v>0</v>
      </c>
      <c r="K133" s="124"/>
      <c r="L133" s="653"/>
      <c r="M133" s="653"/>
      <c r="N133" s="653"/>
      <c r="O133" s="20"/>
      <c r="P133" s="20"/>
      <c r="Q133" s="20"/>
      <c r="R133" s="659">
        <f t="shared" si="60"/>
        <v>0</v>
      </c>
      <c r="S133" s="115"/>
    </row>
    <row r="134" spans="2:21" ht="15.5" x14ac:dyDescent="0.35">
      <c r="B134" s="105" t="s">
        <v>482</v>
      </c>
      <c r="C134" s="19"/>
      <c r="D134" s="20"/>
      <c r="E134" s="20"/>
      <c r="F134" s="20"/>
      <c r="G134" s="20"/>
      <c r="H134" s="20"/>
      <c r="I134" s="20"/>
      <c r="J134" s="614">
        <f t="shared" si="59"/>
        <v>0</v>
      </c>
      <c r="K134" s="124"/>
      <c r="L134" s="653"/>
      <c r="M134" s="653"/>
      <c r="N134" s="653"/>
      <c r="O134" s="20"/>
      <c r="P134" s="20"/>
      <c r="Q134" s="20"/>
      <c r="R134" s="659">
        <f t="shared" si="60"/>
        <v>0</v>
      </c>
      <c r="S134" s="115"/>
    </row>
    <row r="135" spans="2:21" ht="15.5" x14ac:dyDescent="0.35">
      <c r="B135" s="105" t="s">
        <v>483</v>
      </c>
      <c r="C135" s="19"/>
      <c r="D135" s="20"/>
      <c r="E135" s="20"/>
      <c r="F135" s="20"/>
      <c r="G135" s="20"/>
      <c r="H135" s="20"/>
      <c r="I135" s="20"/>
      <c r="J135" s="614">
        <f t="shared" si="59"/>
        <v>0</v>
      </c>
      <c r="K135" s="124"/>
      <c r="L135" s="653"/>
      <c r="M135" s="653"/>
      <c r="N135" s="653"/>
      <c r="O135" s="20"/>
      <c r="P135" s="20"/>
      <c r="Q135" s="20"/>
      <c r="R135" s="659">
        <f t="shared" si="60"/>
        <v>0</v>
      </c>
      <c r="S135" s="115"/>
    </row>
    <row r="136" spans="2:21" ht="15.5" x14ac:dyDescent="0.35">
      <c r="B136" s="105" t="s">
        <v>484</v>
      </c>
      <c r="C136" s="53"/>
      <c r="D136" s="21"/>
      <c r="E136" s="21"/>
      <c r="F136" s="21"/>
      <c r="G136" s="21"/>
      <c r="H136" s="21"/>
      <c r="I136" s="21"/>
      <c r="J136" s="614">
        <f t="shared" si="59"/>
        <v>0</v>
      </c>
      <c r="K136" s="125"/>
      <c r="L136" s="653"/>
      <c r="M136" s="653"/>
      <c r="N136" s="653"/>
      <c r="O136" s="20"/>
      <c r="P136" s="20"/>
      <c r="Q136" s="20"/>
      <c r="R136" s="659">
        <f t="shared" si="60"/>
        <v>0</v>
      </c>
      <c r="S136" s="116"/>
    </row>
    <row r="137" spans="2:21" ht="15.5" x14ac:dyDescent="0.35">
      <c r="B137" s="105" t="s">
        <v>485</v>
      </c>
      <c r="C137" s="53"/>
      <c r="D137" s="21"/>
      <c r="E137" s="21"/>
      <c r="F137" s="21"/>
      <c r="G137" s="21"/>
      <c r="H137" s="21"/>
      <c r="I137" s="21"/>
      <c r="J137" s="614">
        <f t="shared" si="59"/>
        <v>0</v>
      </c>
      <c r="K137" s="125"/>
      <c r="L137" s="653"/>
      <c r="M137" s="653"/>
      <c r="N137" s="653"/>
      <c r="O137" s="20"/>
      <c r="P137" s="20"/>
      <c r="Q137" s="20"/>
      <c r="R137" s="659">
        <f t="shared" si="60"/>
        <v>0</v>
      </c>
      <c r="S137" s="116"/>
    </row>
    <row r="138" spans="2:21" ht="15.5" x14ac:dyDescent="0.35">
      <c r="C138" s="106" t="s">
        <v>531</v>
      </c>
      <c r="D138" s="22">
        <f>SUM(D130:D137)</f>
        <v>0</v>
      </c>
      <c r="E138" s="22">
        <f>SUM(E130:E137)</f>
        <v>0</v>
      </c>
      <c r="F138" s="22">
        <f>SUM(F130:F137)</f>
        <v>0</v>
      </c>
      <c r="G138" s="22">
        <f>SUM(G130:G137)</f>
        <v>28576.878504672895</v>
      </c>
      <c r="H138" s="22">
        <f t="shared" ref="H138:I138" si="62">SUM(H130:H137)</f>
        <v>8000</v>
      </c>
      <c r="I138" s="22">
        <f t="shared" si="62"/>
        <v>45000</v>
      </c>
      <c r="J138" s="615">
        <f>SUM(J130:J137)</f>
        <v>81576.878504672903</v>
      </c>
      <c r="K138" s="118">
        <f>(K130*J130)+(K131*J131)+(K132*J132)+(K133*J133)+(K134*J134)+(K135*J135)+(K136*J136)+(K137*J137)</f>
        <v>24473.063551401869</v>
      </c>
      <c r="L138" s="118">
        <f t="shared" ref="L138:N138" si="63">SUM(L130:L137)</f>
        <v>0</v>
      </c>
      <c r="M138" s="118">
        <f t="shared" si="63"/>
        <v>0</v>
      </c>
      <c r="N138" s="118">
        <f t="shared" si="63"/>
        <v>0</v>
      </c>
      <c r="O138" s="118">
        <f t="shared" ref="O138:Q138" si="64">SUM(O130:O137)</f>
        <v>32658</v>
      </c>
      <c r="P138" s="118">
        <f t="shared" si="64"/>
        <v>30000</v>
      </c>
      <c r="Q138" s="118">
        <f t="shared" si="64"/>
        <v>15000</v>
      </c>
      <c r="R138" s="639">
        <f>SUM(R130:R137)</f>
        <v>77658</v>
      </c>
      <c r="S138" s="116"/>
    </row>
    <row r="139" spans="2:21" ht="15.5" x14ac:dyDescent="0.35">
      <c r="B139" s="7"/>
      <c r="C139" s="13"/>
      <c r="D139" s="27"/>
      <c r="E139" s="27"/>
      <c r="F139" s="27"/>
      <c r="G139" s="27"/>
      <c r="H139" s="27"/>
      <c r="I139" s="27"/>
      <c r="J139" s="618"/>
      <c r="K139" s="27"/>
      <c r="L139" s="27"/>
      <c r="M139" s="27"/>
      <c r="N139" s="27"/>
      <c r="O139" s="655"/>
      <c r="P139" s="27"/>
      <c r="Q139" s="27"/>
      <c r="R139" s="618"/>
      <c r="S139" s="77"/>
    </row>
    <row r="140" spans="2:21" ht="15.5" x14ac:dyDescent="0.35">
      <c r="B140" s="106" t="s">
        <v>486</v>
      </c>
      <c r="C140" s="728"/>
      <c r="D140" s="728"/>
      <c r="E140" s="728"/>
      <c r="F140" s="728"/>
      <c r="G140" s="728"/>
      <c r="H140" s="728"/>
      <c r="I140" s="728"/>
      <c r="J140" s="728"/>
      <c r="K140" s="728"/>
      <c r="L140" s="728"/>
      <c r="M140" s="728"/>
      <c r="N140" s="728"/>
      <c r="O140" s="728"/>
      <c r="P140" s="728"/>
      <c r="Q140" s="728"/>
      <c r="R140" s="728"/>
      <c r="S140" s="728"/>
    </row>
    <row r="141" spans="2:21" ht="15.5" x14ac:dyDescent="0.35">
      <c r="B141" s="104" t="s">
        <v>487</v>
      </c>
      <c r="C141" s="698"/>
      <c r="D141" s="698"/>
      <c r="E141" s="698"/>
      <c r="F141" s="698"/>
      <c r="G141" s="698"/>
      <c r="H141" s="698"/>
      <c r="I141" s="698"/>
      <c r="J141" s="698"/>
      <c r="K141" s="698"/>
      <c r="L141" s="698"/>
      <c r="M141" s="698"/>
      <c r="N141" s="698"/>
      <c r="O141" s="698"/>
      <c r="P141" s="698"/>
      <c r="Q141" s="698"/>
      <c r="R141" s="698"/>
      <c r="S141" s="698"/>
    </row>
    <row r="142" spans="2:21" ht="15.5" x14ac:dyDescent="0.35">
      <c r="B142" s="105" t="s">
        <v>488</v>
      </c>
      <c r="C142" s="19"/>
      <c r="D142" s="20"/>
      <c r="E142" s="20"/>
      <c r="F142" s="20"/>
      <c r="G142" s="20"/>
      <c r="H142" s="20"/>
      <c r="I142" s="20"/>
      <c r="J142" s="614">
        <f>SUM(D142:I142)</f>
        <v>0</v>
      </c>
      <c r="K142" s="124"/>
      <c r="L142" s="653"/>
      <c r="M142" s="653"/>
      <c r="N142" s="653"/>
      <c r="O142" s="20"/>
      <c r="P142" s="20"/>
      <c r="Q142" s="20"/>
      <c r="R142" s="659">
        <f>SUM(L142:Q142)</f>
        <v>0</v>
      </c>
      <c r="S142" s="115"/>
    </row>
    <row r="143" spans="2:21" ht="15.5" x14ac:dyDescent="0.35">
      <c r="B143" s="105" t="s">
        <v>489</v>
      </c>
      <c r="C143" s="19"/>
      <c r="D143" s="20"/>
      <c r="E143" s="20"/>
      <c r="F143" s="20"/>
      <c r="G143" s="20"/>
      <c r="H143" s="20"/>
      <c r="I143" s="20"/>
      <c r="J143" s="614">
        <f t="shared" ref="J143:J149" si="65">SUM(D143:I143)</f>
        <v>0</v>
      </c>
      <c r="K143" s="124"/>
      <c r="L143" s="653"/>
      <c r="M143" s="653"/>
      <c r="N143" s="653"/>
      <c r="O143" s="20"/>
      <c r="P143" s="20"/>
      <c r="Q143" s="20"/>
      <c r="R143" s="659">
        <f t="shared" ref="R143:R149" si="66">SUM(L143:Q143)</f>
        <v>0</v>
      </c>
      <c r="S143" s="115"/>
    </row>
    <row r="144" spans="2:21" ht="15.5" x14ac:dyDescent="0.35">
      <c r="B144" s="105" t="s">
        <v>490</v>
      </c>
      <c r="C144" s="19"/>
      <c r="D144" s="20"/>
      <c r="E144" s="20"/>
      <c r="F144" s="20"/>
      <c r="G144" s="20"/>
      <c r="H144" s="20"/>
      <c r="I144" s="20"/>
      <c r="J144" s="614">
        <f t="shared" si="65"/>
        <v>0</v>
      </c>
      <c r="K144" s="124"/>
      <c r="L144" s="653"/>
      <c r="M144" s="653"/>
      <c r="N144" s="653"/>
      <c r="O144" s="20"/>
      <c r="P144" s="20"/>
      <c r="Q144" s="20"/>
      <c r="R144" s="659">
        <f t="shared" si="66"/>
        <v>0</v>
      </c>
      <c r="S144" s="115"/>
    </row>
    <row r="145" spans="2:19" ht="15.5" x14ac:dyDescent="0.35">
      <c r="B145" s="105" t="s">
        <v>491</v>
      </c>
      <c r="C145" s="19"/>
      <c r="D145" s="20"/>
      <c r="E145" s="20"/>
      <c r="F145" s="20"/>
      <c r="G145" s="20"/>
      <c r="H145" s="20"/>
      <c r="I145" s="20"/>
      <c r="J145" s="614">
        <f t="shared" si="65"/>
        <v>0</v>
      </c>
      <c r="K145" s="124"/>
      <c r="L145" s="653"/>
      <c r="M145" s="653"/>
      <c r="N145" s="653"/>
      <c r="O145" s="20"/>
      <c r="P145" s="20"/>
      <c r="Q145" s="20"/>
      <c r="R145" s="659">
        <f t="shared" si="66"/>
        <v>0</v>
      </c>
      <c r="S145" s="115"/>
    </row>
    <row r="146" spans="2:19" ht="15.5" x14ac:dyDescent="0.35">
      <c r="B146" s="105" t="s">
        <v>492</v>
      </c>
      <c r="C146" s="19"/>
      <c r="D146" s="20"/>
      <c r="E146" s="20"/>
      <c r="F146" s="20"/>
      <c r="G146" s="20"/>
      <c r="H146" s="20"/>
      <c r="I146" s="20"/>
      <c r="J146" s="614">
        <f t="shared" si="65"/>
        <v>0</v>
      </c>
      <c r="K146" s="124"/>
      <c r="L146" s="653"/>
      <c r="M146" s="653"/>
      <c r="N146" s="653"/>
      <c r="O146" s="20"/>
      <c r="P146" s="20"/>
      <c r="Q146" s="20"/>
      <c r="R146" s="659">
        <f t="shared" si="66"/>
        <v>0</v>
      </c>
      <c r="S146" s="115"/>
    </row>
    <row r="147" spans="2:19" ht="15.5" x14ac:dyDescent="0.35">
      <c r="B147" s="105" t="s">
        <v>493</v>
      </c>
      <c r="C147" s="19"/>
      <c r="D147" s="20"/>
      <c r="E147" s="20"/>
      <c r="F147" s="20"/>
      <c r="G147" s="20"/>
      <c r="H147" s="20"/>
      <c r="I147" s="20"/>
      <c r="J147" s="614">
        <f t="shared" si="65"/>
        <v>0</v>
      </c>
      <c r="K147" s="124"/>
      <c r="L147" s="653"/>
      <c r="M147" s="653"/>
      <c r="N147" s="653"/>
      <c r="O147" s="20"/>
      <c r="P147" s="20"/>
      <c r="Q147" s="20"/>
      <c r="R147" s="659">
        <f t="shared" si="66"/>
        <v>0</v>
      </c>
      <c r="S147" s="115"/>
    </row>
    <row r="148" spans="2:19" ht="15.5" x14ac:dyDescent="0.35">
      <c r="B148" s="105" t="s">
        <v>494</v>
      </c>
      <c r="C148" s="53"/>
      <c r="D148" s="21"/>
      <c r="E148" s="21"/>
      <c r="F148" s="21"/>
      <c r="G148" s="21"/>
      <c r="H148" s="21"/>
      <c r="I148" s="21"/>
      <c r="J148" s="614">
        <f t="shared" si="65"/>
        <v>0</v>
      </c>
      <c r="K148" s="125"/>
      <c r="L148" s="653"/>
      <c r="M148" s="653"/>
      <c r="N148" s="653"/>
      <c r="O148" s="20"/>
      <c r="P148" s="20"/>
      <c r="Q148" s="20"/>
      <c r="R148" s="659">
        <f t="shared" si="66"/>
        <v>0</v>
      </c>
      <c r="S148" s="116"/>
    </row>
    <row r="149" spans="2:19" ht="15.5" x14ac:dyDescent="0.35">
      <c r="B149" s="105" t="s">
        <v>495</v>
      </c>
      <c r="C149" s="53"/>
      <c r="D149" s="21"/>
      <c r="E149" s="21"/>
      <c r="F149" s="21"/>
      <c r="G149" s="21"/>
      <c r="H149" s="21"/>
      <c r="I149" s="21"/>
      <c r="J149" s="614">
        <f t="shared" si="65"/>
        <v>0</v>
      </c>
      <c r="K149" s="125"/>
      <c r="L149" s="653"/>
      <c r="M149" s="653"/>
      <c r="N149" s="653"/>
      <c r="O149" s="20"/>
      <c r="P149" s="20"/>
      <c r="Q149" s="20"/>
      <c r="R149" s="659">
        <f t="shared" si="66"/>
        <v>0</v>
      </c>
      <c r="S149" s="116"/>
    </row>
    <row r="150" spans="2:19" ht="15.5" x14ac:dyDescent="0.35">
      <c r="C150" s="106" t="s">
        <v>531</v>
      </c>
      <c r="D150" s="22">
        <f>SUM(D142:D149)</f>
        <v>0</v>
      </c>
      <c r="E150" s="22">
        <f>SUM(E142:E149)</f>
        <v>0</v>
      </c>
      <c r="F150" s="22">
        <f>SUM(F142:F149)</f>
        <v>0</v>
      </c>
      <c r="G150" s="22">
        <f t="shared" ref="G150:I150" si="67">SUM(G142:G149)</f>
        <v>0</v>
      </c>
      <c r="H150" s="22">
        <f t="shared" si="67"/>
        <v>0</v>
      </c>
      <c r="I150" s="22">
        <f t="shared" si="67"/>
        <v>0</v>
      </c>
      <c r="J150" s="616">
        <f>SUM(J142:J149)</f>
        <v>0</v>
      </c>
      <c r="K150" s="118">
        <f>(K142*J142)+(K143*J143)+(K144*J144)+(K145*J145)+(K146*J146)+(K147*J147)+(K148*J148)+(K149*J149)</f>
        <v>0</v>
      </c>
      <c r="L150" s="118"/>
      <c r="M150" s="118"/>
      <c r="N150" s="118"/>
      <c r="O150" s="118">
        <f t="shared" ref="O150:Q150" si="68">(O142*N142)+(O143*N143)+(O144*N144)+(O145*N145)+(O146*N146)+(O147*N147)+(O148*N148)+(O149*N149)</f>
        <v>0</v>
      </c>
      <c r="P150" s="118">
        <f t="shared" si="68"/>
        <v>0</v>
      </c>
      <c r="Q150" s="118">
        <f t="shared" si="68"/>
        <v>0</v>
      </c>
      <c r="R150" s="639">
        <f>SUM(R142:R149)</f>
        <v>0</v>
      </c>
      <c r="S150" s="116"/>
    </row>
    <row r="151" spans="2:19" ht="15.5" x14ac:dyDescent="0.35">
      <c r="B151" s="104" t="s">
        <v>496</v>
      </c>
      <c r="C151" s="698"/>
      <c r="D151" s="698"/>
      <c r="E151" s="698"/>
      <c r="F151" s="698"/>
      <c r="G151" s="698"/>
      <c r="H151" s="698"/>
      <c r="I151" s="698"/>
      <c r="J151" s="698"/>
      <c r="K151" s="698"/>
      <c r="L151" s="698"/>
      <c r="M151" s="698"/>
      <c r="N151" s="698"/>
      <c r="O151" s="698"/>
      <c r="P151" s="698"/>
      <c r="Q151" s="698"/>
      <c r="R151" s="698"/>
      <c r="S151" s="698"/>
    </row>
    <row r="152" spans="2:19" ht="15.5" x14ac:dyDescent="0.35">
      <c r="B152" s="105" t="s">
        <v>497</v>
      </c>
      <c r="C152" s="19"/>
      <c r="D152" s="20"/>
      <c r="E152" s="20"/>
      <c r="F152" s="20"/>
      <c r="G152" s="20"/>
      <c r="H152" s="20"/>
      <c r="I152" s="20"/>
      <c r="J152" s="614">
        <f>SUM(D152:I152)</f>
        <v>0</v>
      </c>
      <c r="K152" s="124"/>
      <c r="L152" s="653"/>
      <c r="M152" s="653"/>
      <c r="N152" s="653"/>
      <c r="O152" s="20"/>
      <c r="P152" s="20"/>
      <c r="Q152" s="20"/>
      <c r="R152" s="638">
        <f>SUM(L152:Q152)</f>
        <v>0</v>
      </c>
      <c r="S152" s="115"/>
    </row>
    <row r="153" spans="2:19" ht="15.5" x14ac:dyDescent="0.35">
      <c r="B153" s="105" t="s">
        <v>498</v>
      </c>
      <c r="C153" s="19"/>
      <c r="D153" s="20"/>
      <c r="E153" s="20"/>
      <c r="F153" s="20"/>
      <c r="G153" s="20"/>
      <c r="H153" s="20"/>
      <c r="I153" s="20"/>
      <c r="J153" s="614">
        <f t="shared" ref="J153:J159" si="69">SUM(D153:I153)</f>
        <v>0</v>
      </c>
      <c r="K153" s="124"/>
      <c r="L153" s="653"/>
      <c r="M153" s="653"/>
      <c r="N153" s="653"/>
      <c r="O153" s="20"/>
      <c r="P153" s="20"/>
      <c r="Q153" s="20"/>
      <c r="R153" s="638">
        <f t="shared" ref="R153:R159" si="70">SUM(L153:Q153)</f>
        <v>0</v>
      </c>
      <c r="S153" s="115"/>
    </row>
    <row r="154" spans="2:19" ht="15.5" x14ac:dyDescent="0.35">
      <c r="B154" s="105" t="s">
        <v>499</v>
      </c>
      <c r="C154" s="19"/>
      <c r="D154" s="20"/>
      <c r="E154" s="20"/>
      <c r="F154" s="20"/>
      <c r="G154" s="20"/>
      <c r="H154" s="20"/>
      <c r="I154" s="20"/>
      <c r="J154" s="614">
        <f t="shared" si="69"/>
        <v>0</v>
      </c>
      <c r="K154" s="124"/>
      <c r="L154" s="653"/>
      <c r="M154" s="653"/>
      <c r="N154" s="653"/>
      <c r="O154" s="20"/>
      <c r="P154" s="20"/>
      <c r="Q154" s="20"/>
      <c r="R154" s="638">
        <f t="shared" si="70"/>
        <v>0</v>
      </c>
      <c r="S154" s="115"/>
    </row>
    <row r="155" spans="2:19" ht="15.5" x14ac:dyDescent="0.35">
      <c r="B155" s="105" t="s">
        <v>500</v>
      </c>
      <c r="C155" s="19"/>
      <c r="D155" s="20"/>
      <c r="E155" s="20"/>
      <c r="F155" s="20"/>
      <c r="G155" s="20"/>
      <c r="H155" s="20"/>
      <c r="I155" s="20"/>
      <c r="J155" s="614">
        <f t="shared" si="69"/>
        <v>0</v>
      </c>
      <c r="K155" s="124"/>
      <c r="L155" s="653"/>
      <c r="M155" s="653"/>
      <c r="N155" s="653"/>
      <c r="O155" s="20"/>
      <c r="P155" s="20"/>
      <c r="Q155" s="20"/>
      <c r="R155" s="638">
        <f t="shared" si="70"/>
        <v>0</v>
      </c>
      <c r="S155" s="115"/>
    </row>
    <row r="156" spans="2:19" ht="15.5" x14ac:dyDescent="0.35">
      <c r="B156" s="105" t="s">
        <v>501</v>
      </c>
      <c r="C156" s="19"/>
      <c r="D156" s="20"/>
      <c r="E156" s="20"/>
      <c r="F156" s="20"/>
      <c r="G156" s="20"/>
      <c r="H156" s="20"/>
      <c r="I156" s="20"/>
      <c r="J156" s="614">
        <f t="shared" si="69"/>
        <v>0</v>
      </c>
      <c r="K156" s="124"/>
      <c r="L156" s="653"/>
      <c r="M156" s="653"/>
      <c r="N156" s="653"/>
      <c r="O156" s="20"/>
      <c r="P156" s="20"/>
      <c r="Q156" s="20"/>
      <c r="R156" s="638">
        <f t="shared" si="70"/>
        <v>0</v>
      </c>
      <c r="S156" s="115"/>
    </row>
    <row r="157" spans="2:19" ht="15.5" x14ac:dyDescent="0.35">
      <c r="B157" s="105" t="s">
        <v>502</v>
      </c>
      <c r="C157" s="19"/>
      <c r="D157" s="20"/>
      <c r="E157" s="20"/>
      <c r="F157" s="20"/>
      <c r="G157" s="20"/>
      <c r="H157" s="20"/>
      <c r="I157" s="20"/>
      <c r="J157" s="614">
        <f t="shared" si="69"/>
        <v>0</v>
      </c>
      <c r="K157" s="124"/>
      <c r="L157" s="653"/>
      <c r="M157" s="653"/>
      <c r="N157" s="653"/>
      <c r="O157" s="20"/>
      <c r="P157" s="20"/>
      <c r="Q157" s="20"/>
      <c r="R157" s="638">
        <f t="shared" si="70"/>
        <v>0</v>
      </c>
      <c r="S157" s="115"/>
    </row>
    <row r="158" spans="2:19" ht="15.5" x14ac:dyDescent="0.35">
      <c r="B158" s="105" t="s">
        <v>503</v>
      </c>
      <c r="C158" s="53"/>
      <c r="D158" s="21"/>
      <c r="E158" s="21"/>
      <c r="F158" s="21"/>
      <c r="G158" s="21"/>
      <c r="H158" s="21"/>
      <c r="I158" s="21"/>
      <c r="J158" s="614">
        <f t="shared" si="69"/>
        <v>0</v>
      </c>
      <c r="K158" s="125"/>
      <c r="L158" s="653"/>
      <c r="M158" s="653"/>
      <c r="N158" s="653"/>
      <c r="O158" s="20"/>
      <c r="P158" s="20"/>
      <c r="Q158" s="20"/>
      <c r="R158" s="638">
        <f t="shared" si="70"/>
        <v>0</v>
      </c>
      <c r="S158" s="116"/>
    </row>
    <row r="159" spans="2:19" ht="15.5" x14ac:dyDescent="0.35">
      <c r="B159" s="105" t="s">
        <v>504</v>
      </c>
      <c r="C159" s="53"/>
      <c r="D159" s="21"/>
      <c r="E159" s="21"/>
      <c r="F159" s="21"/>
      <c r="G159" s="21"/>
      <c r="H159" s="21"/>
      <c r="I159" s="21"/>
      <c r="J159" s="614">
        <f t="shared" si="69"/>
        <v>0</v>
      </c>
      <c r="K159" s="125"/>
      <c r="L159" s="653"/>
      <c r="M159" s="653"/>
      <c r="N159" s="653"/>
      <c r="O159" s="20"/>
      <c r="P159" s="20"/>
      <c r="Q159" s="20"/>
      <c r="R159" s="638">
        <f t="shared" si="70"/>
        <v>0</v>
      </c>
      <c r="S159" s="116"/>
    </row>
    <row r="160" spans="2:19" ht="15.5" x14ac:dyDescent="0.35">
      <c r="C160" s="106" t="s">
        <v>531</v>
      </c>
      <c r="D160" s="25">
        <f>SUM(D152:D159)</f>
        <v>0</v>
      </c>
      <c r="E160" s="25">
        <f>SUM(E152:E159)</f>
        <v>0</v>
      </c>
      <c r="F160" s="25">
        <f>SUM(F152:F159)</f>
        <v>0</v>
      </c>
      <c r="G160" s="25">
        <f t="shared" ref="G160:I160" si="71">SUM(G152:G159)</f>
        <v>0</v>
      </c>
      <c r="H160" s="25">
        <f t="shared" si="71"/>
        <v>0</v>
      </c>
      <c r="I160" s="25">
        <f t="shared" si="71"/>
        <v>0</v>
      </c>
      <c r="J160" s="616">
        <f>SUM(J152:J159)</f>
        <v>0</v>
      </c>
      <c r="K160" s="118">
        <f>(K152*J152)+(K153*J153)+(K154*J154)+(K155*J155)+(K156*J156)+(K157*J157)+(K158*J158)+(K159*J159)</f>
        <v>0</v>
      </c>
      <c r="L160" s="118"/>
      <c r="M160" s="118"/>
      <c r="N160" s="118"/>
      <c r="O160" s="118">
        <f t="shared" ref="O160:P160" si="72">(O152*N152)+(O153*N153)+(O154*N154)+(O155*N155)+(O156*N156)+(O157*N157)+(O158*N158)+(O159*N159)</f>
        <v>0</v>
      </c>
      <c r="P160" s="118">
        <f t="shared" si="72"/>
        <v>0</v>
      </c>
      <c r="Q160" s="118">
        <f>(Q152*P152)+(Q153*P153)+(Q154*P154)+(Q155*P155)+(Q156*P156)+(Q157*P157)+(Q158*P158)+(Q159*P159)</f>
        <v>0</v>
      </c>
      <c r="R160" s="639">
        <f>SUM(R152:R159)</f>
        <v>0</v>
      </c>
      <c r="S160" s="116"/>
    </row>
    <row r="161" spans="2:19" ht="15.5" x14ac:dyDescent="0.35">
      <c r="B161" s="104" t="s">
        <v>505</v>
      </c>
      <c r="C161" s="698"/>
      <c r="D161" s="698"/>
      <c r="E161" s="698"/>
      <c r="F161" s="698"/>
      <c r="G161" s="698"/>
      <c r="H161" s="698"/>
      <c r="I161" s="698"/>
      <c r="J161" s="698"/>
      <c r="K161" s="698"/>
      <c r="L161" s="698"/>
      <c r="M161" s="698"/>
      <c r="N161" s="698"/>
      <c r="O161" s="698"/>
      <c r="P161" s="698"/>
      <c r="Q161" s="698"/>
      <c r="R161" s="698"/>
      <c r="S161" s="698"/>
    </row>
    <row r="162" spans="2:19" ht="15.5" x14ac:dyDescent="0.35">
      <c r="B162" s="105" t="s">
        <v>506</v>
      </c>
      <c r="C162" s="19"/>
      <c r="D162" s="20"/>
      <c r="E162" s="20"/>
      <c r="F162" s="20"/>
      <c r="G162" s="20"/>
      <c r="H162" s="20"/>
      <c r="I162" s="20"/>
      <c r="J162" s="614">
        <f>SUM(D162:I162)</f>
        <v>0</v>
      </c>
      <c r="K162" s="124"/>
      <c r="L162" s="653"/>
      <c r="M162" s="653"/>
      <c r="N162" s="653"/>
      <c r="O162" s="20"/>
      <c r="P162" s="20"/>
      <c r="Q162" s="20"/>
      <c r="R162" s="638"/>
      <c r="S162" s="115"/>
    </row>
    <row r="163" spans="2:19" ht="15.5" x14ac:dyDescent="0.35">
      <c r="B163" s="105" t="s">
        <v>507</v>
      </c>
      <c r="C163" s="19"/>
      <c r="D163" s="20"/>
      <c r="E163" s="20"/>
      <c r="F163" s="20"/>
      <c r="G163" s="20"/>
      <c r="H163" s="20"/>
      <c r="I163" s="20"/>
      <c r="J163" s="614">
        <f t="shared" ref="J163:J169" si="73">SUM(D163:I163)</f>
        <v>0</v>
      </c>
      <c r="K163" s="124"/>
      <c r="L163" s="653"/>
      <c r="M163" s="653"/>
      <c r="N163" s="653"/>
      <c r="O163" s="20"/>
      <c r="P163" s="20"/>
      <c r="Q163" s="20"/>
      <c r="R163" s="638"/>
      <c r="S163" s="115"/>
    </row>
    <row r="164" spans="2:19" ht="15.5" x14ac:dyDescent="0.35">
      <c r="B164" s="105" t="s">
        <v>508</v>
      </c>
      <c r="C164" s="19"/>
      <c r="D164" s="20"/>
      <c r="E164" s="20"/>
      <c r="F164" s="20"/>
      <c r="G164" s="20"/>
      <c r="H164" s="20"/>
      <c r="I164" s="20"/>
      <c r="J164" s="614">
        <f t="shared" si="73"/>
        <v>0</v>
      </c>
      <c r="K164" s="124"/>
      <c r="L164" s="653"/>
      <c r="M164" s="653"/>
      <c r="N164" s="653"/>
      <c r="O164" s="20"/>
      <c r="P164" s="20"/>
      <c r="Q164" s="20"/>
      <c r="R164" s="638"/>
      <c r="S164" s="115"/>
    </row>
    <row r="165" spans="2:19" ht="15.5" x14ac:dyDescent="0.35">
      <c r="B165" s="105" t="s">
        <v>509</v>
      </c>
      <c r="C165" s="19"/>
      <c r="D165" s="20"/>
      <c r="E165" s="20"/>
      <c r="F165" s="20"/>
      <c r="G165" s="20"/>
      <c r="H165" s="20"/>
      <c r="I165" s="20"/>
      <c r="J165" s="614">
        <f t="shared" si="73"/>
        <v>0</v>
      </c>
      <c r="K165" s="124"/>
      <c r="L165" s="653"/>
      <c r="M165" s="653"/>
      <c r="N165" s="653"/>
      <c r="O165" s="20"/>
      <c r="P165" s="20"/>
      <c r="Q165" s="20"/>
      <c r="R165" s="638"/>
      <c r="S165" s="115"/>
    </row>
    <row r="166" spans="2:19" ht="15.5" x14ac:dyDescent="0.35">
      <c r="B166" s="105" t="s">
        <v>510</v>
      </c>
      <c r="C166" s="19"/>
      <c r="D166" s="20"/>
      <c r="E166" s="20"/>
      <c r="F166" s="20"/>
      <c r="G166" s="20"/>
      <c r="H166" s="20"/>
      <c r="I166" s="20"/>
      <c r="J166" s="614">
        <f t="shared" si="73"/>
        <v>0</v>
      </c>
      <c r="K166" s="124"/>
      <c r="L166" s="653"/>
      <c r="M166" s="653"/>
      <c r="N166" s="653"/>
      <c r="O166" s="20"/>
      <c r="P166" s="20"/>
      <c r="Q166" s="20"/>
      <c r="R166" s="638"/>
      <c r="S166" s="115"/>
    </row>
    <row r="167" spans="2:19" ht="15.5" x14ac:dyDescent="0.35">
      <c r="B167" s="105" t="s">
        <v>511</v>
      </c>
      <c r="C167" s="19"/>
      <c r="D167" s="20"/>
      <c r="E167" s="20"/>
      <c r="F167" s="20"/>
      <c r="G167" s="20"/>
      <c r="H167" s="20"/>
      <c r="I167" s="20"/>
      <c r="J167" s="614">
        <f t="shared" si="73"/>
        <v>0</v>
      </c>
      <c r="K167" s="124"/>
      <c r="L167" s="653"/>
      <c r="M167" s="653"/>
      <c r="N167" s="653"/>
      <c r="O167" s="20"/>
      <c r="P167" s="20"/>
      <c r="Q167" s="20"/>
      <c r="R167" s="638"/>
      <c r="S167" s="115"/>
    </row>
    <row r="168" spans="2:19" ht="15.5" x14ac:dyDescent="0.35">
      <c r="B168" s="105" t="s">
        <v>512</v>
      </c>
      <c r="C168" s="53"/>
      <c r="D168" s="21"/>
      <c r="E168" s="21"/>
      <c r="F168" s="21"/>
      <c r="G168" s="21"/>
      <c r="H168" s="21"/>
      <c r="I168" s="21"/>
      <c r="J168" s="614">
        <f t="shared" si="73"/>
        <v>0</v>
      </c>
      <c r="K168" s="125"/>
      <c r="L168" s="653"/>
      <c r="M168" s="653"/>
      <c r="N168" s="653"/>
      <c r="O168" s="20"/>
      <c r="P168" s="20"/>
      <c r="Q168" s="20"/>
      <c r="R168" s="638"/>
      <c r="S168" s="116"/>
    </row>
    <row r="169" spans="2:19" ht="15.5" x14ac:dyDescent="0.35">
      <c r="B169" s="105" t="s">
        <v>513</v>
      </c>
      <c r="C169" s="53"/>
      <c r="D169" s="21"/>
      <c r="E169" s="21"/>
      <c r="F169" s="21"/>
      <c r="G169" s="21"/>
      <c r="H169" s="21"/>
      <c r="I169" s="21"/>
      <c r="J169" s="614">
        <f t="shared" si="73"/>
        <v>0</v>
      </c>
      <c r="K169" s="125"/>
      <c r="L169" s="653"/>
      <c r="M169" s="653"/>
      <c r="N169" s="653"/>
      <c r="O169" s="20"/>
      <c r="P169" s="20"/>
      <c r="Q169" s="20"/>
      <c r="R169" s="638"/>
      <c r="S169" s="116"/>
    </row>
    <row r="170" spans="2:19" ht="15.5" x14ac:dyDescent="0.35">
      <c r="C170" s="106" t="s">
        <v>531</v>
      </c>
      <c r="D170" s="25">
        <f>SUM(D162:D169)</f>
        <v>0</v>
      </c>
      <c r="E170" s="25">
        <f>SUM(E162:E169)</f>
        <v>0</v>
      </c>
      <c r="F170" s="25">
        <f>SUM(F162:F169)</f>
        <v>0</v>
      </c>
      <c r="G170" s="25">
        <f t="shared" ref="G170:I170" si="74">SUM(G162:G169)</f>
        <v>0</v>
      </c>
      <c r="H170" s="25">
        <f t="shared" si="74"/>
        <v>0</v>
      </c>
      <c r="I170" s="25">
        <f t="shared" si="74"/>
        <v>0</v>
      </c>
      <c r="J170" s="616">
        <f>SUM(J162:J169)</f>
        <v>0</v>
      </c>
      <c r="K170" s="118">
        <f>(K162*J162)+(K163*J163)+(K164*J164)+(K165*J165)+(K166*J166)+(K167*J167)+(K168*J168)+(K169*J169)</f>
        <v>0</v>
      </c>
      <c r="L170" s="118"/>
      <c r="M170" s="118"/>
      <c r="N170" s="118"/>
      <c r="O170" s="118">
        <f t="shared" ref="O170:Q170" si="75">(O162*N162)+(O163*N163)+(O164*N164)+(O165*N165)+(O166*N166)+(O167*N167)+(O168*N168)+(O169*N169)</f>
        <v>0</v>
      </c>
      <c r="P170" s="118">
        <f t="shared" si="75"/>
        <v>0</v>
      </c>
      <c r="Q170" s="118">
        <f t="shared" si="75"/>
        <v>0</v>
      </c>
      <c r="R170" s="639"/>
      <c r="S170" s="116"/>
    </row>
    <row r="171" spans="2:19" ht="15.5" x14ac:dyDescent="0.35">
      <c r="B171" s="104" t="s">
        <v>514</v>
      </c>
      <c r="C171" s="698"/>
      <c r="D171" s="698"/>
      <c r="E171" s="698"/>
      <c r="F171" s="698"/>
      <c r="G171" s="698"/>
      <c r="H171" s="698"/>
      <c r="I171" s="698"/>
      <c r="J171" s="698"/>
      <c r="K171" s="698"/>
      <c r="L171" s="698"/>
      <c r="M171" s="698"/>
      <c r="N171" s="698"/>
      <c r="O171" s="698"/>
      <c r="P171" s="698"/>
      <c r="Q171" s="698"/>
      <c r="R171" s="698"/>
      <c r="S171" s="698"/>
    </row>
    <row r="172" spans="2:19" ht="15.5" x14ac:dyDescent="0.35">
      <c r="B172" s="105" t="s">
        <v>515</v>
      </c>
      <c r="C172" s="19"/>
      <c r="D172" s="20"/>
      <c r="E172" s="20"/>
      <c r="F172" s="20"/>
      <c r="G172" s="20"/>
      <c r="H172" s="20"/>
      <c r="I172" s="20"/>
      <c r="J172" s="614">
        <f>SUM(D172:I172)</f>
        <v>0</v>
      </c>
      <c r="K172" s="124"/>
      <c r="L172" s="653"/>
      <c r="M172" s="653"/>
      <c r="N172" s="653"/>
      <c r="O172" s="20"/>
      <c r="P172" s="20"/>
      <c r="Q172" s="20"/>
      <c r="R172" s="638"/>
      <c r="S172" s="115"/>
    </row>
    <row r="173" spans="2:19" ht="15.5" x14ac:dyDescent="0.35">
      <c r="B173" s="105" t="s">
        <v>516</v>
      </c>
      <c r="C173" s="19"/>
      <c r="D173" s="20"/>
      <c r="E173" s="20"/>
      <c r="F173" s="20"/>
      <c r="G173" s="20"/>
      <c r="H173" s="20"/>
      <c r="I173" s="20"/>
      <c r="J173" s="614">
        <f t="shared" ref="J173:J179" si="76">SUM(D173:I173)</f>
        <v>0</v>
      </c>
      <c r="K173" s="124"/>
      <c r="L173" s="653"/>
      <c r="M173" s="653"/>
      <c r="N173" s="653"/>
      <c r="O173" s="20"/>
      <c r="P173" s="20"/>
      <c r="Q173" s="20"/>
      <c r="R173" s="638"/>
      <c r="S173" s="115"/>
    </row>
    <row r="174" spans="2:19" ht="15.5" x14ac:dyDescent="0.35">
      <c r="B174" s="105" t="s">
        <v>517</v>
      </c>
      <c r="C174" s="19"/>
      <c r="D174" s="20"/>
      <c r="E174" s="20"/>
      <c r="F174" s="20"/>
      <c r="G174" s="20"/>
      <c r="H174" s="20"/>
      <c r="I174" s="20"/>
      <c r="J174" s="614">
        <f t="shared" si="76"/>
        <v>0</v>
      </c>
      <c r="K174" s="124"/>
      <c r="L174" s="653"/>
      <c r="M174" s="653"/>
      <c r="N174" s="653"/>
      <c r="O174" s="20"/>
      <c r="P174" s="20"/>
      <c r="Q174" s="20"/>
      <c r="R174" s="638"/>
      <c r="S174" s="115"/>
    </row>
    <row r="175" spans="2:19" ht="15.5" x14ac:dyDescent="0.35">
      <c r="B175" s="105" t="s">
        <v>518</v>
      </c>
      <c r="C175" s="19"/>
      <c r="D175" s="20"/>
      <c r="E175" s="20"/>
      <c r="F175" s="20"/>
      <c r="G175" s="20"/>
      <c r="H175" s="20"/>
      <c r="I175" s="20"/>
      <c r="J175" s="614">
        <f t="shared" si="76"/>
        <v>0</v>
      </c>
      <c r="K175" s="124"/>
      <c r="L175" s="653"/>
      <c r="M175" s="653"/>
      <c r="N175" s="653"/>
      <c r="O175" s="20"/>
      <c r="P175" s="20"/>
      <c r="Q175" s="20"/>
      <c r="R175" s="638"/>
      <c r="S175" s="115"/>
    </row>
    <row r="176" spans="2:19" ht="15.5" x14ac:dyDescent="0.35">
      <c r="B176" s="105" t="s">
        <v>519</v>
      </c>
      <c r="C176" s="19"/>
      <c r="D176" s="20"/>
      <c r="E176" s="20"/>
      <c r="F176" s="20"/>
      <c r="G176" s="20"/>
      <c r="H176" s="20"/>
      <c r="I176" s="20"/>
      <c r="J176" s="614">
        <f t="shared" si="76"/>
        <v>0</v>
      </c>
      <c r="K176" s="124"/>
      <c r="L176" s="653"/>
      <c r="M176" s="653"/>
      <c r="N176" s="653"/>
      <c r="O176" s="20"/>
      <c r="P176" s="20"/>
      <c r="Q176" s="20"/>
      <c r="R176" s="638"/>
      <c r="S176" s="115"/>
    </row>
    <row r="177" spans="2:21" ht="15.5" x14ac:dyDescent="0.35">
      <c r="B177" s="105" t="s">
        <v>520</v>
      </c>
      <c r="C177" s="19"/>
      <c r="D177" s="20"/>
      <c r="E177" s="20"/>
      <c r="F177" s="20"/>
      <c r="G177" s="20"/>
      <c r="H177" s="20"/>
      <c r="I177" s="20"/>
      <c r="J177" s="614">
        <f t="shared" si="76"/>
        <v>0</v>
      </c>
      <c r="K177" s="124"/>
      <c r="L177" s="653"/>
      <c r="M177" s="653"/>
      <c r="N177" s="653"/>
      <c r="O177" s="20"/>
      <c r="P177" s="20"/>
      <c r="Q177" s="20"/>
      <c r="R177" s="638"/>
      <c r="S177" s="115"/>
    </row>
    <row r="178" spans="2:21" ht="15.5" x14ac:dyDescent="0.35">
      <c r="B178" s="105" t="s">
        <v>521</v>
      </c>
      <c r="C178" s="53"/>
      <c r="D178" s="21"/>
      <c r="E178" s="21"/>
      <c r="F178" s="21"/>
      <c r="G178" s="21"/>
      <c r="H178" s="21"/>
      <c r="I178" s="21"/>
      <c r="J178" s="614">
        <f t="shared" si="76"/>
        <v>0</v>
      </c>
      <c r="K178" s="125"/>
      <c r="L178" s="653"/>
      <c r="M178" s="653"/>
      <c r="N178" s="653"/>
      <c r="O178" s="20"/>
      <c r="P178" s="20"/>
      <c r="Q178" s="20"/>
      <c r="R178" s="638"/>
      <c r="S178" s="116"/>
    </row>
    <row r="179" spans="2:21" ht="15.5" x14ac:dyDescent="0.35">
      <c r="B179" s="105" t="s">
        <v>522</v>
      </c>
      <c r="C179" s="53"/>
      <c r="D179" s="21"/>
      <c r="E179" s="21"/>
      <c r="F179" s="21"/>
      <c r="G179" s="21"/>
      <c r="H179" s="21"/>
      <c r="I179" s="21"/>
      <c r="J179" s="614">
        <f t="shared" si="76"/>
        <v>0</v>
      </c>
      <c r="K179" s="125"/>
      <c r="L179" s="653"/>
      <c r="M179" s="653"/>
      <c r="N179" s="653"/>
      <c r="O179" s="20"/>
      <c r="P179" s="20"/>
      <c r="Q179" s="20"/>
      <c r="R179" s="638"/>
      <c r="S179" s="116"/>
    </row>
    <row r="180" spans="2:21" ht="15.5" x14ac:dyDescent="0.35">
      <c r="C180" s="106" t="s">
        <v>531</v>
      </c>
      <c r="D180" s="22">
        <f>SUM(D172:D179)</f>
        <v>0</v>
      </c>
      <c r="E180" s="22">
        <f>SUM(E172:E179)</f>
        <v>0</v>
      </c>
      <c r="F180" s="22">
        <f>SUM(F172:F179)</f>
        <v>0</v>
      </c>
      <c r="G180" s="22">
        <f t="shared" ref="G180:I180" si="77">SUM(G172:G179)</f>
        <v>0</v>
      </c>
      <c r="H180" s="22">
        <f t="shared" si="77"/>
        <v>0</v>
      </c>
      <c r="I180" s="22">
        <f t="shared" si="77"/>
        <v>0</v>
      </c>
      <c r="J180" s="615">
        <f>SUM(J172:J179)</f>
        <v>0</v>
      </c>
      <c r="K180" s="118">
        <f>(K172*J172)+(K173*J173)+(K174*J174)+(K175*J175)+(K176*J176)+(K177*J177)+(K178*J178)+(K179*J179)</f>
        <v>0</v>
      </c>
      <c r="L180" s="118"/>
      <c r="M180" s="118"/>
      <c r="N180" s="118"/>
      <c r="O180" s="118">
        <f t="shared" ref="O180:Q180" si="78">(O172*N172)+(O173*N173)+(O174*N174)+(O175*N175)+(O176*N176)+(O177*N177)+(O178*N178)+(O179*N179)</f>
        <v>0</v>
      </c>
      <c r="P180" s="118">
        <f t="shared" si="78"/>
        <v>0</v>
      </c>
      <c r="Q180" s="118">
        <f t="shared" si="78"/>
        <v>0</v>
      </c>
      <c r="R180" s="639"/>
      <c r="S180" s="116"/>
    </row>
    <row r="181" spans="2:21" ht="15.5" x14ac:dyDescent="0.35">
      <c r="B181" s="7"/>
      <c r="C181" s="13"/>
      <c r="D181" s="27"/>
      <c r="E181" s="27"/>
      <c r="F181" s="27"/>
      <c r="G181" s="27"/>
      <c r="H181" s="27"/>
      <c r="I181" s="27"/>
      <c r="J181" s="618"/>
      <c r="K181" s="27"/>
      <c r="L181" s="27"/>
      <c r="M181" s="27"/>
      <c r="N181" s="27"/>
      <c r="O181" s="655"/>
      <c r="P181" s="27"/>
      <c r="Q181" s="27"/>
      <c r="R181" s="618"/>
      <c r="S181" s="13"/>
    </row>
    <row r="182" spans="2:21" ht="15.5" x14ac:dyDescent="0.35">
      <c r="B182" s="7"/>
      <c r="C182" s="13"/>
      <c r="D182" s="27"/>
      <c r="E182" s="27"/>
      <c r="F182" s="27"/>
      <c r="G182" s="27"/>
      <c r="H182" s="27"/>
      <c r="I182" s="27"/>
      <c r="J182" s="618"/>
      <c r="K182" s="27"/>
      <c r="L182" s="27"/>
      <c r="M182" s="27"/>
      <c r="N182" s="27"/>
      <c r="O182" s="655"/>
      <c r="P182" s="27"/>
      <c r="Q182" s="27"/>
      <c r="R182" s="618"/>
      <c r="S182" s="13"/>
    </row>
    <row r="183" spans="2:21" ht="75.75" customHeight="1" x14ac:dyDescent="0.35">
      <c r="B183" s="106" t="s">
        <v>523</v>
      </c>
      <c r="C183" s="18"/>
      <c r="D183" s="35">
        <v>180000</v>
      </c>
      <c r="E183" s="35">
        <v>50000</v>
      </c>
      <c r="F183" s="35">
        <v>50000</v>
      </c>
      <c r="G183" s="35">
        <f>'[1]BURKINA FAO Format'!$I$24</f>
        <v>188910.43502824858</v>
      </c>
      <c r="H183" s="35">
        <v>50000</v>
      </c>
      <c r="I183" s="35">
        <v>45715.072500000002</v>
      </c>
      <c r="J183" s="619">
        <f>SUM(D183:I183)</f>
        <v>564625.50752824859</v>
      </c>
      <c r="K183" s="126">
        <v>0.3</v>
      </c>
      <c r="L183" s="669">
        <v>162973.82999999999</v>
      </c>
      <c r="M183" s="667">
        <v>60111.92</v>
      </c>
      <c r="N183" s="669">
        <v>36348.699999999997</v>
      </c>
      <c r="O183" s="20">
        <v>118900</v>
      </c>
      <c r="P183" s="664">
        <v>49810</v>
      </c>
      <c r="Q183" s="20">
        <v>15911</v>
      </c>
      <c r="R183" s="645">
        <f>SUM(L183:Q183)</f>
        <v>444055.45</v>
      </c>
      <c r="S183" s="120"/>
      <c r="U183" s="43">
        <f>+R183*K183</f>
        <v>133216.63500000001</v>
      </c>
    </row>
    <row r="184" spans="2:21" ht="46.5" x14ac:dyDescent="0.35">
      <c r="B184" s="106" t="s">
        <v>524</v>
      </c>
      <c r="C184" s="18"/>
      <c r="D184" s="35">
        <v>24789</v>
      </c>
      <c r="E184" s="35">
        <v>23455</v>
      </c>
      <c r="F184" s="35">
        <v>23455</v>
      </c>
      <c r="G184" s="35">
        <f>'[1]BURKINA FAO Format'!$I$44+'[1]BURKINA FAO Format'!$I$69+'[1]BURKINA FAO Format'!$I$70+'[1]BURKINA FAO Format'!$I$80+'[1]BURKINA FAO Format'!$I$84</f>
        <v>30423.333333333336</v>
      </c>
      <c r="H184" s="35">
        <v>25500</v>
      </c>
      <c r="I184" s="35">
        <f>'Niger FAO Format'!I38+'Niger FAO Format'!I61+'Niger FAO Format'!I62+'Niger FAO Format'!I75+'Niger FAO Format'!I79</f>
        <v>38392.333333333336</v>
      </c>
      <c r="J184" s="619">
        <f t="shared" ref="J184:J186" si="79">SUM(D184:I184)</f>
        <v>166014.66666666669</v>
      </c>
      <c r="K184" s="126">
        <v>0.3</v>
      </c>
      <c r="L184" s="669">
        <v>13575.05</v>
      </c>
      <c r="M184" s="669">
        <v>22028.18</v>
      </c>
      <c r="N184" s="669">
        <v>26394.48</v>
      </c>
      <c r="O184" s="20"/>
      <c r="P184" s="664">
        <f>25000+1032.53625</f>
        <v>26032.536250000001</v>
      </c>
      <c r="Q184" s="20">
        <v>8016</v>
      </c>
      <c r="R184" s="645">
        <f t="shared" ref="R184:R186" si="80">SUM(L184:Q184)</f>
        <v>96046.246249999997</v>
      </c>
      <c r="S184" s="120"/>
      <c r="U184" s="43">
        <f t="shared" ref="U184:U186" si="81">+R184*K184</f>
        <v>28813.873874999997</v>
      </c>
    </row>
    <row r="185" spans="2:21" ht="15.5" x14ac:dyDescent="0.35">
      <c r="B185" s="106" t="s">
        <v>525</v>
      </c>
      <c r="C185" s="121"/>
      <c r="D185" s="35">
        <v>23388.66</v>
      </c>
      <c r="E185" s="35">
        <v>27305.279999999999</v>
      </c>
      <c r="F185" s="35">
        <v>27305.279999999999</v>
      </c>
      <c r="G185" s="35">
        <f>'[1]BURKINA FAO Format'!$I$56</f>
        <v>40000</v>
      </c>
      <c r="H185" s="35">
        <v>21893.747663551403</v>
      </c>
      <c r="I185" s="35">
        <f>'Niger FAO Format'!I50</f>
        <v>15000</v>
      </c>
      <c r="J185" s="619">
        <f t="shared" si="79"/>
        <v>154892.96766355139</v>
      </c>
      <c r="K185" s="126">
        <v>0.3</v>
      </c>
      <c r="L185" s="669">
        <v>27807.5</v>
      </c>
      <c r="M185" s="669"/>
      <c r="N185" s="669">
        <v>2343.37</v>
      </c>
      <c r="O185" s="20">
        <v>12477</v>
      </c>
      <c r="P185" s="664">
        <f>7500+1032.53625</f>
        <v>8532.536250000001</v>
      </c>
      <c r="Q185" s="20"/>
      <c r="R185" s="645">
        <f t="shared" si="80"/>
        <v>51160.40625</v>
      </c>
      <c r="S185" s="120"/>
      <c r="U185" s="43">
        <f t="shared" si="81"/>
        <v>15348.121874999999</v>
      </c>
    </row>
    <row r="186" spans="2:21" ht="31" x14ac:dyDescent="0.35">
      <c r="B186" s="122" t="s">
        <v>526</v>
      </c>
      <c r="C186" s="18"/>
      <c r="D186" s="35">
        <v>10000</v>
      </c>
      <c r="E186" s="35">
        <v>5000</v>
      </c>
      <c r="F186" s="35">
        <v>5000</v>
      </c>
      <c r="G186" s="35">
        <f>'[1]BURKINA FAO Format'!$I$71</f>
        <v>11000</v>
      </c>
      <c r="H186" s="35">
        <v>16667</v>
      </c>
      <c r="I186" s="35">
        <f>'Niger FAO Format'!I63</f>
        <v>12500</v>
      </c>
      <c r="J186" s="619">
        <f t="shared" si="79"/>
        <v>60167</v>
      </c>
      <c r="K186" s="126">
        <v>0.3</v>
      </c>
      <c r="L186" s="669"/>
      <c r="M186" s="669"/>
      <c r="N186" s="669"/>
      <c r="O186" s="20"/>
      <c r="P186" s="20"/>
      <c r="Q186" s="20"/>
      <c r="R186" s="645">
        <f t="shared" si="80"/>
        <v>0</v>
      </c>
      <c r="S186" s="120"/>
      <c r="U186" s="43">
        <f t="shared" si="81"/>
        <v>0</v>
      </c>
    </row>
    <row r="187" spans="2:21" ht="15.5" x14ac:dyDescent="0.35">
      <c r="B187" s="7"/>
      <c r="C187" s="123" t="s">
        <v>532</v>
      </c>
      <c r="D187" s="127">
        <f>SUM(D183:D186)</f>
        <v>238177.66</v>
      </c>
      <c r="E187" s="127">
        <f>SUM(E183:E186)</f>
        <v>105760.28</v>
      </c>
      <c r="F187" s="127">
        <f>SUM(F183:F186)</f>
        <v>105760.28</v>
      </c>
      <c r="G187" s="127">
        <f>SUM(G183:G186)</f>
        <v>270333.76836158196</v>
      </c>
      <c r="H187" s="127">
        <f t="shared" ref="H187" si="82">SUM(H183:H186)</f>
        <v>114060.7476635514</v>
      </c>
      <c r="I187" s="127">
        <f>SUM(I183:I186)</f>
        <v>111607.40583333334</v>
      </c>
      <c r="J187" s="620">
        <f>SUM(J183:J186)</f>
        <v>945700.14185846667</v>
      </c>
      <c r="K187" s="118">
        <f>(K183*J183)+(K184*J184)+(K185*J185)+(K186*J186)</f>
        <v>283710.04255754</v>
      </c>
      <c r="L187" s="118">
        <f t="shared" ref="L187:N187" si="83">SUM(L183:L186)</f>
        <v>204356.37999999998</v>
      </c>
      <c r="M187" s="118">
        <f t="shared" si="83"/>
        <v>82140.100000000006</v>
      </c>
      <c r="N187" s="118">
        <f t="shared" si="83"/>
        <v>65086.549999999996</v>
      </c>
      <c r="O187" s="118">
        <f t="shared" ref="O187:Q187" si="84">SUM(O183:O186)</f>
        <v>131377</v>
      </c>
      <c r="P187" s="118">
        <f t="shared" si="84"/>
        <v>84375.072500000009</v>
      </c>
      <c r="Q187" s="118">
        <f t="shared" si="84"/>
        <v>23927</v>
      </c>
      <c r="R187" s="639">
        <f t="shared" ref="R187" si="85">SUM(L187:Q187)</f>
        <v>591262.10250000004</v>
      </c>
      <c r="S187" s="18"/>
    </row>
    <row r="188" spans="2:21" ht="15.5" x14ac:dyDescent="0.35">
      <c r="B188" s="7"/>
      <c r="C188" s="13"/>
      <c r="D188" s="27"/>
      <c r="E188" s="27"/>
      <c r="F188" s="27"/>
      <c r="G188" s="27"/>
      <c r="H188" s="27"/>
      <c r="I188" s="27"/>
      <c r="J188" s="618"/>
      <c r="K188" s="27"/>
      <c r="L188" s="27"/>
      <c r="M188" s="27"/>
      <c r="N188" s="27"/>
      <c r="O188" s="655"/>
      <c r="P188" s="27"/>
      <c r="Q188" s="27"/>
      <c r="R188" s="618"/>
      <c r="S188" s="13"/>
    </row>
    <row r="189" spans="2:21" ht="15.5" x14ac:dyDescent="0.35">
      <c r="B189" s="7"/>
      <c r="C189" s="13"/>
      <c r="D189" s="27"/>
      <c r="E189" s="27"/>
      <c r="F189" s="27"/>
      <c r="G189" s="27"/>
      <c r="H189" s="27"/>
      <c r="I189" s="27"/>
      <c r="J189" s="618"/>
      <c r="K189" s="27"/>
      <c r="L189" s="27"/>
      <c r="M189" s="27"/>
      <c r="N189" s="27"/>
      <c r="O189" s="655"/>
      <c r="P189" s="27"/>
      <c r="Q189" s="27"/>
      <c r="R189" s="618"/>
      <c r="S189" s="13"/>
    </row>
    <row r="190" spans="2:21" ht="15.5" x14ac:dyDescent="0.35">
      <c r="B190" s="7"/>
      <c r="C190" s="13"/>
      <c r="D190" s="27"/>
      <c r="E190" s="27"/>
      <c r="F190" s="27"/>
      <c r="G190" s="27"/>
      <c r="H190" s="27"/>
      <c r="I190" s="27"/>
      <c r="J190" s="618"/>
      <c r="K190" s="27"/>
      <c r="L190" s="27"/>
      <c r="M190" s="27"/>
      <c r="N190" s="27"/>
      <c r="O190" s="655"/>
      <c r="P190" s="27"/>
      <c r="Q190" s="27"/>
      <c r="R190" s="618"/>
      <c r="S190" s="13"/>
    </row>
    <row r="191" spans="2:21" ht="15.5" x14ac:dyDescent="0.35">
      <c r="B191" s="7"/>
      <c r="C191" s="13"/>
      <c r="D191" s="27"/>
      <c r="E191" s="27"/>
      <c r="F191" s="27"/>
      <c r="G191" s="27"/>
      <c r="H191" s="27"/>
      <c r="I191" s="27"/>
      <c r="J191" s="618"/>
      <c r="K191" s="27"/>
      <c r="L191" s="27"/>
      <c r="M191" s="27"/>
      <c r="N191" s="27"/>
      <c r="O191" s="655"/>
      <c r="P191" s="27"/>
      <c r="Q191" s="27"/>
      <c r="R191" s="618"/>
      <c r="S191" s="13"/>
    </row>
    <row r="192" spans="2:21" ht="15.5" x14ac:dyDescent="0.35">
      <c r="B192" s="7"/>
      <c r="C192" s="13"/>
      <c r="D192" s="27"/>
      <c r="E192" s="27"/>
      <c r="F192" s="27"/>
      <c r="G192" s="27"/>
      <c r="H192" s="27"/>
      <c r="I192" s="27"/>
      <c r="J192" s="618"/>
      <c r="K192" s="27"/>
      <c r="L192" s="27"/>
      <c r="M192" s="27"/>
      <c r="N192" s="27"/>
      <c r="O192" s="655"/>
      <c r="P192" s="27"/>
      <c r="Q192" s="27"/>
      <c r="R192" s="618"/>
      <c r="S192" s="13"/>
    </row>
    <row r="193" spans="2:22" ht="15.5" x14ac:dyDescent="0.35">
      <c r="B193" s="7"/>
      <c r="C193" s="13"/>
      <c r="D193" s="27"/>
      <c r="E193" s="27"/>
      <c r="F193" s="27"/>
      <c r="G193" s="27"/>
      <c r="H193" s="27"/>
      <c r="I193" s="27"/>
      <c r="J193" s="618"/>
      <c r="K193" s="27"/>
      <c r="L193" s="27"/>
      <c r="M193" s="27"/>
      <c r="N193" s="27"/>
      <c r="O193" s="655"/>
      <c r="P193" s="27"/>
      <c r="Q193" s="27"/>
      <c r="R193" s="618"/>
      <c r="S193" s="13"/>
    </row>
    <row r="194" spans="2:22" ht="16" thickBot="1" x14ac:dyDescent="0.4">
      <c r="B194" s="7"/>
      <c r="C194" s="13"/>
      <c r="D194" s="27"/>
      <c r="E194" s="27"/>
      <c r="F194" s="27"/>
      <c r="G194" s="27"/>
      <c r="H194" s="27"/>
      <c r="I194" s="27"/>
      <c r="J194" s="618"/>
      <c r="K194" s="27"/>
      <c r="L194" s="27"/>
      <c r="M194" s="27"/>
      <c r="N194" s="27"/>
      <c r="O194" s="655"/>
      <c r="P194" s="27"/>
      <c r="Q194" s="27"/>
      <c r="R194" s="618"/>
      <c r="S194" s="13"/>
    </row>
    <row r="195" spans="2:22" ht="15.5" x14ac:dyDescent="0.35">
      <c r="B195" s="7"/>
      <c r="C195" s="716" t="s">
        <v>546</v>
      </c>
      <c r="D195" s="717"/>
      <c r="E195" s="717"/>
      <c r="F195" s="717"/>
      <c r="G195" s="717"/>
      <c r="H195" s="717"/>
      <c r="I195" s="717"/>
      <c r="J195" s="718"/>
      <c r="K195" s="16"/>
      <c r="L195" s="16"/>
      <c r="M195" s="16"/>
      <c r="N195" s="16"/>
      <c r="O195" s="4"/>
      <c r="P195" s="16"/>
      <c r="Q195" s="16"/>
      <c r="R195" s="640"/>
      <c r="S195" s="16"/>
    </row>
    <row r="196" spans="2:22" ht="31.5" customHeight="1" x14ac:dyDescent="0.35">
      <c r="B196" s="7"/>
      <c r="C196" s="706"/>
      <c r="D196" s="118" t="s">
        <v>535</v>
      </c>
      <c r="E196" s="118" t="s">
        <v>536</v>
      </c>
      <c r="F196" s="118" t="s">
        <v>537</v>
      </c>
      <c r="G196" s="118" t="s">
        <v>632</v>
      </c>
      <c r="H196" s="118" t="s">
        <v>633</v>
      </c>
      <c r="I196" s="118" t="s">
        <v>634</v>
      </c>
      <c r="J196" s="708" t="s">
        <v>13</v>
      </c>
      <c r="K196" s="706"/>
      <c r="L196" s="118" t="s">
        <v>535</v>
      </c>
      <c r="M196" s="118" t="s">
        <v>536</v>
      </c>
      <c r="N196" s="118" t="s">
        <v>537</v>
      </c>
      <c r="O196" s="118" t="s">
        <v>632</v>
      </c>
      <c r="P196" s="118" t="s">
        <v>633</v>
      </c>
      <c r="Q196" s="118" t="s">
        <v>634</v>
      </c>
      <c r="R196" s="708" t="s">
        <v>13</v>
      </c>
      <c r="S196" s="649"/>
    </row>
    <row r="197" spans="2:22" ht="15.5" x14ac:dyDescent="0.35">
      <c r="B197" s="7"/>
      <c r="C197" s="707"/>
      <c r="D197" s="111" t="str">
        <f>D13</f>
        <v>OIM BURKINA FASO</v>
      </c>
      <c r="E197" s="111" t="str">
        <f>E13</f>
        <v>OIM NIGER</v>
      </c>
      <c r="F197" s="111" t="str">
        <f>F13</f>
        <v>OIM MALI</v>
      </c>
      <c r="G197" s="111" t="s">
        <v>902</v>
      </c>
      <c r="H197" s="154" t="s">
        <v>673</v>
      </c>
      <c r="I197" s="154" t="s">
        <v>672</v>
      </c>
      <c r="J197" s="709"/>
      <c r="K197" s="707"/>
      <c r="L197" s="111" t="str">
        <f>L13</f>
        <v>OIM BURKINA FASO</v>
      </c>
      <c r="M197" s="111" t="str">
        <f>M13</f>
        <v>OIM NIGER</v>
      </c>
      <c r="N197" s="111" t="str">
        <f>N13</f>
        <v>OIM MALI</v>
      </c>
      <c r="O197" s="111" t="s">
        <v>902</v>
      </c>
      <c r="P197" s="154" t="s">
        <v>673</v>
      </c>
      <c r="Q197" s="154" t="s">
        <v>672</v>
      </c>
      <c r="R197" s="709"/>
      <c r="S197" s="16"/>
    </row>
    <row r="198" spans="2:22" ht="31" x14ac:dyDescent="0.35">
      <c r="B198" s="28"/>
      <c r="C198" s="588" t="s">
        <v>533</v>
      </c>
      <c r="D198" s="584">
        <f t="shared" ref="D198:I198" si="86">SUM(D24,D34,D44,D54,D66,D76,D86,D96,D108,D118,D128,D138,D150,D160,D170,D180,D183,D184,D185,D186)</f>
        <v>620747.66</v>
      </c>
      <c r="E198" s="584">
        <f t="shared" si="86"/>
        <v>343831.78</v>
      </c>
      <c r="F198" s="584">
        <f t="shared" si="86"/>
        <v>343831.78</v>
      </c>
      <c r="G198" s="584">
        <f>SUM(G24,G34,G44,G54,G66,G76,G86,G96,G108,G118,G128,G138,G150,G160,G170,G180,G183,G184,G185,G186)</f>
        <v>654205.55086625495</v>
      </c>
      <c r="H198" s="584">
        <f t="shared" si="86"/>
        <v>420560.74766355142</v>
      </c>
      <c r="I198" s="584">
        <f t="shared" si="86"/>
        <v>420560.74327555206</v>
      </c>
      <c r="J198" s="621">
        <f>SUM(D198:I198)</f>
        <v>2803738.2618053588</v>
      </c>
      <c r="K198" s="588" t="s">
        <v>533</v>
      </c>
      <c r="L198" s="584">
        <f t="shared" ref="L198:N198" si="87">SUM(L24,L34,L44,L54,L66,L76,L86,L96,L108,L118,L128,L138,L150,L160,L170,L180,L183,L184,L185,L186)</f>
        <v>519035.26999999996</v>
      </c>
      <c r="M198" s="584">
        <f t="shared" si="87"/>
        <v>192584.49</v>
      </c>
      <c r="N198" s="584">
        <f t="shared" si="87"/>
        <v>199938.25999999998</v>
      </c>
      <c r="O198" s="584">
        <f>SUM(O24,O34,O44,O54,O66,O76,O86,O96,O108,O118,O128,O138,O150,O160,O170,O180,O183,O184,O185,O186)</f>
        <v>551468.19999999995</v>
      </c>
      <c r="P198" s="584">
        <f>SUM(P24,P34,P44,P54,P66,P76,P86,P96,P108,P118,P128,P138,P150,P160,P170,P180,P183,P184,P185,P186)</f>
        <v>282584</v>
      </c>
      <c r="Q198" s="584">
        <f t="shared" ref="Q198" si="88">SUM(Q24,Q34,Q44,Q54,Q66,Q76,Q86,Q96,Q108,Q118,Q128,Q138,Q150,Q160,Q170,Q180,Q183,Q184,Q185,Q186)</f>
        <v>360781</v>
      </c>
      <c r="R198" s="584">
        <f>SUM(L198:Q198)</f>
        <v>2106391.2199999997</v>
      </c>
      <c r="S198" s="17"/>
    </row>
    <row r="199" spans="2:22" ht="15.5" x14ac:dyDescent="0.35">
      <c r="B199" s="5"/>
      <c r="C199" s="588" t="s">
        <v>534</v>
      </c>
      <c r="D199" s="584">
        <f>D198*0.07</f>
        <v>43452.336200000005</v>
      </c>
      <c r="E199" s="584">
        <f>E198*0.07</f>
        <v>24068.224600000005</v>
      </c>
      <c r="F199" s="584">
        <f>F198*0.07</f>
        <v>24068.224600000005</v>
      </c>
      <c r="G199" s="584">
        <f>G198*0.07</f>
        <v>45794.388560637854</v>
      </c>
      <c r="H199" s="584">
        <f t="shared" ref="H199:I199" si="89">H198*0.07</f>
        <v>29439.252336448601</v>
      </c>
      <c r="I199" s="584">
        <f t="shared" si="89"/>
        <v>29439.252029288647</v>
      </c>
      <c r="J199" s="621">
        <f>J198*0.07</f>
        <v>196261.67832637514</v>
      </c>
      <c r="K199" s="588" t="s">
        <v>534</v>
      </c>
      <c r="L199" s="584">
        <f>L198*0.07</f>
        <v>36332.4689</v>
      </c>
      <c r="M199" s="584">
        <f>M198*0.07</f>
        <v>13480.9143</v>
      </c>
      <c r="N199" s="584">
        <f>N198*0.07</f>
        <v>13995.6782</v>
      </c>
      <c r="O199" s="584">
        <f>O198*0.07</f>
        <v>38602.773999999998</v>
      </c>
      <c r="P199" s="666">
        <v>17124</v>
      </c>
      <c r="Q199" s="584">
        <v>1219</v>
      </c>
      <c r="R199" s="584">
        <f>SUM(L199:Q199)</f>
        <v>120754.8354</v>
      </c>
      <c r="S199" s="2"/>
    </row>
    <row r="200" spans="2:22" ht="16" thickBot="1" x14ac:dyDescent="0.4">
      <c r="B200" s="5"/>
      <c r="C200" s="589" t="s">
        <v>13</v>
      </c>
      <c r="D200" s="572">
        <f>SUM(D198:D199)</f>
        <v>664199.99620000005</v>
      </c>
      <c r="E200" s="572">
        <f>SUM(E198:E199)</f>
        <v>367900.00460000004</v>
      </c>
      <c r="F200" s="572">
        <f>SUM(F198:F199)</f>
        <v>367900.00460000004</v>
      </c>
      <c r="G200" s="572">
        <f>SUM(G198:G199)</f>
        <v>699999.93942689279</v>
      </c>
      <c r="H200" s="572">
        <f t="shared" ref="H200:I200" si="90">SUM(H198:H199)</f>
        <v>450000</v>
      </c>
      <c r="I200" s="572">
        <f t="shared" si="90"/>
        <v>449999.99530484073</v>
      </c>
      <c r="J200" s="622">
        <f>SUM(J198:J199)</f>
        <v>2999999.9401317341</v>
      </c>
      <c r="K200" s="597" t="s">
        <v>13</v>
      </c>
      <c r="L200" s="572">
        <f>SUM(L198:L199)</f>
        <v>555367.7389</v>
      </c>
      <c r="M200" s="572">
        <f>SUM(M198:M199)</f>
        <v>206065.40429999999</v>
      </c>
      <c r="N200" s="572">
        <f>SUM(N198:N199)</f>
        <v>213933.93819999998</v>
      </c>
      <c r="O200" s="583">
        <f t="shared" ref="O200:P200" si="91">SUM(O198:O199)</f>
        <v>590070.97399999993</v>
      </c>
      <c r="P200" s="583">
        <f t="shared" si="91"/>
        <v>299708</v>
      </c>
      <c r="Q200" s="583">
        <f t="shared" ref="Q200" si="92">SUM(Q198:Q199)</f>
        <v>362000</v>
      </c>
      <c r="R200" s="660">
        <f>SUM(L200:Q200)</f>
        <v>2227146.0554</v>
      </c>
      <c r="S200" s="651"/>
    </row>
    <row r="201" spans="2:22" ht="15.5" x14ac:dyDescent="0.35">
      <c r="B201" s="5"/>
      <c r="C201" s="590"/>
      <c r="D201" s="590"/>
      <c r="E201" s="590"/>
      <c r="F201" s="590"/>
      <c r="G201" s="590"/>
      <c r="H201" s="590"/>
      <c r="I201" s="590"/>
      <c r="J201" s="623"/>
      <c r="K201" s="647" t="s">
        <v>900</v>
      </c>
      <c r="L201" s="590"/>
      <c r="M201" s="590"/>
      <c r="N201" s="590"/>
      <c r="O201" s="656"/>
      <c r="P201" s="647"/>
      <c r="Q201" s="647"/>
      <c r="R201" s="650">
        <f>R200/3000000*100</f>
        <v>74.238201846666669</v>
      </c>
      <c r="S201" s="4" t="s">
        <v>901</v>
      </c>
      <c r="U201" s="569"/>
    </row>
    <row r="202" spans="2:22" s="44" customFormat="1" ht="16" thickBot="1" x14ac:dyDescent="0.4">
      <c r="B202" s="13"/>
      <c r="C202" s="591"/>
      <c r="D202" s="591"/>
      <c r="E202" s="591"/>
      <c r="F202" s="591"/>
      <c r="G202" s="591"/>
      <c r="H202" s="591"/>
      <c r="I202" s="591"/>
      <c r="J202" s="624"/>
      <c r="K202" s="591"/>
      <c r="L202" s="662"/>
      <c r="M202" s="662"/>
      <c r="N202" s="662"/>
      <c r="O202" s="662"/>
      <c r="P202" s="662"/>
      <c r="Q202" s="591"/>
      <c r="R202" s="624"/>
      <c r="S202" s="16"/>
    </row>
    <row r="203" spans="2:22" ht="15.5" x14ac:dyDescent="0.35">
      <c r="B203" s="2"/>
      <c r="C203" s="700" t="s">
        <v>538</v>
      </c>
      <c r="D203" s="701"/>
      <c r="E203" s="702"/>
      <c r="F203" s="702"/>
      <c r="G203" s="702"/>
      <c r="H203" s="702"/>
      <c r="I203" s="702"/>
      <c r="J203" s="702"/>
      <c r="K203" s="703"/>
      <c r="L203" s="605"/>
      <c r="M203" s="605"/>
      <c r="N203" s="605"/>
      <c r="O203" s="605"/>
      <c r="P203" s="605"/>
      <c r="Q203" s="605"/>
      <c r="R203" s="641"/>
      <c r="S203" s="2"/>
    </row>
    <row r="204" spans="2:22" ht="31" x14ac:dyDescent="0.35">
      <c r="B204" s="2"/>
      <c r="C204" s="592"/>
      <c r="D204" s="593" t="s">
        <v>535</v>
      </c>
      <c r="E204" s="593" t="s">
        <v>536</v>
      </c>
      <c r="F204" s="593" t="s">
        <v>537</v>
      </c>
      <c r="G204" s="593" t="s">
        <v>632</v>
      </c>
      <c r="H204" s="593" t="s">
        <v>633</v>
      </c>
      <c r="I204" s="593" t="s">
        <v>634</v>
      </c>
      <c r="J204" s="710" t="s">
        <v>13</v>
      </c>
      <c r="K204" s="712" t="s">
        <v>10</v>
      </c>
      <c r="L204" s="605"/>
      <c r="M204" s="605"/>
      <c r="N204" s="605"/>
      <c r="O204" s="605"/>
      <c r="P204" s="605"/>
      <c r="Q204" s="605"/>
      <c r="R204" s="641"/>
      <c r="S204" s="2"/>
      <c r="V204" s="569"/>
    </row>
    <row r="205" spans="2:22" ht="15.5" x14ac:dyDescent="0.35">
      <c r="B205" s="2"/>
      <c r="C205" s="592"/>
      <c r="D205" s="594" t="str">
        <f>D13</f>
        <v>OIM BURKINA FASO</v>
      </c>
      <c r="E205" s="594" t="str">
        <f>E13</f>
        <v>OIM NIGER</v>
      </c>
      <c r="F205" s="594" t="str">
        <f>F13</f>
        <v>OIM MALI</v>
      </c>
      <c r="G205" s="111" t="s">
        <v>902</v>
      </c>
      <c r="H205" s="154" t="s">
        <v>673</v>
      </c>
      <c r="I205" s="154" t="s">
        <v>672</v>
      </c>
      <c r="J205" s="711"/>
      <c r="K205" s="713"/>
      <c r="L205" s="605"/>
      <c r="M205" s="605"/>
      <c r="N205" s="605"/>
      <c r="O205" s="605"/>
      <c r="P205" s="605"/>
      <c r="Q205" s="605"/>
      <c r="R205" s="641"/>
      <c r="S205" s="2"/>
    </row>
    <row r="206" spans="2:22" ht="15.5" x14ac:dyDescent="0.35">
      <c r="B206" s="2"/>
      <c r="C206" s="595" t="s">
        <v>539</v>
      </c>
      <c r="D206" s="582">
        <f>SUM(D198:D199)*$K$206</f>
        <v>232469.99867</v>
      </c>
      <c r="E206" s="582">
        <f t="shared" ref="E206:I206" si="93">SUM(E198:E199)*$K$206</f>
        <v>128765.00161000001</v>
      </c>
      <c r="F206" s="582">
        <f t="shared" si="93"/>
        <v>128765.00161000001</v>
      </c>
      <c r="G206" s="582">
        <f>SUM(G198:G199)*$K$206</f>
        <v>244999.97879941246</v>
      </c>
      <c r="H206" s="582">
        <f t="shared" si="93"/>
        <v>157500</v>
      </c>
      <c r="I206" s="582">
        <f t="shared" si="93"/>
        <v>157499.99835669424</v>
      </c>
      <c r="J206" s="625">
        <f>SUM(D206:I206)</f>
        <v>1049999.9790461068</v>
      </c>
      <c r="K206" s="596">
        <v>0.35</v>
      </c>
      <c r="L206" s="606"/>
      <c r="M206" s="606"/>
      <c r="N206" s="606"/>
      <c r="O206" s="657"/>
      <c r="P206" s="606"/>
      <c r="Q206" s="606"/>
      <c r="R206" s="642"/>
      <c r="S206" s="2"/>
    </row>
    <row r="207" spans="2:22" ht="15.5" x14ac:dyDescent="0.35">
      <c r="B207" s="699"/>
      <c r="C207" s="597" t="s">
        <v>540</v>
      </c>
      <c r="D207" s="583">
        <f>SUM(D198:D199)*$K$207</f>
        <v>232469.99867</v>
      </c>
      <c r="E207" s="583">
        <f t="shared" ref="E207:I207" si="94">SUM(E198:E199)*$K$207</f>
        <v>128765.00161000001</v>
      </c>
      <c r="F207" s="583">
        <f t="shared" si="94"/>
        <v>128765.00161000001</v>
      </c>
      <c r="G207" s="583">
        <f>SUM(G198:G199)*$K$207</f>
        <v>244999.97879941246</v>
      </c>
      <c r="H207" s="583">
        <f t="shared" si="94"/>
        <v>157500</v>
      </c>
      <c r="I207" s="583">
        <f t="shared" si="94"/>
        <v>157499.99835669424</v>
      </c>
      <c r="J207" s="626">
        <f>SUM(D207:I207)</f>
        <v>1049999.9790461068</v>
      </c>
      <c r="K207" s="598">
        <v>0.35</v>
      </c>
      <c r="L207" s="606"/>
      <c r="M207" s="606"/>
      <c r="N207" s="606"/>
      <c r="O207" s="657"/>
      <c r="P207" s="606"/>
      <c r="Q207" s="606"/>
      <c r="R207" s="642"/>
      <c r="S207" s="45"/>
    </row>
    <row r="208" spans="2:22" ht="15.5" x14ac:dyDescent="0.35">
      <c r="B208" s="699"/>
      <c r="C208" s="597" t="s">
        <v>541</v>
      </c>
      <c r="D208" s="583">
        <f>SUM(D198:D199)*$K$208</f>
        <v>199259.99886000002</v>
      </c>
      <c r="E208" s="583">
        <f t="shared" ref="E208:J208" si="95">SUM(E198:E199)*$K$208</f>
        <v>110370.00138000002</v>
      </c>
      <c r="F208" s="583">
        <f t="shared" si="95"/>
        <v>110370.00138000002</v>
      </c>
      <c r="G208" s="583">
        <f>SUM(G198:G199)*$K$208</f>
        <v>209999.98182806783</v>
      </c>
      <c r="H208" s="583">
        <f t="shared" si="95"/>
        <v>135000</v>
      </c>
      <c r="I208" s="583">
        <f t="shared" si="95"/>
        <v>134999.99859145223</v>
      </c>
      <c r="J208" s="627">
        <f t="shared" si="95"/>
        <v>899999.98203952017</v>
      </c>
      <c r="K208" s="599">
        <v>0.3</v>
      </c>
      <c r="L208" s="607"/>
      <c r="M208" s="607"/>
      <c r="N208" s="607"/>
      <c r="O208" s="658"/>
      <c r="P208" s="607"/>
      <c r="Q208" s="607"/>
      <c r="R208" s="643"/>
      <c r="S208" s="45"/>
    </row>
    <row r="209" spans="1:21" ht="16" thickBot="1" x14ac:dyDescent="0.4">
      <c r="B209" s="699"/>
      <c r="C209" s="589" t="s">
        <v>13</v>
      </c>
      <c r="D209" s="572">
        <f>SUM(D206:D208)</f>
        <v>664199.99620000005</v>
      </c>
      <c r="E209" s="572">
        <f>SUM(E206:E208)</f>
        <v>367900.00460000004</v>
      </c>
      <c r="F209" s="572">
        <f>SUM(F206:F208)</f>
        <v>367900.00460000004</v>
      </c>
      <c r="G209" s="572">
        <f>SUM(G206:G208)</f>
        <v>699999.93942689279</v>
      </c>
      <c r="H209" s="572">
        <f t="shared" ref="H209" si="96">SUM(H206:H208)</f>
        <v>450000</v>
      </c>
      <c r="I209" s="572">
        <f>SUM(I206:I208)</f>
        <v>449999.99530484073</v>
      </c>
      <c r="J209" s="628">
        <f>SUM(J206:J208)</f>
        <v>2999999.9401317337</v>
      </c>
      <c r="K209" s="600">
        <f>SUM(K206:K208)</f>
        <v>1</v>
      </c>
      <c r="L209" s="608"/>
      <c r="M209" s="608"/>
      <c r="N209" s="608"/>
      <c r="O209" s="608"/>
      <c r="P209" s="608"/>
      <c r="Q209" s="608"/>
      <c r="R209" s="644"/>
      <c r="S209" s="45"/>
    </row>
    <row r="210" spans="1:21" ht="16" thickBot="1" x14ac:dyDescent="0.4">
      <c r="B210" s="699"/>
      <c r="C210" s="3"/>
      <c r="D210" s="8"/>
      <c r="E210" s="8"/>
      <c r="F210" s="8"/>
      <c r="G210" s="8"/>
      <c r="H210" s="8"/>
      <c r="I210" s="8"/>
      <c r="J210" s="629"/>
      <c r="K210" s="8"/>
      <c r="L210" s="8"/>
      <c r="M210" s="8"/>
      <c r="N210" s="8"/>
      <c r="O210" s="8"/>
      <c r="P210" s="8"/>
      <c r="Q210" s="8"/>
      <c r="R210" s="629"/>
      <c r="S210" s="45"/>
    </row>
    <row r="211" spans="1:21" ht="15.5" x14ac:dyDescent="0.35">
      <c r="B211" s="699"/>
      <c r="C211" s="601" t="s">
        <v>542</v>
      </c>
      <c r="D211" s="602">
        <f>SUM(K24,K34,K44,K54,K66,K76,K86,K96,K108,K118,K128,K138,K150,K160,K170,K180,K187)*1.07</f>
        <v>882716.52707783959</v>
      </c>
      <c r="E211" s="38"/>
      <c r="F211" s="38"/>
      <c r="G211" s="38"/>
      <c r="H211" s="38"/>
      <c r="I211" s="159"/>
      <c r="J211" s="629"/>
      <c r="K211" s="8"/>
      <c r="L211" s="8"/>
      <c r="M211" s="8"/>
      <c r="N211" s="8"/>
      <c r="O211" s="8"/>
      <c r="P211" s="8"/>
      <c r="Q211" s="8"/>
      <c r="R211" s="629"/>
      <c r="S211" s="45"/>
      <c r="U211" s="569"/>
    </row>
    <row r="212" spans="1:21" ht="15.5" x14ac:dyDescent="0.35">
      <c r="B212" s="699"/>
      <c r="C212" s="603" t="s">
        <v>543</v>
      </c>
      <c r="D212" s="604">
        <f>D211/J200</f>
        <v>0.29423884823113639</v>
      </c>
      <c r="E212" s="50"/>
      <c r="F212" s="50"/>
      <c r="G212" s="50"/>
      <c r="H212" s="50"/>
      <c r="I212" s="50"/>
      <c r="J212" s="630"/>
      <c r="P212" s="590"/>
      <c r="S212" s="45"/>
    </row>
    <row r="213" spans="1:21" x14ac:dyDescent="0.35">
      <c r="B213" s="699"/>
      <c r="C213" s="714"/>
      <c r="D213" s="715"/>
      <c r="E213" s="51"/>
      <c r="F213" s="51"/>
      <c r="G213" s="570"/>
      <c r="H213" s="51"/>
      <c r="I213" s="51"/>
      <c r="J213" s="631"/>
      <c r="P213" s="43">
        <f>+P212/2</f>
        <v>0</v>
      </c>
      <c r="S213" s="45"/>
    </row>
    <row r="214" spans="1:21" ht="15.5" x14ac:dyDescent="0.35">
      <c r="B214" s="699"/>
      <c r="C214" s="603" t="s">
        <v>544</v>
      </c>
      <c r="D214" s="604">
        <f>SUM(D185:I186)</f>
        <v>215059.96766355139</v>
      </c>
      <c r="E214" s="52"/>
      <c r="F214" s="52"/>
      <c r="G214" s="52"/>
      <c r="H214" s="52"/>
      <c r="I214" s="52"/>
      <c r="J214" s="632"/>
      <c r="S214" s="45"/>
    </row>
    <row r="215" spans="1:21" ht="15.5" x14ac:dyDescent="0.35">
      <c r="B215" s="699"/>
      <c r="C215" s="109" t="s">
        <v>545</v>
      </c>
      <c r="D215" s="110">
        <f>D214/J200</f>
        <v>7.1686657318435751E-2</v>
      </c>
      <c r="E215" s="52"/>
      <c r="F215" s="52"/>
      <c r="G215" s="52"/>
      <c r="H215" s="52"/>
      <c r="I215" s="52"/>
      <c r="J215" s="632"/>
      <c r="S215" s="45"/>
    </row>
    <row r="216" spans="1:21" ht="15" thickBot="1" x14ac:dyDescent="0.4">
      <c r="B216" s="699"/>
      <c r="C216" s="704" t="s">
        <v>587</v>
      </c>
      <c r="D216" s="705"/>
      <c r="E216" s="39"/>
      <c r="F216" s="39"/>
      <c r="G216" s="39"/>
      <c r="H216" s="39"/>
      <c r="I216" s="39"/>
      <c r="J216" s="633"/>
      <c r="K216" s="45"/>
      <c r="L216" s="45"/>
      <c r="M216" s="45"/>
      <c r="N216" s="45"/>
      <c r="P216" s="45"/>
      <c r="Q216" s="45"/>
      <c r="S216" s="45"/>
    </row>
    <row r="217" spans="1:21" x14ac:dyDescent="0.35">
      <c r="B217" s="699"/>
    </row>
    <row r="218" spans="1:21" x14ac:dyDescent="0.35">
      <c r="B218" s="699"/>
      <c r="S218" s="45"/>
    </row>
    <row r="219" spans="1:21" x14ac:dyDescent="0.35">
      <c r="B219" s="699"/>
      <c r="S219" s="45"/>
    </row>
    <row r="220" spans="1:21" x14ac:dyDescent="0.35">
      <c r="A220" s="45"/>
      <c r="B220" s="699"/>
    </row>
    <row r="221" spans="1:21" s="45" customFormat="1" x14ac:dyDescent="0.35">
      <c r="A221" s="43"/>
      <c r="B221" s="699"/>
      <c r="C221" s="43"/>
      <c r="D221" s="43"/>
      <c r="E221" s="43"/>
      <c r="F221" s="43"/>
      <c r="G221" s="43"/>
      <c r="H221" s="43"/>
      <c r="I221" s="43"/>
      <c r="J221" s="610"/>
      <c r="K221" s="43"/>
      <c r="L221" s="43"/>
      <c r="M221" s="43"/>
      <c r="N221" s="43"/>
      <c r="P221" s="43"/>
      <c r="Q221" s="43"/>
      <c r="R221" s="610"/>
      <c r="S221" s="43"/>
    </row>
  </sheetData>
  <mergeCells count="34">
    <mergeCell ref="C109:S109"/>
    <mergeCell ref="C119:S119"/>
    <mergeCell ref="C140:S140"/>
    <mergeCell ref="C129:S129"/>
    <mergeCell ref="C151:S151"/>
    <mergeCell ref="C141:S141"/>
    <mergeCell ref="C67:S67"/>
    <mergeCell ref="C77:S77"/>
    <mergeCell ref="C87:S87"/>
    <mergeCell ref="C98:S98"/>
    <mergeCell ref="C99:S99"/>
    <mergeCell ref="C45:S45"/>
    <mergeCell ref="C14:S14"/>
    <mergeCell ref="C56:S56"/>
    <mergeCell ref="C57:S57"/>
    <mergeCell ref="B6:T6"/>
    <mergeCell ref="B2:E2"/>
    <mergeCell ref="B9:K9"/>
    <mergeCell ref="C25:S25"/>
    <mergeCell ref="C15:S15"/>
    <mergeCell ref="C35:S35"/>
    <mergeCell ref="C161:S161"/>
    <mergeCell ref="C171:S171"/>
    <mergeCell ref="B207:B221"/>
    <mergeCell ref="C203:K203"/>
    <mergeCell ref="C216:D216"/>
    <mergeCell ref="C196:C197"/>
    <mergeCell ref="J196:J197"/>
    <mergeCell ref="J204:J205"/>
    <mergeCell ref="K204:K205"/>
    <mergeCell ref="C213:D213"/>
    <mergeCell ref="C195:J195"/>
    <mergeCell ref="K196:K197"/>
    <mergeCell ref="R196:R197"/>
  </mergeCells>
  <phoneticPr fontId="19" type="noConversion"/>
  <conditionalFormatting sqref="D212">
    <cfRule type="cellIs" dxfId="22" priority="48" operator="lessThan">
      <formula>0.15</formula>
    </cfRule>
  </conditionalFormatting>
  <conditionalFormatting sqref="D215">
    <cfRule type="cellIs" dxfId="21" priority="46" operator="lessThan">
      <formula>0.05</formula>
    </cfRule>
  </conditionalFormatting>
  <conditionalFormatting sqref="K209 R209 O209:P209">
    <cfRule type="cellIs" dxfId="20" priority="3" operator="greaterThan">
      <formula>1</formula>
    </cfRule>
  </conditionalFormatting>
  <conditionalFormatting sqref="Q209">
    <cfRule type="cellIs" dxfId="19" priority="2" operator="greaterThan">
      <formula>1</formula>
    </cfRule>
  </conditionalFormatting>
  <conditionalFormatting sqref="L209:N209">
    <cfRule type="cellIs" dxfId="18" priority="1" operator="greaterThan">
      <formula>1</formula>
    </cfRule>
  </conditionalFormatting>
  <dataValidations xWindow="431" yWindow="475" count="7">
    <dataValidation allowBlank="1" showInputMessage="1" showErrorMessage="1" prompt="% Towards Gender Equality and Women's Empowerment Must be Higher than 15%_x000a_" sqref="D212:J212" xr:uid="{00000000-0002-0000-0300-000000000000}"/>
    <dataValidation allowBlank="1" showInputMessage="1" showErrorMessage="1" prompt="M&amp;E Budget Cannot be Less than 5%_x000a_" sqref="D215:J215" xr:uid="{00000000-0002-0000-0300-000001000000}"/>
    <dataValidation allowBlank="1" showInputMessage="1" showErrorMessage="1" prompt="Insert *text* description of Outcome here" sqref="C14:S14 C56:S56 C98:S98 C140:S140" xr:uid="{00000000-0002-0000-0300-000002000000}"/>
    <dataValidation allowBlank="1" showInputMessage="1" showErrorMessage="1" prompt="Insert *text* description of Output here" sqref="C15 C25 C35 C45 C57 C67 C77 C87 C99 C109 C119 C129 C141 C151 C161 C171" xr:uid="{00000000-0002-0000-0300-000003000000}"/>
    <dataValidation allowBlank="1" showInputMessage="1" showErrorMessage="1" prompt="Insert *text* description of Activity here" sqref="C16 C172 C36 C46 C58 C68 C78 C88 C100 C110 C120 C130 C142 C152 C162 C113" xr:uid="{00000000-0002-0000-0300-000004000000}"/>
    <dataValidation allowBlank="1" showInputMessage="1" showErrorMessage="1" prompt="Insert name of recipient agency here _x000a_" sqref="D13:J13 L13:Q13" xr:uid="{00000000-0002-0000-0300-000005000000}"/>
    <dataValidation allowBlank="1" showErrorMessage="1" prompt="% Towards Gender Equality and Women's Empowerment Must be Higher than 15%_x000a_" sqref="D214:J214" xr:uid="{00000000-0002-0000-0300-000006000000}"/>
  </dataValidations>
  <pageMargins left="0.7" right="0.7" top="0.75" bottom="0.75" header="0.3" footer="0.3"/>
  <pageSetup scale="35" fitToHeight="0"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Q254"/>
  <sheetViews>
    <sheetView showGridLines="0" showZeros="0" topLeftCell="A198" zoomScale="70" zoomScaleNormal="70" workbookViewId="0">
      <selection activeCell="A32" sqref="A32"/>
    </sheetView>
  </sheetViews>
  <sheetFormatPr baseColWidth="10" defaultColWidth="9.1796875" defaultRowHeight="15.5" x14ac:dyDescent="0.35"/>
  <cols>
    <col min="1" max="1" width="4.453125" style="58" customWidth="1"/>
    <col min="2" max="2" width="3.453125" style="58" customWidth="1"/>
    <col min="3" max="3" width="51.453125" style="58" customWidth="1"/>
    <col min="4" max="4" width="34.453125" style="60" customWidth="1"/>
    <col min="5" max="5" width="35" style="60" customWidth="1"/>
    <col min="6" max="9" width="34" style="60" customWidth="1"/>
    <col min="10" max="10" width="25.453125" style="58" customWidth="1"/>
    <col min="11" max="11" width="21.453125" style="58" customWidth="1"/>
    <col min="12" max="12" width="16.81640625" style="58" customWidth="1"/>
    <col min="13" max="13" width="19.453125" style="58" customWidth="1"/>
    <col min="14" max="14" width="19" style="58" customWidth="1"/>
    <col min="15" max="15" width="26" style="58" customWidth="1"/>
    <col min="16" max="16" width="21.1796875" style="58" customWidth="1"/>
    <col min="17" max="17" width="7" style="62" customWidth="1"/>
    <col min="18" max="18" width="24.453125" style="58" customWidth="1"/>
    <col min="19" max="19" width="26.453125" style="58" customWidth="1"/>
    <col min="20" max="20" width="30.1796875" style="58" customWidth="1"/>
    <col min="21" max="21" width="33" style="58" customWidth="1"/>
    <col min="22" max="23" width="22.453125" style="58" customWidth="1"/>
    <col min="24" max="24" width="23.453125" style="58" customWidth="1"/>
    <col min="25" max="25" width="32.1796875" style="58" customWidth="1"/>
    <col min="26" max="26" width="9.1796875" style="58"/>
    <col min="27" max="27" width="17.453125" style="58" customWidth="1"/>
    <col min="28" max="28" width="26.453125" style="58" customWidth="1"/>
    <col min="29" max="29" width="22.453125" style="58" customWidth="1"/>
    <col min="30" max="30" width="29.453125" style="58" customWidth="1"/>
    <col min="31" max="31" width="23.453125" style="58" customWidth="1"/>
    <col min="32" max="32" width="18.453125" style="58" customWidth="1"/>
    <col min="33" max="33" width="17.453125" style="58" customWidth="1"/>
    <col min="34" max="34" width="25.1796875" style="58" customWidth="1"/>
    <col min="35" max="16384" width="9.1796875" style="58"/>
  </cols>
  <sheetData>
    <row r="1" spans="2:17" ht="24" customHeight="1" x14ac:dyDescent="0.35">
      <c r="O1" s="24"/>
      <c r="P1" s="6"/>
      <c r="Q1" s="58"/>
    </row>
    <row r="2" spans="2:17" ht="46.5" customHeight="1" x14ac:dyDescent="1">
      <c r="C2" s="719" t="s">
        <v>527</v>
      </c>
      <c r="D2" s="719"/>
      <c r="E2" s="719"/>
      <c r="F2" s="719"/>
      <c r="G2" s="153"/>
      <c r="H2" s="153"/>
      <c r="I2" s="153"/>
      <c r="J2" s="41"/>
      <c r="K2" s="42"/>
      <c r="L2" s="42"/>
      <c r="O2" s="24"/>
      <c r="P2" s="6"/>
      <c r="Q2" s="58"/>
    </row>
    <row r="3" spans="2:17" ht="24" customHeight="1" x14ac:dyDescent="0.35">
      <c r="C3" s="46"/>
      <c r="D3" s="43"/>
      <c r="E3" s="43"/>
      <c r="F3" s="43"/>
      <c r="G3" s="43"/>
      <c r="H3" s="43"/>
      <c r="I3" s="43"/>
      <c r="J3" s="43"/>
      <c r="K3" s="43"/>
      <c r="L3" s="43"/>
      <c r="O3" s="24"/>
      <c r="P3" s="6"/>
      <c r="Q3" s="58"/>
    </row>
    <row r="4" spans="2:17" ht="24" customHeight="1" thickBot="1" x14ac:dyDescent="0.4">
      <c r="C4" s="46"/>
      <c r="D4" s="43"/>
      <c r="E4" s="43"/>
      <c r="F4" s="43"/>
      <c r="G4" s="43"/>
      <c r="H4" s="43"/>
      <c r="I4" s="43"/>
      <c r="J4" s="43"/>
      <c r="K4" s="43"/>
      <c r="L4" s="43"/>
      <c r="O4" s="24"/>
      <c r="P4" s="6"/>
      <c r="Q4" s="58"/>
    </row>
    <row r="5" spans="2:17" ht="30" customHeight="1" x14ac:dyDescent="0.8">
      <c r="C5" s="745" t="s">
        <v>5</v>
      </c>
      <c r="D5" s="746"/>
      <c r="E5" s="746"/>
      <c r="F5" s="746"/>
      <c r="G5" s="746"/>
      <c r="H5" s="746"/>
      <c r="I5" s="746"/>
      <c r="J5" s="747"/>
      <c r="M5" s="24"/>
      <c r="N5" s="6"/>
      <c r="Q5" s="58"/>
    </row>
    <row r="6" spans="2:17" ht="24" customHeight="1" x14ac:dyDescent="0.35">
      <c r="C6" s="734" t="s">
        <v>588</v>
      </c>
      <c r="D6" s="735"/>
      <c r="E6" s="735"/>
      <c r="F6" s="735"/>
      <c r="G6" s="735"/>
      <c r="H6" s="735"/>
      <c r="I6" s="735"/>
      <c r="J6" s="736"/>
      <c r="M6" s="24"/>
      <c r="N6" s="6"/>
      <c r="Q6" s="58"/>
    </row>
    <row r="7" spans="2:17" ht="41.25" customHeight="1" x14ac:dyDescent="0.35">
      <c r="C7" s="734"/>
      <c r="D7" s="735"/>
      <c r="E7" s="735"/>
      <c r="F7" s="735"/>
      <c r="G7" s="735"/>
      <c r="H7" s="735"/>
      <c r="I7" s="735"/>
      <c r="J7" s="736"/>
      <c r="M7" s="24"/>
      <c r="N7" s="6"/>
      <c r="Q7" s="58"/>
    </row>
    <row r="8" spans="2:17" ht="24" customHeight="1" thickBot="1" x14ac:dyDescent="0.4">
      <c r="C8" s="737"/>
      <c r="D8" s="738"/>
      <c r="E8" s="738"/>
      <c r="F8" s="738"/>
      <c r="G8" s="738"/>
      <c r="H8" s="738"/>
      <c r="I8" s="738"/>
      <c r="J8" s="739"/>
      <c r="M8" s="24"/>
      <c r="N8" s="6"/>
      <c r="Q8" s="58"/>
    </row>
    <row r="9" spans="2:17" ht="24" customHeight="1" thickBot="1" x14ac:dyDescent="0.4">
      <c r="C9" s="55"/>
      <c r="D9" s="55"/>
      <c r="E9" s="55"/>
      <c r="F9" s="55"/>
      <c r="G9" s="55"/>
      <c r="H9" s="55"/>
      <c r="I9" s="55"/>
      <c r="O9" s="24"/>
      <c r="P9" s="6"/>
      <c r="Q9" s="58"/>
    </row>
    <row r="10" spans="2:17" ht="25.5" customHeight="1" thickBot="1" x14ac:dyDescent="0.65">
      <c r="C10" s="720" t="s">
        <v>589</v>
      </c>
      <c r="D10" s="721"/>
      <c r="E10" s="721"/>
      <c r="F10" s="722"/>
      <c r="G10" s="155"/>
      <c r="H10" s="155"/>
      <c r="I10" s="155"/>
      <c r="O10" s="24"/>
      <c r="P10" s="6"/>
      <c r="Q10" s="58"/>
    </row>
    <row r="11" spans="2:17" ht="24" customHeight="1" x14ac:dyDescent="0.35">
      <c r="C11" s="55"/>
      <c r="D11" s="55"/>
      <c r="E11" s="55"/>
      <c r="F11" s="55"/>
      <c r="G11" s="55"/>
      <c r="H11" s="55"/>
      <c r="I11" s="55"/>
      <c r="O11" s="24"/>
      <c r="P11" s="6"/>
      <c r="Q11" s="58"/>
    </row>
    <row r="12" spans="2:17" ht="40.5" customHeight="1" x14ac:dyDescent="0.35">
      <c r="C12" s="55"/>
      <c r="D12" s="118" t="s">
        <v>535</v>
      </c>
      <c r="E12" s="118" t="s">
        <v>536</v>
      </c>
      <c r="F12" s="118" t="s">
        <v>537</v>
      </c>
      <c r="G12" s="118" t="s">
        <v>632</v>
      </c>
      <c r="H12" s="118" t="s">
        <v>633</v>
      </c>
      <c r="I12" s="118" t="s">
        <v>634</v>
      </c>
      <c r="J12" s="743" t="s">
        <v>13</v>
      </c>
      <c r="O12" s="24"/>
      <c r="P12" s="6"/>
      <c r="Q12" s="58"/>
    </row>
    <row r="13" spans="2:17" ht="24" customHeight="1" x14ac:dyDescent="0.35">
      <c r="C13" s="55"/>
      <c r="D13" s="111" t="str">
        <f>'1) Tableau budgétaire 1'!D13</f>
        <v>OIM BURKINA FASO</v>
      </c>
      <c r="E13" s="111" t="str">
        <f>'1) Tableau budgétaire 1'!E13</f>
        <v>OIM NIGER</v>
      </c>
      <c r="F13" s="111" t="str">
        <f>'1) Tableau budgétaire 1'!F13</f>
        <v>OIM MALI</v>
      </c>
      <c r="G13" s="111" t="str">
        <f>'1) Tableau budgétaire 1'!G13</f>
        <v>FAO BURKINA FASO</v>
      </c>
      <c r="H13" s="111" t="str">
        <f>'1) Tableau budgétaire 1'!H13</f>
        <v>FAO MALI</v>
      </c>
      <c r="I13" s="111" t="str">
        <f>'1) Tableau budgétaire 1'!I13</f>
        <v>FAO NIGER</v>
      </c>
      <c r="J13" s="744"/>
      <c r="O13" s="24"/>
      <c r="P13" s="6"/>
      <c r="Q13" s="58"/>
    </row>
    <row r="14" spans="2:17" ht="24" customHeight="1" x14ac:dyDescent="0.35">
      <c r="B14" s="729" t="s">
        <v>547</v>
      </c>
      <c r="C14" s="730"/>
      <c r="D14" s="730"/>
      <c r="E14" s="730"/>
      <c r="F14" s="730"/>
      <c r="G14" s="730"/>
      <c r="H14" s="730"/>
      <c r="I14" s="730"/>
      <c r="J14" s="731"/>
      <c r="O14" s="24"/>
      <c r="P14" s="6"/>
      <c r="Q14" s="58"/>
    </row>
    <row r="15" spans="2:17" ht="22.5" customHeight="1" x14ac:dyDescent="0.35">
      <c r="C15" s="729" t="s">
        <v>548</v>
      </c>
      <c r="D15" s="730"/>
      <c r="E15" s="730"/>
      <c r="F15" s="730"/>
      <c r="G15" s="730"/>
      <c r="H15" s="730"/>
      <c r="I15" s="730"/>
      <c r="J15" s="731"/>
      <c r="O15" s="24"/>
      <c r="P15" s="6"/>
      <c r="Q15" s="58"/>
    </row>
    <row r="16" spans="2:17" ht="24.75" customHeight="1" thickBot="1" x14ac:dyDescent="0.4">
      <c r="C16" s="69" t="s">
        <v>549</v>
      </c>
      <c r="D16" s="70">
        <f>'1) Tableau budgétaire 1'!D24</f>
        <v>273190</v>
      </c>
      <c r="E16" s="70">
        <f>'1) Tableau budgétaire 1'!E24</f>
        <v>69415</v>
      </c>
      <c r="F16" s="70">
        <f>'1) Tableau budgétaire 1'!F24</f>
        <v>69415</v>
      </c>
      <c r="G16" s="70">
        <f>'1) Tableau budgétaire 1'!G24</f>
        <v>0</v>
      </c>
      <c r="H16" s="70">
        <f>'1) Tableau budgétaire 1'!H24</f>
        <v>0</v>
      </c>
      <c r="I16" s="70">
        <f>'1) Tableau budgétaire 1'!I24</f>
        <v>0</v>
      </c>
      <c r="J16" s="71">
        <f>SUM(D16:I16)</f>
        <v>412020</v>
      </c>
      <c r="O16" s="24"/>
      <c r="P16" s="6"/>
      <c r="Q16" s="58"/>
    </row>
    <row r="17" spans="3:17" ht="21.75" customHeight="1" thickBot="1" x14ac:dyDescent="0.4">
      <c r="C17" s="68" t="s">
        <v>550</v>
      </c>
      <c r="D17" s="101"/>
      <c r="E17" s="102"/>
      <c r="F17" s="102"/>
      <c r="G17" s="102"/>
      <c r="H17" s="102"/>
      <c r="I17" s="102"/>
      <c r="J17" s="71">
        <f t="shared" ref="J17:J23" si="0">SUM(D17:I17)</f>
        <v>0</v>
      </c>
      <c r="Q17" s="58"/>
    </row>
    <row r="18" spans="3:17" ht="16" thickBot="1" x14ac:dyDescent="0.4">
      <c r="C18" s="56" t="s">
        <v>551</v>
      </c>
      <c r="D18" s="103"/>
      <c r="E18" s="21"/>
      <c r="F18" s="21"/>
      <c r="G18" s="21"/>
      <c r="H18" s="21"/>
      <c r="I18" s="21"/>
      <c r="J18" s="71">
        <f t="shared" si="0"/>
        <v>0</v>
      </c>
      <c r="Q18" s="58"/>
    </row>
    <row r="19" spans="3:17" ht="15.75" customHeight="1" thickBot="1" x14ac:dyDescent="0.4">
      <c r="C19" s="56" t="s">
        <v>552</v>
      </c>
      <c r="D19" s="103"/>
      <c r="E19" s="103"/>
      <c r="F19" s="103"/>
      <c r="G19" s="103"/>
      <c r="H19" s="103"/>
      <c r="I19" s="103"/>
      <c r="J19" s="71">
        <f t="shared" si="0"/>
        <v>0</v>
      </c>
      <c r="Q19" s="58"/>
    </row>
    <row r="20" spans="3:17" ht="16" thickBot="1" x14ac:dyDescent="0.4">
      <c r="C20" s="57" t="s">
        <v>553</v>
      </c>
      <c r="D20" s="103">
        <f>SUM('1) Tableau budgétaire 1'!D19)</f>
        <v>6000</v>
      </c>
      <c r="E20" s="103">
        <f>SUM('1) Tableau budgétaire 1'!E19)</f>
        <v>2000</v>
      </c>
      <c r="F20" s="103">
        <f>SUM('1) Tableau budgétaire 1'!F19)</f>
        <v>2000</v>
      </c>
      <c r="G20" s="103"/>
      <c r="H20" s="103"/>
      <c r="I20" s="103"/>
      <c r="J20" s="71">
        <f>SUM(D20:I20)</f>
        <v>10000</v>
      </c>
      <c r="Q20" s="58"/>
    </row>
    <row r="21" spans="3:17" ht="16" thickBot="1" x14ac:dyDescent="0.4">
      <c r="C21" s="56" t="s">
        <v>554</v>
      </c>
      <c r="D21" s="103"/>
      <c r="E21" s="103"/>
      <c r="F21" s="103"/>
      <c r="G21" s="103"/>
      <c r="H21" s="103"/>
      <c r="I21" s="103"/>
      <c r="J21" s="71">
        <f t="shared" si="0"/>
        <v>0</v>
      </c>
      <c r="Q21" s="58"/>
    </row>
    <row r="22" spans="3:17" ht="21.75" customHeight="1" thickBot="1" x14ac:dyDescent="0.4">
      <c r="C22" s="56" t="s">
        <v>555</v>
      </c>
      <c r="D22" s="103">
        <f>SUM('1) Tableau budgétaire 1'!D16:D18)</f>
        <v>267190</v>
      </c>
      <c r="E22" s="103">
        <f>SUM('1) Tableau budgétaire 1'!E16:E18)</f>
        <v>67415</v>
      </c>
      <c r="F22" s="103">
        <f>SUM('1) Tableau budgétaire 1'!F16:F18)</f>
        <v>67415</v>
      </c>
      <c r="G22" s="103"/>
      <c r="H22" s="103">
        <f>SUM('1) Tableau budgétaire 1'!H16:H18)</f>
        <v>0</v>
      </c>
      <c r="I22" s="103"/>
      <c r="J22" s="71">
        <f>SUM(D22:I22)</f>
        <v>402020</v>
      </c>
      <c r="Q22" s="58"/>
    </row>
    <row r="23" spans="3:17" ht="36.75" customHeight="1" thickBot="1" x14ac:dyDescent="0.4">
      <c r="C23" s="56" t="s">
        <v>556</v>
      </c>
      <c r="D23" s="103"/>
      <c r="E23" s="103"/>
      <c r="F23" s="103"/>
      <c r="G23" s="103"/>
      <c r="H23" s="103"/>
      <c r="I23" s="103"/>
      <c r="J23" s="71">
        <f t="shared" si="0"/>
        <v>0</v>
      </c>
      <c r="Q23" s="58"/>
    </row>
    <row r="24" spans="3:17" ht="15.75" customHeight="1" x14ac:dyDescent="0.35">
      <c r="C24" s="61" t="s">
        <v>21</v>
      </c>
      <c r="D24" s="72">
        <f>SUM(D17:D23)</f>
        <v>273190</v>
      </c>
      <c r="E24" s="72">
        <f>SUM(E17:E23)</f>
        <v>69415</v>
      </c>
      <c r="F24" s="72">
        <f>SUM(F17:F23)</f>
        <v>69415</v>
      </c>
      <c r="G24" s="72">
        <f t="shared" ref="G24:I24" si="1">SUM(G17:G23)</f>
        <v>0</v>
      </c>
      <c r="H24" s="72">
        <f t="shared" si="1"/>
        <v>0</v>
      </c>
      <c r="I24" s="72">
        <f t="shared" si="1"/>
        <v>0</v>
      </c>
      <c r="J24" s="128">
        <f>SUM(D24:I24)</f>
        <v>412020</v>
      </c>
      <c r="Q24" s="58"/>
    </row>
    <row r="25" spans="3:17" s="60" customFormat="1" x14ac:dyDescent="0.35">
      <c r="C25" s="73"/>
      <c r="D25" s="74"/>
      <c r="E25" s="74"/>
      <c r="F25" s="74"/>
      <c r="G25" s="74"/>
      <c r="H25" s="74"/>
      <c r="I25" s="74"/>
      <c r="J25" s="129"/>
    </row>
    <row r="26" spans="3:17" x14ac:dyDescent="0.35">
      <c r="C26" s="729" t="s">
        <v>557</v>
      </c>
      <c r="D26" s="730"/>
      <c r="E26" s="730"/>
      <c r="F26" s="730"/>
      <c r="G26" s="730"/>
      <c r="H26" s="730"/>
      <c r="I26" s="730"/>
      <c r="J26" s="731"/>
      <c r="Q26" s="58"/>
    </row>
    <row r="27" spans="3:17" ht="27" customHeight="1" thickBot="1" x14ac:dyDescent="0.4">
      <c r="C27" s="69" t="s">
        <v>558</v>
      </c>
      <c r="D27" s="70">
        <f>'1) Tableau budgétaire 1'!D34</f>
        <v>36380</v>
      </c>
      <c r="E27" s="70">
        <f>'1) Tableau budgétaire 1'!E34</f>
        <v>57656.5</v>
      </c>
      <c r="F27" s="70">
        <f>'1) Tableau budgétaire 1'!F34</f>
        <v>57656.5</v>
      </c>
      <c r="G27" s="70">
        <f>'1) Tableau budgétaire 1'!G34</f>
        <v>0</v>
      </c>
      <c r="H27" s="70">
        <f>'1) Tableau budgétaire 1'!H34</f>
        <v>0</v>
      </c>
      <c r="I27" s="70">
        <f>'1) Tableau budgétaire 1'!I34</f>
        <v>0</v>
      </c>
      <c r="J27" s="71">
        <f>SUM(D27:I27)</f>
        <v>151693</v>
      </c>
      <c r="Q27" s="58"/>
    </row>
    <row r="28" spans="3:17" ht="16" thickBot="1" x14ac:dyDescent="0.4">
      <c r="C28" s="68" t="s">
        <v>550</v>
      </c>
      <c r="D28" s="101"/>
      <c r="E28" s="102"/>
      <c r="F28" s="102"/>
      <c r="G28" s="102"/>
      <c r="H28" s="102"/>
      <c r="I28" s="102"/>
      <c r="J28" s="71">
        <f t="shared" ref="J28:J34" si="2">SUM(D28:I28)</f>
        <v>0</v>
      </c>
      <c r="Q28" s="58"/>
    </row>
    <row r="29" spans="3:17" ht="16" thickBot="1" x14ac:dyDescent="0.4">
      <c r="C29" s="56" t="s">
        <v>551</v>
      </c>
      <c r="D29" s="103">
        <f>SUM('1) Tableau budgétaire 1'!D27:D28)</f>
        <v>30380</v>
      </c>
      <c r="E29" s="103">
        <f>SUM('1) Tableau budgétaire 1'!E27:E28)</f>
        <v>48995</v>
      </c>
      <c r="F29" s="103">
        <f>SUM('1) Tableau budgétaire 1'!F27:F28)</f>
        <v>48995</v>
      </c>
      <c r="G29" s="21"/>
      <c r="H29" s="21"/>
      <c r="I29" s="21"/>
      <c r="J29" s="71">
        <f>SUM(D29:I29)</f>
        <v>128370</v>
      </c>
      <c r="Q29" s="58"/>
    </row>
    <row r="30" spans="3:17" ht="31.5" thickBot="1" x14ac:dyDescent="0.4">
      <c r="C30" s="56" t="s">
        <v>552</v>
      </c>
      <c r="D30" s="103"/>
      <c r="E30" s="103"/>
      <c r="F30" s="103"/>
      <c r="G30" s="103"/>
      <c r="H30" s="103"/>
      <c r="I30" s="103"/>
      <c r="J30" s="71">
        <f t="shared" si="2"/>
        <v>0</v>
      </c>
      <c r="Q30" s="58"/>
    </row>
    <row r="31" spans="3:17" ht="16" thickBot="1" x14ac:dyDescent="0.4">
      <c r="C31" s="57" t="s">
        <v>553</v>
      </c>
      <c r="D31" s="103">
        <f>SUM('1) Tableau budgétaire 1'!D26)</f>
        <v>6000</v>
      </c>
      <c r="E31" s="103">
        <f>SUM('1) Tableau budgétaire 1'!E26)</f>
        <v>8661.5</v>
      </c>
      <c r="F31" s="103">
        <f>SUM('1) Tableau budgétaire 1'!F26)</f>
        <v>8661.5</v>
      </c>
      <c r="G31" s="103"/>
      <c r="H31" s="103"/>
      <c r="I31" s="103"/>
      <c r="J31" s="71">
        <f>SUM(D31:I31)</f>
        <v>23323</v>
      </c>
      <c r="Q31" s="58"/>
    </row>
    <row r="32" spans="3:17" ht="16" thickBot="1" x14ac:dyDescent="0.4">
      <c r="C32" s="56" t="s">
        <v>554</v>
      </c>
      <c r="D32" s="103"/>
      <c r="E32" s="103"/>
      <c r="F32" s="103"/>
      <c r="G32" s="103"/>
      <c r="H32" s="103"/>
      <c r="I32" s="103"/>
      <c r="J32" s="71">
        <f t="shared" si="2"/>
        <v>0</v>
      </c>
      <c r="Q32" s="58"/>
    </row>
    <row r="33" spans="3:17" ht="16" thickBot="1" x14ac:dyDescent="0.4">
      <c r="C33" s="56" t="s">
        <v>555</v>
      </c>
      <c r="D33" s="103"/>
      <c r="E33" s="103"/>
      <c r="F33" s="103"/>
      <c r="G33" s="103"/>
      <c r="H33" s="103">
        <f>SUM('1) Tableau budgétaire 1'!H26:H28)</f>
        <v>0</v>
      </c>
      <c r="I33" s="103"/>
      <c r="J33" s="71">
        <f t="shared" si="2"/>
        <v>0</v>
      </c>
      <c r="Q33" s="58"/>
    </row>
    <row r="34" spans="3:17" ht="31.5" thickBot="1" x14ac:dyDescent="0.4">
      <c r="C34" s="56" t="s">
        <v>556</v>
      </c>
      <c r="D34" s="103"/>
      <c r="E34" s="103"/>
      <c r="F34" s="103"/>
      <c r="G34" s="103"/>
      <c r="H34" s="103"/>
      <c r="I34" s="103"/>
      <c r="J34" s="71">
        <f t="shared" si="2"/>
        <v>0</v>
      </c>
      <c r="Q34" s="58"/>
    </row>
    <row r="35" spans="3:17" x14ac:dyDescent="0.35">
      <c r="C35" s="61" t="s">
        <v>21</v>
      </c>
      <c r="D35" s="72">
        <f>SUM(D28:D34)</f>
        <v>36380</v>
      </c>
      <c r="E35" s="72">
        <f>SUM(E28:E34)</f>
        <v>57656.5</v>
      </c>
      <c r="F35" s="72">
        <f>SUM(F28:F34)</f>
        <v>57656.5</v>
      </c>
      <c r="G35" s="72">
        <f t="shared" ref="G35:I35" si="3">SUM(G28:G34)</f>
        <v>0</v>
      </c>
      <c r="H35" s="72">
        <f t="shared" si="3"/>
        <v>0</v>
      </c>
      <c r="I35" s="72">
        <f t="shared" si="3"/>
        <v>0</v>
      </c>
      <c r="J35" s="67">
        <f>SUM(D35:I35)</f>
        <v>151693</v>
      </c>
      <c r="Q35" s="58"/>
    </row>
    <row r="36" spans="3:17" s="60" customFormat="1" x14ac:dyDescent="0.35">
      <c r="C36" s="73"/>
      <c r="D36" s="74"/>
      <c r="E36" s="74"/>
      <c r="F36" s="74"/>
      <c r="G36" s="74"/>
      <c r="H36" s="74"/>
      <c r="I36" s="74"/>
      <c r="J36" s="75"/>
    </row>
    <row r="37" spans="3:17" x14ac:dyDescent="0.35">
      <c r="C37" s="729" t="s">
        <v>559</v>
      </c>
      <c r="D37" s="730"/>
      <c r="E37" s="730"/>
      <c r="F37" s="730"/>
      <c r="G37" s="730"/>
      <c r="H37" s="730"/>
      <c r="I37" s="730"/>
      <c r="J37" s="731"/>
      <c r="Q37" s="58"/>
    </row>
    <row r="38" spans="3:17" ht="21.75" customHeight="1" thickBot="1" x14ac:dyDescent="0.4">
      <c r="C38" s="69" t="s">
        <v>560</v>
      </c>
      <c r="D38" s="70">
        <f>'1) Tableau budgétaire 1'!D44</f>
        <v>0</v>
      </c>
      <c r="E38" s="70">
        <f>'1) Tableau budgétaire 1'!E44</f>
        <v>0</v>
      </c>
      <c r="F38" s="70">
        <f>'1) Tableau budgétaire 1'!F44</f>
        <v>0</v>
      </c>
      <c r="G38" s="70">
        <f>'1) Tableau budgétaire 1'!G44</f>
        <v>0</v>
      </c>
      <c r="H38" s="70">
        <f>'1) Tableau budgétaire 1'!H44</f>
        <v>0</v>
      </c>
      <c r="I38" s="70">
        <f>'1) Tableau budgétaire 1'!I44</f>
        <v>0</v>
      </c>
      <c r="J38" s="71">
        <f>SUM(D38:I38)</f>
        <v>0</v>
      </c>
      <c r="Q38" s="58"/>
    </row>
    <row r="39" spans="3:17" ht="16" thickBot="1" x14ac:dyDescent="0.4">
      <c r="C39" s="68" t="s">
        <v>550</v>
      </c>
      <c r="D39" s="101"/>
      <c r="E39" s="102"/>
      <c r="F39" s="102"/>
      <c r="G39" s="102"/>
      <c r="H39" s="102"/>
      <c r="I39" s="102"/>
      <c r="J39" s="71">
        <f t="shared" ref="J39:J45" si="4">SUM(D39:I39)</f>
        <v>0</v>
      </c>
      <c r="Q39" s="58"/>
    </row>
    <row r="40" spans="3:17" s="60" customFormat="1" ht="15.75" customHeight="1" thickBot="1" x14ac:dyDescent="0.4">
      <c r="C40" s="56" t="s">
        <v>551</v>
      </c>
      <c r="D40" s="103">
        <f>SUM('1) Tableau budgétaire 1'!D36:D37)</f>
        <v>0</v>
      </c>
      <c r="E40" s="103">
        <f>SUM('1) Tableau budgétaire 1'!E36:E37)</f>
        <v>0</v>
      </c>
      <c r="F40" s="103">
        <f>SUM('1) Tableau budgétaire 1'!F36:F37)</f>
        <v>0</v>
      </c>
      <c r="G40" s="21"/>
      <c r="H40" s="21"/>
      <c r="I40" s="21"/>
      <c r="J40" s="71">
        <f t="shared" si="4"/>
        <v>0</v>
      </c>
    </row>
    <row r="41" spans="3:17" s="60" customFormat="1" ht="31.5" thickBot="1" x14ac:dyDescent="0.4">
      <c r="C41" s="56" t="s">
        <v>552</v>
      </c>
      <c r="D41" s="103"/>
      <c r="E41" s="103"/>
      <c r="F41" s="103"/>
      <c r="G41" s="103"/>
      <c r="H41" s="103"/>
      <c r="I41" s="103"/>
      <c r="J41" s="71">
        <f t="shared" si="4"/>
        <v>0</v>
      </c>
    </row>
    <row r="42" spans="3:17" s="60" customFormat="1" ht="16" thickBot="1" x14ac:dyDescent="0.4">
      <c r="C42" s="57" t="s">
        <v>553</v>
      </c>
      <c r="D42" s="103"/>
      <c r="E42" s="103"/>
      <c r="F42" s="103"/>
      <c r="G42" s="103"/>
      <c r="H42" s="103"/>
      <c r="I42" s="103"/>
      <c r="J42" s="71">
        <f t="shared" si="4"/>
        <v>0</v>
      </c>
    </row>
    <row r="43" spans="3:17" ht="16" thickBot="1" x14ac:dyDescent="0.4">
      <c r="C43" s="56" t="s">
        <v>554</v>
      </c>
      <c r="D43" s="103"/>
      <c r="E43" s="103"/>
      <c r="F43" s="103"/>
      <c r="G43" s="103"/>
      <c r="H43" s="103"/>
      <c r="I43" s="103"/>
      <c r="J43" s="71">
        <f t="shared" si="4"/>
        <v>0</v>
      </c>
      <c r="Q43" s="58"/>
    </row>
    <row r="44" spans="3:17" ht="16" thickBot="1" x14ac:dyDescent="0.4">
      <c r="C44" s="56" t="s">
        <v>555</v>
      </c>
      <c r="D44" s="103"/>
      <c r="E44" s="103"/>
      <c r="F44" s="103"/>
      <c r="G44" s="103"/>
      <c r="H44" s="103"/>
      <c r="I44" s="103"/>
      <c r="J44" s="71">
        <f t="shared" si="4"/>
        <v>0</v>
      </c>
      <c r="Q44" s="58"/>
    </row>
    <row r="45" spans="3:17" ht="31.5" thickBot="1" x14ac:dyDescent="0.4">
      <c r="C45" s="56" t="s">
        <v>556</v>
      </c>
      <c r="D45" s="103"/>
      <c r="E45" s="103"/>
      <c r="F45" s="103"/>
      <c r="G45" s="103"/>
      <c r="H45" s="103"/>
      <c r="I45" s="103"/>
      <c r="J45" s="71">
        <f t="shared" si="4"/>
        <v>0</v>
      </c>
      <c r="Q45" s="58"/>
    </row>
    <row r="46" spans="3:17" x14ac:dyDescent="0.35">
      <c r="C46" s="135" t="s">
        <v>21</v>
      </c>
      <c r="D46" s="136">
        <f>SUM(D39:D45)</f>
        <v>0</v>
      </c>
      <c r="E46" s="136">
        <f>SUM(E39:E45)</f>
        <v>0</v>
      </c>
      <c r="F46" s="136">
        <f>SUM(F39:F45)</f>
        <v>0</v>
      </c>
      <c r="G46" s="136">
        <f t="shared" ref="G46:I46" si="5">SUM(G39:G45)</f>
        <v>0</v>
      </c>
      <c r="H46" s="136">
        <f t="shared" si="5"/>
        <v>0</v>
      </c>
      <c r="I46" s="136">
        <f t="shared" si="5"/>
        <v>0</v>
      </c>
      <c r="J46" s="137">
        <f>SUM(D46:I46)</f>
        <v>0</v>
      </c>
      <c r="Q46" s="58"/>
    </row>
    <row r="47" spans="3:17" x14ac:dyDescent="0.35">
      <c r="C47" s="138"/>
      <c r="D47" s="139"/>
      <c r="E47" s="139"/>
      <c r="F47" s="139"/>
      <c r="G47" s="139"/>
      <c r="H47" s="139"/>
      <c r="I47" s="139"/>
      <c r="J47" s="140"/>
      <c r="Q47" s="58"/>
    </row>
    <row r="48" spans="3:17" s="60" customFormat="1" x14ac:dyDescent="0.35">
      <c r="C48" s="748" t="s">
        <v>561</v>
      </c>
      <c r="D48" s="749"/>
      <c r="E48" s="749"/>
      <c r="F48" s="749"/>
      <c r="G48" s="749"/>
      <c r="H48" s="749"/>
      <c r="I48" s="749"/>
      <c r="J48" s="750"/>
    </row>
    <row r="49" spans="2:17" ht="20.25" customHeight="1" thickBot="1" x14ac:dyDescent="0.4">
      <c r="C49" s="69" t="s">
        <v>562</v>
      </c>
      <c r="D49" s="70">
        <f>'1) Tableau budgétaire 1'!D54</f>
        <v>0</v>
      </c>
      <c r="E49" s="70">
        <f>'1) Tableau budgétaire 1'!E54</f>
        <v>0</v>
      </c>
      <c r="F49" s="70">
        <f>'1) Tableau budgétaire 1'!F54</f>
        <v>0</v>
      </c>
      <c r="G49" s="70">
        <f>'1) Tableau budgétaire 1'!G54</f>
        <v>0</v>
      </c>
      <c r="H49" s="70">
        <f>'1) Tableau budgétaire 1'!H54</f>
        <v>0</v>
      </c>
      <c r="I49" s="70">
        <f>'1) Tableau budgétaire 1'!I54</f>
        <v>0</v>
      </c>
      <c r="J49" s="71">
        <f>SUM(D49:I49)</f>
        <v>0</v>
      </c>
      <c r="Q49" s="58"/>
    </row>
    <row r="50" spans="2:17" ht="16" thickBot="1" x14ac:dyDescent="0.4">
      <c r="C50" s="68" t="s">
        <v>550</v>
      </c>
      <c r="D50" s="101"/>
      <c r="E50" s="102"/>
      <c r="F50" s="102"/>
      <c r="G50" s="102"/>
      <c r="H50" s="102"/>
      <c r="I50" s="102"/>
      <c r="J50" s="71">
        <f t="shared" ref="J50:J57" si="6">SUM(D50:I50)</f>
        <v>0</v>
      </c>
      <c r="Q50" s="58"/>
    </row>
    <row r="51" spans="2:17" ht="15.75" customHeight="1" thickBot="1" x14ac:dyDescent="0.4">
      <c r="C51" s="56" t="s">
        <v>551</v>
      </c>
      <c r="D51" s="103"/>
      <c r="E51" s="21"/>
      <c r="F51" s="21"/>
      <c r="G51" s="21"/>
      <c r="H51" s="21"/>
      <c r="I51" s="21"/>
      <c r="J51" s="71">
        <f t="shared" si="6"/>
        <v>0</v>
      </c>
      <c r="Q51" s="58"/>
    </row>
    <row r="52" spans="2:17" ht="32.25" customHeight="1" thickBot="1" x14ac:dyDescent="0.4">
      <c r="C52" s="56" t="s">
        <v>552</v>
      </c>
      <c r="D52" s="103"/>
      <c r="E52" s="103"/>
      <c r="F52" s="103"/>
      <c r="G52" s="103"/>
      <c r="H52" s="103"/>
      <c r="I52" s="103"/>
      <c r="J52" s="71">
        <f t="shared" si="6"/>
        <v>0</v>
      </c>
      <c r="Q52" s="58"/>
    </row>
    <row r="53" spans="2:17" s="60" customFormat="1" ht="16" thickBot="1" x14ac:dyDescent="0.4">
      <c r="C53" s="57" t="s">
        <v>553</v>
      </c>
      <c r="D53" s="103"/>
      <c r="E53" s="103"/>
      <c r="F53" s="103"/>
      <c r="G53" s="103"/>
      <c r="H53" s="103"/>
      <c r="I53" s="103"/>
      <c r="J53" s="71">
        <f t="shared" si="6"/>
        <v>0</v>
      </c>
    </row>
    <row r="54" spans="2:17" ht="16" thickBot="1" x14ac:dyDescent="0.4">
      <c r="C54" s="56" t="s">
        <v>554</v>
      </c>
      <c r="D54" s="103"/>
      <c r="E54" s="103"/>
      <c r="F54" s="103"/>
      <c r="G54" s="103"/>
      <c r="H54" s="103"/>
      <c r="I54" s="103"/>
      <c r="J54" s="71">
        <f t="shared" si="6"/>
        <v>0</v>
      </c>
      <c r="Q54" s="58"/>
    </row>
    <row r="55" spans="2:17" ht="16" thickBot="1" x14ac:dyDescent="0.4">
      <c r="C55" s="56" t="s">
        <v>555</v>
      </c>
      <c r="D55" s="103"/>
      <c r="E55" s="103"/>
      <c r="F55" s="103"/>
      <c r="G55" s="103"/>
      <c r="H55" s="103"/>
      <c r="I55" s="103"/>
      <c r="J55" s="71">
        <f t="shared" si="6"/>
        <v>0</v>
      </c>
      <c r="Q55" s="58"/>
    </row>
    <row r="56" spans="2:17" ht="31.5" thickBot="1" x14ac:dyDescent="0.4">
      <c r="C56" s="56" t="s">
        <v>556</v>
      </c>
      <c r="D56" s="103"/>
      <c r="E56" s="103"/>
      <c r="F56" s="103"/>
      <c r="G56" s="103"/>
      <c r="H56" s="103"/>
      <c r="I56" s="103"/>
      <c r="J56" s="71">
        <f t="shared" si="6"/>
        <v>0</v>
      </c>
      <c r="Q56" s="58"/>
    </row>
    <row r="57" spans="2:17" ht="21" customHeight="1" thickBot="1" x14ac:dyDescent="0.4">
      <c r="C57" s="61" t="s">
        <v>21</v>
      </c>
      <c r="D57" s="72">
        <f>SUM(D50:D56)</f>
        <v>0</v>
      </c>
      <c r="E57" s="72">
        <f>SUM(E50:E56)</f>
        <v>0</v>
      </c>
      <c r="F57" s="72">
        <f>SUM(F50:F56)</f>
        <v>0</v>
      </c>
      <c r="G57" s="72">
        <f t="shared" ref="G57:I57" si="7">SUM(G50:G56)</f>
        <v>0</v>
      </c>
      <c r="H57" s="72">
        <f t="shared" si="7"/>
        <v>0</v>
      </c>
      <c r="I57" s="72">
        <f t="shared" si="7"/>
        <v>0</v>
      </c>
      <c r="J57" s="71">
        <f t="shared" si="6"/>
        <v>0</v>
      </c>
      <c r="Q57" s="58"/>
    </row>
    <row r="58" spans="2:17" s="60" customFormat="1" ht="22.5" customHeight="1" x14ac:dyDescent="0.35">
      <c r="C58" s="76"/>
      <c r="D58" s="74"/>
      <c r="E58" s="74"/>
      <c r="F58" s="74"/>
      <c r="G58" s="74"/>
      <c r="H58" s="74"/>
      <c r="I58" s="74"/>
      <c r="J58" s="75"/>
    </row>
    <row r="59" spans="2:17" x14ac:dyDescent="0.35">
      <c r="B59" s="729" t="s">
        <v>563</v>
      </c>
      <c r="C59" s="730"/>
      <c r="D59" s="730"/>
      <c r="E59" s="730"/>
      <c r="F59" s="730"/>
      <c r="G59" s="730"/>
      <c r="H59" s="730"/>
      <c r="I59" s="730"/>
      <c r="J59" s="731"/>
      <c r="Q59" s="58"/>
    </row>
    <row r="60" spans="2:17" x14ac:dyDescent="0.35">
      <c r="C60" s="729" t="s">
        <v>413</v>
      </c>
      <c r="D60" s="730"/>
      <c r="E60" s="730"/>
      <c r="F60" s="730"/>
      <c r="G60" s="730"/>
      <c r="H60" s="730"/>
      <c r="I60" s="730"/>
      <c r="J60" s="731"/>
      <c r="Q60" s="58"/>
    </row>
    <row r="61" spans="2:17" ht="24" customHeight="1" thickBot="1" x14ac:dyDescent="0.4">
      <c r="C61" s="69" t="s">
        <v>564</v>
      </c>
      <c r="D61" s="70">
        <f>'1) Tableau budgétaire 1'!D66</f>
        <v>51000</v>
      </c>
      <c r="E61" s="70">
        <f>'1) Tableau budgétaire 1'!E66</f>
        <v>79000</v>
      </c>
      <c r="F61" s="70">
        <f>'1) Tableau budgétaire 1'!F66</f>
        <v>58300</v>
      </c>
      <c r="G61" s="70">
        <f>'1) Tableau budgétaire 1'!G66</f>
        <v>0</v>
      </c>
      <c r="H61" s="70">
        <f>'1) Tableau budgétaire 1'!H66</f>
        <v>16500</v>
      </c>
      <c r="I61" s="70">
        <f>'1) Tableau budgétaire 1'!I66</f>
        <v>0</v>
      </c>
      <c r="J61" s="71">
        <f>SUM(D61:I61)</f>
        <v>204800</v>
      </c>
      <c r="Q61" s="58"/>
    </row>
    <row r="62" spans="2:17" ht="15.75" customHeight="1" thickBot="1" x14ac:dyDescent="0.4">
      <c r="C62" s="68" t="s">
        <v>550</v>
      </c>
      <c r="D62" s="101"/>
      <c r="E62" s="102"/>
      <c r="F62" s="102"/>
      <c r="G62" s="102"/>
      <c r="H62" s="102"/>
      <c r="I62" s="102"/>
      <c r="J62" s="71">
        <f t="shared" ref="J62:J68" si="8">SUM(D62:I62)</f>
        <v>0</v>
      </c>
      <c r="Q62" s="58"/>
    </row>
    <row r="63" spans="2:17" ht="15.75" customHeight="1" thickBot="1" x14ac:dyDescent="0.4">
      <c r="C63" s="56" t="s">
        <v>551</v>
      </c>
      <c r="D63" s="103">
        <f>SUM('1) Tableau budgétaire 1'!D59:D63)</f>
        <v>45000</v>
      </c>
      <c r="E63" s="103">
        <f>SUM('1) Tableau budgétaire 1'!E59:E63)</f>
        <v>72000</v>
      </c>
      <c r="F63" s="103">
        <f>SUM('1) Tableau budgétaire 1'!F59:F63)</f>
        <v>51300</v>
      </c>
      <c r="G63" s="21"/>
      <c r="H63" s="21"/>
      <c r="I63" s="21"/>
      <c r="J63" s="71">
        <f>SUM(D63:I63)</f>
        <v>168300</v>
      </c>
      <c r="Q63" s="58"/>
    </row>
    <row r="64" spans="2:17" ht="15.75" customHeight="1" thickBot="1" x14ac:dyDescent="0.4">
      <c r="C64" s="56" t="s">
        <v>552</v>
      </c>
      <c r="D64" s="103"/>
      <c r="E64" s="103"/>
      <c r="F64" s="103"/>
      <c r="G64" s="103"/>
      <c r="H64" s="103"/>
      <c r="I64" s="103"/>
      <c r="J64" s="71">
        <f t="shared" si="8"/>
        <v>0</v>
      </c>
      <c r="Q64" s="58"/>
    </row>
    <row r="65" spans="2:17" ht="18.75" customHeight="1" thickBot="1" x14ac:dyDescent="0.4">
      <c r="C65" s="57" t="s">
        <v>553</v>
      </c>
      <c r="D65" s="103">
        <f>SUM('1) Tableau budgétaire 1'!D58)</f>
        <v>6000</v>
      </c>
      <c r="E65" s="103">
        <f>SUM('1) Tableau budgétaire 1'!E58)</f>
        <v>7000</v>
      </c>
      <c r="F65" s="103">
        <f>SUM('1) Tableau budgétaire 1'!F58)</f>
        <v>7000</v>
      </c>
      <c r="G65" s="103"/>
      <c r="H65" s="103"/>
      <c r="I65" s="103"/>
      <c r="J65" s="71">
        <f t="shared" si="8"/>
        <v>20000</v>
      </c>
      <c r="Q65" s="58"/>
    </row>
    <row r="66" spans="2:17" ht="16" thickBot="1" x14ac:dyDescent="0.4">
      <c r="C66" s="56" t="s">
        <v>554</v>
      </c>
      <c r="D66" s="103"/>
      <c r="E66" s="103"/>
      <c r="F66" s="103"/>
      <c r="G66" s="103"/>
      <c r="H66" s="103"/>
      <c r="I66" s="103"/>
      <c r="J66" s="71">
        <f t="shared" si="8"/>
        <v>0</v>
      </c>
      <c r="Q66" s="58"/>
    </row>
    <row r="67" spans="2:17" s="60" customFormat="1" ht="21.75" customHeight="1" thickBot="1" x14ac:dyDescent="0.4">
      <c r="B67" s="58"/>
      <c r="C67" s="56" t="s">
        <v>555</v>
      </c>
      <c r="D67" s="103"/>
      <c r="E67" s="103"/>
      <c r="F67" s="103"/>
      <c r="G67" s="103"/>
      <c r="H67" s="103">
        <f>SUM('1) Tableau budgétaire 1'!H58:H65)</f>
        <v>16500</v>
      </c>
      <c r="I67" s="103"/>
      <c r="J67" s="71">
        <f t="shared" si="8"/>
        <v>16500</v>
      </c>
    </row>
    <row r="68" spans="2:17" s="60" customFormat="1" ht="31.5" thickBot="1" x14ac:dyDescent="0.4">
      <c r="B68" s="58"/>
      <c r="C68" s="56" t="s">
        <v>556</v>
      </c>
      <c r="D68" s="103"/>
      <c r="E68" s="103"/>
      <c r="F68" s="103"/>
      <c r="G68" s="103"/>
      <c r="H68" s="103"/>
      <c r="I68" s="103"/>
      <c r="J68" s="71">
        <f t="shared" si="8"/>
        <v>0</v>
      </c>
    </row>
    <row r="69" spans="2:17" x14ac:dyDescent="0.35">
      <c r="C69" s="61" t="s">
        <v>21</v>
      </c>
      <c r="D69" s="72">
        <f>SUM(D62:D68)</f>
        <v>51000</v>
      </c>
      <c r="E69" s="72">
        <f>SUM(E62:E68)</f>
        <v>79000</v>
      </c>
      <c r="F69" s="72">
        <f>SUM(F62:F68)</f>
        <v>58300</v>
      </c>
      <c r="G69" s="72">
        <f t="shared" ref="G69:I69" si="9">SUM(G62:G68)</f>
        <v>0</v>
      </c>
      <c r="H69" s="72">
        <f t="shared" si="9"/>
        <v>16500</v>
      </c>
      <c r="I69" s="72">
        <f t="shared" si="9"/>
        <v>0</v>
      </c>
      <c r="J69" s="67">
        <f>SUM(D69:I69)</f>
        <v>204800</v>
      </c>
      <c r="Q69" s="58"/>
    </row>
    <row r="70" spans="2:17" s="60" customFormat="1" x14ac:dyDescent="0.35">
      <c r="C70" s="73"/>
      <c r="D70" s="74"/>
      <c r="E70" s="74"/>
      <c r="F70" s="74"/>
      <c r="G70" s="74"/>
      <c r="H70" s="74"/>
      <c r="I70" s="74"/>
      <c r="J70" s="75"/>
    </row>
    <row r="71" spans="2:17" x14ac:dyDescent="0.35">
      <c r="B71" s="60"/>
      <c r="C71" s="729" t="s">
        <v>422</v>
      </c>
      <c r="D71" s="730"/>
      <c r="E71" s="730"/>
      <c r="F71" s="730"/>
      <c r="G71" s="730"/>
      <c r="H71" s="730"/>
      <c r="I71" s="730"/>
      <c r="J71" s="731"/>
      <c r="Q71" s="58"/>
    </row>
    <row r="72" spans="2:17" ht="21.75" customHeight="1" thickBot="1" x14ac:dyDescent="0.4">
      <c r="C72" s="69" t="s">
        <v>565</v>
      </c>
      <c r="D72" s="70">
        <f>'1) Tableau budgétaire 1'!D76</f>
        <v>22000</v>
      </c>
      <c r="E72" s="70">
        <f>'1) Tableau budgétaire 1'!E76</f>
        <v>32000</v>
      </c>
      <c r="F72" s="70">
        <f>'1) Tableau budgétaire 1'!F76</f>
        <v>52700</v>
      </c>
      <c r="G72" s="70">
        <f>'1) Tableau budgétaire 1'!G76</f>
        <v>0</v>
      </c>
      <c r="H72" s="70">
        <f>'1) Tableau budgétaire 1'!H76</f>
        <v>5000</v>
      </c>
      <c r="I72" s="70">
        <f>'1) Tableau budgétaire 1'!I76</f>
        <v>0</v>
      </c>
      <c r="J72" s="71">
        <f>SUM(D72:I72)</f>
        <v>111700</v>
      </c>
      <c r="Q72" s="58"/>
    </row>
    <row r="73" spans="2:17" ht="15.75" customHeight="1" thickBot="1" x14ac:dyDescent="0.4">
      <c r="C73" s="68" t="s">
        <v>550</v>
      </c>
      <c r="D73" s="101"/>
      <c r="E73" s="102"/>
      <c r="F73" s="102"/>
      <c r="G73" s="102"/>
      <c r="H73" s="102"/>
      <c r="I73" s="102"/>
      <c r="J73" s="71">
        <f t="shared" ref="J73:J79" si="10">SUM(D73:I73)</f>
        <v>0</v>
      </c>
      <c r="Q73" s="58"/>
    </row>
    <row r="74" spans="2:17" ht="15.75" customHeight="1" thickBot="1" x14ac:dyDescent="0.4">
      <c r="C74" s="56" t="s">
        <v>551</v>
      </c>
      <c r="D74" s="103">
        <f>SUM('1) Tableau budgétaire 1'!D68:D70)</f>
        <v>14000</v>
      </c>
      <c r="E74" s="103">
        <f>SUM('1) Tableau budgétaire 1'!E68:E70)</f>
        <v>16000</v>
      </c>
      <c r="F74" s="103">
        <f>SUM('1) Tableau budgétaire 1'!F68:F70)</f>
        <v>36700</v>
      </c>
      <c r="G74" s="21"/>
      <c r="H74" s="21"/>
      <c r="I74" s="21"/>
      <c r="J74" s="71">
        <f>SUM(D74:I74)</f>
        <v>66700</v>
      </c>
      <c r="Q74" s="58"/>
    </row>
    <row r="75" spans="2:17" ht="15.75" customHeight="1" thickBot="1" x14ac:dyDescent="0.4">
      <c r="C75" s="56" t="s">
        <v>552</v>
      </c>
      <c r="D75" s="103"/>
      <c r="E75" s="103"/>
      <c r="F75" s="103"/>
      <c r="G75" s="103"/>
      <c r="H75" s="103"/>
      <c r="I75" s="103"/>
      <c r="J75" s="71">
        <f t="shared" si="10"/>
        <v>0</v>
      </c>
      <c r="Q75" s="58"/>
    </row>
    <row r="76" spans="2:17" ht="16" thickBot="1" x14ac:dyDescent="0.4">
      <c r="C76" s="57" t="s">
        <v>553</v>
      </c>
      <c r="D76" s="103">
        <f>SUM('1) Tableau budgétaire 1'!D71)</f>
        <v>8000</v>
      </c>
      <c r="E76" s="103">
        <f>SUM('1) Tableau budgétaire 1'!E71)</f>
        <v>16000</v>
      </c>
      <c r="F76" s="103">
        <f>SUM('1) Tableau budgétaire 1'!F71)</f>
        <v>16000</v>
      </c>
      <c r="G76" s="103"/>
      <c r="H76" s="103"/>
      <c r="I76" s="103"/>
      <c r="J76" s="71">
        <f t="shared" si="10"/>
        <v>40000</v>
      </c>
      <c r="Q76" s="58"/>
    </row>
    <row r="77" spans="2:17" ht="16" thickBot="1" x14ac:dyDescent="0.4">
      <c r="C77" s="56" t="s">
        <v>554</v>
      </c>
      <c r="D77" s="103"/>
      <c r="E77" s="103"/>
      <c r="F77" s="103"/>
      <c r="G77" s="103"/>
      <c r="H77" s="103"/>
      <c r="I77" s="103"/>
      <c r="J77" s="71">
        <f t="shared" si="10"/>
        <v>0</v>
      </c>
      <c r="Q77" s="58"/>
    </row>
    <row r="78" spans="2:17" ht="16" thickBot="1" x14ac:dyDescent="0.4">
      <c r="C78" s="56" t="s">
        <v>555</v>
      </c>
      <c r="D78" s="103"/>
      <c r="E78" s="103"/>
      <c r="F78" s="103"/>
      <c r="G78" s="103"/>
      <c r="H78" s="103">
        <f>SUM('1) Tableau budgétaire 1'!H68:H70)</f>
        <v>5000</v>
      </c>
      <c r="I78" s="103"/>
      <c r="J78" s="71">
        <f t="shared" si="10"/>
        <v>5000</v>
      </c>
      <c r="Q78" s="58"/>
    </row>
    <row r="79" spans="2:17" ht="31.5" thickBot="1" x14ac:dyDescent="0.4">
      <c r="C79" s="56" t="s">
        <v>556</v>
      </c>
      <c r="D79" s="103"/>
      <c r="E79" s="103"/>
      <c r="F79" s="103"/>
      <c r="G79" s="103"/>
      <c r="H79" s="103"/>
      <c r="I79" s="103"/>
      <c r="J79" s="71">
        <f t="shared" si="10"/>
        <v>0</v>
      </c>
      <c r="Q79" s="58"/>
    </row>
    <row r="80" spans="2:17" x14ac:dyDescent="0.35">
      <c r="C80" s="61" t="s">
        <v>21</v>
      </c>
      <c r="D80" s="72">
        <f>SUM(D73:D79)</f>
        <v>22000</v>
      </c>
      <c r="E80" s="72">
        <f>SUM(E73:E79)</f>
        <v>32000</v>
      </c>
      <c r="F80" s="72">
        <f>SUM(F73:F79)</f>
        <v>52700</v>
      </c>
      <c r="G80" s="72">
        <f t="shared" ref="G80:I80" si="11">SUM(G73:G79)</f>
        <v>0</v>
      </c>
      <c r="H80" s="72">
        <f t="shared" si="11"/>
        <v>5000</v>
      </c>
      <c r="I80" s="72">
        <f t="shared" si="11"/>
        <v>0</v>
      </c>
      <c r="J80" s="67">
        <f>SUM(D80:I80)</f>
        <v>111700</v>
      </c>
      <c r="Q80" s="58"/>
    </row>
    <row r="81" spans="2:17" s="60" customFormat="1" x14ac:dyDescent="0.35">
      <c r="C81" s="73"/>
      <c r="D81" s="74"/>
      <c r="E81" s="74"/>
      <c r="F81" s="74"/>
      <c r="G81" s="74"/>
      <c r="H81" s="74"/>
      <c r="I81" s="74"/>
      <c r="J81" s="75"/>
    </row>
    <row r="82" spans="2:17" x14ac:dyDescent="0.35">
      <c r="C82" s="729" t="s">
        <v>431</v>
      </c>
      <c r="D82" s="730"/>
      <c r="E82" s="730"/>
      <c r="F82" s="730"/>
      <c r="G82" s="730"/>
      <c r="H82" s="730"/>
      <c r="I82" s="730"/>
      <c r="J82" s="731"/>
      <c r="Q82" s="58"/>
    </row>
    <row r="83" spans="2:17" ht="21.75" customHeight="1" thickBot="1" x14ac:dyDescent="0.4">
      <c r="B83" s="60"/>
      <c r="C83" s="69" t="s">
        <v>566</v>
      </c>
      <c r="D83" s="70">
        <f>'1) Tableau budgétaire 1'!D86</f>
        <v>0</v>
      </c>
      <c r="E83" s="70">
        <f>'1) Tableau budgétaire 1'!E86</f>
        <v>0</v>
      </c>
      <c r="F83" s="70">
        <f>'1) Tableau budgétaire 1'!F86</f>
        <v>0</v>
      </c>
      <c r="G83" s="70">
        <f>'1) Tableau budgétaire 1'!G86</f>
        <v>0</v>
      </c>
      <c r="H83" s="70">
        <f>'1) Tableau budgétaire 1'!H86</f>
        <v>0</v>
      </c>
      <c r="I83" s="70">
        <f>'1) Tableau budgétaire 1'!I86</f>
        <v>0</v>
      </c>
      <c r="J83" s="71">
        <f>SUM(D83:I83)</f>
        <v>0</v>
      </c>
      <c r="Q83" s="58"/>
    </row>
    <row r="84" spans="2:17" ht="18" customHeight="1" thickBot="1" x14ac:dyDescent="0.4">
      <c r="C84" s="68" t="s">
        <v>550</v>
      </c>
      <c r="D84" s="101"/>
      <c r="E84" s="102"/>
      <c r="F84" s="102"/>
      <c r="G84" s="102"/>
      <c r="H84" s="102"/>
      <c r="I84" s="102"/>
      <c r="J84" s="71">
        <f t="shared" ref="J84:J90" si="12">SUM(D84:I84)</f>
        <v>0</v>
      </c>
      <c r="Q84" s="58"/>
    </row>
    <row r="85" spans="2:17" ht="15.75" customHeight="1" thickBot="1" x14ac:dyDescent="0.4">
      <c r="C85" s="56" t="s">
        <v>551</v>
      </c>
      <c r="D85" s="103"/>
      <c r="E85" s="21"/>
      <c r="F85" s="21"/>
      <c r="G85" s="21"/>
      <c r="H85" s="21"/>
      <c r="I85" s="21"/>
      <c r="J85" s="71">
        <f t="shared" si="12"/>
        <v>0</v>
      </c>
      <c r="Q85" s="58"/>
    </row>
    <row r="86" spans="2:17" s="60" customFormat="1" ht="15.75" customHeight="1" thickBot="1" x14ac:dyDescent="0.4">
      <c r="B86" s="58"/>
      <c r="C86" s="56" t="s">
        <v>552</v>
      </c>
      <c r="D86" s="103"/>
      <c r="E86" s="103"/>
      <c r="F86" s="103"/>
      <c r="G86" s="103"/>
      <c r="H86" s="103"/>
      <c r="I86" s="103"/>
      <c r="J86" s="71">
        <f t="shared" si="12"/>
        <v>0</v>
      </c>
    </row>
    <row r="87" spans="2:17" ht="16" thickBot="1" x14ac:dyDescent="0.4">
      <c r="B87" s="60"/>
      <c r="C87" s="57" t="s">
        <v>553</v>
      </c>
      <c r="D87" s="103"/>
      <c r="E87" s="103"/>
      <c r="F87" s="103"/>
      <c r="G87" s="103"/>
      <c r="H87" s="103"/>
      <c r="I87" s="103"/>
      <c r="J87" s="71">
        <f t="shared" si="12"/>
        <v>0</v>
      </c>
      <c r="Q87" s="58"/>
    </row>
    <row r="88" spans="2:17" ht="16" thickBot="1" x14ac:dyDescent="0.4">
      <c r="B88" s="60"/>
      <c r="C88" s="56" t="s">
        <v>554</v>
      </c>
      <c r="D88" s="103"/>
      <c r="E88" s="103"/>
      <c r="F88" s="103"/>
      <c r="G88" s="103"/>
      <c r="H88" s="103"/>
      <c r="I88" s="103"/>
      <c r="J88" s="71">
        <f t="shared" si="12"/>
        <v>0</v>
      </c>
      <c r="Q88" s="58"/>
    </row>
    <row r="89" spans="2:17" ht="16" thickBot="1" x14ac:dyDescent="0.4">
      <c r="B89" s="60"/>
      <c r="C89" s="56" t="s">
        <v>555</v>
      </c>
      <c r="D89" s="103"/>
      <c r="E89" s="103"/>
      <c r="F89" s="103"/>
      <c r="G89" s="103"/>
      <c r="H89" s="103"/>
      <c r="I89" s="103"/>
      <c r="J89" s="71">
        <f t="shared" si="12"/>
        <v>0</v>
      </c>
      <c r="Q89" s="58"/>
    </row>
    <row r="90" spans="2:17" ht="31.5" thickBot="1" x14ac:dyDescent="0.4">
      <c r="C90" s="56" t="s">
        <v>556</v>
      </c>
      <c r="D90" s="103"/>
      <c r="E90" s="103"/>
      <c r="F90" s="103"/>
      <c r="G90" s="103"/>
      <c r="H90" s="103"/>
      <c r="I90" s="103"/>
      <c r="J90" s="71">
        <f t="shared" si="12"/>
        <v>0</v>
      </c>
      <c r="Q90" s="58"/>
    </row>
    <row r="91" spans="2:17" x14ac:dyDescent="0.35">
      <c r="C91" s="61" t="s">
        <v>21</v>
      </c>
      <c r="D91" s="72">
        <f>SUM(D84:D90)</f>
        <v>0</v>
      </c>
      <c r="E91" s="72">
        <f>SUM(E84:E90)</f>
        <v>0</v>
      </c>
      <c r="F91" s="72">
        <f>SUM(F84:F90)</f>
        <v>0</v>
      </c>
      <c r="G91" s="72">
        <f t="shared" ref="G91:I91" si="13">SUM(G84:G90)</f>
        <v>0</v>
      </c>
      <c r="H91" s="72">
        <f t="shared" si="13"/>
        <v>0</v>
      </c>
      <c r="I91" s="72">
        <f t="shared" si="13"/>
        <v>0</v>
      </c>
      <c r="J91" s="67">
        <f>SUM(D91:I91)</f>
        <v>0</v>
      </c>
      <c r="Q91" s="58"/>
    </row>
    <row r="92" spans="2:17" s="60" customFormat="1" x14ac:dyDescent="0.35">
      <c r="C92" s="73"/>
      <c r="D92" s="74"/>
      <c r="E92" s="74"/>
      <c r="F92" s="74"/>
      <c r="G92" s="74"/>
      <c r="H92" s="74"/>
      <c r="I92" s="74"/>
      <c r="J92" s="75"/>
    </row>
    <row r="93" spans="2:17" x14ac:dyDescent="0.35">
      <c r="C93" s="729" t="s">
        <v>440</v>
      </c>
      <c r="D93" s="730"/>
      <c r="E93" s="730"/>
      <c r="F93" s="730"/>
      <c r="G93" s="730"/>
      <c r="H93" s="730"/>
      <c r="I93" s="730"/>
      <c r="J93" s="731"/>
      <c r="Q93" s="58"/>
    </row>
    <row r="94" spans="2:17" ht="21.75" customHeight="1" thickBot="1" x14ac:dyDescent="0.4">
      <c r="C94" s="69" t="s">
        <v>567</v>
      </c>
      <c r="D94" s="70">
        <f>'1) Tableau budgétaire 1'!D96</f>
        <v>0</v>
      </c>
      <c r="E94" s="70">
        <f>'1) Tableau budgétaire 1'!E96</f>
        <v>0</v>
      </c>
      <c r="F94" s="70">
        <f>'1) Tableau budgétaire 1'!F96</f>
        <v>0</v>
      </c>
      <c r="G94" s="70">
        <f>'1) Tableau budgétaire 1'!G96</f>
        <v>0</v>
      </c>
      <c r="H94" s="70">
        <f>'1) Tableau budgétaire 1'!H96</f>
        <v>0</v>
      </c>
      <c r="I94" s="70">
        <f>'1) Tableau budgétaire 1'!I96</f>
        <v>0</v>
      </c>
      <c r="J94" s="71">
        <f>SUM(D94:I94)</f>
        <v>0</v>
      </c>
      <c r="Q94" s="58"/>
    </row>
    <row r="95" spans="2:17" ht="15.75" customHeight="1" thickBot="1" x14ac:dyDescent="0.4">
      <c r="C95" s="68" t="s">
        <v>550</v>
      </c>
      <c r="D95" s="101"/>
      <c r="E95" s="102"/>
      <c r="F95" s="102"/>
      <c r="G95" s="102"/>
      <c r="H95" s="102"/>
      <c r="I95" s="102"/>
      <c r="J95" s="71">
        <f t="shared" ref="J95:J101" si="14">SUM(D95:I95)</f>
        <v>0</v>
      </c>
      <c r="Q95" s="58"/>
    </row>
    <row r="96" spans="2:17" ht="15.75" customHeight="1" thickBot="1" x14ac:dyDescent="0.4">
      <c r="B96" s="60"/>
      <c r="C96" s="56" t="s">
        <v>551</v>
      </c>
      <c r="D96" s="103"/>
      <c r="E96" s="21"/>
      <c r="F96" s="21"/>
      <c r="G96" s="21"/>
      <c r="H96" s="21"/>
      <c r="I96" s="21"/>
      <c r="J96" s="71">
        <f t="shared" si="14"/>
        <v>0</v>
      </c>
      <c r="Q96" s="58"/>
    </row>
    <row r="97" spans="2:17" ht="15.75" customHeight="1" thickBot="1" x14ac:dyDescent="0.4">
      <c r="C97" s="56" t="s">
        <v>552</v>
      </c>
      <c r="D97" s="103"/>
      <c r="E97" s="103"/>
      <c r="F97" s="103"/>
      <c r="G97" s="103"/>
      <c r="H97" s="103"/>
      <c r="I97" s="103"/>
      <c r="J97" s="71">
        <f t="shared" si="14"/>
        <v>0</v>
      </c>
      <c r="Q97" s="58"/>
    </row>
    <row r="98" spans="2:17" ht="16" thickBot="1" x14ac:dyDescent="0.4">
      <c r="C98" s="57" t="s">
        <v>553</v>
      </c>
      <c r="D98" s="103"/>
      <c r="E98" s="103"/>
      <c r="F98" s="103"/>
      <c r="G98" s="103"/>
      <c r="H98" s="103"/>
      <c r="I98" s="103"/>
      <c r="J98" s="71">
        <f t="shared" si="14"/>
        <v>0</v>
      </c>
      <c r="Q98" s="58"/>
    </row>
    <row r="99" spans="2:17" ht="16" thickBot="1" x14ac:dyDescent="0.4">
      <c r="C99" s="56" t="s">
        <v>554</v>
      </c>
      <c r="D99" s="103"/>
      <c r="E99" s="103"/>
      <c r="F99" s="103"/>
      <c r="G99" s="103"/>
      <c r="H99" s="103"/>
      <c r="I99" s="103"/>
      <c r="J99" s="71">
        <f t="shared" si="14"/>
        <v>0</v>
      </c>
      <c r="Q99" s="58"/>
    </row>
    <row r="100" spans="2:17" ht="25.5" customHeight="1" thickBot="1" x14ac:dyDescent="0.4">
      <c r="C100" s="56" t="s">
        <v>555</v>
      </c>
      <c r="D100" s="103"/>
      <c r="E100" s="103"/>
      <c r="F100" s="103"/>
      <c r="G100" s="103"/>
      <c r="H100" s="103"/>
      <c r="I100" s="103"/>
      <c r="J100" s="71">
        <f t="shared" si="14"/>
        <v>0</v>
      </c>
      <c r="Q100" s="58"/>
    </row>
    <row r="101" spans="2:17" ht="31.5" thickBot="1" x14ac:dyDescent="0.4">
      <c r="B101" s="60"/>
      <c r="C101" s="56" t="s">
        <v>556</v>
      </c>
      <c r="D101" s="103"/>
      <c r="E101" s="103"/>
      <c r="F101" s="103"/>
      <c r="G101" s="103"/>
      <c r="H101" s="103"/>
      <c r="I101" s="103"/>
      <c r="J101" s="71">
        <f t="shared" si="14"/>
        <v>0</v>
      </c>
      <c r="Q101" s="58"/>
    </row>
    <row r="102" spans="2:17" ht="15.75" customHeight="1" x14ac:dyDescent="0.35">
      <c r="C102" s="61" t="s">
        <v>21</v>
      </c>
      <c r="D102" s="72">
        <f>SUM(D95:D101)</f>
        <v>0</v>
      </c>
      <c r="E102" s="72">
        <f>SUM(E95:E101)</f>
        <v>0</v>
      </c>
      <c r="F102" s="72">
        <f>SUM(F95:F101)</f>
        <v>0</v>
      </c>
      <c r="G102" s="72"/>
      <c r="H102" s="72"/>
      <c r="I102" s="72"/>
      <c r="J102" s="67">
        <f>SUM(D102:I102)</f>
        <v>0</v>
      </c>
      <c r="Q102" s="58"/>
    </row>
    <row r="103" spans="2:17" ht="25.5" customHeight="1" x14ac:dyDescent="0.35">
      <c r="D103" s="62"/>
      <c r="E103" s="62"/>
      <c r="F103" s="62"/>
      <c r="G103" s="62"/>
      <c r="H103" s="62"/>
      <c r="I103" s="62"/>
      <c r="J103" s="62"/>
      <c r="Q103" s="58"/>
    </row>
    <row r="104" spans="2:17" x14ac:dyDescent="0.35">
      <c r="B104" s="729" t="s">
        <v>568</v>
      </c>
      <c r="C104" s="730"/>
      <c r="D104" s="730"/>
      <c r="E104" s="730"/>
      <c r="F104" s="730"/>
      <c r="G104" s="730"/>
      <c r="H104" s="730"/>
      <c r="I104" s="730"/>
      <c r="J104" s="731"/>
      <c r="Q104" s="58"/>
    </row>
    <row r="105" spans="2:17" x14ac:dyDescent="0.35">
      <c r="C105" s="729" t="s">
        <v>450</v>
      </c>
      <c r="D105" s="730"/>
      <c r="E105" s="730"/>
      <c r="F105" s="730"/>
      <c r="G105" s="730"/>
      <c r="H105" s="730"/>
      <c r="I105" s="730"/>
      <c r="J105" s="731"/>
      <c r="Q105" s="58"/>
    </row>
    <row r="106" spans="2:17" ht="22.5" customHeight="1" thickBot="1" x14ac:dyDescent="0.4">
      <c r="C106" s="69" t="s">
        <v>569</v>
      </c>
      <c r="D106" s="70">
        <f>'1) Tableau budgétaire 1'!D108</f>
        <v>0</v>
      </c>
      <c r="E106" s="70">
        <f>'1) Tableau budgétaire 1'!E108</f>
        <v>0</v>
      </c>
      <c r="F106" s="70">
        <f>'1) Tableau budgétaire 1'!F108</f>
        <v>0</v>
      </c>
      <c r="G106" s="70">
        <f>'1) Tableau budgétaire 1'!G108</f>
        <v>260295.26400000002</v>
      </c>
      <c r="H106" s="70">
        <f>'1) Tableau budgétaire 1'!H108</f>
        <v>227000</v>
      </c>
      <c r="I106" s="70">
        <f>'1) Tableau budgétaire 1'!I108</f>
        <v>227882.60914227008</v>
      </c>
      <c r="J106" s="71">
        <f>SUM(D106:I106)</f>
        <v>715177.87314227014</v>
      </c>
      <c r="Q106" s="58"/>
    </row>
    <row r="107" spans="2:17" ht="16" thickBot="1" x14ac:dyDescent="0.4">
      <c r="C107" s="68" t="s">
        <v>550</v>
      </c>
      <c r="D107" s="101"/>
      <c r="E107" s="102"/>
      <c r="F107" s="102"/>
      <c r="G107" s="102"/>
      <c r="H107" s="102"/>
      <c r="I107" s="102"/>
      <c r="J107" s="71">
        <f t="shared" ref="J107:J113" si="15">SUM(D107:I107)</f>
        <v>0</v>
      </c>
      <c r="Q107" s="58"/>
    </row>
    <row r="108" spans="2:17" ht="16" thickBot="1" x14ac:dyDescent="0.4">
      <c r="C108" s="56" t="s">
        <v>551</v>
      </c>
      <c r="D108" s="103"/>
      <c r="E108" s="21"/>
      <c r="F108" s="21"/>
      <c r="G108" s="21"/>
      <c r="H108" s="21"/>
      <c r="I108" s="21"/>
      <c r="J108" s="71">
        <f t="shared" si="15"/>
        <v>0</v>
      </c>
      <c r="Q108" s="58"/>
    </row>
    <row r="109" spans="2:17" ht="15.75" customHeight="1" thickBot="1" x14ac:dyDescent="0.4">
      <c r="C109" s="56" t="s">
        <v>552</v>
      </c>
      <c r="D109" s="103"/>
      <c r="E109" s="103"/>
      <c r="F109" s="103"/>
      <c r="G109" s="103"/>
      <c r="H109" s="103"/>
      <c r="I109" s="103"/>
      <c r="J109" s="71">
        <f t="shared" si="15"/>
        <v>0</v>
      </c>
      <c r="Q109" s="58"/>
    </row>
    <row r="110" spans="2:17" ht="16" thickBot="1" x14ac:dyDescent="0.4">
      <c r="C110" s="57" t="s">
        <v>553</v>
      </c>
      <c r="D110" s="103"/>
      <c r="E110" s="103"/>
      <c r="F110" s="103"/>
      <c r="G110" s="103">
        <f>'1) Tableau budgétaire 1'!G100+'1) Tableau budgétaire 1'!G101+'1) Tableau budgétaire 1'!G102+'1) Tableau budgétaire 1'!G103+'1) Tableau budgétaire 1'!G106</f>
        <v>230295.26400000002</v>
      </c>
      <c r="H110" s="103">
        <f>SUM('1) Tableau budgétaire 1'!H100:H107)</f>
        <v>227000</v>
      </c>
      <c r="I110" s="103">
        <f>'1) Tableau budgétaire 1'!I100+'1) Tableau budgétaire 1'!I101+'1) Tableau budgétaire 1'!I102+'1) Tableau budgétaire 1'!I103+'1) Tableau budgétaire 1'!I106</f>
        <v>165443.06111967124</v>
      </c>
      <c r="J110" s="71">
        <f t="shared" si="15"/>
        <v>622738.3251196713</v>
      </c>
      <c r="Q110" s="58"/>
    </row>
    <row r="111" spans="2:17" ht="16" thickBot="1" x14ac:dyDescent="0.4">
      <c r="C111" s="56" t="s">
        <v>554</v>
      </c>
      <c r="D111" s="103"/>
      <c r="E111" s="103"/>
      <c r="F111" s="103"/>
      <c r="G111" s="103"/>
      <c r="H111" s="103"/>
      <c r="I111" s="103"/>
      <c r="J111" s="71">
        <f t="shared" si="15"/>
        <v>0</v>
      </c>
      <c r="Q111" s="58"/>
    </row>
    <row r="112" spans="2:17" ht="16" thickBot="1" x14ac:dyDescent="0.4">
      <c r="C112" s="56" t="s">
        <v>555</v>
      </c>
      <c r="D112" s="103"/>
      <c r="E112" s="103"/>
      <c r="F112" s="103"/>
      <c r="G112" s="103">
        <f>'1) Tableau budgétaire 1'!G104+'1) Tableau budgétaire 1'!G105+'1) Tableau budgétaire 1'!G107</f>
        <v>30000</v>
      </c>
      <c r="H112" s="103"/>
      <c r="I112" s="103">
        <f>'1) Tableau budgétaire 1'!I104+'1) Tableau budgétaire 1'!I105+'1) Tableau budgétaire 1'!I107</f>
        <v>62439.548022598872</v>
      </c>
      <c r="J112" s="71">
        <f t="shared" si="15"/>
        <v>92439.548022598872</v>
      </c>
      <c r="Q112" s="58"/>
    </row>
    <row r="113" spans="3:17" ht="31.5" thickBot="1" x14ac:dyDescent="0.4">
      <c r="C113" s="56" t="s">
        <v>556</v>
      </c>
      <c r="D113" s="103"/>
      <c r="E113" s="103"/>
      <c r="F113" s="103"/>
      <c r="G113" s="103"/>
      <c r="H113" s="103"/>
      <c r="I113" s="103"/>
      <c r="J113" s="71">
        <f t="shared" si="15"/>
        <v>0</v>
      </c>
      <c r="Q113" s="58"/>
    </row>
    <row r="114" spans="3:17" x14ac:dyDescent="0.35">
      <c r="C114" s="61" t="s">
        <v>21</v>
      </c>
      <c r="D114" s="72">
        <f>SUM(D107:D113)</f>
        <v>0</v>
      </c>
      <c r="E114" s="72">
        <f>SUM(E107:E113)</f>
        <v>0</v>
      </c>
      <c r="F114" s="72">
        <f>SUM(F107:F113)</f>
        <v>0</v>
      </c>
      <c r="G114" s="72">
        <f>SUM(G107:G113)</f>
        <v>260295.26400000002</v>
      </c>
      <c r="H114" s="72">
        <f t="shared" ref="H114:I114" si="16">SUM(H107:H113)</f>
        <v>227000</v>
      </c>
      <c r="I114" s="72">
        <f t="shared" si="16"/>
        <v>227882.60914227011</v>
      </c>
      <c r="J114" s="67">
        <f>SUM(D114:I114)</f>
        <v>715177.87314227014</v>
      </c>
      <c r="Q114" s="58"/>
    </row>
    <row r="115" spans="3:17" s="60" customFormat="1" x14ac:dyDescent="0.35">
      <c r="C115" s="73"/>
      <c r="D115" s="74"/>
      <c r="E115" s="74"/>
      <c r="F115" s="74"/>
      <c r="G115" s="74"/>
      <c r="H115" s="74"/>
      <c r="I115" s="74"/>
      <c r="J115" s="75"/>
    </row>
    <row r="116" spans="3:17" ht="15.75" customHeight="1" x14ac:dyDescent="0.35">
      <c r="C116" s="729" t="s">
        <v>570</v>
      </c>
      <c r="D116" s="730"/>
      <c r="E116" s="730"/>
      <c r="F116" s="730"/>
      <c r="G116" s="730"/>
      <c r="H116" s="730"/>
      <c r="I116" s="730"/>
      <c r="J116" s="731"/>
      <c r="Q116" s="58"/>
    </row>
    <row r="117" spans="3:17" ht="21.75" customHeight="1" thickBot="1" x14ac:dyDescent="0.4">
      <c r="C117" s="69" t="s">
        <v>571</v>
      </c>
      <c r="D117" s="70">
        <f>'1) Tableau budgétaire 1'!D118</f>
        <v>0</v>
      </c>
      <c r="E117" s="70">
        <f>'1) Tableau budgétaire 1'!E118</f>
        <v>0</v>
      </c>
      <c r="F117" s="70">
        <f>'1) Tableau budgétaire 1'!F118</f>
        <v>0</v>
      </c>
      <c r="G117" s="70">
        <f>'1) Tableau budgétaire 1'!G118</f>
        <v>94999.64</v>
      </c>
      <c r="H117" s="70">
        <f>'1) Tableau budgétaire 1'!H118</f>
        <v>50000</v>
      </c>
      <c r="I117" s="70">
        <f>'1) Tableau budgétaire 1'!I118</f>
        <v>36070.728299948642</v>
      </c>
      <c r="J117" s="71">
        <f>SUM(D117:I117)</f>
        <v>181070.36829994866</v>
      </c>
      <c r="Q117" s="58"/>
    </row>
    <row r="118" spans="3:17" ht="16" thickBot="1" x14ac:dyDescent="0.4">
      <c r="C118" s="68" t="s">
        <v>550</v>
      </c>
      <c r="D118" s="101"/>
      <c r="E118" s="102"/>
      <c r="F118" s="102"/>
      <c r="G118" s="102"/>
      <c r="H118" s="102"/>
      <c r="I118" s="102"/>
      <c r="J118" s="71">
        <f t="shared" ref="J118:J124" si="17">SUM(D118:I118)</f>
        <v>0</v>
      </c>
      <c r="Q118" s="58"/>
    </row>
    <row r="119" spans="3:17" ht="16" thickBot="1" x14ac:dyDescent="0.4">
      <c r="C119" s="56" t="s">
        <v>551</v>
      </c>
      <c r="D119" s="103"/>
      <c r="E119" s="21"/>
      <c r="F119" s="21"/>
      <c r="G119" s="21">
        <f>SUM('1) Tableau budgétaire 1'!G110:G115)</f>
        <v>84999.64</v>
      </c>
      <c r="H119" s="21">
        <f>SUM('1) Tableau budgétaire 1'!H110:H112)</f>
        <v>26000</v>
      </c>
      <c r="I119" s="21">
        <f>'1) Tableau budgétaire 1'!I110+'1) Tableau budgétaire 1'!I111+'1) Tableau budgétaire 1'!I112+'1) Tableau budgétaire 1'!I113+'1) Tableau budgétaire 1'!I114+'1) Tableau budgétaire 1'!I115</f>
        <v>27529.485362095533</v>
      </c>
      <c r="J119" s="71">
        <f t="shared" si="17"/>
        <v>138529.12536209554</v>
      </c>
      <c r="Q119" s="58"/>
    </row>
    <row r="120" spans="3:17" ht="31.5" thickBot="1" x14ac:dyDescent="0.4">
      <c r="C120" s="56" t="s">
        <v>552</v>
      </c>
      <c r="D120" s="103"/>
      <c r="E120" s="103"/>
      <c r="F120" s="103"/>
      <c r="G120" s="103"/>
      <c r="H120" s="103"/>
      <c r="I120" s="103"/>
      <c r="J120" s="71">
        <f t="shared" si="17"/>
        <v>0</v>
      </c>
      <c r="Q120" s="58"/>
    </row>
    <row r="121" spans="3:17" ht="16" thickBot="1" x14ac:dyDescent="0.4">
      <c r="C121" s="57" t="s">
        <v>553</v>
      </c>
      <c r="D121" s="103"/>
      <c r="E121" s="103"/>
      <c r="F121" s="103"/>
      <c r="G121" s="103"/>
      <c r="H121" s="103"/>
      <c r="I121" s="103"/>
      <c r="J121" s="71">
        <f t="shared" si="17"/>
        <v>0</v>
      </c>
      <c r="Q121" s="58"/>
    </row>
    <row r="122" spans="3:17" ht="16" thickBot="1" x14ac:dyDescent="0.4">
      <c r="C122" s="56" t="s">
        <v>554</v>
      </c>
      <c r="D122" s="103"/>
      <c r="E122" s="103"/>
      <c r="F122" s="103"/>
      <c r="G122" s="103"/>
      <c r="H122" s="103"/>
      <c r="I122" s="103"/>
      <c r="J122" s="71">
        <f t="shared" si="17"/>
        <v>0</v>
      </c>
      <c r="Q122" s="58"/>
    </row>
    <row r="123" spans="3:17" ht="16" thickBot="1" x14ac:dyDescent="0.4">
      <c r="C123" s="56" t="s">
        <v>555</v>
      </c>
      <c r="D123" s="103"/>
      <c r="E123" s="103"/>
      <c r="F123" s="103"/>
      <c r="G123" s="103">
        <f>'1) Tableau budgétaire 1'!G116</f>
        <v>10000</v>
      </c>
      <c r="H123" s="103"/>
      <c r="I123" s="103">
        <f>'1) Tableau budgétaire 1'!I116</f>
        <v>8541.2429378531106</v>
      </c>
      <c r="J123" s="71">
        <f t="shared" si="17"/>
        <v>18541.242937853109</v>
      </c>
      <c r="Q123" s="58"/>
    </row>
    <row r="124" spans="3:17" ht="31.5" thickBot="1" x14ac:dyDescent="0.4">
      <c r="C124" s="56" t="s">
        <v>556</v>
      </c>
      <c r="D124" s="103"/>
      <c r="E124" s="103"/>
      <c r="F124" s="103"/>
      <c r="G124" s="103"/>
      <c r="H124" s="103"/>
      <c r="I124" s="103"/>
      <c r="J124" s="71">
        <f t="shared" si="17"/>
        <v>0</v>
      </c>
      <c r="Q124" s="58"/>
    </row>
    <row r="125" spans="3:17" x14ac:dyDescent="0.35">
      <c r="C125" s="61" t="s">
        <v>21</v>
      </c>
      <c r="D125" s="72">
        <f>SUM(D118:D124)</f>
        <v>0</v>
      </c>
      <c r="E125" s="72">
        <f>SUM(E118:E124)</f>
        <v>0</v>
      </c>
      <c r="F125" s="72">
        <f>SUM(F118:F124)</f>
        <v>0</v>
      </c>
      <c r="G125" s="72">
        <f t="shared" ref="G125:I125" si="18">SUM(G118:G124)</f>
        <v>94999.64</v>
      </c>
      <c r="H125" s="72">
        <f t="shared" si="18"/>
        <v>26000</v>
      </c>
      <c r="I125" s="72">
        <f t="shared" si="18"/>
        <v>36070.728299948642</v>
      </c>
      <c r="J125" s="67">
        <f>SUM(D125:I125)</f>
        <v>157070.36829994863</v>
      </c>
      <c r="Q125" s="58"/>
    </row>
    <row r="126" spans="3:17" s="60" customFormat="1" x14ac:dyDescent="0.35">
      <c r="C126" s="73"/>
      <c r="D126" s="74"/>
      <c r="E126" s="74"/>
      <c r="F126" s="74"/>
      <c r="G126" s="74"/>
      <c r="H126" s="74"/>
      <c r="I126" s="74"/>
      <c r="J126" s="75"/>
    </row>
    <row r="127" spans="3:17" x14ac:dyDescent="0.35">
      <c r="C127" s="729" t="s">
        <v>468</v>
      </c>
      <c r="D127" s="730"/>
      <c r="E127" s="730"/>
      <c r="F127" s="730"/>
      <c r="G127" s="730"/>
      <c r="H127" s="730"/>
      <c r="I127" s="730"/>
      <c r="J127" s="731"/>
      <c r="Q127" s="58"/>
    </row>
    <row r="128" spans="3:17" ht="21" customHeight="1" thickBot="1" x14ac:dyDescent="0.4">
      <c r="C128" s="69" t="s">
        <v>572</v>
      </c>
      <c r="D128" s="70">
        <f>'1) Tableau budgétaire 1'!D128</f>
        <v>0</v>
      </c>
      <c r="E128" s="70">
        <f>'1) Tableau budgétaire 1'!E128</f>
        <v>0</v>
      </c>
      <c r="F128" s="70">
        <f>'1) Tableau budgétaire 1'!F128</f>
        <v>0</v>
      </c>
      <c r="G128" s="70">
        <f>'1) Tableau budgétaire 1'!G128</f>
        <v>0</v>
      </c>
      <c r="H128" s="70">
        <f>'1) Tableau budgétaire 1'!H128</f>
        <v>0</v>
      </c>
      <c r="I128" s="70">
        <f>'1) Tableau budgétaire 1'!I128</f>
        <v>0</v>
      </c>
      <c r="J128" s="71">
        <f>SUM(D128:I128)</f>
        <v>0</v>
      </c>
      <c r="Q128" s="58"/>
    </row>
    <row r="129" spans="3:17" ht="16" thickBot="1" x14ac:dyDescent="0.4">
      <c r="C129" s="68" t="s">
        <v>550</v>
      </c>
      <c r="D129" s="101"/>
      <c r="E129" s="102"/>
      <c r="F129" s="102"/>
      <c r="G129" s="102"/>
      <c r="H129" s="102"/>
      <c r="I129" s="102"/>
      <c r="J129" s="71">
        <f t="shared" ref="J129:J135" si="19">SUM(D129:I129)</f>
        <v>0</v>
      </c>
      <c r="Q129" s="58"/>
    </row>
    <row r="130" spans="3:17" ht="16" thickBot="1" x14ac:dyDescent="0.4">
      <c r="C130" s="56" t="s">
        <v>551</v>
      </c>
      <c r="D130" s="103"/>
      <c r="E130" s="21"/>
      <c r="F130" s="21"/>
      <c r="G130" s="103">
        <f>SUM('1) Tableau budgétaire 1'!G120:G123)</f>
        <v>0</v>
      </c>
      <c r="H130" s="21"/>
      <c r="I130" s="21"/>
      <c r="J130" s="71">
        <f t="shared" si="19"/>
        <v>0</v>
      </c>
      <c r="Q130" s="58"/>
    </row>
    <row r="131" spans="3:17" ht="31.5" thickBot="1" x14ac:dyDescent="0.4">
      <c r="C131" s="56" t="s">
        <v>552</v>
      </c>
      <c r="D131" s="103"/>
      <c r="E131" s="103"/>
      <c r="F131" s="103"/>
      <c r="G131" s="103"/>
      <c r="H131" s="103"/>
      <c r="I131" s="103"/>
      <c r="J131" s="71">
        <f t="shared" si="19"/>
        <v>0</v>
      </c>
      <c r="Q131" s="58"/>
    </row>
    <row r="132" spans="3:17" ht="16" thickBot="1" x14ac:dyDescent="0.4">
      <c r="C132" s="57" t="s">
        <v>553</v>
      </c>
      <c r="D132" s="103"/>
      <c r="E132" s="103"/>
      <c r="F132" s="103"/>
      <c r="G132" s="103"/>
      <c r="H132" s="103"/>
      <c r="I132" s="103"/>
      <c r="J132" s="71">
        <f t="shared" si="19"/>
        <v>0</v>
      </c>
      <c r="Q132" s="58"/>
    </row>
    <row r="133" spans="3:17" ht="16" thickBot="1" x14ac:dyDescent="0.4">
      <c r="C133" s="56" t="s">
        <v>554</v>
      </c>
      <c r="D133" s="103"/>
      <c r="E133" s="103"/>
      <c r="F133" s="103"/>
      <c r="G133" s="103"/>
      <c r="H133" s="103"/>
      <c r="I133" s="103"/>
      <c r="J133" s="71">
        <f t="shared" si="19"/>
        <v>0</v>
      </c>
      <c r="Q133" s="58"/>
    </row>
    <row r="134" spans="3:17" ht="16" thickBot="1" x14ac:dyDescent="0.4">
      <c r="C134" s="56" t="s">
        <v>555</v>
      </c>
      <c r="D134" s="103"/>
      <c r="E134" s="103"/>
      <c r="F134" s="103"/>
      <c r="G134" s="103"/>
      <c r="H134" s="103"/>
      <c r="I134" s="103"/>
      <c r="J134" s="71">
        <f t="shared" si="19"/>
        <v>0</v>
      </c>
      <c r="Q134" s="58"/>
    </row>
    <row r="135" spans="3:17" ht="31.5" thickBot="1" x14ac:dyDescent="0.4">
      <c r="C135" s="56" t="s">
        <v>556</v>
      </c>
      <c r="D135" s="103"/>
      <c r="E135" s="103"/>
      <c r="F135" s="103"/>
      <c r="H135" s="103"/>
      <c r="I135" s="103">
        <f>SUM('1) Tableau budgétaire 1'!I120:I123)</f>
        <v>0</v>
      </c>
      <c r="J135" s="71">
        <f t="shared" si="19"/>
        <v>0</v>
      </c>
      <c r="Q135" s="58"/>
    </row>
    <row r="136" spans="3:17" x14ac:dyDescent="0.35">
      <c r="C136" s="61" t="s">
        <v>21</v>
      </c>
      <c r="D136" s="72">
        <f>SUM(D129:D135)</f>
        <v>0</v>
      </c>
      <c r="E136" s="72">
        <f>SUM(E129:E135)</f>
        <v>0</v>
      </c>
      <c r="F136" s="72">
        <f>SUM(F129:F135)</f>
        <v>0</v>
      </c>
      <c r="G136" s="72">
        <f>SUM(G129:G134)</f>
        <v>0</v>
      </c>
      <c r="H136" s="72">
        <f t="shared" ref="H136:I136" si="20">SUM(H129:H135)</f>
        <v>0</v>
      </c>
      <c r="I136" s="72">
        <f t="shared" si="20"/>
        <v>0</v>
      </c>
      <c r="J136" s="67">
        <f>SUM(D136:I136)</f>
        <v>0</v>
      </c>
      <c r="Q136" s="58"/>
    </row>
    <row r="137" spans="3:17" s="60" customFormat="1" x14ac:dyDescent="0.35">
      <c r="C137" s="73"/>
      <c r="D137" s="74"/>
      <c r="E137" s="74"/>
      <c r="F137" s="74"/>
      <c r="G137" s="74"/>
      <c r="H137" s="74"/>
      <c r="I137" s="74"/>
      <c r="J137" s="75"/>
    </row>
    <row r="138" spans="3:17" x14ac:dyDescent="0.35">
      <c r="C138" s="729" t="s">
        <v>477</v>
      </c>
      <c r="D138" s="730"/>
      <c r="E138" s="730"/>
      <c r="F138" s="730"/>
      <c r="G138" s="730"/>
      <c r="H138" s="730"/>
      <c r="I138" s="730"/>
      <c r="J138" s="731"/>
      <c r="Q138" s="58"/>
    </row>
    <row r="139" spans="3:17" ht="24" customHeight="1" thickBot="1" x14ac:dyDescent="0.4">
      <c r="C139" s="69" t="s">
        <v>573</v>
      </c>
      <c r="D139" s="70">
        <f>'1) Tableau budgétaire 1'!D138</f>
        <v>0</v>
      </c>
      <c r="E139" s="70">
        <f>'1) Tableau budgétaire 1'!E138</f>
        <v>0</v>
      </c>
      <c r="F139" s="70">
        <f>'1) Tableau budgétaire 1'!F138</f>
        <v>0</v>
      </c>
      <c r="G139" s="70">
        <f>'1) Tableau budgétaire 1'!G138</f>
        <v>28576.878504672895</v>
      </c>
      <c r="H139" s="70">
        <f>'1) Tableau budgétaire 1'!H138</f>
        <v>8000</v>
      </c>
      <c r="I139" s="70">
        <f>'1) Tableau budgétaire 1'!I138</f>
        <v>45000</v>
      </c>
      <c r="J139" s="71">
        <f>SUM(D139:I139)</f>
        <v>81576.878504672903</v>
      </c>
      <c r="Q139" s="58"/>
    </row>
    <row r="140" spans="3:17" ht="15.75" customHeight="1" thickBot="1" x14ac:dyDescent="0.4">
      <c r="C140" s="68" t="s">
        <v>550</v>
      </c>
      <c r="D140" s="101"/>
      <c r="E140" s="102"/>
      <c r="F140" s="102"/>
      <c r="G140" s="102"/>
      <c r="H140" s="102"/>
      <c r="I140" s="102"/>
      <c r="J140" s="71">
        <f t="shared" ref="J140:J146" si="21">SUM(D140:I140)</f>
        <v>0</v>
      </c>
      <c r="Q140" s="58"/>
    </row>
    <row r="141" spans="3:17" s="62" customFormat="1" ht="16" thickBot="1" x14ac:dyDescent="0.4">
      <c r="C141" s="56" t="s">
        <v>551</v>
      </c>
      <c r="D141" s="103"/>
      <c r="E141" s="21"/>
      <c r="F141" s="21"/>
      <c r="G141" s="21"/>
      <c r="H141" s="21"/>
      <c r="I141" s="21"/>
      <c r="J141" s="71">
        <f t="shared" si="21"/>
        <v>0</v>
      </c>
    </row>
    <row r="142" spans="3:17" s="62" customFormat="1" ht="15.75" customHeight="1" thickBot="1" x14ac:dyDescent="0.4">
      <c r="C142" s="56" t="s">
        <v>552</v>
      </c>
      <c r="D142" s="103"/>
      <c r="E142" s="103"/>
      <c r="F142" s="103"/>
      <c r="G142" s="103"/>
      <c r="H142" s="103"/>
      <c r="I142" s="103"/>
      <c r="J142" s="71">
        <f t="shared" si="21"/>
        <v>0</v>
      </c>
    </row>
    <row r="143" spans="3:17" s="62" customFormat="1" ht="16" thickBot="1" x14ac:dyDescent="0.4">
      <c r="C143" s="57" t="s">
        <v>553</v>
      </c>
      <c r="D143" s="103"/>
      <c r="E143" s="103"/>
      <c r="F143" s="103"/>
      <c r="G143" s="103"/>
      <c r="H143" s="103"/>
      <c r="I143" s="103"/>
      <c r="J143" s="71">
        <f t="shared" si="21"/>
        <v>0</v>
      </c>
    </row>
    <row r="144" spans="3:17" s="62" customFormat="1" ht="16" thickBot="1" x14ac:dyDescent="0.4">
      <c r="C144" s="56" t="s">
        <v>554</v>
      </c>
      <c r="D144" s="103"/>
      <c r="E144" s="103"/>
      <c r="F144" s="103"/>
      <c r="G144" s="103"/>
      <c r="H144" s="103"/>
      <c r="I144" s="103"/>
      <c r="J144" s="71">
        <f t="shared" si="21"/>
        <v>0</v>
      </c>
    </row>
    <row r="145" spans="2:10" s="62" customFormat="1" ht="15.75" customHeight="1" thickBot="1" x14ac:dyDescent="0.4">
      <c r="C145" s="56" t="s">
        <v>555</v>
      </c>
      <c r="D145" s="103"/>
      <c r="E145" s="103"/>
      <c r="F145" s="103"/>
      <c r="G145" s="103"/>
      <c r="H145" s="103"/>
      <c r="I145" s="103"/>
      <c r="J145" s="71">
        <f t="shared" si="21"/>
        <v>0</v>
      </c>
    </row>
    <row r="146" spans="2:10" s="62" customFormat="1" ht="31.5" thickBot="1" x14ac:dyDescent="0.4">
      <c r="C146" s="56" t="s">
        <v>556</v>
      </c>
      <c r="D146" s="103"/>
      <c r="E146" s="103"/>
      <c r="F146" s="103"/>
      <c r="G146" s="103">
        <f>SUM('1) Tableau budgétaire 1'!G130:G132)</f>
        <v>28576.878504672895</v>
      </c>
      <c r="H146" s="103"/>
      <c r="I146" s="103">
        <f>+'1) Tableau budgétaire 1'!I130+'1) Tableau budgétaire 1'!I131+'1) Tableau budgétaire 1'!I132</f>
        <v>45000</v>
      </c>
      <c r="J146" s="71">
        <f t="shared" si="21"/>
        <v>73576.878504672903</v>
      </c>
    </row>
    <row r="147" spans="2:10" s="62" customFormat="1" x14ac:dyDescent="0.35">
      <c r="C147" s="61" t="s">
        <v>21</v>
      </c>
      <c r="D147" s="72">
        <f>SUM(D140:D146)</f>
        <v>0</v>
      </c>
      <c r="E147" s="72">
        <f>SUM(E140:E146)</f>
        <v>0</v>
      </c>
      <c r="F147" s="72">
        <f>SUM(F140:F146)</f>
        <v>0</v>
      </c>
      <c r="G147" s="72">
        <f>SUM(G140:G146)</f>
        <v>28576.878504672895</v>
      </c>
      <c r="H147" s="72">
        <f t="shared" ref="H147:I147" si="22">SUM(H140:H146)</f>
        <v>0</v>
      </c>
      <c r="I147" s="72">
        <f t="shared" si="22"/>
        <v>45000</v>
      </c>
      <c r="J147" s="67">
        <f>SUM(D147:I147)</f>
        <v>73576.878504672903</v>
      </c>
    </row>
    <row r="148" spans="2:10" s="62" customFormat="1" x14ac:dyDescent="0.35">
      <c r="C148" s="58"/>
      <c r="D148" s="60"/>
      <c r="E148" s="60"/>
      <c r="F148" s="60"/>
      <c r="G148" s="60"/>
      <c r="H148" s="60"/>
      <c r="I148" s="60"/>
      <c r="J148" s="58"/>
    </row>
    <row r="149" spans="2:10" s="62" customFormat="1" x14ac:dyDescent="0.35">
      <c r="B149" s="729" t="s">
        <v>574</v>
      </c>
      <c r="C149" s="730"/>
      <c r="D149" s="730"/>
      <c r="E149" s="730"/>
      <c r="F149" s="730"/>
      <c r="G149" s="730"/>
      <c r="H149" s="730"/>
      <c r="I149" s="730"/>
      <c r="J149" s="731"/>
    </row>
    <row r="150" spans="2:10" s="62" customFormat="1" x14ac:dyDescent="0.35">
      <c r="B150" s="58"/>
      <c r="C150" s="729" t="s">
        <v>487</v>
      </c>
      <c r="D150" s="730"/>
      <c r="E150" s="730"/>
      <c r="F150" s="730"/>
      <c r="G150" s="730"/>
      <c r="H150" s="730"/>
      <c r="I150" s="730"/>
      <c r="J150" s="731"/>
    </row>
    <row r="151" spans="2:10" s="62" customFormat="1" ht="24" customHeight="1" thickBot="1" x14ac:dyDescent="0.4">
      <c r="B151" s="58"/>
      <c r="C151" s="69" t="s">
        <v>575</v>
      </c>
      <c r="D151" s="70">
        <f>'1) Tableau budgétaire 1'!D150</f>
        <v>0</v>
      </c>
      <c r="E151" s="70">
        <f>'1) Tableau budgétaire 1'!E150</f>
        <v>0</v>
      </c>
      <c r="F151" s="70">
        <f>'1) Tableau budgétaire 1'!F150</f>
        <v>0</v>
      </c>
      <c r="G151" s="70">
        <f>'1) Tableau budgétaire 1'!G150</f>
        <v>0</v>
      </c>
      <c r="H151" s="70">
        <f>'1) Tableau budgétaire 1'!H150</f>
        <v>0</v>
      </c>
      <c r="I151" s="70">
        <f>'1) Tableau budgétaire 1'!I150</f>
        <v>0</v>
      </c>
      <c r="J151" s="71">
        <f>SUM(D151:I151)</f>
        <v>0</v>
      </c>
    </row>
    <row r="152" spans="2:10" s="62" customFormat="1" ht="24.75" customHeight="1" thickBot="1" x14ac:dyDescent="0.4">
      <c r="B152" s="58"/>
      <c r="C152" s="68" t="s">
        <v>550</v>
      </c>
      <c r="D152" s="101"/>
      <c r="E152" s="102"/>
      <c r="F152" s="102"/>
      <c r="G152" s="102"/>
      <c r="H152" s="102"/>
      <c r="I152" s="102"/>
      <c r="J152" s="71">
        <f t="shared" ref="J152:J159" si="23">SUM(D152:I152)</f>
        <v>0</v>
      </c>
    </row>
    <row r="153" spans="2:10" s="62" customFormat="1" ht="15.75" customHeight="1" thickBot="1" x14ac:dyDescent="0.4">
      <c r="B153" s="58"/>
      <c r="C153" s="56" t="s">
        <v>551</v>
      </c>
      <c r="D153" s="103"/>
      <c r="E153" s="21"/>
      <c r="F153" s="21"/>
      <c r="G153" s="21"/>
      <c r="H153" s="21"/>
      <c r="I153" s="21"/>
      <c r="J153" s="71">
        <f t="shared" si="23"/>
        <v>0</v>
      </c>
    </row>
    <row r="154" spans="2:10" s="62" customFormat="1" ht="15.75" customHeight="1" thickBot="1" x14ac:dyDescent="0.4">
      <c r="B154" s="58"/>
      <c r="C154" s="56" t="s">
        <v>552</v>
      </c>
      <c r="D154" s="103"/>
      <c r="E154" s="103"/>
      <c r="F154" s="103"/>
      <c r="G154" s="103"/>
      <c r="H154" s="103"/>
      <c r="I154" s="103"/>
      <c r="J154" s="71">
        <f t="shared" si="23"/>
        <v>0</v>
      </c>
    </row>
    <row r="155" spans="2:10" s="62" customFormat="1" ht="15.75" customHeight="1" thickBot="1" x14ac:dyDescent="0.4">
      <c r="B155" s="58"/>
      <c r="C155" s="57" t="s">
        <v>553</v>
      </c>
      <c r="D155" s="103"/>
      <c r="E155" s="103"/>
      <c r="F155" s="103"/>
      <c r="G155" s="103"/>
      <c r="H155" s="103"/>
      <c r="I155" s="103"/>
      <c r="J155" s="71">
        <f t="shared" si="23"/>
        <v>0</v>
      </c>
    </row>
    <row r="156" spans="2:10" s="62" customFormat="1" ht="15.75" customHeight="1" thickBot="1" x14ac:dyDescent="0.4">
      <c r="B156" s="58"/>
      <c r="C156" s="56" t="s">
        <v>554</v>
      </c>
      <c r="D156" s="103"/>
      <c r="E156" s="103"/>
      <c r="F156" s="103"/>
      <c r="G156" s="103"/>
      <c r="H156" s="103"/>
      <c r="I156" s="103"/>
      <c r="J156" s="71">
        <f t="shared" si="23"/>
        <v>0</v>
      </c>
    </row>
    <row r="157" spans="2:10" s="62" customFormat="1" ht="15.75" customHeight="1" thickBot="1" x14ac:dyDescent="0.4">
      <c r="B157" s="58"/>
      <c r="C157" s="56" t="s">
        <v>555</v>
      </c>
      <c r="D157" s="103"/>
      <c r="E157" s="103"/>
      <c r="F157" s="103"/>
      <c r="G157" s="103"/>
      <c r="H157" s="103"/>
      <c r="I157" s="103"/>
      <c r="J157" s="71">
        <f t="shared" si="23"/>
        <v>0</v>
      </c>
    </row>
    <row r="158" spans="2:10" s="62" customFormat="1" ht="15.75" customHeight="1" thickBot="1" x14ac:dyDescent="0.4">
      <c r="B158" s="58"/>
      <c r="C158" s="56" t="s">
        <v>556</v>
      </c>
      <c r="D158" s="103"/>
      <c r="E158" s="103"/>
      <c r="F158" s="103"/>
      <c r="G158" s="103"/>
      <c r="H158" s="103"/>
      <c r="I158" s="103"/>
      <c r="J158" s="71">
        <f t="shared" si="23"/>
        <v>0</v>
      </c>
    </row>
    <row r="159" spans="2:10" s="62" customFormat="1" ht="15.75" customHeight="1" thickBot="1" x14ac:dyDescent="0.4">
      <c r="B159" s="58"/>
      <c r="C159" s="61" t="s">
        <v>21</v>
      </c>
      <c r="D159" s="72">
        <f>SUM(D152:D158)</f>
        <v>0</v>
      </c>
      <c r="E159" s="72">
        <f>SUM(E152:E158)</f>
        <v>0</v>
      </c>
      <c r="F159" s="72">
        <f>SUM(F152:F158)</f>
        <v>0</v>
      </c>
      <c r="G159" s="72">
        <f t="shared" ref="G159:I159" si="24">SUM(G152:G158)</f>
        <v>0</v>
      </c>
      <c r="H159" s="72">
        <f t="shared" si="24"/>
        <v>0</v>
      </c>
      <c r="I159" s="72">
        <f t="shared" si="24"/>
        <v>0</v>
      </c>
      <c r="J159" s="71">
        <f t="shared" si="23"/>
        <v>0</v>
      </c>
    </row>
    <row r="160" spans="2:10" s="60" customFormat="1" ht="15.75" customHeight="1" x14ac:dyDescent="0.35">
      <c r="C160" s="73"/>
      <c r="D160" s="74"/>
      <c r="E160" s="74"/>
      <c r="F160" s="74"/>
      <c r="G160" s="74"/>
      <c r="H160" s="74"/>
      <c r="I160" s="74"/>
      <c r="J160" s="75"/>
    </row>
    <row r="161" spans="3:10" s="62" customFormat="1" ht="15.75" customHeight="1" x14ac:dyDescent="0.35">
      <c r="C161" s="729" t="s">
        <v>496</v>
      </c>
      <c r="D161" s="730"/>
      <c r="E161" s="730"/>
      <c r="F161" s="730"/>
      <c r="G161" s="730"/>
      <c r="H161" s="730"/>
      <c r="I161" s="730"/>
      <c r="J161" s="731"/>
    </row>
    <row r="162" spans="3:10" s="62" customFormat="1" ht="21" customHeight="1" thickBot="1" x14ac:dyDescent="0.4">
      <c r="C162" s="69" t="s">
        <v>576</v>
      </c>
      <c r="D162" s="70">
        <f>'1) Tableau budgétaire 1'!D160</f>
        <v>0</v>
      </c>
      <c r="E162" s="70">
        <f>'1) Tableau budgétaire 1'!E160</f>
        <v>0</v>
      </c>
      <c r="F162" s="70">
        <f>'1) Tableau budgétaire 1'!F160</f>
        <v>0</v>
      </c>
      <c r="G162" s="70">
        <f>'1) Tableau budgétaire 1'!G160</f>
        <v>0</v>
      </c>
      <c r="H162" s="70">
        <f>'1) Tableau budgétaire 1'!H160</f>
        <v>0</v>
      </c>
      <c r="I162" s="70">
        <f>'1) Tableau budgétaire 1'!I160</f>
        <v>0</v>
      </c>
      <c r="J162" s="71">
        <f>SUM(D162:I162)</f>
        <v>0</v>
      </c>
    </row>
    <row r="163" spans="3:10" s="62" customFormat="1" ht="15.75" customHeight="1" thickBot="1" x14ac:dyDescent="0.4">
      <c r="C163" s="68" t="s">
        <v>550</v>
      </c>
      <c r="D163" s="101"/>
      <c r="E163" s="102"/>
      <c r="F163" s="102"/>
      <c r="G163" s="102"/>
      <c r="H163" s="102"/>
      <c r="I163" s="102"/>
      <c r="J163" s="71">
        <f t="shared" ref="J163:J170" si="25">SUM(D163:I163)</f>
        <v>0</v>
      </c>
    </row>
    <row r="164" spans="3:10" s="62" customFormat="1" ht="15.75" customHeight="1" thickBot="1" x14ac:dyDescent="0.4">
      <c r="C164" s="56" t="s">
        <v>551</v>
      </c>
      <c r="D164" s="103"/>
      <c r="E164" s="21"/>
      <c r="F164" s="21"/>
      <c r="G164" s="21"/>
      <c r="H164" s="21"/>
      <c r="I164" s="21"/>
      <c r="J164" s="71">
        <f t="shared" si="25"/>
        <v>0</v>
      </c>
    </row>
    <row r="165" spans="3:10" s="62" customFormat="1" ht="15.75" customHeight="1" thickBot="1" x14ac:dyDescent="0.4">
      <c r="C165" s="56" t="s">
        <v>552</v>
      </c>
      <c r="D165" s="103"/>
      <c r="E165" s="103"/>
      <c r="F165" s="103"/>
      <c r="G165" s="103"/>
      <c r="H165" s="103"/>
      <c r="I165" s="103"/>
      <c r="J165" s="71">
        <f t="shared" si="25"/>
        <v>0</v>
      </c>
    </row>
    <row r="166" spans="3:10" s="62" customFormat="1" ht="15.75" customHeight="1" thickBot="1" x14ac:dyDescent="0.4">
      <c r="C166" s="57" t="s">
        <v>553</v>
      </c>
      <c r="D166" s="103"/>
      <c r="E166" s="103"/>
      <c r="F166" s="103"/>
      <c r="G166" s="103"/>
      <c r="H166" s="103"/>
      <c r="I166" s="103"/>
      <c r="J166" s="71">
        <f t="shared" si="25"/>
        <v>0</v>
      </c>
    </row>
    <row r="167" spans="3:10" s="62" customFormat="1" ht="15.75" customHeight="1" thickBot="1" x14ac:dyDescent="0.4">
      <c r="C167" s="56" t="s">
        <v>554</v>
      </c>
      <c r="D167" s="103"/>
      <c r="E167" s="103"/>
      <c r="F167" s="103"/>
      <c r="G167" s="103"/>
      <c r="H167" s="103"/>
      <c r="I167" s="103"/>
      <c r="J167" s="71">
        <f t="shared" si="25"/>
        <v>0</v>
      </c>
    </row>
    <row r="168" spans="3:10" s="62" customFormat="1" ht="15.75" customHeight="1" thickBot="1" x14ac:dyDescent="0.4">
      <c r="C168" s="56" t="s">
        <v>555</v>
      </c>
      <c r="D168" s="103"/>
      <c r="E168" s="103"/>
      <c r="F168" s="103"/>
      <c r="G168" s="103"/>
      <c r="H168" s="103"/>
      <c r="I168" s="103"/>
      <c r="J168" s="71">
        <f t="shared" si="25"/>
        <v>0</v>
      </c>
    </row>
    <row r="169" spans="3:10" s="62" customFormat="1" ht="15.75" customHeight="1" thickBot="1" x14ac:dyDescent="0.4">
      <c r="C169" s="56" t="s">
        <v>556</v>
      </c>
      <c r="D169" s="103"/>
      <c r="E169" s="103"/>
      <c r="F169" s="103"/>
      <c r="G169" s="103"/>
      <c r="H169" s="103"/>
      <c r="I169" s="103"/>
      <c r="J169" s="71">
        <f t="shared" si="25"/>
        <v>0</v>
      </c>
    </row>
    <row r="170" spans="3:10" s="62" customFormat="1" ht="15.75" customHeight="1" thickBot="1" x14ac:dyDescent="0.4">
      <c r="C170" s="61" t="s">
        <v>21</v>
      </c>
      <c r="D170" s="72">
        <f>SUM(D163:D169)</f>
        <v>0</v>
      </c>
      <c r="E170" s="72">
        <f>SUM(E163:E169)</f>
        <v>0</v>
      </c>
      <c r="F170" s="72">
        <f>SUM(F163:F169)</f>
        <v>0</v>
      </c>
      <c r="G170" s="72">
        <f t="shared" ref="G170:I170" si="26">SUM(G163:G169)</f>
        <v>0</v>
      </c>
      <c r="H170" s="72">
        <f t="shared" si="26"/>
        <v>0</v>
      </c>
      <c r="I170" s="72">
        <f t="shared" si="26"/>
        <v>0</v>
      </c>
      <c r="J170" s="71">
        <f t="shared" si="25"/>
        <v>0</v>
      </c>
    </row>
    <row r="171" spans="3:10" s="60" customFormat="1" ht="15.75" customHeight="1" x14ac:dyDescent="0.35">
      <c r="C171" s="73"/>
      <c r="D171" s="74"/>
      <c r="E171" s="74"/>
      <c r="F171" s="74"/>
      <c r="G171" s="74"/>
      <c r="H171" s="74"/>
      <c r="I171" s="74"/>
      <c r="J171" s="75"/>
    </row>
    <row r="172" spans="3:10" s="62" customFormat="1" ht="15.75" customHeight="1" x14ac:dyDescent="0.35">
      <c r="C172" s="729" t="s">
        <v>505</v>
      </c>
      <c r="D172" s="730"/>
      <c r="E172" s="730"/>
      <c r="F172" s="730"/>
      <c r="G172" s="730"/>
      <c r="H172" s="730"/>
      <c r="I172" s="730"/>
      <c r="J172" s="731"/>
    </row>
    <row r="173" spans="3:10" s="62" customFormat="1" ht="19.5" customHeight="1" thickBot="1" x14ac:dyDescent="0.4">
      <c r="C173" s="69" t="s">
        <v>577</v>
      </c>
      <c r="D173" s="70">
        <f>'1) Tableau budgétaire 1'!D170</f>
        <v>0</v>
      </c>
      <c r="E173" s="70">
        <f>'1) Tableau budgétaire 1'!E170</f>
        <v>0</v>
      </c>
      <c r="F173" s="70">
        <f>'1) Tableau budgétaire 1'!F170</f>
        <v>0</v>
      </c>
      <c r="G173" s="70">
        <f>'1) Tableau budgétaire 1'!G170</f>
        <v>0</v>
      </c>
      <c r="H173" s="70">
        <f>'1) Tableau budgétaire 1'!H170</f>
        <v>0</v>
      </c>
      <c r="I173" s="70">
        <f>'1) Tableau budgétaire 1'!I170</f>
        <v>0</v>
      </c>
      <c r="J173" s="71">
        <f>SUM(D173:I173)</f>
        <v>0</v>
      </c>
    </row>
    <row r="174" spans="3:10" s="62" customFormat="1" ht="15.75" customHeight="1" thickBot="1" x14ac:dyDescent="0.4">
      <c r="C174" s="68" t="s">
        <v>550</v>
      </c>
      <c r="D174" s="101"/>
      <c r="E174" s="102"/>
      <c r="F174" s="102"/>
      <c r="G174" s="102"/>
      <c r="H174" s="102"/>
      <c r="I174" s="102"/>
      <c r="J174" s="71">
        <f t="shared" ref="J174:J181" si="27">SUM(D174:I174)</f>
        <v>0</v>
      </c>
    </row>
    <row r="175" spans="3:10" s="62" customFormat="1" ht="15.75" customHeight="1" thickBot="1" x14ac:dyDescent="0.4">
      <c r="C175" s="56" t="s">
        <v>551</v>
      </c>
      <c r="D175" s="103"/>
      <c r="E175" s="21"/>
      <c r="F175" s="21"/>
      <c r="G175" s="21"/>
      <c r="H175" s="21"/>
      <c r="I175" s="21"/>
      <c r="J175" s="71">
        <f t="shared" si="27"/>
        <v>0</v>
      </c>
    </row>
    <row r="176" spans="3:10" s="62" customFormat="1" ht="15.75" customHeight="1" thickBot="1" x14ac:dyDescent="0.4">
      <c r="C176" s="56" t="s">
        <v>552</v>
      </c>
      <c r="D176" s="103"/>
      <c r="E176" s="103"/>
      <c r="F176" s="103"/>
      <c r="G176" s="103"/>
      <c r="H176" s="103"/>
      <c r="I176" s="103"/>
      <c r="J176" s="71">
        <f t="shared" si="27"/>
        <v>0</v>
      </c>
    </row>
    <row r="177" spans="3:10" s="62" customFormat="1" ht="15.75" customHeight="1" thickBot="1" x14ac:dyDescent="0.4">
      <c r="C177" s="57" t="s">
        <v>553</v>
      </c>
      <c r="D177" s="103"/>
      <c r="E177" s="103"/>
      <c r="F177" s="103"/>
      <c r="G177" s="103"/>
      <c r="H177" s="103"/>
      <c r="I177" s="103"/>
      <c r="J177" s="71">
        <f t="shared" si="27"/>
        <v>0</v>
      </c>
    </row>
    <row r="178" spans="3:10" s="62" customFormat="1" ht="15.75" customHeight="1" thickBot="1" x14ac:dyDescent="0.4">
      <c r="C178" s="56" t="s">
        <v>554</v>
      </c>
      <c r="D178" s="103"/>
      <c r="E178" s="103"/>
      <c r="F178" s="103"/>
      <c r="G178" s="103"/>
      <c r="H178" s="103"/>
      <c r="I178" s="103"/>
      <c r="J178" s="71">
        <f t="shared" si="27"/>
        <v>0</v>
      </c>
    </row>
    <row r="179" spans="3:10" s="62" customFormat="1" ht="15.75" customHeight="1" thickBot="1" x14ac:dyDescent="0.4">
      <c r="C179" s="56" t="s">
        <v>555</v>
      </c>
      <c r="D179" s="103"/>
      <c r="E179" s="103"/>
      <c r="F179" s="103"/>
      <c r="G179" s="103"/>
      <c r="H179" s="103"/>
      <c r="I179" s="103"/>
      <c r="J179" s="71">
        <f t="shared" si="27"/>
        <v>0</v>
      </c>
    </row>
    <row r="180" spans="3:10" s="62" customFormat="1" ht="15.75" customHeight="1" thickBot="1" x14ac:dyDescent="0.4">
      <c r="C180" s="56" t="s">
        <v>556</v>
      </c>
      <c r="D180" s="103"/>
      <c r="E180" s="103"/>
      <c r="F180" s="103"/>
      <c r="G180" s="103"/>
      <c r="H180" s="103"/>
      <c r="I180" s="103"/>
      <c r="J180" s="71">
        <f t="shared" si="27"/>
        <v>0</v>
      </c>
    </row>
    <row r="181" spans="3:10" s="62" customFormat="1" ht="15.75" customHeight="1" thickBot="1" x14ac:dyDescent="0.4">
      <c r="C181" s="61" t="s">
        <v>21</v>
      </c>
      <c r="D181" s="72">
        <f>SUM(D174:D180)</f>
        <v>0</v>
      </c>
      <c r="E181" s="72">
        <f>SUM(E174:E180)</f>
        <v>0</v>
      </c>
      <c r="F181" s="72">
        <f>SUM(F174:F180)</f>
        <v>0</v>
      </c>
      <c r="G181" s="72">
        <f t="shared" ref="G181:I181" si="28">SUM(G174:G180)</f>
        <v>0</v>
      </c>
      <c r="H181" s="72">
        <f t="shared" si="28"/>
        <v>0</v>
      </c>
      <c r="I181" s="72">
        <f t="shared" si="28"/>
        <v>0</v>
      </c>
      <c r="J181" s="71">
        <f t="shared" si="27"/>
        <v>0</v>
      </c>
    </row>
    <row r="182" spans="3:10" s="60" customFormat="1" ht="15.75" customHeight="1" x14ac:dyDescent="0.35">
      <c r="C182" s="73"/>
      <c r="D182" s="74"/>
      <c r="E182" s="74"/>
      <c r="F182" s="74"/>
      <c r="G182" s="74"/>
      <c r="H182" s="74"/>
      <c r="I182" s="74"/>
      <c r="J182" s="75"/>
    </row>
    <row r="183" spans="3:10" s="62" customFormat="1" ht="15.75" customHeight="1" x14ac:dyDescent="0.35">
      <c r="C183" s="729" t="s">
        <v>514</v>
      </c>
      <c r="D183" s="730"/>
      <c r="E183" s="730"/>
      <c r="F183" s="730"/>
      <c r="G183" s="730"/>
      <c r="H183" s="730"/>
      <c r="I183" s="730"/>
      <c r="J183" s="731"/>
    </row>
    <row r="184" spans="3:10" s="62" customFormat="1" ht="22.5" customHeight="1" thickBot="1" x14ac:dyDescent="0.4">
      <c r="C184" s="69" t="s">
        <v>578</v>
      </c>
      <c r="D184" s="70">
        <f>'1) Tableau budgétaire 1'!D180</f>
        <v>0</v>
      </c>
      <c r="E184" s="70">
        <f>'1) Tableau budgétaire 1'!E180</f>
        <v>0</v>
      </c>
      <c r="F184" s="70">
        <f>'1) Tableau budgétaire 1'!F180</f>
        <v>0</v>
      </c>
      <c r="G184" s="70">
        <f>'1) Tableau budgétaire 1'!G180</f>
        <v>0</v>
      </c>
      <c r="H184" s="70">
        <f>'1) Tableau budgétaire 1'!H180</f>
        <v>0</v>
      </c>
      <c r="I184" s="70">
        <f>'1) Tableau budgétaire 1'!I180</f>
        <v>0</v>
      </c>
      <c r="J184" s="71">
        <f>SUM(D184:I184)</f>
        <v>0</v>
      </c>
    </row>
    <row r="185" spans="3:10" s="62" customFormat="1" ht="15.75" customHeight="1" thickBot="1" x14ac:dyDescent="0.4">
      <c r="C185" s="68" t="s">
        <v>550</v>
      </c>
      <c r="D185" s="101"/>
      <c r="E185" s="102"/>
      <c r="F185" s="102"/>
      <c r="G185" s="102"/>
      <c r="H185" s="102"/>
      <c r="I185" s="102"/>
      <c r="J185" s="71">
        <f t="shared" ref="J185:J192" si="29">SUM(D185:I185)</f>
        <v>0</v>
      </c>
    </row>
    <row r="186" spans="3:10" s="62" customFormat="1" ht="15.75" customHeight="1" thickBot="1" x14ac:dyDescent="0.4">
      <c r="C186" s="56" t="s">
        <v>551</v>
      </c>
      <c r="D186" s="103"/>
      <c r="E186" s="21"/>
      <c r="F186" s="21"/>
      <c r="G186" s="21"/>
      <c r="H186" s="21"/>
      <c r="I186" s="21"/>
      <c r="J186" s="71">
        <f t="shared" si="29"/>
        <v>0</v>
      </c>
    </row>
    <row r="187" spans="3:10" s="62" customFormat="1" ht="15.75" customHeight="1" thickBot="1" x14ac:dyDescent="0.4">
      <c r="C187" s="56" t="s">
        <v>552</v>
      </c>
      <c r="D187" s="103"/>
      <c r="E187" s="103"/>
      <c r="F187" s="103"/>
      <c r="G187" s="103"/>
      <c r="H187" s="103"/>
      <c r="I187" s="103"/>
      <c r="J187" s="71">
        <f t="shared" si="29"/>
        <v>0</v>
      </c>
    </row>
    <row r="188" spans="3:10" s="62" customFormat="1" ht="15.75" customHeight="1" thickBot="1" x14ac:dyDescent="0.4">
      <c r="C188" s="57" t="s">
        <v>553</v>
      </c>
      <c r="D188" s="103"/>
      <c r="E188" s="103"/>
      <c r="F188" s="103"/>
      <c r="G188" s="103"/>
      <c r="H188" s="103"/>
      <c r="I188" s="103"/>
      <c r="J188" s="71">
        <f t="shared" si="29"/>
        <v>0</v>
      </c>
    </row>
    <row r="189" spans="3:10" s="62" customFormat="1" ht="15.75" customHeight="1" thickBot="1" x14ac:dyDescent="0.4">
      <c r="C189" s="56" t="s">
        <v>554</v>
      </c>
      <c r="D189" s="103"/>
      <c r="E189" s="103"/>
      <c r="F189" s="103"/>
      <c r="G189" s="103"/>
      <c r="H189" s="103"/>
      <c r="I189" s="103"/>
      <c r="J189" s="71">
        <f t="shared" si="29"/>
        <v>0</v>
      </c>
    </row>
    <row r="190" spans="3:10" s="62" customFormat="1" ht="15.75" customHeight="1" thickBot="1" x14ac:dyDescent="0.4">
      <c r="C190" s="56" t="s">
        <v>555</v>
      </c>
      <c r="D190" s="103"/>
      <c r="E190" s="103"/>
      <c r="F190" s="103"/>
      <c r="G190" s="103"/>
      <c r="H190" s="103"/>
      <c r="I190" s="103"/>
      <c r="J190" s="71">
        <f t="shared" si="29"/>
        <v>0</v>
      </c>
    </row>
    <row r="191" spans="3:10" s="62" customFormat="1" ht="15.75" customHeight="1" thickBot="1" x14ac:dyDescent="0.4">
      <c r="C191" s="56" t="s">
        <v>556</v>
      </c>
      <c r="D191" s="103"/>
      <c r="E191" s="103"/>
      <c r="F191" s="103"/>
      <c r="G191" s="103"/>
      <c r="H191" s="103"/>
      <c r="I191" s="103"/>
      <c r="J191" s="71">
        <f t="shared" si="29"/>
        <v>0</v>
      </c>
    </row>
    <row r="192" spans="3:10" s="62" customFormat="1" ht="15.75" customHeight="1" thickBot="1" x14ac:dyDescent="0.4">
      <c r="C192" s="61" t="s">
        <v>21</v>
      </c>
      <c r="D192" s="72">
        <f>SUM(D185:D191)</f>
        <v>0</v>
      </c>
      <c r="E192" s="72">
        <f>SUM(E185:E191)</f>
        <v>0</v>
      </c>
      <c r="F192" s="72">
        <f>SUM(F185:F191)</f>
        <v>0</v>
      </c>
      <c r="G192" s="72">
        <f t="shared" ref="G192:I192" si="30">SUM(G185:G191)</f>
        <v>0</v>
      </c>
      <c r="H192" s="72">
        <f t="shared" si="30"/>
        <v>0</v>
      </c>
      <c r="I192" s="72">
        <f t="shared" si="30"/>
        <v>0</v>
      </c>
      <c r="J192" s="71">
        <f t="shared" si="29"/>
        <v>0</v>
      </c>
    </row>
    <row r="193" spans="3:10" s="62" customFormat="1" ht="15.75" customHeight="1" x14ac:dyDescent="0.35">
      <c r="C193" s="58"/>
      <c r="D193" s="60"/>
      <c r="E193" s="60"/>
      <c r="F193" s="60"/>
      <c r="G193" s="60"/>
      <c r="H193" s="60"/>
      <c r="I193" s="60"/>
      <c r="J193" s="58"/>
    </row>
    <row r="194" spans="3:10" s="62" customFormat="1" ht="15.75" customHeight="1" x14ac:dyDescent="0.35">
      <c r="C194" s="729" t="s">
        <v>579</v>
      </c>
      <c r="D194" s="730"/>
      <c r="E194" s="730"/>
      <c r="F194" s="730"/>
      <c r="G194" s="730"/>
      <c r="H194" s="730"/>
      <c r="I194" s="730"/>
      <c r="J194" s="731"/>
    </row>
    <row r="195" spans="3:10" s="62" customFormat="1" ht="36" customHeight="1" thickBot="1" x14ac:dyDescent="0.4">
      <c r="C195" s="69" t="s">
        <v>580</v>
      </c>
      <c r="D195" s="70">
        <f>'1) Tableau budgétaire 1'!D187</f>
        <v>238177.66</v>
      </c>
      <c r="E195" s="70">
        <f>'1) Tableau budgétaire 1'!E187</f>
        <v>105760.28</v>
      </c>
      <c r="F195" s="70">
        <f>'1) Tableau budgétaire 1'!F187</f>
        <v>105760.28</v>
      </c>
      <c r="G195" s="70">
        <f>'1) Tableau budgétaire 1'!G187</f>
        <v>270333.76836158196</v>
      </c>
      <c r="H195" s="70">
        <f>'1) Tableau budgétaire 1'!H187</f>
        <v>114060.7476635514</v>
      </c>
      <c r="I195" s="70">
        <f>'1) Tableau budgétaire 1'!I187</f>
        <v>111607.40583333334</v>
      </c>
      <c r="J195" s="71">
        <f>SUM(D195:I195)</f>
        <v>945700.14185846667</v>
      </c>
    </row>
    <row r="196" spans="3:10" s="62" customFormat="1" ht="15.75" customHeight="1" thickBot="1" x14ac:dyDescent="0.4">
      <c r="C196" s="68" t="s">
        <v>550</v>
      </c>
      <c r="D196" s="101">
        <f>'1) Tableau budgétaire 1'!D183</f>
        <v>180000</v>
      </c>
      <c r="E196" s="101">
        <f>'1) Tableau budgétaire 1'!E183</f>
        <v>50000</v>
      </c>
      <c r="F196" s="101">
        <f>'1) Tableau budgétaire 1'!F183</f>
        <v>50000</v>
      </c>
      <c r="G196" s="102">
        <f>'1) Tableau budgétaire 1'!G183</f>
        <v>188910.43502824858</v>
      </c>
      <c r="H196" s="102">
        <f>'1) Tableau budgétaire 1'!H183</f>
        <v>50000</v>
      </c>
      <c r="I196" s="102">
        <f>'1) Tableau budgétaire 1'!I183</f>
        <v>45715.072500000002</v>
      </c>
      <c r="J196" s="71">
        <f t="shared" ref="J196:J202" si="31">SUM(D196:I196)</f>
        <v>564625.50752824859</v>
      </c>
    </row>
    <row r="197" spans="3:10" s="62" customFormat="1" ht="15.75" customHeight="1" thickBot="1" x14ac:dyDescent="0.4">
      <c r="C197" s="56" t="s">
        <v>551</v>
      </c>
      <c r="D197" s="103"/>
      <c r="E197" s="21"/>
      <c r="F197" s="21"/>
      <c r="G197" s="21"/>
      <c r="H197" s="21"/>
      <c r="I197" s="21"/>
      <c r="J197" s="71">
        <f t="shared" si="31"/>
        <v>0</v>
      </c>
    </row>
    <row r="198" spans="3:10" s="62" customFormat="1" ht="15.75" customHeight="1" thickBot="1" x14ac:dyDescent="0.4">
      <c r="C198" s="56" t="s">
        <v>552</v>
      </c>
      <c r="D198" s="103"/>
      <c r="E198" s="103"/>
      <c r="F198" s="103"/>
      <c r="G198" s="103"/>
      <c r="H198" s="103"/>
      <c r="I198" s="103">
        <f>'Niger FAO Format'!I38</f>
        <v>2044</v>
      </c>
      <c r="J198" s="71">
        <f t="shared" si="31"/>
        <v>2044</v>
      </c>
    </row>
    <row r="199" spans="3:10" s="62" customFormat="1" ht="15.75" customHeight="1" thickBot="1" x14ac:dyDescent="0.4">
      <c r="C199" s="57" t="s">
        <v>553</v>
      </c>
      <c r="D199" s="103"/>
      <c r="E199" s="103"/>
      <c r="F199" s="103"/>
      <c r="G199" s="103"/>
      <c r="H199" s="103"/>
      <c r="I199" s="103"/>
      <c r="J199" s="71">
        <f t="shared" si="31"/>
        <v>0</v>
      </c>
    </row>
    <row r="200" spans="3:10" s="62" customFormat="1" ht="15.75" customHeight="1" thickBot="1" x14ac:dyDescent="0.4">
      <c r="C200" s="56" t="s">
        <v>554</v>
      </c>
      <c r="D200" s="103">
        <f>SUM('1) Tableau budgétaire 1'!D185:D186)</f>
        <v>33388.660000000003</v>
      </c>
      <c r="E200" s="103">
        <f>SUM('1) Tableau budgétaire 1'!E185:E186)</f>
        <v>32305.279999999999</v>
      </c>
      <c r="F200" s="103">
        <f>SUM('1) Tableau budgétaire 1'!F185:F186)</f>
        <v>32305.279999999999</v>
      </c>
      <c r="G200" s="103">
        <f>'1) Tableau budgétaire 1'!G185</f>
        <v>40000</v>
      </c>
      <c r="H200" s="103">
        <f>'1) Tableau budgétaire 1'!H185</f>
        <v>21893.747663551403</v>
      </c>
      <c r="I200" s="103">
        <f>'1) Tableau budgétaire 1'!I185</f>
        <v>15000</v>
      </c>
      <c r="J200" s="71">
        <f t="shared" si="31"/>
        <v>174892.96766355139</v>
      </c>
    </row>
    <row r="201" spans="3:10" s="62" customFormat="1" ht="15.75" customHeight="1" thickBot="1" x14ac:dyDescent="0.4">
      <c r="C201" s="56" t="s">
        <v>555</v>
      </c>
      <c r="D201" s="103"/>
      <c r="E201" s="103"/>
      <c r="F201" s="103"/>
      <c r="G201" s="103"/>
      <c r="H201" s="103"/>
      <c r="I201" s="103"/>
      <c r="J201" s="71">
        <f t="shared" si="31"/>
        <v>0</v>
      </c>
    </row>
    <row r="202" spans="3:10" s="62" customFormat="1" ht="15.75" customHeight="1" thickBot="1" x14ac:dyDescent="0.4">
      <c r="C202" s="56" t="s">
        <v>556</v>
      </c>
      <c r="D202" s="103">
        <f>'1) Tableau budgétaire 1'!D184</f>
        <v>24789</v>
      </c>
      <c r="E202" s="103">
        <f>'1) Tableau budgétaire 1'!E184</f>
        <v>23455</v>
      </c>
      <c r="F202" s="103">
        <f>'1) Tableau budgétaire 1'!F184</f>
        <v>23455</v>
      </c>
      <c r="G202" s="103">
        <f>'1) Tableau budgétaire 1'!G184+'1) Tableau budgétaire 1'!G186</f>
        <v>41423.333333333336</v>
      </c>
      <c r="H202" s="103">
        <f>'1) Tableau budgétaire 1'!H184+'1) Tableau budgétaire 1'!H186</f>
        <v>42167</v>
      </c>
      <c r="I202" s="103">
        <f>'1) Tableau budgétaire 1'!I184+'1) Tableau budgétaire 1'!I186-'Niger FAO Format'!I38</f>
        <v>48848.333333333336</v>
      </c>
      <c r="J202" s="71">
        <f t="shared" si="31"/>
        <v>204137.66666666669</v>
      </c>
    </row>
    <row r="203" spans="3:10" s="62" customFormat="1" ht="15.75" customHeight="1" x14ac:dyDescent="0.35">
      <c r="C203" s="61" t="s">
        <v>21</v>
      </c>
      <c r="D203" s="72">
        <f>SUM(D196:D202)</f>
        <v>238177.66</v>
      </c>
      <c r="E203" s="72">
        <f>SUM(E196:E202)</f>
        <v>105760.28</v>
      </c>
      <c r="F203" s="72">
        <f>SUM(F196:F202)</f>
        <v>105760.28</v>
      </c>
      <c r="G203" s="72">
        <f t="shared" ref="G203:I203" si="32">SUM(G196:G202)</f>
        <v>270333.7683615819</v>
      </c>
      <c r="H203" s="72">
        <f t="shared" si="32"/>
        <v>114060.7476635514</v>
      </c>
      <c r="I203" s="72">
        <f t="shared" si="32"/>
        <v>111607.40583333334</v>
      </c>
      <c r="J203" s="67">
        <f>SUM(D203:I203)</f>
        <v>945700.14185846667</v>
      </c>
    </row>
    <row r="204" spans="3:10" s="62" customFormat="1" ht="15.75" customHeight="1" thickBot="1" x14ac:dyDescent="0.4">
      <c r="C204" s="58"/>
      <c r="D204" s="60"/>
      <c r="E204" s="60"/>
      <c r="F204" s="60"/>
      <c r="G204" s="60"/>
      <c r="H204" s="60"/>
      <c r="I204" s="60"/>
      <c r="J204" s="58"/>
    </row>
    <row r="205" spans="3:10" s="62" customFormat="1" ht="19.5" customHeight="1" thickBot="1" x14ac:dyDescent="0.4">
      <c r="C205" s="740" t="s">
        <v>546</v>
      </c>
      <c r="D205" s="741"/>
      <c r="E205" s="741"/>
      <c r="F205" s="741"/>
      <c r="G205" s="741"/>
      <c r="H205" s="741"/>
      <c r="I205" s="741"/>
      <c r="J205" s="742"/>
    </row>
    <row r="206" spans="3:10" s="62" customFormat="1" ht="42.75" customHeight="1" x14ac:dyDescent="0.35">
      <c r="C206" s="79"/>
      <c r="D206" s="118" t="s">
        <v>535</v>
      </c>
      <c r="E206" s="118" t="s">
        <v>536</v>
      </c>
      <c r="F206" s="118" t="s">
        <v>537</v>
      </c>
      <c r="G206" s="118" t="s">
        <v>632</v>
      </c>
      <c r="H206" s="118" t="s">
        <v>633</v>
      </c>
      <c r="I206" s="118" t="s">
        <v>634</v>
      </c>
      <c r="J206" s="732" t="s">
        <v>546</v>
      </c>
    </row>
    <row r="207" spans="3:10" s="62" customFormat="1" ht="19.5" customHeight="1" x14ac:dyDescent="0.35">
      <c r="C207" s="147"/>
      <c r="D207" s="59" t="str">
        <f>'1) Tableau budgétaire 1'!D13</f>
        <v>OIM BURKINA FASO</v>
      </c>
      <c r="E207" s="59" t="str">
        <f>'1) Tableau budgétaire 1'!E13</f>
        <v>OIM NIGER</v>
      </c>
      <c r="F207" s="59" t="str">
        <f>'1) Tableau budgétaire 1'!F13</f>
        <v>OIM MALI</v>
      </c>
      <c r="G207" s="59" t="str">
        <f>'1) Tableau budgétaire 1'!G13</f>
        <v>FAO BURKINA FASO</v>
      </c>
      <c r="H207" s="59" t="str">
        <f>'1) Tableau budgétaire 1'!H13</f>
        <v>FAO MALI</v>
      </c>
      <c r="I207" s="59" t="str">
        <f>'1) Tableau budgétaire 1'!I13</f>
        <v>FAO NIGER</v>
      </c>
      <c r="J207" s="733"/>
    </row>
    <row r="208" spans="3:10" s="62" customFormat="1" ht="19.5" customHeight="1" x14ac:dyDescent="0.35">
      <c r="C208" s="144" t="s">
        <v>550</v>
      </c>
      <c r="D208" s="80">
        <f>SUM(D185,D174,D163,D152,D140,D129,D118,D107,D95,D84,D73,D62,D50,D39,D28,D17,D196)</f>
        <v>180000</v>
      </c>
      <c r="E208" s="80">
        <f>SUM(E185,E174,E163,E152,E140,E129,E118,E107,E95,E84,E73,E62,E50,E39,E28,E17,E196)</f>
        <v>50000</v>
      </c>
      <c r="F208" s="80">
        <f t="shared" ref="F208:I208" si="33">SUM(F185,F174,F163,F152,F140,F129,F118,F107,F95,F84,F73,F62,F50,F39,F28,F17,F196)</f>
        <v>50000</v>
      </c>
      <c r="G208" s="577">
        <f>SUM(G185,G174,G163,G152,G140,G129,G118,G107,G95,G84,G73,G62,G50,G39,G28,G17,G196)</f>
        <v>188910.43502824858</v>
      </c>
      <c r="H208" s="80">
        <f t="shared" si="33"/>
        <v>50000</v>
      </c>
      <c r="I208" s="80">
        <f t="shared" si="33"/>
        <v>45715.072500000002</v>
      </c>
      <c r="J208" s="78">
        <f>SUM(D208:I208)</f>
        <v>564625.50752824859</v>
      </c>
    </row>
    <row r="209" spans="3:17" s="62" customFormat="1" ht="34.5" customHeight="1" x14ac:dyDescent="0.35">
      <c r="C209" s="145" t="s">
        <v>551</v>
      </c>
      <c r="D209" s="80">
        <f>SUM(D186,D175,D164,D153,D141,D130,D119,D108,D96,D85,D74,D63,D51,D40,D29,D18,D197)</f>
        <v>89380</v>
      </c>
      <c r="E209" s="80">
        <f t="shared" ref="E209:H209" si="34">SUM(E186,E175,E164,E153,E141,E130,E119,E108,E96,E85,E74,E63,E51,E40,E29,E18,E197)</f>
        <v>136995</v>
      </c>
      <c r="F209" s="80">
        <f t="shared" si="34"/>
        <v>136995</v>
      </c>
      <c r="G209" s="577">
        <f>SUM(G186,G175,G164,G153,G141,G130,G119,G108,G96,G85,G74,G63,G51,G40,G29,G18,G197)</f>
        <v>84999.64</v>
      </c>
      <c r="H209" s="80">
        <f t="shared" si="34"/>
        <v>26000</v>
      </c>
      <c r="I209" s="80">
        <f>SUM(I186,I175,I164,I153,I141,I130,I119,I108,I96,I85,I74,I63,I51,I40,I29,I18,I197)</f>
        <v>27529.485362095533</v>
      </c>
      <c r="J209" s="78">
        <f t="shared" ref="J209:J216" si="35">SUM(D209:I209)</f>
        <v>501899.12536209554</v>
      </c>
    </row>
    <row r="210" spans="3:17" s="62" customFormat="1" ht="48" customHeight="1" x14ac:dyDescent="0.35">
      <c r="C210" s="145" t="s">
        <v>552</v>
      </c>
      <c r="D210" s="80">
        <f t="shared" ref="D210:I214" si="36">SUM(D187,D176,D165,D154,D142,D131,D120,D109,D97,D86,D75,D64,D52,D41,D30,D19,D198)</f>
        <v>0</v>
      </c>
      <c r="E210" s="80">
        <f t="shared" si="36"/>
        <v>0</v>
      </c>
      <c r="F210" s="80">
        <f t="shared" si="36"/>
        <v>0</v>
      </c>
      <c r="G210" s="80">
        <f t="shared" si="36"/>
        <v>0</v>
      </c>
      <c r="H210" s="80">
        <f t="shared" si="36"/>
        <v>0</v>
      </c>
      <c r="I210" s="80">
        <f t="shared" si="36"/>
        <v>2044</v>
      </c>
      <c r="J210" s="78">
        <f t="shared" si="35"/>
        <v>2044</v>
      </c>
    </row>
    <row r="211" spans="3:17" s="62" customFormat="1" ht="33" customHeight="1" x14ac:dyDescent="0.35">
      <c r="C211" s="146" t="s">
        <v>553</v>
      </c>
      <c r="D211" s="80">
        <f t="shared" si="36"/>
        <v>26000</v>
      </c>
      <c r="E211" s="80">
        <f t="shared" si="36"/>
        <v>33661.5</v>
      </c>
      <c r="F211" s="80">
        <f t="shared" si="36"/>
        <v>33661.5</v>
      </c>
      <c r="G211" s="577">
        <f>SUM(G188,G177,G166,G155,G143,G132,G121,G110,G98,G87,G76,G65,G53,G42,G31,G20,G199)</f>
        <v>230295.26400000002</v>
      </c>
      <c r="H211" s="80">
        <f t="shared" si="36"/>
        <v>227000</v>
      </c>
      <c r="I211" s="80">
        <f t="shared" si="36"/>
        <v>165443.06111967124</v>
      </c>
      <c r="J211" s="78">
        <f t="shared" si="35"/>
        <v>716061.32511967118</v>
      </c>
    </row>
    <row r="212" spans="3:17" s="62" customFormat="1" ht="21" customHeight="1" x14ac:dyDescent="0.35">
      <c r="C212" s="145" t="s">
        <v>554</v>
      </c>
      <c r="D212" s="80">
        <f t="shared" si="36"/>
        <v>33388.660000000003</v>
      </c>
      <c r="E212" s="80">
        <f t="shared" si="36"/>
        <v>32305.279999999999</v>
      </c>
      <c r="F212" s="80">
        <f t="shared" si="36"/>
        <v>32305.279999999999</v>
      </c>
      <c r="G212" s="80">
        <f>SUM(G189,G178,G167,G156,G144,G133,G122,G111,G99,G88,G77,G66,G54,G43,G32,G21,G200)</f>
        <v>40000</v>
      </c>
      <c r="H212" s="80">
        <f t="shared" si="36"/>
        <v>21893.747663551403</v>
      </c>
      <c r="I212" s="80">
        <f t="shared" si="36"/>
        <v>15000</v>
      </c>
      <c r="J212" s="78">
        <f t="shared" si="35"/>
        <v>174892.96766355139</v>
      </c>
      <c r="K212" s="27"/>
      <c r="L212" s="27"/>
      <c r="M212" s="27"/>
      <c r="N212" s="27"/>
      <c r="O212" s="27"/>
      <c r="P212" s="26"/>
    </row>
    <row r="213" spans="3:17" s="62" customFormat="1" ht="39.75" customHeight="1" x14ac:dyDescent="0.35">
      <c r="C213" s="145" t="s">
        <v>555</v>
      </c>
      <c r="D213" s="80">
        <f t="shared" si="36"/>
        <v>267190</v>
      </c>
      <c r="E213" s="80">
        <f t="shared" si="36"/>
        <v>67415</v>
      </c>
      <c r="F213" s="80">
        <f t="shared" si="36"/>
        <v>67415</v>
      </c>
      <c r="G213" s="80">
        <f t="shared" si="36"/>
        <v>40000</v>
      </c>
      <c r="H213" s="80">
        <f t="shared" si="36"/>
        <v>21500</v>
      </c>
      <c r="I213" s="80">
        <f t="shared" si="36"/>
        <v>70980.790960451981</v>
      </c>
      <c r="J213" s="78">
        <f t="shared" si="35"/>
        <v>534500.79096045194</v>
      </c>
      <c r="K213" s="27"/>
      <c r="L213" s="27"/>
      <c r="M213" s="27"/>
      <c r="N213" s="27"/>
      <c r="O213" s="27"/>
      <c r="P213" s="26"/>
    </row>
    <row r="214" spans="3:17" s="62" customFormat="1" ht="39.75" customHeight="1" x14ac:dyDescent="0.35">
      <c r="C214" s="145" t="s">
        <v>556</v>
      </c>
      <c r="D214" s="130">
        <f t="shared" si="36"/>
        <v>24789</v>
      </c>
      <c r="E214" s="130">
        <f t="shared" si="36"/>
        <v>23455</v>
      </c>
      <c r="F214" s="130">
        <f t="shared" si="36"/>
        <v>23455</v>
      </c>
      <c r="G214" s="581">
        <f>SUM(G191,G180,G169,G158,G146,G135,G124,G113,G101,G90,G79,G68,G56,G45,G34,G23,G202)</f>
        <v>70000.211838006231</v>
      </c>
      <c r="H214" s="130">
        <f t="shared" si="36"/>
        <v>42167</v>
      </c>
      <c r="I214" s="130">
        <f>SUM(I191,I180,I169,I158,I146,I135,I124,I113,I101,I90,I79,I68,I56,I45,I34,I23,I202)</f>
        <v>93848.333333333343</v>
      </c>
      <c r="J214" s="78">
        <f t="shared" si="35"/>
        <v>277714.54517133953</v>
      </c>
      <c r="K214" s="27"/>
      <c r="L214" s="27"/>
      <c r="M214" s="27"/>
      <c r="N214" s="27"/>
      <c r="O214" s="27"/>
      <c r="P214" s="26"/>
    </row>
    <row r="215" spans="3:17" s="62" customFormat="1" ht="22.5" customHeight="1" x14ac:dyDescent="0.35">
      <c r="C215" s="119" t="s">
        <v>533</v>
      </c>
      <c r="D215" s="131">
        <f>SUM(D208:D214)</f>
        <v>620747.66</v>
      </c>
      <c r="E215" s="131">
        <f>SUM(E208:E214)</f>
        <v>343831.78</v>
      </c>
      <c r="F215" s="131">
        <f>SUM(F208:F214)</f>
        <v>343831.78</v>
      </c>
      <c r="G215" s="578">
        <f>SUM(G208:G214)</f>
        <v>654205.55086625484</v>
      </c>
      <c r="H215" s="131">
        <f t="shared" ref="H215:I215" si="37">SUM(H208:H214)</f>
        <v>388560.74766355142</v>
      </c>
      <c r="I215" s="131">
        <f t="shared" si="37"/>
        <v>420560.74327555206</v>
      </c>
      <c r="J215" s="78">
        <f t="shared" si="35"/>
        <v>2771738.2618053583</v>
      </c>
      <c r="K215" s="27"/>
      <c r="L215" s="27"/>
      <c r="M215" s="27"/>
      <c r="N215" s="27"/>
      <c r="O215" s="27"/>
      <c r="P215" s="26"/>
    </row>
    <row r="216" spans="3:17" s="62" customFormat="1" ht="26.25" customHeight="1" thickBot="1" x14ac:dyDescent="0.4">
      <c r="C216" s="119" t="s">
        <v>534</v>
      </c>
      <c r="D216" s="82">
        <f>D215*0.07</f>
        <v>43452.336200000005</v>
      </c>
      <c r="E216" s="82">
        <f t="shared" ref="E216:I216" si="38">E215*0.07</f>
        <v>24068.224600000005</v>
      </c>
      <c r="F216" s="82">
        <f t="shared" si="38"/>
        <v>24068.224600000005</v>
      </c>
      <c r="G216" s="579">
        <f t="shared" si="38"/>
        <v>45794.388560637846</v>
      </c>
      <c r="H216" s="82">
        <f t="shared" si="38"/>
        <v>27199.252336448601</v>
      </c>
      <c r="I216" s="82">
        <f t="shared" si="38"/>
        <v>29439.252029288647</v>
      </c>
      <c r="J216" s="78">
        <f t="shared" si="35"/>
        <v>194021.67832637511</v>
      </c>
      <c r="K216" s="38"/>
      <c r="L216" s="38"/>
      <c r="M216" s="38"/>
      <c r="N216" s="38"/>
      <c r="O216" s="63"/>
      <c r="P216" s="60"/>
    </row>
    <row r="217" spans="3:17" s="62" customFormat="1" ht="23.25" customHeight="1" thickBot="1" x14ac:dyDescent="0.4">
      <c r="C217" s="132" t="s">
        <v>371</v>
      </c>
      <c r="D217" s="133">
        <f>SUM(D215:D216)</f>
        <v>664199.99620000005</v>
      </c>
      <c r="E217" s="133">
        <f t="shared" ref="E217:J217" si="39">SUM(E215:E216)</f>
        <v>367900.00460000004</v>
      </c>
      <c r="F217" s="133">
        <f t="shared" si="39"/>
        <v>367900.00460000004</v>
      </c>
      <c r="G217" s="580">
        <f>SUM(G215:G216)</f>
        <v>699999.93942689267</v>
      </c>
      <c r="H217" s="133">
        <f t="shared" si="39"/>
        <v>415760</v>
      </c>
      <c r="I217" s="133">
        <f t="shared" si="39"/>
        <v>449999.99530484073</v>
      </c>
      <c r="J217" s="585">
        <f t="shared" si="39"/>
        <v>2965759.9401317337</v>
      </c>
      <c r="K217" s="38"/>
      <c r="L217" s="38"/>
      <c r="M217" s="38"/>
      <c r="N217" s="38"/>
      <c r="O217" s="63"/>
      <c r="P217" s="60"/>
    </row>
    <row r="218" spans="3:17" ht="15.75" customHeight="1" x14ac:dyDescent="0.35">
      <c r="O218" s="64"/>
    </row>
    <row r="219" spans="3:17" ht="15.75" customHeight="1" x14ac:dyDescent="0.35">
      <c r="K219" s="49"/>
      <c r="L219" s="49"/>
      <c r="O219" s="64"/>
    </row>
    <row r="220" spans="3:17" ht="15.75" customHeight="1" x14ac:dyDescent="0.35">
      <c r="K220" s="49"/>
      <c r="L220" s="49"/>
      <c r="O220" s="62"/>
    </row>
    <row r="221" spans="3:17" ht="40.5" customHeight="1" x14ac:dyDescent="0.35">
      <c r="K221" s="49"/>
      <c r="L221" s="49"/>
      <c r="O221" s="65"/>
    </row>
    <row r="222" spans="3:17" ht="24.75" customHeight="1" x14ac:dyDescent="0.35">
      <c r="K222" s="49"/>
      <c r="L222" s="49"/>
      <c r="O222" s="65"/>
    </row>
    <row r="223" spans="3:17" ht="41.25" customHeight="1" x14ac:dyDescent="0.35">
      <c r="K223" s="15"/>
      <c r="L223" s="49"/>
      <c r="O223" s="65"/>
    </row>
    <row r="224" spans="3:17" ht="51.75" customHeight="1" x14ac:dyDescent="0.35">
      <c r="K224" s="15"/>
      <c r="L224" s="49"/>
      <c r="O224" s="65"/>
      <c r="Q224" s="58"/>
    </row>
    <row r="225" spans="3:17" ht="42" customHeight="1" x14ac:dyDescent="0.35">
      <c r="K225" s="49"/>
      <c r="L225" s="49"/>
      <c r="O225" s="65"/>
      <c r="Q225" s="58"/>
    </row>
    <row r="226" spans="3:17" s="60" customFormat="1" ht="42" customHeight="1" x14ac:dyDescent="0.35">
      <c r="C226" s="58"/>
      <c r="J226" s="58"/>
      <c r="K226" s="62"/>
      <c r="L226" s="49"/>
      <c r="M226" s="58"/>
      <c r="N226" s="58"/>
      <c r="O226" s="65"/>
      <c r="P226" s="58"/>
    </row>
    <row r="227" spans="3:17" s="60" customFormat="1" ht="42" customHeight="1" x14ac:dyDescent="0.35">
      <c r="C227" s="58"/>
      <c r="J227" s="58"/>
      <c r="K227" s="58"/>
      <c r="L227" s="49"/>
      <c r="M227" s="58"/>
      <c r="N227" s="58"/>
      <c r="O227" s="58"/>
      <c r="P227" s="58"/>
    </row>
    <row r="228" spans="3:17" s="60" customFormat="1" ht="63.75" customHeight="1" x14ac:dyDescent="0.35">
      <c r="C228" s="58"/>
      <c r="J228" s="58"/>
      <c r="K228" s="58"/>
      <c r="L228" s="64"/>
      <c r="M228" s="62"/>
      <c r="N228" s="62"/>
      <c r="O228" s="58"/>
      <c r="P228" s="58"/>
    </row>
    <row r="229" spans="3:17" s="60" customFormat="1" ht="42" customHeight="1" x14ac:dyDescent="0.35">
      <c r="C229" s="58"/>
      <c r="J229" s="58"/>
      <c r="K229" s="58"/>
      <c r="L229" s="58"/>
      <c r="M229" s="58"/>
      <c r="N229" s="58"/>
      <c r="O229" s="58"/>
      <c r="P229" s="64"/>
    </row>
    <row r="230" spans="3:17" ht="23.25" customHeight="1" x14ac:dyDescent="0.35">
      <c r="Q230" s="58"/>
    </row>
    <row r="231" spans="3:17" ht="27.75" customHeight="1" x14ac:dyDescent="0.35">
      <c r="O231" s="62"/>
      <c r="Q231" s="58"/>
    </row>
    <row r="232" spans="3:17" ht="55.5" customHeight="1" x14ac:dyDescent="0.35">
      <c r="Q232" s="58"/>
    </row>
    <row r="233" spans="3:17" ht="57.75" customHeight="1" x14ac:dyDescent="0.35">
      <c r="P233" s="62"/>
      <c r="Q233" s="58"/>
    </row>
    <row r="234" spans="3:17" ht="21.75" customHeight="1" x14ac:dyDescent="0.35">
      <c r="Q234" s="58"/>
    </row>
    <row r="235" spans="3:17" ht="49.5" customHeight="1" x14ac:dyDescent="0.35">
      <c r="Q235" s="58"/>
    </row>
    <row r="236" spans="3:17" ht="28.5" customHeight="1" x14ac:dyDescent="0.35">
      <c r="Q236" s="58"/>
    </row>
    <row r="237" spans="3:17" ht="28.5" customHeight="1" x14ac:dyDescent="0.35">
      <c r="Q237" s="58"/>
    </row>
    <row r="238" spans="3:17" ht="28.5" customHeight="1" x14ac:dyDescent="0.35">
      <c r="Q238" s="58"/>
    </row>
    <row r="239" spans="3:17" ht="23.25" customHeight="1" x14ac:dyDescent="0.35">
      <c r="Q239" s="64"/>
    </row>
    <row r="240" spans="3:17" ht="43.5" customHeight="1" x14ac:dyDescent="0.35">
      <c r="Q240" s="64"/>
    </row>
    <row r="241" spans="3:17" ht="55.5" customHeight="1" x14ac:dyDescent="0.35">
      <c r="Q241" s="58"/>
    </row>
    <row r="242" spans="3:17" ht="42.75" customHeight="1" x14ac:dyDescent="0.35">
      <c r="Q242" s="64"/>
    </row>
    <row r="243" spans="3:17" ht="21.75" customHeight="1" x14ac:dyDescent="0.35">
      <c r="Q243" s="64"/>
    </row>
    <row r="244" spans="3:17" ht="21.75" customHeight="1" x14ac:dyDescent="0.35">
      <c r="Q244" s="64"/>
    </row>
    <row r="245" spans="3:17" s="62" customFormat="1" ht="23.25" customHeight="1" x14ac:dyDescent="0.35">
      <c r="C245" s="58"/>
      <c r="D245" s="60"/>
      <c r="E245" s="60"/>
      <c r="F245" s="60"/>
      <c r="G245" s="60"/>
      <c r="H245" s="60"/>
      <c r="I245" s="60"/>
      <c r="J245" s="58"/>
      <c r="K245" s="58"/>
      <c r="L245" s="58"/>
      <c r="M245" s="58"/>
      <c r="N245" s="58"/>
      <c r="O245" s="58"/>
      <c r="P245" s="58"/>
    </row>
    <row r="246" spans="3:17" ht="23.25" customHeight="1" x14ac:dyDescent="0.35"/>
    <row r="247" spans="3:17" ht="21.75" customHeight="1" x14ac:dyDescent="0.35"/>
    <row r="248" spans="3:17" ht="16.5" customHeight="1" x14ac:dyDescent="0.35"/>
    <row r="249" spans="3:17" ht="29.25" customHeight="1" x14ac:dyDescent="0.35"/>
    <row r="250" spans="3:17" ht="24.75" customHeight="1" x14ac:dyDescent="0.35"/>
    <row r="251" spans="3:17" ht="33" customHeight="1" x14ac:dyDescent="0.35"/>
    <row r="253" spans="3:17" ht="15" customHeight="1" x14ac:dyDescent="0.35"/>
    <row r="254" spans="3:17" ht="25.5" customHeight="1" x14ac:dyDescent="0.35"/>
  </sheetData>
  <sheetProtection insertColumns="0" insertRows="0" deleteRows="0"/>
  <mergeCells count="28">
    <mergeCell ref="C93:J93"/>
    <mergeCell ref="B104:J104"/>
    <mergeCell ref="C2:F2"/>
    <mergeCell ref="C10:F10"/>
    <mergeCell ref="B14:J14"/>
    <mergeCell ref="C15:J15"/>
    <mergeCell ref="B59:J59"/>
    <mergeCell ref="J12:J13"/>
    <mergeCell ref="C5:J5"/>
    <mergeCell ref="C26:J26"/>
    <mergeCell ref="C37:J37"/>
    <mergeCell ref="C48:J48"/>
    <mergeCell ref="C194:J194"/>
    <mergeCell ref="J206:J207"/>
    <mergeCell ref="C172:J172"/>
    <mergeCell ref="C183:J183"/>
    <mergeCell ref="C6:J8"/>
    <mergeCell ref="C161:J161"/>
    <mergeCell ref="C60:J60"/>
    <mergeCell ref="C105:J105"/>
    <mergeCell ref="C116:J116"/>
    <mergeCell ref="C127:J127"/>
    <mergeCell ref="C205:J205"/>
    <mergeCell ref="C138:J138"/>
    <mergeCell ref="B149:J149"/>
    <mergeCell ref="C150:J150"/>
    <mergeCell ref="C71:J71"/>
    <mergeCell ref="C82:J82"/>
  </mergeCells>
  <conditionalFormatting sqref="J24">
    <cfRule type="cellIs" dxfId="17" priority="18" operator="notEqual">
      <formula>$J$16</formula>
    </cfRule>
  </conditionalFormatting>
  <conditionalFormatting sqref="J35">
    <cfRule type="cellIs" dxfId="16" priority="17" operator="notEqual">
      <formula>$J$27</formula>
    </cfRule>
  </conditionalFormatting>
  <conditionalFormatting sqref="J46">
    <cfRule type="cellIs" dxfId="15" priority="16" operator="notEqual">
      <formula>$J$38</formula>
    </cfRule>
  </conditionalFormatting>
  <conditionalFormatting sqref="J69">
    <cfRule type="cellIs" dxfId="14" priority="14" operator="notEqual">
      <formula>$J$61</formula>
    </cfRule>
  </conditionalFormatting>
  <conditionalFormatting sqref="J80">
    <cfRule type="cellIs" dxfId="13" priority="13" operator="notEqual">
      <formula>$J$72</formula>
    </cfRule>
  </conditionalFormatting>
  <conditionalFormatting sqref="J91">
    <cfRule type="cellIs" dxfId="12" priority="12" operator="notEqual">
      <formula>$J$83</formula>
    </cfRule>
  </conditionalFormatting>
  <conditionalFormatting sqref="J102">
    <cfRule type="cellIs" dxfId="11" priority="11" operator="notEqual">
      <formula>$J$94</formula>
    </cfRule>
  </conditionalFormatting>
  <conditionalFormatting sqref="J114">
    <cfRule type="cellIs" dxfId="10" priority="10" operator="notEqual">
      <formula>$J$106</formula>
    </cfRule>
  </conditionalFormatting>
  <conditionalFormatting sqref="J125">
    <cfRule type="cellIs" dxfId="9" priority="9" operator="notEqual">
      <formula>$J$117</formula>
    </cfRule>
  </conditionalFormatting>
  <conditionalFormatting sqref="J136">
    <cfRule type="cellIs" dxfId="8" priority="8" operator="notEqual">
      <formula>$J$128</formula>
    </cfRule>
  </conditionalFormatting>
  <conditionalFormatting sqref="J147">
    <cfRule type="cellIs" dxfId="7" priority="7" operator="notEqual">
      <formula>$J$139</formula>
    </cfRule>
  </conditionalFormatting>
  <conditionalFormatting sqref="J203">
    <cfRule type="cellIs" dxfId="6" priority="2" operator="notEqual">
      <formula>$J$195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4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400-000001000000}"/>
    <dataValidation allowBlank="1" showInputMessage="1" showErrorMessage="1" prompt="Services contracted by an organization which follow the normal procurement processes." sqref="C188 C20 C31 C42 C53 C65 C76 C87 C98 C110 C121 C132 C143 C155 C166 C177 C199 C211" xr:uid="{00000000-0002-0000-04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4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4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4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400-000006000000}"/>
    <dataValidation allowBlank="1" showInputMessage="1" showErrorMessage="1" prompt="Output totals must match the original total from Table 1, and will show as red if not. " sqref="J24" xr:uid="{00000000-0002-0000-04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1'!$J$200</xm:f>
            <x14:dxf>
              <font>
                <color rgb="FF9C0006"/>
              </font>
              <fill>
                <patternFill>
                  <bgColor rgb="FFFFC7CE"/>
                </patternFill>
              </fill>
            </x14:dxf>
          </x14:cfRule>
          <xm:sqref>J217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F14"/>
  <sheetViews>
    <sheetView showGridLines="0" topLeftCell="A7" workbookViewId="0">
      <selection activeCell="B3" sqref="B3"/>
    </sheetView>
  </sheetViews>
  <sheetFormatPr baseColWidth="10" defaultColWidth="8.81640625" defaultRowHeight="14.5" x14ac:dyDescent="0.35"/>
  <cols>
    <col min="2" max="2" width="73.453125" customWidth="1"/>
  </cols>
  <sheetData>
    <row r="1" spans="2:6" ht="15" thickBot="1" x14ac:dyDescent="0.4"/>
    <row r="2" spans="2:6" ht="15" thickBot="1" x14ac:dyDescent="0.4">
      <c r="B2" s="151" t="s">
        <v>581</v>
      </c>
      <c r="C2" s="1"/>
      <c r="D2" s="1"/>
      <c r="E2" s="1"/>
      <c r="F2" s="1"/>
    </row>
    <row r="3" spans="2:6" ht="70.5" customHeight="1" x14ac:dyDescent="0.35">
      <c r="B3" s="152" t="s">
        <v>590</v>
      </c>
    </row>
    <row r="4" spans="2:6" ht="58" x14ac:dyDescent="0.35">
      <c r="B4" s="149" t="s">
        <v>582</v>
      </c>
    </row>
    <row r="5" spans="2:6" x14ac:dyDescent="0.35">
      <c r="B5" s="149"/>
    </row>
    <row r="6" spans="2:6" ht="58" x14ac:dyDescent="0.35">
      <c r="B6" s="148" t="s">
        <v>583</v>
      </c>
    </row>
    <row r="7" spans="2:6" x14ac:dyDescent="0.35">
      <c r="B7" s="149"/>
    </row>
    <row r="8" spans="2:6" ht="72.5" x14ac:dyDescent="0.35">
      <c r="B8" s="148" t="s">
        <v>591</v>
      </c>
    </row>
    <row r="9" spans="2:6" x14ac:dyDescent="0.35">
      <c r="B9" s="149"/>
    </row>
    <row r="10" spans="2:6" ht="29" x14ac:dyDescent="0.35">
      <c r="B10" s="149" t="s">
        <v>584</v>
      </c>
    </row>
    <row r="11" spans="2:6" x14ac:dyDescent="0.35">
      <c r="B11" s="149"/>
    </row>
    <row r="12" spans="2:6" ht="72.5" x14ac:dyDescent="0.35">
      <c r="B12" s="148" t="s">
        <v>592</v>
      </c>
    </row>
    <row r="13" spans="2:6" x14ac:dyDescent="0.35">
      <c r="B13" s="149"/>
    </row>
    <row r="14" spans="2:6" ht="58.5" thickBot="1" x14ac:dyDescent="0.4">
      <c r="B14" s="150" t="s">
        <v>585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D47"/>
  <sheetViews>
    <sheetView showGridLines="0" showZeros="0" zoomScale="80" zoomScaleNormal="80" zoomScaleSheetLayoutView="70" workbookViewId="0">
      <selection activeCell="D33" sqref="D33"/>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751" t="s">
        <v>372</v>
      </c>
      <c r="C2" s="752"/>
      <c r="D2" s="753"/>
    </row>
    <row r="3" spans="2:4" ht="15" thickBot="1" x14ac:dyDescent="0.4">
      <c r="B3" s="754"/>
      <c r="C3" s="755"/>
      <c r="D3" s="756"/>
    </row>
    <row r="4" spans="2:4" ht="15" thickBot="1" x14ac:dyDescent="0.4"/>
    <row r="5" spans="2:4" x14ac:dyDescent="0.35">
      <c r="B5" s="762" t="s">
        <v>22</v>
      </c>
      <c r="C5" s="763"/>
      <c r="D5" s="764"/>
    </row>
    <row r="6" spans="2:4" ht="15" thickBot="1" x14ac:dyDescent="0.4">
      <c r="B6" s="759"/>
      <c r="C6" s="760"/>
      <c r="D6" s="761"/>
    </row>
    <row r="7" spans="2:4" x14ac:dyDescent="0.35">
      <c r="B7" s="90" t="s">
        <v>23</v>
      </c>
      <c r="C7" s="757">
        <f>SUM('1) Tableau budgétaire 1'!D24:F24,'1) Tableau budgétaire 1'!D34:F34,'1) Tableau budgétaire 1'!D44:F44,'1) Tableau budgétaire 1'!D54:F54)</f>
        <v>563713</v>
      </c>
      <c r="D7" s="758"/>
    </row>
    <row r="8" spans="2:4" x14ac:dyDescent="0.35">
      <c r="B8" s="90" t="s">
        <v>370</v>
      </c>
      <c r="C8" s="765">
        <f>SUM(D10:D14)</f>
        <v>0</v>
      </c>
      <c r="D8" s="766"/>
    </row>
    <row r="9" spans="2:4" x14ac:dyDescent="0.35">
      <c r="B9" s="91" t="s">
        <v>364</v>
      </c>
      <c r="C9" s="92" t="s">
        <v>365</v>
      </c>
      <c r="D9" s="93" t="s">
        <v>366</v>
      </c>
    </row>
    <row r="10" spans="2:4" ht="35.25" customHeight="1" x14ac:dyDescent="0.35">
      <c r="B10" s="112"/>
      <c r="C10" s="95"/>
      <c r="D10" s="96">
        <f>$C$7*C10</f>
        <v>0</v>
      </c>
    </row>
    <row r="11" spans="2:4" ht="35.25" customHeight="1" x14ac:dyDescent="0.35">
      <c r="B11" s="112"/>
      <c r="C11" s="95"/>
      <c r="D11" s="96">
        <f>C7*C11</f>
        <v>0</v>
      </c>
    </row>
    <row r="12" spans="2:4" ht="35.25" customHeight="1" x14ac:dyDescent="0.35">
      <c r="B12" s="113"/>
      <c r="C12" s="95"/>
      <c r="D12" s="96">
        <f>C7*C12</f>
        <v>0</v>
      </c>
    </row>
    <row r="13" spans="2:4" ht="35.25" customHeight="1" x14ac:dyDescent="0.35">
      <c r="B13" s="113"/>
      <c r="C13" s="95"/>
      <c r="D13" s="96">
        <f>C7*C13</f>
        <v>0</v>
      </c>
    </row>
    <row r="14" spans="2:4" ht="35.25" customHeight="1" thickBot="1" x14ac:dyDescent="0.4">
      <c r="B14" s="114"/>
      <c r="C14" s="95"/>
      <c r="D14" s="100">
        <f>C7*C14</f>
        <v>0</v>
      </c>
    </row>
    <row r="15" spans="2:4" ht="15" thickBot="1" x14ac:dyDescent="0.4"/>
    <row r="16" spans="2:4" x14ac:dyDescent="0.35">
      <c r="B16" s="762" t="s">
        <v>367</v>
      </c>
      <c r="C16" s="763"/>
      <c r="D16" s="764"/>
    </row>
    <row r="17" spans="2:4" ht="15" thickBot="1" x14ac:dyDescent="0.4">
      <c r="B17" s="767"/>
      <c r="C17" s="768"/>
      <c r="D17" s="769"/>
    </row>
    <row r="18" spans="2:4" x14ac:dyDescent="0.35">
      <c r="B18" s="90" t="s">
        <v>23</v>
      </c>
      <c r="C18" s="757">
        <f>SUM('1) Tableau budgétaire 1'!D66:F66,'1) Tableau budgétaire 1'!D76:F76,'1) Tableau budgétaire 1'!D86:F86,'1) Tableau budgétaire 1'!D96:F96)</f>
        <v>295000</v>
      </c>
      <c r="D18" s="758"/>
    </row>
    <row r="19" spans="2:4" x14ac:dyDescent="0.35">
      <c r="B19" s="90" t="s">
        <v>370</v>
      </c>
      <c r="C19" s="765">
        <f>SUM(D21:D25)</f>
        <v>0</v>
      </c>
      <c r="D19" s="766"/>
    </row>
    <row r="20" spans="2:4" x14ac:dyDescent="0.35">
      <c r="B20" s="91" t="s">
        <v>364</v>
      </c>
      <c r="C20" s="92" t="s">
        <v>365</v>
      </c>
      <c r="D20" s="93" t="s">
        <v>366</v>
      </c>
    </row>
    <row r="21" spans="2:4" ht="35.25" customHeight="1" x14ac:dyDescent="0.35">
      <c r="B21" s="94"/>
      <c r="C21" s="95"/>
      <c r="D21" s="96">
        <f>$C$18*C21</f>
        <v>0</v>
      </c>
    </row>
    <row r="22" spans="2:4" ht="35.25" customHeight="1" x14ac:dyDescent="0.35">
      <c r="B22" s="97"/>
      <c r="C22" s="95"/>
      <c r="D22" s="96">
        <f>$C$18*C22</f>
        <v>0</v>
      </c>
    </row>
    <row r="23" spans="2:4" ht="35.25" customHeight="1" x14ac:dyDescent="0.35">
      <c r="B23" s="98"/>
      <c r="C23" s="95"/>
      <c r="D23" s="96">
        <f>$C$18*C23</f>
        <v>0</v>
      </c>
    </row>
    <row r="24" spans="2:4" ht="35.25" customHeight="1" x14ac:dyDescent="0.35">
      <c r="B24" s="98"/>
      <c r="C24" s="95"/>
      <c r="D24" s="96">
        <f>$C$18*C24</f>
        <v>0</v>
      </c>
    </row>
    <row r="25" spans="2:4" ht="35.25" customHeight="1" thickBot="1" x14ac:dyDescent="0.4">
      <c r="B25" s="99"/>
      <c r="C25" s="95"/>
      <c r="D25" s="96">
        <f>$C$18*C25</f>
        <v>0</v>
      </c>
    </row>
    <row r="26" spans="2:4" ht="15" thickBot="1" x14ac:dyDescent="0.4"/>
    <row r="27" spans="2:4" x14ac:dyDescent="0.35">
      <c r="B27" s="762" t="s">
        <v>368</v>
      </c>
      <c r="C27" s="763"/>
      <c r="D27" s="764"/>
    </row>
    <row r="28" spans="2:4" ht="15" thickBot="1" x14ac:dyDescent="0.4">
      <c r="B28" s="759"/>
      <c r="C28" s="760"/>
      <c r="D28" s="761"/>
    </row>
    <row r="29" spans="2:4" x14ac:dyDescent="0.35">
      <c r="B29" s="90" t="s">
        <v>23</v>
      </c>
      <c r="C29" s="757">
        <f>SUM('1) Tableau budgétaire 1'!D108:F108,'1) Tableau budgétaire 1'!D118:F118,'1) Tableau budgétaire 1'!D128:F128,'1) Tableau budgétaire 1'!D138:F138)</f>
        <v>0</v>
      </c>
      <c r="D29" s="758"/>
    </row>
    <row r="30" spans="2:4" x14ac:dyDescent="0.35">
      <c r="B30" s="90" t="s">
        <v>370</v>
      </c>
      <c r="C30" s="765">
        <f>SUM(D32:D36)</f>
        <v>0</v>
      </c>
      <c r="D30" s="766"/>
    </row>
    <row r="31" spans="2:4" x14ac:dyDescent="0.35">
      <c r="B31" s="91" t="s">
        <v>364</v>
      </c>
      <c r="C31" s="92" t="s">
        <v>365</v>
      </c>
      <c r="D31" s="93" t="s">
        <v>366</v>
      </c>
    </row>
    <row r="32" spans="2:4" ht="35.25" customHeight="1" x14ac:dyDescent="0.35">
      <c r="B32" s="94"/>
      <c r="C32" s="95"/>
      <c r="D32" s="96">
        <f>$C$29*C32</f>
        <v>0</v>
      </c>
    </row>
    <row r="33" spans="2:4" ht="35.25" customHeight="1" x14ac:dyDescent="0.35">
      <c r="B33" s="97"/>
      <c r="C33" s="95"/>
      <c r="D33" s="96">
        <f>$C$29*C33</f>
        <v>0</v>
      </c>
    </row>
    <row r="34" spans="2:4" ht="35.25" customHeight="1" x14ac:dyDescent="0.35">
      <c r="B34" s="98"/>
      <c r="C34" s="95"/>
      <c r="D34" s="96">
        <f>$C$29*C34</f>
        <v>0</v>
      </c>
    </row>
    <row r="35" spans="2:4" ht="35.25" customHeight="1" x14ac:dyDescent="0.35">
      <c r="B35" s="98"/>
      <c r="C35" s="95"/>
      <c r="D35" s="96">
        <f>$C$29*C35</f>
        <v>0</v>
      </c>
    </row>
    <row r="36" spans="2:4" ht="35.25" customHeight="1" thickBot="1" x14ac:dyDescent="0.4">
      <c r="B36" s="99"/>
      <c r="C36" s="95"/>
      <c r="D36" s="96">
        <f>$C$29*C36</f>
        <v>0</v>
      </c>
    </row>
    <row r="37" spans="2:4" ht="15" thickBot="1" x14ac:dyDescent="0.4"/>
    <row r="38" spans="2:4" x14ac:dyDescent="0.35">
      <c r="B38" s="762" t="s">
        <v>369</v>
      </c>
      <c r="C38" s="763"/>
      <c r="D38" s="764"/>
    </row>
    <row r="39" spans="2:4" ht="15" thickBot="1" x14ac:dyDescent="0.4">
      <c r="B39" s="759"/>
      <c r="C39" s="760"/>
      <c r="D39" s="761"/>
    </row>
    <row r="40" spans="2:4" x14ac:dyDescent="0.35">
      <c r="B40" s="90" t="s">
        <v>23</v>
      </c>
      <c r="C40" s="757">
        <f>SUM('1) Tableau budgétaire 1'!D150:F150,'1) Tableau budgétaire 1'!D160:F160,'1) Tableau budgétaire 1'!D170:F170,'1) Tableau budgétaire 1'!D180:F180)</f>
        <v>0</v>
      </c>
      <c r="D40" s="758"/>
    </row>
    <row r="41" spans="2:4" x14ac:dyDescent="0.35">
      <c r="B41" s="90" t="s">
        <v>370</v>
      </c>
      <c r="C41" s="765">
        <f>SUM(D43:D47)</f>
        <v>0</v>
      </c>
      <c r="D41" s="766"/>
    </row>
    <row r="42" spans="2:4" x14ac:dyDescent="0.35">
      <c r="B42" s="91" t="s">
        <v>364</v>
      </c>
      <c r="C42" s="92" t="s">
        <v>365</v>
      </c>
      <c r="D42" s="93" t="s">
        <v>366</v>
      </c>
    </row>
    <row r="43" spans="2:4" ht="35.25" customHeight="1" x14ac:dyDescent="0.35">
      <c r="B43" s="94"/>
      <c r="C43" s="95"/>
      <c r="D43" s="96">
        <f>$C$40*C43</f>
        <v>0</v>
      </c>
    </row>
    <row r="44" spans="2:4" ht="35.25" customHeight="1" x14ac:dyDescent="0.35">
      <c r="B44" s="97"/>
      <c r="C44" s="95"/>
      <c r="D44" s="96">
        <f>$C$40*C44</f>
        <v>0</v>
      </c>
    </row>
    <row r="45" spans="2:4" ht="35.25" customHeight="1" x14ac:dyDescent="0.35">
      <c r="B45" s="98"/>
      <c r="C45" s="95"/>
      <c r="D45" s="96">
        <f>$C$40*C45</f>
        <v>0</v>
      </c>
    </row>
    <row r="46" spans="2:4" ht="35.25" customHeight="1" x14ac:dyDescent="0.35">
      <c r="B46" s="98"/>
      <c r="C46" s="95"/>
      <c r="D46" s="96">
        <f>$C$40*C46</f>
        <v>0</v>
      </c>
    </row>
    <row r="47" spans="2:4" ht="35.25" customHeight="1" thickBot="1" x14ac:dyDescent="0.4">
      <c r="B47" s="99"/>
      <c r="C47" s="95"/>
      <c r="D47" s="100">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Sheet2!$A$1:$A$170</xm:f>
          </x14:formula1>
          <xm:sqref>B10:B14 B21:B25 B32:B36 B43:B47</xm:sqref>
        </x14:dataValidation>
        <x14:dataValidation type="list" allowBlank="1" showInputMessage="1" showErrorMessage="1" xr:uid="{00000000-0002-0000-0600-000001000000}">
          <x14:formula1>
            <xm:f>Dropdowns!$A$1:$A$6</xm:f>
          </x14:formula1>
          <xm:sqref>C10:C14 C21:C25 C32:C36 C43:C47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B1:I24"/>
  <sheetViews>
    <sheetView showGridLines="0" topLeftCell="D7" zoomScale="85" zoomScaleNormal="85" workbookViewId="0">
      <selection activeCell="E18" sqref="E18"/>
    </sheetView>
  </sheetViews>
  <sheetFormatPr baseColWidth="10" defaultColWidth="8.81640625" defaultRowHeight="14.5" x14ac:dyDescent="0.35"/>
  <cols>
    <col min="1" max="1" width="12.453125" customWidth="1"/>
    <col min="2" max="2" width="20.453125" customWidth="1"/>
    <col min="3" max="8" width="25.453125" customWidth="1"/>
    <col min="9" max="9" width="24.453125" customWidth="1"/>
    <col min="10" max="10" width="18.453125" customWidth="1"/>
    <col min="11" max="11" width="21.453125" customWidth="1"/>
    <col min="12" max="13" width="15.81640625" bestFit="1" customWidth="1"/>
    <col min="14" max="14" width="11.1796875" bestFit="1" customWidth="1"/>
  </cols>
  <sheetData>
    <row r="1" spans="2:9" ht="15" thickBot="1" x14ac:dyDescent="0.4"/>
    <row r="2" spans="2:9" s="83" customFormat="1" ht="15.5" x14ac:dyDescent="0.35">
      <c r="B2" s="774" t="s">
        <v>14</v>
      </c>
      <c r="C2" s="775"/>
      <c r="D2" s="775"/>
      <c r="E2" s="775"/>
      <c r="F2" s="775"/>
      <c r="G2" s="775"/>
      <c r="H2" s="775"/>
      <c r="I2" s="776"/>
    </row>
    <row r="3" spans="2:9" s="83" customFormat="1" ht="16" thickBot="1" x14ac:dyDescent="0.4">
      <c r="B3" s="777"/>
      <c r="C3" s="778"/>
      <c r="D3" s="778"/>
      <c r="E3" s="778"/>
      <c r="F3" s="778"/>
      <c r="G3" s="778"/>
      <c r="H3" s="778"/>
      <c r="I3" s="779"/>
    </row>
    <row r="4" spans="2:9" s="83" customFormat="1" ht="16" thickBot="1" x14ac:dyDescent="0.4"/>
    <row r="5" spans="2:9" s="83" customFormat="1" ht="16" thickBot="1" x14ac:dyDescent="0.4">
      <c r="B5" s="740" t="s">
        <v>7</v>
      </c>
      <c r="C5" s="741"/>
      <c r="D5" s="741"/>
      <c r="E5" s="741"/>
      <c r="F5" s="741"/>
      <c r="G5" s="741"/>
      <c r="H5" s="741"/>
      <c r="I5" s="742"/>
    </row>
    <row r="6" spans="2:9" s="83" customFormat="1" ht="15.5" x14ac:dyDescent="0.35">
      <c r="B6" s="79"/>
      <c r="C6" s="66" t="s">
        <v>12</v>
      </c>
      <c r="D6" s="66" t="s">
        <v>15</v>
      </c>
      <c r="E6" s="66" t="s">
        <v>16</v>
      </c>
      <c r="F6" s="66" t="s">
        <v>635</v>
      </c>
      <c r="G6" s="66" t="s">
        <v>636</v>
      </c>
      <c r="H6" s="66" t="s">
        <v>637</v>
      </c>
      <c r="I6" s="732" t="s">
        <v>7</v>
      </c>
    </row>
    <row r="7" spans="2:9" s="83" customFormat="1" ht="15.5" x14ac:dyDescent="0.35">
      <c r="B7" s="79"/>
      <c r="C7" s="59" t="str">
        <f>'1) Tableau budgétaire 1'!D13</f>
        <v>OIM BURKINA FASO</v>
      </c>
      <c r="D7" s="59" t="str">
        <f>'1) Tableau budgétaire 1'!E13</f>
        <v>OIM NIGER</v>
      </c>
      <c r="E7" s="59" t="str">
        <f>'1) Tableau budgétaire 1'!F13</f>
        <v>OIM MALI</v>
      </c>
      <c r="F7" s="59" t="str">
        <f>'1) Tableau budgétaire 1'!G13</f>
        <v>FAO BURKINA FASO</v>
      </c>
      <c r="G7" s="59" t="str">
        <f>'1) Tableau budgétaire 1'!H13</f>
        <v>FAO MALI</v>
      </c>
      <c r="H7" s="59" t="str">
        <f>'1) Tableau budgétaire 1'!I13</f>
        <v>FAO NIGER</v>
      </c>
      <c r="I7" s="733"/>
    </row>
    <row r="8" spans="2:9" s="83" customFormat="1" ht="31" x14ac:dyDescent="0.35">
      <c r="B8" s="23" t="s">
        <v>0</v>
      </c>
      <c r="C8" s="80">
        <f>'2) Tableau budgétaire 2'!D208</f>
        <v>180000</v>
      </c>
      <c r="D8" s="80">
        <f>'2) Tableau budgétaire 2'!E208</f>
        <v>50000</v>
      </c>
      <c r="E8" s="80">
        <f>'2) Tableau budgétaire 2'!F208</f>
        <v>50000</v>
      </c>
      <c r="F8" s="577">
        <f>'2) Tableau budgétaire 2'!G208</f>
        <v>188910.43502824858</v>
      </c>
      <c r="G8" s="80">
        <f>'2) Tableau budgétaire 2'!H208</f>
        <v>50000</v>
      </c>
      <c r="H8" s="80">
        <f>'2) Tableau budgétaire 2'!I208</f>
        <v>45715.072500000002</v>
      </c>
      <c r="I8" s="586">
        <f>SUM(C8:H8)</f>
        <v>564625.50752824859</v>
      </c>
    </row>
    <row r="9" spans="2:9" s="83" customFormat="1" ht="46.5" x14ac:dyDescent="0.35">
      <c r="B9" s="23" t="s">
        <v>1</v>
      </c>
      <c r="C9" s="80">
        <f>'2) Tableau budgétaire 2'!D209</f>
        <v>89380</v>
      </c>
      <c r="D9" s="80">
        <f>'2) Tableau budgétaire 2'!E209</f>
        <v>136995</v>
      </c>
      <c r="E9" s="80">
        <f>'2) Tableau budgétaire 2'!F209</f>
        <v>136995</v>
      </c>
      <c r="F9" s="577">
        <f>'2) Tableau budgétaire 2'!G209</f>
        <v>84999.64</v>
      </c>
      <c r="G9" s="80">
        <f>'2) Tableau budgétaire 2'!H209</f>
        <v>26000</v>
      </c>
      <c r="H9" s="80">
        <f>'2) Tableau budgétaire 2'!I209</f>
        <v>27529.485362095533</v>
      </c>
      <c r="I9" s="586">
        <f t="shared" ref="I9:I15" si="0">SUM(C9:H9)</f>
        <v>501899.12536209554</v>
      </c>
    </row>
    <row r="10" spans="2:9" s="83" customFormat="1" ht="62" x14ac:dyDescent="0.35">
      <c r="B10" s="23" t="s">
        <v>2</v>
      </c>
      <c r="C10" s="80">
        <f>'2) Tableau budgétaire 2'!D210</f>
        <v>0</v>
      </c>
      <c r="D10" s="80">
        <f>'2) Tableau budgétaire 2'!E210</f>
        <v>0</v>
      </c>
      <c r="E10" s="80">
        <f>'2) Tableau budgétaire 2'!F210</f>
        <v>0</v>
      </c>
      <c r="F10" s="80">
        <f>'2) Tableau budgétaire 2'!G210</f>
        <v>0</v>
      </c>
      <c r="G10" s="80">
        <f>'2) Tableau budgétaire 2'!H210</f>
        <v>0</v>
      </c>
      <c r="H10" s="80">
        <f>'2) Tableau budgétaire 2'!I210</f>
        <v>2044</v>
      </c>
      <c r="I10" s="586">
        <f t="shared" si="0"/>
        <v>2044</v>
      </c>
    </row>
    <row r="11" spans="2:9" s="83" customFormat="1" ht="31" x14ac:dyDescent="0.35">
      <c r="B11" s="37" t="s">
        <v>3</v>
      </c>
      <c r="C11" s="80">
        <f>'2) Tableau budgétaire 2'!D211</f>
        <v>26000</v>
      </c>
      <c r="D11" s="80">
        <f>'2) Tableau budgétaire 2'!E211</f>
        <v>33661.5</v>
      </c>
      <c r="E11" s="80">
        <f>'2) Tableau budgétaire 2'!F211</f>
        <v>33661.5</v>
      </c>
      <c r="F11" s="577">
        <f>'2) Tableau budgétaire 2'!G211</f>
        <v>230295.26400000002</v>
      </c>
      <c r="G11" s="80">
        <f>'2) Tableau budgétaire 2'!H211</f>
        <v>227000</v>
      </c>
      <c r="H11" s="80">
        <f>'2) Tableau budgétaire 2'!I211</f>
        <v>165443.06111967124</v>
      </c>
      <c r="I11" s="586">
        <f t="shared" si="0"/>
        <v>716061.32511967118</v>
      </c>
    </row>
    <row r="12" spans="2:9" s="83" customFormat="1" ht="15.5" x14ac:dyDescent="0.35">
      <c r="B12" s="23" t="s">
        <v>6</v>
      </c>
      <c r="C12" s="80">
        <f>'2) Tableau budgétaire 2'!D212</f>
        <v>33388.660000000003</v>
      </c>
      <c r="D12" s="80">
        <f>'2) Tableau budgétaire 2'!E212</f>
        <v>32305.279999999999</v>
      </c>
      <c r="E12" s="80">
        <f>'2) Tableau budgétaire 2'!F212</f>
        <v>32305.279999999999</v>
      </c>
      <c r="F12" s="80">
        <f>'2) Tableau budgétaire 2'!G212</f>
        <v>40000</v>
      </c>
      <c r="G12" s="80">
        <f>'2) Tableau budgétaire 2'!H212</f>
        <v>21893.747663551403</v>
      </c>
      <c r="H12" s="80">
        <f>'2) Tableau budgétaire 2'!I212</f>
        <v>15000</v>
      </c>
      <c r="I12" s="586">
        <f t="shared" si="0"/>
        <v>174892.96766355139</v>
      </c>
    </row>
    <row r="13" spans="2:9" s="83" customFormat="1" ht="46.5" x14ac:dyDescent="0.35">
      <c r="B13" s="23" t="s">
        <v>4</v>
      </c>
      <c r="C13" s="80">
        <f>'2) Tableau budgétaire 2'!D213</f>
        <v>267190</v>
      </c>
      <c r="D13" s="80">
        <f>'2) Tableau budgétaire 2'!E213</f>
        <v>67415</v>
      </c>
      <c r="E13" s="80">
        <f>'2) Tableau budgétaire 2'!F213</f>
        <v>67415</v>
      </c>
      <c r="F13" s="80">
        <f>'2) Tableau budgétaire 2'!G213</f>
        <v>40000</v>
      </c>
      <c r="G13" s="80">
        <f>'2) Tableau budgétaire 2'!H213</f>
        <v>21500</v>
      </c>
      <c r="H13" s="80">
        <f>'2) Tableau budgétaire 2'!I213</f>
        <v>70980.790960451981</v>
      </c>
      <c r="I13" s="586">
        <f t="shared" si="0"/>
        <v>534500.79096045194</v>
      </c>
    </row>
    <row r="14" spans="2:9" s="83" customFormat="1" ht="31.5" thickBot="1" x14ac:dyDescent="0.4">
      <c r="B14" s="36" t="s">
        <v>20</v>
      </c>
      <c r="C14" s="82">
        <f>'2) Tableau budgétaire 2'!D214</f>
        <v>24789</v>
      </c>
      <c r="D14" s="82">
        <f>'2) Tableau budgétaire 2'!E214</f>
        <v>23455</v>
      </c>
      <c r="E14" s="82">
        <f>'2) Tableau budgétaire 2'!F214</f>
        <v>23455</v>
      </c>
      <c r="F14" s="82">
        <f>'2) Tableau budgétaire 2'!G214</f>
        <v>70000.211838006231</v>
      </c>
      <c r="G14" s="82">
        <f>'2) Tableau budgétaire 2'!H214</f>
        <v>42167</v>
      </c>
      <c r="H14" s="82">
        <f>'2) Tableau budgétaire 2'!I214</f>
        <v>93848.333333333343</v>
      </c>
      <c r="I14" s="586">
        <f t="shared" si="0"/>
        <v>277714.54517133953</v>
      </c>
    </row>
    <row r="15" spans="2:9" s="83" customFormat="1" ht="30" customHeight="1" thickBot="1" x14ac:dyDescent="0.4">
      <c r="B15" s="160" t="s">
        <v>675</v>
      </c>
      <c r="C15" s="81">
        <f>SUM(C8:C14)</f>
        <v>620747.66</v>
      </c>
      <c r="D15" s="161">
        <f t="shared" ref="D15:H15" si="1">SUM(D8:D14)</f>
        <v>343831.78</v>
      </c>
      <c r="E15" s="161">
        <f t="shared" si="1"/>
        <v>343831.78</v>
      </c>
      <c r="F15" s="573">
        <f>SUM(F8:F14)</f>
        <v>654205.55086625484</v>
      </c>
      <c r="G15" s="161">
        <f>SUM(G8:G14)</f>
        <v>388560.74766355142</v>
      </c>
      <c r="H15" s="161">
        <f t="shared" si="1"/>
        <v>420560.74327555206</v>
      </c>
      <c r="I15" s="586">
        <f t="shared" si="0"/>
        <v>2771738.2618053583</v>
      </c>
    </row>
    <row r="16" spans="2:9" s="83" customFormat="1" ht="30" customHeight="1" thickBot="1" x14ac:dyDescent="0.4">
      <c r="B16" s="162" t="s">
        <v>676</v>
      </c>
      <c r="C16" s="163">
        <f>C15*7%</f>
        <v>43452.336200000005</v>
      </c>
      <c r="D16" s="163">
        <f t="shared" ref="D16:H16" si="2">D15*7%</f>
        <v>24068.224600000005</v>
      </c>
      <c r="E16" s="163">
        <f t="shared" si="2"/>
        <v>24068.224600000005</v>
      </c>
      <c r="F16" s="574">
        <f t="shared" si="2"/>
        <v>45794.388560637846</v>
      </c>
      <c r="G16" s="163">
        <f t="shared" si="2"/>
        <v>27199.252336448601</v>
      </c>
      <c r="H16" s="163">
        <f t="shared" si="2"/>
        <v>29439.252029288647</v>
      </c>
      <c r="I16" s="587">
        <f t="shared" ref="I16:I17" si="3">SUM(C16:H16)</f>
        <v>194021.67832637511</v>
      </c>
    </row>
    <row r="17" spans="2:9" s="83" customFormat="1" ht="30" customHeight="1" thickBot="1" x14ac:dyDescent="0.4">
      <c r="B17" s="160" t="s">
        <v>13</v>
      </c>
      <c r="C17" s="81">
        <f>SUM(C15:C16)</f>
        <v>664199.99620000005</v>
      </c>
      <c r="D17" s="161">
        <f t="shared" ref="D17:G17" si="4">SUM(D15:D16)</f>
        <v>367900.00460000004</v>
      </c>
      <c r="E17" s="161">
        <f t="shared" si="4"/>
        <v>367900.00460000004</v>
      </c>
      <c r="F17" s="573">
        <f t="shared" si="4"/>
        <v>699999.93942689267</v>
      </c>
      <c r="G17" s="161">
        <f t="shared" si="4"/>
        <v>415760</v>
      </c>
      <c r="H17" s="161">
        <f>SUM(H15:H16)</f>
        <v>449999.99530484073</v>
      </c>
      <c r="I17" s="586">
        <f t="shared" si="3"/>
        <v>2965759.9401317332</v>
      </c>
    </row>
    <row r="18" spans="2:9" s="83" customFormat="1" ht="75" customHeight="1" thickBot="1" x14ac:dyDescent="0.4"/>
    <row r="19" spans="2:9" s="83" customFormat="1" ht="15.5" x14ac:dyDescent="0.35">
      <c r="B19" s="770" t="s">
        <v>8</v>
      </c>
      <c r="C19" s="771"/>
      <c r="D19" s="772"/>
      <c r="E19" s="772"/>
      <c r="F19" s="772"/>
      <c r="G19" s="772"/>
      <c r="H19" s="772"/>
      <c r="I19" s="773"/>
    </row>
    <row r="20" spans="2:9" ht="15.5" x14ac:dyDescent="0.35">
      <c r="B20" s="32"/>
      <c r="C20" s="30" t="s">
        <v>17</v>
      </c>
      <c r="D20" s="40" t="s">
        <v>18</v>
      </c>
      <c r="E20" s="40" t="s">
        <v>19</v>
      </c>
      <c r="F20" s="40" t="s">
        <v>638</v>
      </c>
      <c r="G20" s="40" t="s">
        <v>639</v>
      </c>
      <c r="H20" s="40" t="s">
        <v>640</v>
      </c>
      <c r="I20" s="33" t="s">
        <v>10</v>
      </c>
    </row>
    <row r="21" spans="2:9" ht="15.5" x14ac:dyDescent="0.35">
      <c r="B21" s="32"/>
      <c r="C21" s="30" t="str">
        <f>'1) Tableau budgétaire 1'!D13</f>
        <v>OIM BURKINA FASO</v>
      </c>
      <c r="D21" s="30" t="str">
        <f>'1) Tableau budgétaire 1'!E13</f>
        <v>OIM NIGER</v>
      </c>
      <c r="E21" s="30" t="str">
        <f>'1) Tableau budgétaire 1'!F13</f>
        <v>OIM MALI</v>
      </c>
      <c r="F21" s="30" t="str">
        <f>'1) Tableau budgétaire 1'!G13</f>
        <v>FAO BURKINA FASO</v>
      </c>
      <c r="G21" s="30" t="str">
        <f>'1) Tableau budgétaire 1'!H13</f>
        <v>FAO MALI</v>
      </c>
      <c r="H21" s="30" t="str">
        <f>'1) Tableau budgétaire 1'!I13</f>
        <v>FAO NIGER</v>
      </c>
      <c r="I21" s="33"/>
    </row>
    <row r="22" spans="2:9" ht="23.25" customHeight="1" x14ac:dyDescent="0.35">
      <c r="B22" s="31" t="s">
        <v>9</v>
      </c>
      <c r="C22" s="29">
        <f>'1) Tableau budgétaire 1'!D206</f>
        <v>232469.99867</v>
      </c>
      <c r="D22" s="29">
        <f>'1) Tableau budgétaire 1'!E206</f>
        <v>128765.00161000001</v>
      </c>
      <c r="E22" s="29">
        <f>'1) Tableau budgétaire 1'!F206</f>
        <v>128765.00161000001</v>
      </c>
      <c r="F22" s="575">
        <f>'1) Tableau budgétaire 1'!G206</f>
        <v>244999.97879941246</v>
      </c>
      <c r="G22" s="29">
        <f>'1) Tableau budgétaire 1'!H206</f>
        <v>157500</v>
      </c>
      <c r="H22" s="29">
        <f>'1) Tableau budgétaire 1'!I206</f>
        <v>157499.99835669424</v>
      </c>
      <c r="I22" s="9">
        <v>0.35</v>
      </c>
    </row>
    <row r="23" spans="2:9" ht="24.75" customHeight="1" thickBot="1" x14ac:dyDescent="0.4">
      <c r="B23" s="10" t="s">
        <v>11</v>
      </c>
      <c r="C23" s="34">
        <f>'1) Tableau budgétaire 1'!D207</f>
        <v>232469.99867</v>
      </c>
      <c r="D23" s="34">
        <f>'1) Tableau budgétaire 1'!E207</f>
        <v>128765.00161000001</v>
      </c>
      <c r="E23" s="34">
        <f>'1) Tableau budgétaire 1'!F207</f>
        <v>128765.00161000001</v>
      </c>
      <c r="F23" s="576">
        <f>'1) Tableau budgétaire 1'!G207</f>
        <v>244999.97879941246</v>
      </c>
      <c r="G23" s="34">
        <f>'1) Tableau budgétaire 1'!H207</f>
        <v>157500</v>
      </c>
      <c r="H23" s="34">
        <f>'1) Tableau budgétaire 1'!I207</f>
        <v>157499.99835669424</v>
      </c>
      <c r="I23" s="11">
        <v>0.35</v>
      </c>
    </row>
    <row r="24" spans="2:9" ht="24.75" customHeight="1" thickBot="1" x14ac:dyDescent="0.4">
      <c r="B24" s="10" t="s">
        <v>897</v>
      </c>
      <c r="C24" s="34">
        <f>'1) Tableau budgétaire 1'!D208</f>
        <v>199259.99886000002</v>
      </c>
      <c r="D24" s="34">
        <f>'1) Tableau budgétaire 1'!E208</f>
        <v>110370.00138000002</v>
      </c>
      <c r="E24" s="34">
        <f>'1) Tableau budgétaire 1'!F208</f>
        <v>110370.00138000002</v>
      </c>
      <c r="F24" s="576">
        <f>'1) Tableau budgétaire 1'!G208</f>
        <v>209999.98182806783</v>
      </c>
      <c r="G24" s="34">
        <f>'1) Tableau budgétaire 1'!H208</f>
        <v>135000</v>
      </c>
      <c r="H24" s="34">
        <f>'1) Tableau budgétaire 1'!I208</f>
        <v>134999.99859145223</v>
      </c>
      <c r="I24" s="11">
        <v>0.3</v>
      </c>
    </row>
  </sheetData>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00000000-0002-0000-07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7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700-000002000000}"/>
    <dataValidation allowBlank="1" showInputMessage="1" showErrorMessage="1" prompt="Includes staff and non-staff travel paid for by the organization directly related to a project." sqref="B12" xr:uid="{00000000-0002-0000-0700-000003000000}"/>
    <dataValidation allowBlank="1" showInputMessage="1" showErrorMessage="1" prompt="Services contracted by an organization which follow the normal procurement processes." sqref="B11" xr:uid="{00000000-0002-0000-07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7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700-000006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4">
        <v>0</v>
      </c>
    </row>
    <row r="2" spans="1:1" x14ac:dyDescent="0.35">
      <c r="A2" s="134">
        <v>0.2</v>
      </c>
    </row>
    <row r="3" spans="1:1" x14ac:dyDescent="0.35">
      <c r="A3" s="134">
        <v>0.4</v>
      </c>
    </row>
    <row r="4" spans="1:1" x14ac:dyDescent="0.35">
      <c r="A4" s="134">
        <v>0.6</v>
      </c>
    </row>
    <row r="5" spans="1:1" x14ac:dyDescent="0.35">
      <c r="A5" s="134">
        <v>0.8</v>
      </c>
    </row>
    <row r="6" spans="1:1" x14ac:dyDescent="0.35">
      <c r="A6" s="134">
        <v>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Niger FAO Format</vt:lpstr>
      <vt:lpstr>Mali FAO Format</vt:lpstr>
      <vt:lpstr>BKF FAO Format</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kissima.sylla</cp:lastModifiedBy>
  <cp:lastPrinted>2019-12-19T15:00:36Z</cp:lastPrinted>
  <dcterms:created xsi:type="dcterms:W3CDTF">2017-11-15T21:17:43Z</dcterms:created>
  <dcterms:modified xsi:type="dcterms:W3CDTF">2021-11-21T19:13:09Z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2020-06-16T19:02:24Z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6e5cf3bc-4cdc-4764-a876-00003d6ef73b</vt:lpwstr>
  </property>
  <property fmtid="{D5CDD505-2E9C-101B-9397-08002B2CF9AE}" pid="8" name="MSIP_Label_2059aa38-f392-4105-be92-628035578272_ContentBits">
    <vt:lpwstr>0</vt:lpwstr>
  </property>
</Properties>
</file>