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SIAKA\Documents\IJEP\PBF\"/>
    </mc:Choice>
  </mc:AlternateContent>
  <xr:revisionPtr revIDLastSave="0" documentId="8_{D5B40FE7-E31D-46FD-A436-4785FAB882ED}" xr6:coauthVersionLast="47" xr6:coauthVersionMax="47" xr10:uidLastSave="{00000000-0000-0000-0000-000000000000}"/>
  <bookViews>
    <workbookView xWindow="-110" yWindow="-110" windowWidth="19420" windowHeight="10420" tabRatio="801" activeTab="1" xr2:uid="{00000000-000D-0000-FFFF-FFFF00000000}"/>
  </bookViews>
  <sheets>
    <sheet name="UNPBFQ2" sheetId="1" r:id="rId1"/>
    <sheet name="Budget detail PBF" sheetId="3" r:id="rId2"/>
  </sheets>
  <externalReferences>
    <externalReference r:id="rId3"/>
  </externalReferences>
  <definedNames>
    <definedName name="_xlnm.Print_Titles" localSheetId="1">'Budget detail PBF'!$7:$7</definedName>
    <definedName name="_xlnm.Print_Area" localSheetId="1">'Budget detail PBF'!$A$1:$K$65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3" l="1"/>
  <c r="H62" i="3" s="1"/>
  <c r="G60" i="3"/>
  <c r="G59" i="3"/>
  <c r="H59" i="3" s="1"/>
  <c r="G57" i="3"/>
  <c r="H57" i="3" s="1"/>
  <c r="G55" i="3"/>
  <c r="H55" i="3" s="1"/>
  <c r="K16" i="1"/>
  <c r="K14" i="1"/>
  <c r="G54" i="3"/>
  <c r="I54" i="3" s="1"/>
  <c r="G53" i="3"/>
  <c r="I53" i="3" s="1"/>
  <c r="G52" i="3"/>
  <c r="G50" i="3"/>
  <c r="H50" i="3" s="1"/>
  <c r="G49" i="3"/>
  <c r="H49" i="3" s="1"/>
  <c r="G47" i="3"/>
  <c r="I47" i="3" s="1"/>
  <c r="G43" i="3"/>
  <c r="G42" i="3"/>
  <c r="H42" i="3" s="1"/>
  <c r="G41" i="3"/>
  <c r="I41" i="3" s="1"/>
  <c r="G37" i="3"/>
  <c r="H37" i="3" s="1"/>
  <c r="G36" i="3"/>
  <c r="G34" i="3"/>
  <c r="G33" i="3"/>
  <c r="G32" i="3"/>
  <c r="H32" i="3" s="1"/>
  <c r="G31" i="3"/>
  <c r="G29" i="3"/>
  <c r="H29" i="3" s="1"/>
  <c r="G27" i="3"/>
  <c r="H27" i="3" s="1"/>
  <c r="G26" i="3"/>
  <c r="H26" i="3" s="1"/>
  <c r="G25" i="3"/>
  <c r="G20" i="3"/>
  <c r="G14" i="3"/>
  <c r="G13" i="3"/>
  <c r="I13" i="3" s="1"/>
  <c r="D44" i="3"/>
  <c r="D51" i="3"/>
  <c r="E51" i="3"/>
  <c r="G40" i="3"/>
  <c r="H40" i="3" s="1"/>
  <c r="G17" i="3"/>
  <c r="G22" i="3"/>
  <c r="I22" i="3" s="1"/>
  <c r="G19" i="3"/>
  <c r="H19" i="3" s="1"/>
  <c r="G12" i="3"/>
  <c r="H12" i="3" s="1"/>
  <c r="G30" i="3"/>
  <c r="G10" i="3"/>
  <c r="H10" i="3" s="1"/>
  <c r="G16" i="3"/>
  <c r="I16" i="3" s="1"/>
  <c r="G23" i="3"/>
  <c r="I23" i="3" s="1"/>
  <c r="G24" i="3"/>
  <c r="G18" i="3"/>
  <c r="H18" i="3" s="1"/>
  <c r="G11" i="3"/>
  <c r="H11" i="3" s="1"/>
  <c r="G39" i="3"/>
  <c r="F21" i="3"/>
  <c r="K19" i="1"/>
  <c r="K17" i="1"/>
  <c r="F28" i="3"/>
  <c r="F15" i="3"/>
  <c r="F9" i="3"/>
  <c r="K15" i="1"/>
  <c r="G61" i="3"/>
  <c r="H61" i="3" s="1"/>
  <c r="F38" i="3"/>
  <c r="K13" i="1"/>
  <c r="E21" i="3"/>
  <c r="E28" i="3"/>
  <c r="E38" i="3"/>
  <c r="I30" i="3"/>
  <c r="I24" i="3"/>
  <c r="H17" i="3"/>
  <c r="E15" i="3"/>
  <c r="E9" i="3"/>
  <c r="M17" i="1"/>
  <c r="L13" i="1"/>
  <c r="M15" i="1"/>
  <c r="I20" i="1"/>
  <c r="I52" i="3"/>
  <c r="I31" i="3"/>
  <c r="I25" i="3"/>
  <c r="D38" i="3"/>
  <c r="D58" i="3" s="1"/>
  <c r="D28" i="3"/>
  <c r="D21" i="3"/>
  <c r="H52" i="3"/>
  <c r="H43" i="3"/>
  <c r="H31" i="3"/>
  <c r="H25" i="3"/>
  <c r="D15" i="3"/>
  <c r="C15" i="3"/>
  <c r="D9" i="3"/>
  <c r="C9" i="3"/>
  <c r="C33" i="3"/>
  <c r="C28" i="3" s="1"/>
  <c r="C21" i="3"/>
  <c r="C56" i="3"/>
  <c r="C44" i="3"/>
  <c r="C39" i="3"/>
  <c r="C38" i="3" s="1"/>
  <c r="L16" i="1"/>
  <c r="L14" i="1"/>
  <c r="D19" i="1"/>
  <c r="G19" i="1" s="1"/>
  <c r="C19" i="1"/>
  <c r="F19" i="1" s="1"/>
  <c r="B19" i="1"/>
  <c r="E19" i="1" s="1"/>
  <c r="D18" i="1"/>
  <c r="G18" i="1" s="1"/>
  <c r="C18" i="1"/>
  <c r="F18" i="1" s="1"/>
  <c r="B18" i="1"/>
  <c r="E18" i="1" s="1"/>
  <c r="D17" i="1"/>
  <c r="G17" i="1" s="1"/>
  <c r="C17" i="1"/>
  <c r="F17" i="1" s="1"/>
  <c r="B17" i="1"/>
  <c r="E17" i="1" s="1"/>
  <c r="G16" i="1"/>
  <c r="E16" i="1"/>
  <c r="D15" i="1"/>
  <c r="G15" i="1" s="1"/>
  <c r="C15" i="1"/>
  <c r="B15" i="1"/>
  <c r="E15" i="1" s="1"/>
  <c r="G14" i="1"/>
  <c r="E14" i="1"/>
  <c r="D13" i="1"/>
  <c r="G13" i="1" s="1"/>
  <c r="C13" i="1"/>
  <c r="F13" i="1"/>
  <c r="B13" i="1"/>
  <c r="E13" i="1" s="1"/>
  <c r="I22" i="1"/>
  <c r="H30" i="3"/>
  <c r="H24" i="3"/>
  <c r="H22" i="3"/>
  <c r="I17" i="3"/>
  <c r="C20" i="1" l="1"/>
  <c r="C35" i="3"/>
  <c r="I49" i="3"/>
  <c r="I11" i="3"/>
  <c r="H54" i="3"/>
  <c r="H33" i="3"/>
  <c r="H41" i="3"/>
  <c r="I39" i="3"/>
  <c r="I61" i="3"/>
  <c r="L17" i="1"/>
  <c r="H47" i="3"/>
  <c r="I33" i="3"/>
  <c r="H53" i="3"/>
  <c r="I29" i="3"/>
  <c r="I18" i="3"/>
  <c r="L15" i="1"/>
  <c r="D35" i="3"/>
  <c r="D63" i="3" s="1"/>
  <c r="D64" i="3" s="1"/>
  <c r="I10" i="3"/>
  <c r="I42" i="3"/>
  <c r="H16" i="3"/>
  <c r="I19" i="3"/>
  <c r="C51" i="3"/>
  <c r="C58" i="3"/>
  <c r="C63" i="3" s="1"/>
  <c r="C64" i="3" s="1"/>
  <c r="C65" i="3" s="1"/>
  <c r="G9" i="3"/>
  <c r="I9" i="3" s="1"/>
  <c r="G21" i="3"/>
  <c r="H21" i="3" s="1"/>
  <c r="H39" i="3"/>
  <c r="I40" i="3"/>
  <c r="H23" i="3"/>
  <c r="I55" i="3"/>
  <c r="G15" i="3"/>
  <c r="H15" i="3" s="1"/>
  <c r="H13" i="3"/>
  <c r="I32" i="3"/>
  <c r="I12" i="3"/>
  <c r="G38" i="3"/>
  <c r="H38" i="3" s="1"/>
  <c r="L19" i="1"/>
  <c r="G28" i="3"/>
  <c r="F15" i="1"/>
  <c r="F20" i="1" s="1"/>
  <c r="B20" i="1"/>
  <c r="B21" i="1" s="1"/>
  <c r="E21" i="1" s="1"/>
  <c r="E20" i="1"/>
  <c r="D20" i="1"/>
  <c r="C21" i="1"/>
  <c r="F21" i="1" s="1"/>
  <c r="D21" i="1"/>
  <c r="G21" i="1" s="1"/>
  <c r="G20" i="1"/>
  <c r="H20" i="1"/>
  <c r="H21" i="1" s="1"/>
  <c r="H22" i="1" s="1"/>
  <c r="M19" i="1"/>
  <c r="I62" i="3"/>
  <c r="M13" i="1"/>
  <c r="I60" i="3"/>
  <c r="G46" i="3"/>
  <c r="F44" i="3"/>
  <c r="G48" i="3"/>
  <c r="G45" i="3"/>
  <c r="E44" i="3"/>
  <c r="E58" i="3" s="1"/>
  <c r="G56" i="3"/>
  <c r="J20" i="1"/>
  <c r="K20" i="1" s="1"/>
  <c r="F51" i="3"/>
  <c r="I38" i="3"/>
  <c r="I28" i="3"/>
  <c r="H28" i="3"/>
  <c r="F35" i="3"/>
  <c r="I15" i="3"/>
  <c r="E35" i="3"/>
  <c r="E22" i="1" l="1"/>
  <c r="B22" i="1"/>
  <c r="F22" i="1"/>
  <c r="I21" i="3"/>
  <c r="D65" i="3"/>
  <c r="H9" i="3"/>
  <c r="G22" i="1"/>
  <c r="C22" i="1"/>
  <c r="M20" i="1"/>
  <c r="D22" i="1"/>
  <c r="H60" i="3"/>
  <c r="G44" i="3"/>
  <c r="I48" i="3"/>
  <c r="H48" i="3"/>
  <c r="I45" i="3"/>
  <c r="H45" i="3"/>
  <c r="K18" i="1"/>
  <c r="I46" i="3"/>
  <c r="H46" i="3"/>
  <c r="L20" i="1"/>
  <c r="G51" i="3"/>
  <c r="F58" i="3"/>
  <c r="G58" i="3" s="1"/>
  <c r="H58" i="3" s="1"/>
  <c r="J21" i="1"/>
  <c r="J22" i="1" s="1"/>
  <c r="K22" i="1" s="1"/>
  <c r="M22" i="1" s="1"/>
  <c r="H56" i="3"/>
  <c r="I56" i="3"/>
  <c r="G35" i="3"/>
  <c r="E63" i="3"/>
  <c r="M18" i="1" l="1"/>
  <c r="L18" i="1"/>
  <c r="H44" i="3"/>
  <c r="I44" i="3"/>
  <c r="K21" i="1"/>
  <c r="L21" i="1" s="1"/>
  <c r="L22" i="1" s="1"/>
  <c r="H51" i="3"/>
  <c r="I51" i="3"/>
  <c r="I58" i="3"/>
  <c r="F63" i="3"/>
  <c r="F64" i="3" s="1"/>
  <c r="F65" i="3" s="1"/>
  <c r="E64" i="3"/>
  <c r="H35" i="3"/>
  <c r="I35" i="3"/>
  <c r="M21" i="1" l="1"/>
  <c r="G63" i="3"/>
  <c r="H63" i="3" s="1"/>
  <c r="G64" i="3"/>
  <c r="H64" i="3" s="1"/>
  <c r="E65" i="3"/>
  <c r="G65" i="3" s="1"/>
  <c r="I63" i="3" l="1"/>
  <c r="I64" i="3"/>
  <c r="I65" i="3"/>
  <c r="H65" i="3"/>
</calcChain>
</file>

<file path=xl/sharedStrings.xml><?xml version="1.0" encoding="utf-8"?>
<sst xmlns="http://schemas.openxmlformats.org/spreadsheetml/2006/main" count="152" uniqueCount="150">
  <si>
    <t>DONOR NAME</t>
  </si>
  <si>
    <t>UNDP/UNPBF</t>
  </si>
  <si>
    <t>MPTFO Project ID</t>
  </si>
  <si>
    <t>Project Implementer</t>
  </si>
  <si>
    <t>Care International UK</t>
  </si>
  <si>
    <t>Project Name</t>
  </si>
  <si>
    <t>Project Duration</t>
  </si>
  <si>
    <t>Billing Limit</t>
  </si>
  <si>
    <t>Current report period</t>
  </si>
  <si>
    <t>CATEGORIES</t>
  </si>
  <si>
    <t>Agence Recipiendiaire 
CARE International</t>
  </si>
  <si>
    <t>Total tranche 1</t>
  </si>
  <si>
    <t>Total tranche 2</t>
  </si>
  <si>
    <t xml:space="preserve"> TOTAL PROJET(USD)</t>
  </si>
  <si>
    <t xml:space="preserve">PREVIOUS EXPENSES </t>
  </si>
  <si>
    <t>TOTAL EXPENSES</t>
  </si>
  <si>
    <t>BALANCE</t>
  </si>
  <si>
    <t>BURN RATE</t>
  </si>
  <si>
    <t>Tranche 1 (35%)</t>
  </si>
  <si>
    <t>Tranche 2 (35%)</t>
  </si>
  <si>
    <t>Tranche 3 (30%)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</si>
  <si>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</si>
  <si>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</si>
  <si>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</si>
  <si>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</si>
  <si>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 et Suivi et Evaluation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</si>
  <si>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</si>
  <si>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</si>
  <si>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</si>
  <si>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</si>
  <si>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</t>
  </si>
  <si>
    <t>C1P1.1</t>
  </si>
  <si>
    <t>C1P1.3</t>
  </si>
  <si>
    <t>C1P1.4</t>
  </si>
  <si>
    <t>C7P1.1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</si>
  <si>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</si>
  <si>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</si>
  <si>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</si>
  <si>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</si>
  <si>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</si>
  <si>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>Budget par agence recipiendiaire en USD - Veuillez ajouter une nouvelle colonne par agence recipiendiaire</t>
  </si>
  <si>
    <t xml:space="preserve">Pourcentage du budget pour chaque produit ou activite reserve pour action directe sur le genre (cas echeant) </t>
  </si>
  <si>
    <t>Niveau de depense/ engagement actuel en USD (a remplir au moment des rapports de projet)</t>
  </si>
  <si>
    <t>Résultat 1: Le leadership et l’engagement des jeunes leaders (hommes et femmes) des mouvements informels sur les règles démocratiques et les valeurs citoyenne pour faire face à la manipulation politique ont augmenté grâce à une meilleure information/formation politique</t>
  </si>
  <si>
    <t>Produit 1.1: le dialogue inclusif entre les jeunes femmes et hommes des mouvements sociaux est renforcé</t>
  </si>
  <si>
    <t>Activite 1.1.1:</t>
  </si>
  <si>
    <t>Organiser des espaces de dialogue inclusif entre les jeunes leaders femmes et hommes</t>
  </si>
  <si>
    <t>Activite 1.1.2:</t>
  </si>
  <si>
    <t>Identifier des femmes leaders modèles pour la formation et l’accompagnement des jeunes filles des partis politiques et de la société civile</t>
  </si>
  <si>
    <t>Activite 1.1.3:</t>
  </si>
  <si>
    <t>Organiser des formations sur le GED (Genre – Equité et Diversité) pour renforcer la participation politiques des femmes et des autres groupes marginalisés</t>
  </si>
  <si>
    <t>Activite 1.1.4:</t>
  </si>
  <si>
    <t>Renforcer les capacites des embassadeurs GENRE des plateformes regionales</t>
  </si>
  <si>
    <t>Produit 1.2:</t>
  </si>
  <si>
    <t>Le mécanisme de coordination des actions citoyennes des jeunes des différents mouvements sociaux est en place et fonctionnel</t>
  </si>
  <si>
    <t>Activite 1.2.1:</t>
  </si>
  <si>
    <t>Mise en place de plateforme de coordination des mouvements sociaux dans les villes d’intervention</t>
  </si>
  <si>
    <t>Activite 1.2.2:</t>
  </si>
  <si>
    <t>Assurer la formation des mouvements sociaux sur les processus démocratiques et citoyenne</t>
  </si>
  <si>
    <t>Activite 1.2.3:</t>
  </si>
  <si>
    <t xml:space="preserve">Accompagner les activités des plateformes dans les actions citoyennes </t>
  </si>
  <si>
    <t>Activite 1.2.4:</t>
  </si>
  <si>
    <t>Soutenir les rencontres de dialogues politiques entre les jeunes femmes des partis politiques</t>
  </si>
  <si>
    <t>Produit 1.3:</t>
  </si>
  <si>
    <t xml:space="preserve">La participation citoyenne des jeunes femmes et hommes est renforcée à travers une formation accrue. </t>
  </si>
  <si>
    <t>Activite 1.3.1:</t>
  </si>
  <si>
    <t>Former des jeunes sur les résolutions 2250 et 1325 du Conseil de Sécurité sur la participation politiques des Jeunes et des femmes</t>
  </si>
  <si>
    <t>Activite 1.3.2:</t>
  </si>
  <si>
    <t xml:space="preserve">Renforcer le leadership des filles dans les organes de prises de décisions des mouvements identifiés  </t>
  </si>
  <si>
    <t>Activite 1.3.3:</t>
  </si>
  <si>
    <t>Organiser des journées locales et nationales de la citoyenneté et du jeune</t>
  </si>
  <si>
    <t>Activite 1.3.4:</t>
  </si>
  <si>
    <t>Former les Jeunes a l'utilisation des cartes de performace communautaire et l'analyse de l'action sociale (CSC &amp; SAA)</t>
  </si>
  <si>
    <t>Activite 1.3.5:</t>
  </si>
  <si>
    <t>Produit 1.4:</t>
  </si>
  <si>
    <t>Les mouvements des jeunes sont renforcés dans le dialogue politique et citoyen</t>
  </si>
  <si>
    <t>Activite 1.4.1:</t>
  </si>
  <si>
    <t>Organiser des actions de plaidoyer sur la gouvernance participative selon la résolution 2250 du Conseil de Sécurité des Nations Unies</t>
  </si>
  <si>
    <t>Activite 1.4.2:</t>
  </si>
  <si>
    <t>Vulgariser le code de déontologie et de bonne conduite dans les actions politiques des jeunes</t>
  </si>
  <si>
    <t>Activite 1.4.3:</t>
  </si>
  <si>
    <t>Appuyer les mouvements des jeunes dans la preparation d'un livre blanc sur la participation politique des jeunes</t>
  </si>
  <si>
    <t>Activite 1.4.4:</t>
  </si>
  <si>
    <t>Appuyer les actions de plaidoyer des jeunes au niveau du parlement et du Senat</t>
  </si>
  <si>
    <t>Activite 1.4.5:</t>
  </si>
  <si>
    <t>Vulgariser les actions du Parlement des Jeunes dans la Consolidation de la Paix et la participation politique des Jeunes</t>
  </si>
  <si>
    <t>TOTAL $ pour Resultat 1:</t>
  </si>
  <si>
    <t xml:space="preserve">Resultat 2: </t>
  </si>
  <si>
    <t xml:space="preserve">La responsabilité politique par le dialogue entre les jeunes des groupes formels et informels, les acteurs de la société civile et les acteurs des partis politiques est renforcée </t>
  </si>
  <si>
    <t>Produit 2.1:</t>
  </si>
  <si>
    <t>Le contrôle de l’action politique par les jeunes est renforcé à travers leur participation citoyenne.</t>
  </si>
  <si>
    <t>Activite 2.1.1:</t>
  </si>
  <si>
    <t>Former des Jeunes sur la citoyenneté et le contrôle de l’action publique</t>
  </si>
  <si>
    <t>Activite 2.1.2:</t>
  </si>
  <si>
    <t>Organiser des journnees de mobilisation citoyennes</t>
  </si>
  <si>
    <t>Activite 2.1.3:</t>
  </si>
  <si>
    <t>Creer un cadre de collaboration et de coordination des actions citoyennes avec les autres plateformes de jeunes</t>
  </si>
  <si>
    <t>Activite 2.1.4:</t>
  </si>
  <si>
    <t>Appuyer les initiatives des jeunes femmes pour la consolidation de la paix</t>
  </si>
  <si>
    <t>Produit 2.2:</t>
  </si>
  <si>
    <t>Les mouvements des jeunes sont actifs dans les mécanismes d’alertes précoces et de plaidoyer politiques pour la prévention des violences politiques.</t>
  </si>
  <si>
    <t>Activite 2.2.1:</t>
  </si>
  <si>
    <t>Mettre en place et formation des jeunes sur les mécanismes d’alertes précoce avec l’appui de l’OSCS</t>
  </si>
  <si>
    <t>Activite 2.2.2:</t>
  </si>
  <si>
    <t>Former des Jeunes sur les causeries éducatives pour le renforcement des mécanismes d’alerte précoce</t>
  </si>
  <si>
    <t>Activite 2.2.3:</t>
  </si>
  <si>
    <t>Former des Jeunes sur le monitoring de la cohésion sociale et de la solidarité nationale</t>
  </si>
  <si>
    <t>Activite 2.2.4:</t>
  </si>
  <si>
    <t>Renforcer les capacites operationnelles de l'OSCS dans l'alerte precoce</t>
  </si>
  <si>
    <t>Activite 2.2.5:</t>
  </si>
  <si>
    <t>Formation des jeunes leaders sur la mise en place d'une strategie de plaidoyer pour la participation politique des jeunes et des femmes</t>
  </si>
  <si>
    <t>Produit 2.3:</t>
  </si>
  <si>
    <t>Un mécanisme des jeunes pour le suivi des actions politiques est en place et fonctionnel</t>
  </si>
  <si>
    <t>Activite 2.3.1:</t>
  </si>
  <si>
    <t>Créer et animer des espaces de dialogues inclusifs</t>
  </si>
  <si>
    <t>Activite 2.3.2:</t>
  </si>
  <si>
    <t>Créer des espaces virtuels de discussions démocratiques sur les médias sociaux</t>
  </si>
  <si>
    <t>Activite 2.3.3:</t>
  </si>
  <si>
    <t>Former des mouvements politiques et de la société civile sur les thématiques de civisme, de la surveillance des violences politiques, la traçabilité et le rapportage des incidents de violences politiques</t>
  </si>
  <si>
    <t>Activite 2.3.4:</t>
  </si>
  <si>
    <t>Renforcer le mecanisme d'alerte precoce de l'OSCS a travers la formation de nouveaux moniteurs</t>
  </si>
  <si>
    <t>Activite 2.3.5:</t>
  </si>
  <si>
    <t>Appuyer l'organisation de causeries educatives pour le renforcement de l'alerte precoce au niveau communautaire</t>
  </si>
  <si>
    <t>TOTAL $ pour Resultat 3:</t>
  </si>
  <si>
    <t>Cout de personnel du projet si pas inclus dans les activites si-dessus</t>
  </si>
  <si>
    <t xml:space="preserve">Couts operationnels </t>
  </si>
  <si>
    <t>Budget S&amp;E du projet</t>
  </si>
  <si>
    <t>SOUS TOTAL DU BUDGET DE PROJET:</t>
  </si>
  <si>
    <t>Couts indirects (7%):</t>
  </si>
  <si>
    <t>BUDGET TOTAL DU PROJET:</t>
  </si>
  <si>
    <t>C1P1.2</t>
  </si>
  <si>
    <t>C3P1.1</t>
  </si>
  <si>
    <t>C4P1.1</t>
  </si>
  <si>
    <t>C4P1.2</t>
  </si>
  <si>
    <t>C4P1.3</t>
  </si>
  <si>
    <t>C5P1.1</t>
  </si>
  <si>
    <t>C5P1.2</t>
  </si>
  <si>
    <t>Initiative des Jeunes Leaders (Hommes et Femmes) Engagés pour la
Consolidation de la Paix en Côte d'lvoire - « IJEP »</t>
  </si>
  <si>
    <t>16 february 2021  to 16 August 2022</t>
  </si>
  <si>
    <r>
      <t xml:space="preserve">USD </t>
    </r>
    <r>
      <rPr>
        <b/>
        <sz val="12"/>
        <color theme="1"/>
        <rFont val="Calibri"/>
        <family val="2"/>
        <scheme val="minor"/>
      </rPr>
      <t>1,252,602</t>
    </r>
  </si>
  <si>
    <t>FC/PID</t>
  </si>
  <si>
    <t>GB823/CGBRCI0029/CGBRCI0030/CGBRCI0031</t>
  </si>
  <si>
    <t>00125910</t>
  </si>
  <si>
    <t>EXPENSES JAN-MARCH 2021 (USD)</t>
  </si>
  <si>
    <t>TOTAL EXPENSES (USD)</t>
  </si>
  <si>
    <t>R1P1A1 à R2P3A5</t>
  </si>
  <si>
    <t>EXPENSES April-June 2021 (USD)</t>
  </si>
  <si>
    <t>EXPENSES July-September 2021 (USD)</t>
  </si>
  <si>
    <t>EXPENSES Juillet-Sept 2021 (USD)</t>
  </si>
  <si>
    <t>July to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</si>
</sst>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_-;\-* #,##0.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164" fontId="20" fillId="0" borderId="0" applyFont="0" applyFill="0" applyBorder="0" applyAlignment="0" applyProtection="0"/>
  </cellStyleXfs>
  <cellXfs count="171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2" xfId="0" applyBorder="1"/>
    <xf numFmtId="0" fontId="2" fillId="2" borderId="4" xfId="0" applyFont="1" applyFill="1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5" fillId="3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6" fontId="5" fillId="0" borderId="15" xfId="1" applyNumberFormat="1" applyFont="1" applyBorder="1" applyAlignment="1">
      <alignment horizontal="right" vertical="center" wrapText="1"/>
    </xf>
    <xf numFmtId="165" fontId="5" fillId="0" borderId="19" xfId="0" applyNumberFormat="1" applyFont="1" applyBorder="1" applyAlignment="1">
      <alignment horizontal="right" vertical="center" wrapText="1"/>
    </xf>
    <xf numFmtId="0" fontId="6" fillId="5" borderId="14" xfId="0" applyFont="1" applyFill="1" applyBorder="1" applyAlignment="1">
      <alignment vertical="center" wrapText="1"/>
    </xf>
    <xf numFmtId="166" fontId="7" fillId="5" borderId="15" xfId="1" applyNumberFormat="1" applyFont="1" applyFill="1" applyBorder="1" applyAlignment="1">
      <alignment horizontal="right" vertical="center" wrapText="1"/>
    </xf>
    <xf numFmtId="166" fontId="5" fillId="5" borderId="19" xfId="0" applyNumberFormat="1" applyFont="1" applyFill="1" applyBorder="1" applyAlignment="1">
      <alignment horizontal="right" vertical="center" wrapText="1"/>
    </xf>
    <xf numFmtId="165" fontId="5" fillId="5" borderId="19" xfId="0" applyNumberFormat="1" applyFont="1" applyFill="1" applyBorder="1" applyAlignment="1">
      <alignment horizontal="right" vertical="center" wrapText="1"/>
    </xf>
    <xf numFmtId="9" fontId="5" fillId="5" borderId="20" xfId="2" applyFont="1" applyFill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166" fontId="7" fillId="0" borderId="15" xfId="1" applyNumberFormat="1" applyFont="1" applyBorder="1" applyAlignment="1">
      <alignment horizontal="right" vertical="center" wrapText="1"/>
    </xf>
    <xf numFmtId="164" fontId="7" fillId="0" borderId="15" xfId="1" applyNumberFormat="1" applyFont="1" applyBorder="1" applyAlignment="1">
      <alignment horizontal="right" vertical="center" wrapText="1"/>
    </xf>
    <xf numFmtId="0" fontId="8" fillId="6" borderId="14" xfId="0" applyFont="1" applyFill="1" applyBorder="1" applyAlignment="1">
      <alignment vertical="center" wrapText="1"/>
    </xf>
    <xf numFmtId="166" fontId="5" fillId="6" borderId="15" xfId="1" applyNumberFormat="1" applyFont="1" applyFill="1" applyBorder="1" applyAlignment="1">
      <alignment horizontal="right" vertical="center" wrapText="1"/>
    </xf>
    <xf numFmtId="166" fontId="5" fillId="6" borderId="19" xfId="1" applyNumberFormat="1" applyFont="1" applyFill="1" applyBorder="1" applyAlignment="1">
      <alignment horizontal="right" vertical="center" wrapText="1"/>
    </xf>
    <xf numFmtId="166" fontId="7" fillId="0" borderId="19" xfId="0" applyNumberFormat="1" applyFont="1" applyBorder="1" applyAlignment="1">
      <alignment horizontal="right" vertical="center" wrapText="1"/>
    </xf>
    <xf numFmtId="0" fontId="8" fillId="6" borderId="21" xfId="0" applyFont="1" applyFill="1" applyBorder="1" applyAlignment="1">
      <alignment vertical="center" wrapText="1"/>
    </xf>
    <xf numFmtId="166" fontId="5" fillId="6" borderId="22" xfId="0" applyNumberFormat="1" applyFont="1" applyFill="1" applyBorder="1" applyAlignment="1">
      <alignment horizontal="right" vertical="center" wrapText="1"/>
    </xf>
    <xf numFmtId="166" fontId="5" fillId="6" borderId="23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7" borderId="25" xfId="0" applyFont="1" applyFill="1" applyBorder="1" applyAlignment="1">
      <alignment vertical="center" wrapText="1"/>
    </xf>
    <xf numFmtId="0" fontId="12" fillId="7" borderId="26" xfId="0" applyFont="1" applyFill="1" applyBorder="1" applyAlignment="1">
      <alignment vertical="center" wrapText="1"/>
    </xf>
    <xf numFmtId="166" fontId="12" fillId="0" borderId="24" xfId="0" applyNumberFormat="1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43" fontId="13" fillId="0" borderId="24" xfId="1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9" borderId="27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166" fontId="13" fillId="0" borderId="24" xfId="5" applyNumberFormat="1" applyFont="1" applyBorder="1" applyAlignment="1">
      <alignment vertical="center" wrapText="1"/>
    </xf>
    <xf numFmtId="9" fontId="13" fillId="0" borderId="24" xfId="2" applyFont="1" applyBorder="1" applyAlignment="1">
      <alignment horizontal="center" vertical="center" wrapText="1"/>
    </xf>
    <xf numFmtId="165" fontId="13" fillId="0" borderId="24" xfId="5" applyFont="1" applyBorder="1" applyAlignment="1">
      <alignment vertical="center" wrapText="1"/>
    </xf>
    <xf numFmtId="0" fontId="13" fillId="9" borderId="24" xfId="0" applyFont="1" applyFill="1" applyBorder="1" applyAlignment="1">
      <alignment vertical="center" wrapText="1"/>
    </xf>
    <xf numFmtId="166" fontId="13" fillId="9" borderId="24" xfId="5" applyNumberFormat="1" applyFont="1" applyFill="1" applyBorder="1" applyAlignment="1">
      <alignment vertical="center" wrapText="1"/>
    </xf>
    <xf numFmtId="9" fontId="13" fillId="9" borderId="24" xfId="2" applyFont="1" applyFill="1" applyBorder="1" applyAlignment="1">
      <alignment horizontal="center" vertical="center" wrapText="1"/>
    </xf>
    <xf numFmtId="165" fontId="13" fillId="9" borderId="24" xfId="5" applyFont="1" applyFill="1" applyBorder="1" applyAlignment="1">
      <alignment vertical="center" wrapText="1"/>
    </xf>
    <xf numFmtId="0" fontId="0" fillId="9" borderId="0" xfId="0" applyFill="1"/>
    <xf numFmtId="0" fontId="13" fillId="0" borderId="27" xfId="0" applyFont="1" applyBorder="1" applyAlignment="1">
      <alignment vertical="center" wrapText="1"/>
    </xf>
    <xf numFmtId="166" fontId="13" fillId="0" borderId="24" xfId="5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165" fontId="12" fillId="0" borderId="30" xfId="0" applyNumberFormat="1" applyFont="1" applyBorder="1" applyAlignment="1">
      <alignment vertical="center" wrapText="1"/>
    </xf>
    <xf numFmtId="165" fontId="12" fillId="0" borderId="24" xfId="5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165" fontId="12" fillId="0" borderId="24" xfId="0" applyNumberFormat="1" applyFont="1" applyBorder="1" applyAlignment="1">
      <alignment vertical="center" wrapText="1"/>
    </xf>
    <xf numFmtId="165" fontId="13" fillId="0" borderId="24" xfId="0" applyNumberFormat="1" applyFont="1" applyBorder="1" applyAlignment="1">
      <alignment vertical="center" wrapText="1"/>
    </xf>
    <xf numFmtId="165" fontId="13" fillId="0" borderId="24" xfId="5" applyFont="1" applyBorder="1" applyAlignment="1">
      <alignment horizontal="center" vertical="center" wrapText="1"/>
    </xf>
    <xf numFmtId="0" fontId="12" fillId="10" borderId="27" xfId="0" applyFont="1" applyFill="1" applyBorder="1" applyAlignment="1">
      <alignment vertical="center" wrapText="1"/>
    </xf>
    <xf numFmtId="0" fontId="12" fillId="10" borderId="24" xfId="0" applyFont="1" applyFill="1" applyBorder="1" applyAlignment="1">
      <alignment vertical="center" wrapText="1"/>
    </xf>
    <xf numFmtId="165" fontId="12" fillId="10" borderId="24" xfId="5" applyFont="1" applyFill="1" applyBorder="1" applyAlignment="1">
      <alignment vertical="center" wrapText="1"/>
    </xf>
    <xf numFmtId="43" fontId="12" fillId="10" borderId="24" xfId="1" applyFont="1" applyFill="1" applyBorder="1" applyAlignment="1">
      <alignment horizontal="center" vertical="center" wrapText="1"/>
    </xf>
    <xf numFmtId="165" fontId="12" fillId="10" borderId="24" xfId="0" applyNumberFormat="1" applyFont="1" applyFill="1" applyBorder="1" applyAlignment="1">
      <alignment vertical="center" wrapText="1"/>
    </xf>
    <xf numFmtId="164" fontId="0" fillId="0" borderId="0" xfId="0" applyNumberFormat="1"/>
    <xf numFmtId="43" fontId="12" fillId="0" borderId="24" xfId="1" applyFont="1" applyBorder="1" applyAlignment="1">
      <alignment vertical="center" wrapText="1"/>
    </xf>
    <xf numFmtId="165" fontId="13" fillId="0" borderId="30" xfId="5" applyFont="1" applyBorder="1" applyAlignment="1">
      <alignment vertical="center" wrapText="1"/>
    </xf>
    <xf numFmtId="0" fontId="12" fillId="9" borderId="28" xfId="0" applyFont="1" applyFill="1" applyBorder="1" applyAlignment="1">
      <alignment vertical="center" wrapText="1"/>
    </xf>
    <xf numFmtId="165" fontId="12" fillId="9" borderId="30" xfId="0" applyNumberFormat="1" applyFont="1" applyFill="1" applyBorder="1" applyAlignment="1">
      <alignment vertical="center" wrapText="1"/>
    </xf>
    <xf numFmtId="166" fontId="12" fillId="11" borderId="24" xfId="0" applyNumberFormat="1" applyFont="1" applyFill="1" applyBorder="1" applyAlignment="1">
      <alignment vertical="center" wrapText="1"/>
    </xf>
    <xf numFmtId="165" fontId="12" fillId="11" borderId="24" xfId="5" applyFont="1" applyFill="1" applyBorder="1" applyAlignment="1">
      <alignment vertical="center" wrapText="1"/>
    </xf>
    <xf numFmtId="0" fontId="12" fillId="11" borderId="24" xfId="0" applyFont="1" applyFill="1" applyBorder="1" applyAlignment="1">
      <alignment vertical="center" wrapText="1"/>
    </xf>
    <xf numFmtId="0" fontId="12" fillId="11" borderId="28" xfId="0" applyFont="1" applyFill="1" applyBorder="1" applyAlignment="1">
      <alignment vertical="center" wrapText="1"/>
    </xf>
    <xf numFmtId="167" fontId="12" fillId="11" borderId="32" xfId="1" applyNumberFormat="1" applyFont="1" applyFill="1" applyBorder="1" applyAlignment="1">
      <alignment vertical="center" wrapText="1"/>
    </xf>
    <xf numFmtId="0" fontId="12" fillId="11" borderId="32" xfId="0" applyFont="1" applyFill="1" applyBorder="1" applyAlignment="1">
      <alignment vertical="center" wrapText="1"/>
    </xf>
    <xf numFmtId="43" fontId="14" fillId="0" borderId="0" xfId="1" applyFont="1"/>
    <xf numFmtId="43" fontId="0" fillId="0" borderId="0" xfId="1" applyFont="1"/>
    <xf numFmtId="166" fontId="12" fillId="11" borderId="24" xfId="5" applyNumberFormat="1" applyFont="1" applyFill="1" applyBorder="1" applyAlignment="1">
      <alignment vertical="center" wrapText="1"/>
    </xf>
    <xf numFmtId="10" fontId="12" fillId="0" borderId="24" xfId="2" applyNumberFormat="1" applyFont="1" applyBorder="1" applyAlignment="1">
      <alignment vertical="center" wrapText="1"/>
    </xf>
    <xf numFmtId="0" fontId="15" fillId="0" borderId="0" xfId="0" applyFont="1"/>
    <xf numFmtId="0" fontId="6" fillId="0" borderId="24" xfId="0" applyFont="1" applyBorder="1" applyAlignment="1">
      <alignment vertical="center" wrapText="1"/>
    </xf>
    <xf numFmtId="166" fontId="6" fillId="0" borderId="24" xfId="5" applyNumberFormat="1" applyFont="1" applyBorder="1" applyAlignment="1">
      <alignment vertical="center" wrapText="1"/>
    </xf>
    <xf numFmtId="10" fontId="6" fillId="0" borderId="24" xfId="2" applyNumberFormat="1" applyFont="1" applyBorder="1" applyAlignment="1">
      <alignment vertical="center" wrapText="1"/>
    </xf>
    <xf numFmtId="9" fontId="6" fillId="0" borderId="24" xfId="2" applyFont="1" applyBorder="1" applyAlignment="1">
      <alignment vertical="center" wrapText="1"/>
    </xf>
    <xf numFmtId="165" fontId="6" fillId="0" borderId="24" xfId="5" applyFont="1" applyBorder="1" applyAlignment="1">
      <alignment vertical="center" wrapText="1"/>
    </xf>
    <xf numFmtId="10" fontId="12" fillId="11" borderId="24" xfId="2" applyNumberFormat="1" applyFont="1" applyFill="1" applyBorder="1" applyAlignment="1">
      <alignment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10" fontId="5" fillId="0" borderId="20" xfId="2" applyNumberFormat="1" applyFont="1" applyBorder="1" applyAlignment="1">
      <alignment horizontal="right" vertical="center" wrapText="1"/>
    </xf>
    <xf numFmtId="10" fontId="5" fillId="11" borderId="20" xfId="2" applyNumberFormat="1" applyFont="1" applyFill="1" applyBorder="1" applyAlignment="1">
      <alignment horizontal="right" vertical="center" wrapText="1"/>
    </xf>
    <xf numFmtId="43" fontId="6" fillId="0" borderId="24" xfId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165" fontId="16" fillId="0" borderId="19" xfId="0" applyNumberFormat="1" applyFont="1" applyBorder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right" vertical="center" wrapText="1"/>
    </xf>
    <xf numFmtId="9" fontId="5" fillId="0" borderId="0" xfId="2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65" fontId="17" fillId="0" borderId="19" xfId="0" applyNumberFormat="1" applyFont="1" applyBorder="1" applyAlignment="1">
      <alignment horizontal="right" vertical="center" wrapText="1"/>
    </xf>
    <xf numFmtId="166" fontId="17" fillId="5" borderId="19" xfId="0" applyNumberFormat="1" applyFont="1" applyFill="1" applyBorder="1" applyAlignment="1">
      <alignment horizontal="right" vertical="center" wrapText="1"/>
    </xf>
    <xf numFmtId="166" fontId="18" fillId="0" borderId="24" xfId="0" applyNumberFormat="1" applyFont="1" applyBorder="1" applyAlignment="1">
      <alignment vertical="center" wrapText="1"/>
    </xf>
    <xf numFmtId="166" fontId="19" fillId="0" borderId="24" xfId="5" applyNumberFormat="1" applyFont="1" applyBorder="1" applyAlignment="1">
      <alignment vertical="center" wrapText="1"/>
    </xf>
    <xf numFmtId="166" fontId="19" fillId="9" borderId="24" xfId="5" applyNumberFormat="1" applyFont="1" applyFill="1" applyBorder="1" applyAlignment="1">
      <alignment vertical="center" wrapText="1"/>
    </xf>
    <xf numFmtId="165" fontId="18" fillId="0" borderId="30" xfId="0" applyNumberFormat="1" applyFont="1" applyBorder="1" applyAlignment="1">
      <alignment vertical="center" wrapText="1"/>
    </xf>
    <xf numFmtId="165" fontId="19" fillId="0" borderId="24" xfId="5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165" fontId="18" fillId="0" borderId="24" xfId="0" applyNumberFormat="1" applyFont="1" applyBorder="1" applyAlignment="1">
      <alignment vertical="center" wrapText="1"/>
    </xf>
    <xf numFmtId="165" fontId="18" fillId="10" borderId="24" xfId="5" applyFont="1" applyFill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43" fontId="18" fillId="0" borderId="24" xfId="1" applyFont="1" applyBorder="1" applyAlignment="1">
      <alignment vertical="center" wrapText="1"/>
    </xf>
    <xf numFmtId="165" fontId="19" fillId="0" borderId="30" xfId="5" applyFont="1" applyBorder="1" applyAlignment="1">
      <alignment vertical="center" wrapText="1"/>
    </xf>
    <xf numFmtId="165" fontId="18" fillId="9" borderId="30" xfId="0" applyNumberFormat="1" applyFont="1" applyFill="1" applyBorder="1" applyAlignment="1">
      <alignment vertical="center" wrapText="1"/>
    </xf>
    <xf numFmtId="165" fontId="18" fillId="0" borderId="24" xfId="5" applyFont="1" applyBorder="1" applyAlignment="1">
      <alignment vertical="center" wrapText="1"/>
    </xf>
    <xf numFmtId="165" fontId="7" fillId="0" borderId="19" xfId="0" applyNumberFormat="1" applyFont="1" applyFill="1" applyBorder="1" applyAlignment="1">
      <alignment horizontal="right" vertical="center" wrapText="1"/>
    </xf>
    <xf numFmtId="165" fontId="5" fillId="0" borderId="19" xfId="0" applyNumberFormat="1" applyFont="1" applyFill="1" applyBorder="1" applyAlignment="1">
      <alignment horizontal="right" vertical="center" wrapText="1"/>
    </xf>
    <xf numFmtId="9" fontId="12" fillId="11" borderId="24" xfId="2" applyFont="1" applyFill="1" applyBorder="1" applyAlignment="1">
      <alignment vertical="center" wrapText="1"/>
    </xf>
    <xf numFmtId="166" fontId="12" fillId="10" borderId="24" xfId="0" applyNumberFormat="1" applyFont="1" applyFill="1" applyBorder="1" applyAlignment="1">
      <alignment vertical="center" wrapText="1"/>
    </xf>
    <xf numFmtId="0" fontId="12" fillId="11" borderId="27" xfId="0" applyFont="1" applyFill="1" applyBorder="1" applyAlignment="1">
      <alignment vertical="center" wrapText="1"/>
    </xf>
    <xf numFmtId="43" fontId="18" fillId="11" borderId="24" xfId="1" applyFont="1" applyFill="1" applyBorder="1" applyAlignment="1">
      <alignment vertical="center" wrapText="1"/>
    </xf>
    <xf numFmtId="43" fontId="12" fillId="11" borderId="24" xfId="1" applyFont="1" applyFill="1" applyBorder="1" applyAlignment="1">
      <alignment vertical="center" wrapText="1"/>
    </xf>
    <xf numFmtId="166" fontId="13" fillId="11" borderId="24" xfId="5" applyNumberFormat="1" applyFont="1" applyFill="1" applyBorder="1" applyAlignment="1">
      <alignment horizontal="center" vertical="center" wrapText="1"/>
    </xf>
    <xf numFmtId="166" fontId="18" fillId="11" borderId="24" xfId="5" applyNumberFormat="1" applyFont="1" applyFill="1" applyBorder="1" applyAlignment="1">
      <alignment vertical="center" wrapText="1"/>
    </xf>
    <xf numFmtId="0" fontId="13" fillId="11" borderId="24" xfId="0" applyFont="1" applyFill="1" applyBorder="1" applyAlignment="1">
      <alignment vertical="center" wrapText="1"/>
    </xf>
    <xf numFmtId="9" fontId="13" fillId="11" borderId="24" xfId="2" applyFont="1" applyFill="1" applyBorder="1" applyAlignment="1">
      <alignment vertical="center" wrapText="1"/>
    </xf>
    <xf numFmtId="10" fontId="13" fillId="9" borderId="24" xfId="2" applyNumberFormat="1" applyFont="1" applyFill="1" applyBorder="1" applyAlignment="1">
      <alignment vertical="center" wrapText="1"/>
    </xf>
    <xf numFmtId="10" fontId="13" fillId="0" borderId="24" xfId="2" applyNumberFormat="1" applyFont="1" applyBorder="1" applyAlignment="1">
      <alignment vertical="center" wrapText="1"/>
    </xf>
    <xf numFmtId="10" fontId="12" fillId="0" borderId="30" xfId="2" applyNumberFormat="1" applyFont="1" applyBorder="1" applyAlignment="1">
      <alignment vertical="center" wrapText="1"/>
    </xf>
    <xf numFmtId="10" fontId="12" fillId="10" borderId="24" xfId="2" applyNumberFormat="1" applyFont="1" applyFill="1" applyBorder="1" applyAlignment="1">
      <alignment vertical="center" wrapText="1"/>
    </xf>
    <xf numFmtId="10" fontId="13" fillId="0" borderId="30" xfId="2" applyNumberFormat="1" applyFont="1" applyBorder="1" applyAlignment="1">
      <alignment vertical="center" wrapText="1"/>
    </xf>
    <xf numFmtId="10" fontId="12" fillId="9" borderId="30" xfId="2" applyNumberFormat="1" applyFont="1" applyFill="1" applyBorder="1" applyAlignment="1">
      <alignment vertical="center" wrapText="1"/>
    </xf>
    <xf numFmtId="10" fontId="13" fillId="0" borderId="24" xfId="2" applyNumberFormat="1" applyFont="1" applyFill="1" applyBorder="1" applyAlignment="1">
      <alignment vertical="center" wrapText="1"/>
    </xf>
    <xf numFmtId="166" fontId="13" fillId="0" borderId="24" xfId="0" applyNumberFormat="1" applyFont="1" applyFill="1" applyBorder="1" applyAlignment="1">
      <alignment vertical="center" wrapText="1"/>
    </xf>
    <xf numFmtId="165" fontId="13" fillId="0" borderId="24" xfId="5" applyFont="1" applyFill="1" applyBorder="1" applyAlignment="1">
      <alignment vertical="center" wrapText="1"/>
    </xf>
    <xf numFmtId="10" fontId="19" fillId="0" borderId="24" xfId="2" applyNumberFormat="1" applyFont="1" applyBorder="1" applyAlignment="1">
      <alignment vertical="center" wrapText="1"/>
    </xf>
    <xf numFmtId="0" fontId="12" fillId="7" borderId="26" xfId="0" applyFont="1" applyFill="1" applyBorder="1" applyAlignment="1">
      <alignment horizontal="center" vertical="center" wrapText="1"/>
    </xf>
    <xf numFmtId="166" fontId="5" fillId="12" borderId="19" xfId="1" applyNumberFormat="1" applyFont="1" applyFill="1" applyBorder="1" applyAlignment="1">
      <alignment horizontal="right" vertical="center" wrapText="1"/>
    </xf>
    <xf numFmtId="0" fontId="12" fillId="0" borderId="24" xfId="0" applyFont="1" applyBorder="1" applyAlignment="1">
      <alignment vertical="center" wrapText="1"/>
    </xf>
    <xf numFmtId="41" fontId="0" fillId="0" borderId="0" xfId="6" applyFont="1"/>
    <xf numFmtId="0" fontId="12" fillId="8" borderId="27" xfId="0" applyFont="1" applyFill="1" applyBorder="1" applyAlignment="1">
      <alignment vertical="center" wrapText="1"/>
    </xf>
    <xf numFmtId="0" fontId="12" fillId="8" borderId="24" xfId="0" applyFont="1" applyFill="1" applyBorder="1" applyAlignment="1">
      <alignment vertical="center" wrapText="1"/>
    </xf>
    <xf numFmtId="166" fontId="18" fillId="8" borderId="24" xfId="5" applyNumberFormat="1" applyFont="1" applyFill="1" applyBorder="1" applyAlignment="1">
      <alignment vertical="center" wrapText="1"/>
    </xf>
    <xf numFmtId="166" fontId="12" fillId="8" borderId="24" xfId="5" applyNumberFormat="1" applyFont="1" applyFill="1" applyBorder="1" applyAlignment="1">
      <alignment vertical="center" wrapText="1"/>
    </xf>
    <xf numFmtId="166" fontId="12" fillId="8" borderId="24" xfId="0" applyNumberFormat="1" applyFont="1" applyFill="1" applyBorder="1" applyAlignment="1">
      <alignment vertical="center" wrapText="1"/>
    </xf>
    <xf numFmtId="10" fontId="12" fillId="8" borderId="24" xfId="2" applyNumberFormat="1" applyFont="1" applyFill="1" applyBorder="1" applyAlignment="1">
      <alignment vertical="center" wrapText="1"/>
    </xf>
    <xf numFmtId="9" fontId="12" fillId="8" borderId="24" xfId="2" applyFont="1" applyFill="1" applyBorder="1" applyAlignment="1">
      <alignment vertical="center" wrapText="1"/>
    </xf>
    <xf numFmtId="166" fontId="13" fillId="0" borderId="24" xfId="5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7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11" borderId="27" xfId="0" applyFont="1" applyFill="1" applyBorder="1" applyAlignment="1">
      <alignment horizontal="left" vertical="center" wrapText="1"/>
    </xf>
    <xf numFmtId="0" fontId="12" fillId="11" borderId="24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2" fillId="11" borderId="31" xfId="0" applyFont="1" applyFill="1" applyBorder="1" applyAlignment="1">
      <alignment horizontal="left" vertical="center" wrapText="1"/>
    </xf>
    <xf numFmtId="0" fontId="12" fillId="11" borderId="32" xfId="0" applyFont="1" applyFill="1" applyBorder="1" applyAlignment="1">
      <alignment horizontal="left" vertical="center" wrapText="1"/>
    </xf>
  </cellXfs>
  <cellStyles count="9">
    <cellStyle name="Comma 2" xfId="4" xr:uid="{00000000-0005-0000-0000-000002000000}"/>
    <cellStyle name="Comma 2 2" xfId="5" xr:uid="{00000000-0005-0000-0000-000003000000}"/>
    <cellStyle name="Milliers" xfId="1" builtinId="3"/>
    <cellStyle name="Milliers [0]" xfId="6" builtinId="6"/>
    <cellStyle name="Milliers 2 2" xfId="8" xr:uid="{00000000-0005-0000-0000-000004000000}"/>
    <cellStyle name="Normal" xfId="0" builtinId="0"/>
    <cellStyle name="Normal 2" xfId="3" xr:uid="{00000000-0005-0000-0000-000006000000}"/>
    <cellStyle name="Normal 4 3" xfId="7" xr:uid="{00000000-0005-0000-0000-000007000000}"/>
    <cellStyle name="Pourcentage" xfId="2" builtinId="5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jects\West%20Africa\Active%20projects\Cote%20D'Ivoire\GB733%20MOJEC%20-%20UNPBF\3.%20Finance\3.2%20Financial%20Reports\3.2.3%20Interim%20Donor%20Report%20+%20QTR\Donor%20UNPBF%20%20Fin%20Report%201-%20CARE%20PBF%20MOJEC%20-Jan-March19%20Transmis%20CARE%20U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PBF Global"/>
      <sheetName val="Allocation GENRE"/>
      <sheetName val="Personnel et Coût opérationnel"/>
      <sheetName val="Budget PBF"/>
      <sheetName val="PBF Categorie base"/>
      <sheetName val="Summary"/>
      <sheetName val="PBF Categorie"/>
      <sheetName val="Pivot table Janv-Mars19"/>
      <sheetName val="Translist Jan-March19"/>
      <sheetName val="GL DATE2 JAN-MARCH19"/>
    </sheetNames>
    <sheetDataSet>
      <sheetData sheetId="0" refreshError="1"/>
      <sheetData sheetId="1" refreshError="1"/>
      <sheetData sheetId="2">
        <row r="28">
          <cell r="F28">
            <v>19478.99469047791</v>
          </cell>
        </row>
        <row r="35">
          <cell r="F35">
            <v>50400</v>
          </cell>
        </row>
      </sheetData>
      <sheetData sheetId="3">
        <row r="32">
          <cell r="C32">
            <v>436874.51000000013</v>
          </cell>
        </row>
        <row r="47">
          <cell r="C47">
            <v>56363.636363636368</v>
          </cell>
        </row>
        <row r="66">
          <cell r="C66">
            <v>218613.6610255799</v>
          </cell>
        </row>
        <row r="68">
          <cell r="C68">
            <v>74495.454545454544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workbookViewId="0">
      <selection activeCell="H9" sqref="H9:M9"/>
    </sheetView>
  </sheetViews>
  <sheetFormatPr baseColWidth="10" defaultColWidth="9.1796875" defaultRowHeight="14.5" x14ac:dyDescent="0.35"/>
  <cols>
    <col min="1" max="1" width="28.81640625" customWidth="1"/>
    <col min="2" max="3" width="13.453125" hidden="1" customWidth="1"/>
    <col min="4" max="4" width="14" hidden="1" customWidth="1"/>
    <col min="5" max="6" width="10.81640625" hidden="1" customWidth="1"/>
    <col min="7" max="7" width="9.81640625" hidden="1" customWidth="1"/>
    <col min="8" max="8" width="16.453125" customWidth="1"/>
    <col min="9" max="13" width="14" customWidth="1"/>
    <col min="14" max="15" width="9.453125" style="90" customWidth="1"/>
    <col min="16" max="19" width="14" style="90" customWidth="1"/>
    <col min="21" max="25" width="0" hidden="1" customWidth="1"/>
  </cols>
  <sheetData>
    <row r="1" spans="1:24" ht="15" thickBot="1" x14ac:dyDescent="0.4"/>
    <row r="2" spans="1:24" ht="16" thickBot="1" x14ac:dyDescent="0.4">
      <c r="A2" s="1" t="s">
        <v>0</v>
      </c>
      <c r="B2" s="2"/>
      <c r="C2" s="2"/>
      <c r="D2" s="2"/>
      <c r="E2" s="2"/>
      <c r="F2" s="2"/>
      <c r="G2" s="2"/>
      <c r="H2" s="146" t="s">
        <v>1</v>
      </c>
      <c r="I2" s="146"/>
      <c r="J2" s="146"/>
      <c r="K2" s="146"/>
      <c r="L2" s="146"/>
      <c r="M2" s="147"/>
      <c r="N2" s="91"/>
      <c r="O2" s="91"/>
      <c r="P2" s="91"/>
      <c r="Q2" s="91"/>
      <c r="R2" s="91"/>
      <c r="S2" s="91"/>
    </row>
    <row r="3" spans="1:24" ht="16" thickBot="1" x14ac:dyDescent="0.4">
      <c r="A3" s="3" t="s">
        <v>2</v>
      </c>
      <c r="B3" s="4"/>
      <c r="C3" s="4"/>
      <c r="D3" s="4"/>
      <c r="E3" s="4"/>
      <c r="F3" s="4"/>
      <c r="G3" s="4"/>
      <c r="H3" s="148" t="s">
        <v>142</v>
      </c>
      <c r="I3" s="144"/>
      <c r="J3" s="144"/>
      <c r="K3" s="144"/>
      <c r="L3" s="144"/>
      <c r="M3" s="145"/>
      <c r="N3" s="91"/>
      <c r="O3" s="91"/>
      <c r="P3" s="91"/>
      <c r="Q3" s="91"/>
      <c r="R3" s="91"/>
      <c r="S3" s="91"/>
    </row>
    <row r="4" spans="1:24" ht="16" thickBot="1" x14ac:dyDescent="0.4">
      <c r="A4" s="3" t="s">
        <v>3</v>
      </c>
      <c r="B4" s="4"/>
      <c r="C4" s="4"/>
      <c r="D4" s="4"/>
      <c r="E4" s="4"/>
      <c r="F4" s="4"/>
      <c r="G4" s="4"/>
      <c r="H4" s="144" t="s">
        <v>4</v>
      </c>
      <c r="I4" s="144"/>
      <c r="J4" s="144"/>
      <c r="K4" s="144"/>
      <c r="L4" s="144"/>
      <c r="M4" s="145"/>
      <c r="N4" s="91"/>
      <c r="O4" s="91"/>
      <c r="P4" s="91"/>
      <c r="Q4" s="91"/>
      <c r="R4" s="91"/>
      <c r="S4" s="91"/>
    </row>
    <row r="5" spans="1:24" ht="28" customHeight="1" thickBot="1" x14ac:dyDescent="0.4">
      <c r="A5" s="3" t="s">
        <v>5</v>
      </c>
      <c r="B5" s="4"/>
      <c r="C5" s="4"/>
      <c r="D5" s="4"/>
      <c r="E5" s="4"/>
      <c r="F5" s="4"/>
      <c r="G5" s="4"/>
      <c r="H5" s="144" t="s">
        <v>137</v>
      </c>
      <c r="I5" s="144"/>
      <c r="J5" s="144"/>
      <c r="K5" s="144"/>
      <c r="L5" s="144"/>
      <c r="M5" s="145"/>
      <c r="N5" s="91"/>
      <c r="O5" s="91"/>
      <c r="P5" s="91"/>
      <c r="Q5" s="91"/>
      <c r="R5" s="91"/>
      <c r="S5" s="91"/>
    </row>
    <row r="6" spans="1:24" ht="23" customHeight="1" thickBot="1" x14ac:dyDescent="0.4">
      <c r="A6" s="3" t="s">
        <v>140</v>
      </c>
      <c r="B6" s="4"/>
      <c r="C6" s="4"/>
      <c r="D6" s="4"/>
      <c r="E6" s="4"/>
      <c r="F6" s="4"/>
      <c r="G6" s="4"/>
      <c r="H6" s="144" t="s">
        <v>141</v>
      </c>
      <c r="I6" s="144"/>
      <c r="J6" s="144"/>
      <c r="K6" s="144"/>
      <c r="L6" s="144"/>
      <c r="M6" s="145"/>
      <c r="N6" s="91"/>
      <c r="O6" s="91"/>
      <c r="P6" s="91"/>
      <c r="Q6" s="91"/>
      <c r="R6" s="91"/>
      <c r="S6" s="91"/>
    </row>
    <row r="7" spans="1:24" ht="16" thickBot="1" x14ac:dyDescent="0.4">
      <c r="A7" s="3" t="s">
        <v>6</v>
      </c>
      <c r="B7" s="4"/>
      <c r="C7" s="4"/>
      <c r="D7" s="4"/>
      <c r="E7" s="4"/>
      <c r="F7" s="4"/>
      <c r="G7" s="4"/>
      <c r="H7" s="144" t="s">
        <v>138</v>
      </c>
      <c r="I7" s="144"/>
      <c r="J7" s="144"/>
      <c r="K7" s="144"/>
      <c r="L7" s="144"/>
      <c r="M7" s="145"/>
      <c r="N7" s="91"/>
      <c r="O7" s="91"/>
      <c r="P7" s="91"/>
      <c r="Q7" s="91"/>
      <c r="R7" s="91"/>
      <c r="S7" s="91"/>
    </row>
    <row r="8" spans="1:24" ht="16" thickBot="1" x14ac:dyDescent="0.4">
      <c r="A8" s="3" t="s">
        <v>7</v>
      </c>
      <c r="B8" s="4"/>
      <c r="C8" s="4"/>
      <c r="D8" s="4"/>
      <c r="E8" s="4"/>
      <c r="F8" s="4"/>
      <c r="G8" s="4"/>
      <c r="H8" s="144" t="s">
        <v>139</v>
      </c>
      <c r="I8" s="144"/>
      <c r="J8" s="144"/>
      <c r="K8" s="144"/>
      <c r="L8" s="144"/>
      <c r="M8" s="145"/>
      <c r="N8" s="91"/>
      <c r="O8" s="91"/>
      <c r="P8" s="91"/>
      <c r="Q8" s="91"/>
      <c r="R8" s="91"/>
      <c r="S8" s="91"/>
    </row>
    <row r="9" spans="1:24" ht="16" thickBot="1" x14ac:dyDescent="0.4">
      <c r="A9" s="3" t="s">
        <v>8</v>
      </c>
      <c r="B9" s="5"/>
      <c r="C9" s="5"/>
      <c r="D9" s="5"/>
      <c r="E9" s="5"/>
      <c r="F9" s="5"/>
      <c r="G9" s="5"/>
      <c r="H9" s="151" t="s">
        <v>149</v>
      </c>
      <c r="I9" s="152"/>
      <c r="J9" s="152"/>
      <c r="K9" s="152"/>
      <c r="L9" s="152"/>
      <c r="M9" s="153"/>
      <c r="N9" s="91"/>
      <c r="O9" s="91"/>
      <c r="P9" s="91"/>
      <c r="Q9" s="91"/>
      <c r="R9" s="91"/>
      <c r="S9" s="91"/>
    </row>
    <row r="10" spans="1:24" ht="15" thickBot="1" x14ac:dyDescent="0.4"/>
    <row r="11" spans="1:24" ht="15" customHeight="1" thickBot="1" x14ac:dyDescent="0.4">
      <c r="A11" s="154" t="s">
        <v>9</v>
      </c>
      <c r="B11" s="156" t="s">
        <v>10</v>
      </c>
      <c r="C11" s="157"/>
      <c r="D11" s="158"/>
      <c r="E11" s="159" t="s">
        <v>11</v>
      </c>
      <c r="F11" s="6"/>
      <c r="G11" s="159" t="s">
        <v>12</v>
      </c>
      <c r="H11" s="159" t="s">
        <v>13</v>
      </c>
      <c r="I11" s="159" t="s">
        <v>14</v>
      </c>
      <c r="J11" s="159" t="s">
        <v>148</v>
      </c>
      <c r="K11" s="159" t="s">
        <v>15</v>
      </c>
      <c r="L11" s="159" t="s">
        <v>16</v>
      </c>
      <c r="M11" s="149" t="s">
        <v>17</v>
      </c>
      <c r="N11" s="92"/>
      <c r="O11" s="92"/>
      <c r="P11" s="92"/>
      <c r="Q11" s="92"/>
      <c r="R11" s="92"/>
      <c r="S11" s="92"/>
    </row>
    <row r="12" spans="1:24" ht="15" thickBot="1" x14ac:dyDescent="0.4">
      <c r="A12" s="155"/>
      <c r="B12" s="7" t="s">
        <v>18</v>
      </c>
      <c r="C12" s="7" t="s">
        <v>19</v>
      </c>
      <c r="D12" s="7" t="s">
        <v>20</v>
      </c>
      <c r="E12" s="160"/>
      <c r="F12" s="8"/>
      <c r="G12" s="160"/>
      <c r="H12" s="160"/>
      <c r="I12" s="160"/>
      <c r="J12" s="160"/>
      <c r="K12" s="160"/>
      <c r="L12" s="160"/>
      <c r="M12" s="150"/>
      <c r="N12" s="92"/>
      <c r="O12" s="92"/>
      <c r="P12" s="92"/>
      <c r="Q12" s="92"/>
      <c r="R12" s="92"/>
      <c r="S12" s="92"/>
    </row>
    <row r="13" spans="1:24" ht="15" thickBot="1" x14ac:dyDescent="0.4">
      <c r="A13" s="9" t="s">
        <v>21</v>
      </c>
      <c r="B13" s="10">
        <f>'[1]Budget PBF'!C66*35%</f>
        <v>76514.781358952954</v>
      </c>
      <c r="C13" s="10">
        <f>'[1]Budget PBF'!C66*35%</f>
        <v>76514.781358952954</v>
      </c>
      <c r="D13" s="10">
        <f>+'[1]Budget PBF'!C66*0.3</f>
        <v>65584.098307673965</v>
      </c>
      <c r="E13" s="10">
        <f>+B13</f>
        <v>76514.781358952954</v>
      </c>
      <c r="F13" s="10">
        <f>+C13</f>
        <v>76514.781358952954</v>
      </c>
      <c r="G13" s="10">
        <f>+D13</f>
        <v>65584.098307673965</v>
      </c>
      <c r="H13" s="96">
        <v>299862.38</v>
      </c>
      <c r="I13" s="11">
        <v>40373.449999999997</v>
      </c>
      <c r="J13" s="11">
        <v>42374.489999999976</v>
      </c>
      <c r="K13" s="11">
        <f>SUM(I13:J13)</f>
        <v>82747.939999999973</v>
      </c>
      <c r="L13" s="11">
        <f t="shared" ref="L13:L21" si="0">H13-K13</f>
        <v>217114.44000000003</v>
      </c>
      <c r="M13" s="85">
        <f>K13/H13</f>
        <v>0.27595305553167415</v>
      </c>
      <c r="N13" s="93"/>
      <c r="O13" s="93"/>
      <c r="P13" s="93"/>
      <c r="Q13" s="93"/>
      <c r="R13" s="93"/>
      <c r="S13" s="93"/>
      <c r="U13" t="s">
        <v>31</v>
      </c>
      <c r="V13" t="s">
        <v>130</v>
      </c>
      <c r="W13" t="s">
        <v>32</v>
      </c>
      <c r="X13" t="s">
        <v>33</v>
      </c>
    </row>
    <row r="14" spans="1:24" ht="26.5" thickBot="1" x14ac:dyDescent="0.4">
      <c r="A14" s="12" t="s">
        <v>22</v>
      </c>
      <c r="B14" s="13"/>
      <c r="C14" s="13"/>
      <c r="D14" s="13"/>
      <c r="E14" s="13">
        <f t="shared" ref="E14:F19" si="1">+B14</f>
        <v>0</v>
      </c>
      <c r="F14" s="13"/>
      <c r="G14" s="13">
        <f t="shared" ref="G14:G19" si="2">+D14</f>
        <v>0</v>
      </c>
      <c r="H14" s="97">
        <v>0</v>
      </c>
      <c r="I14" s="14"/>
      <c r="J14" s="14"/>
      <c r="K14" s="14">
        <f t="shared" ref="K14:K22" si="3">SUM(I14:J14)</f>
        <v>0</v>
      </c>
      <c r="L14" s="14">
        <f t="shared" si="0"/>
        <v>0</v>
      </c>
      <c r="M14" s="16"/>
      <c r="N14" s="94"/>
      <c r="O14" s="94"/>
      <c r="P14" s="94"/>
      <c r="Q14" s="94"/>
      <c r="R14" s="94"/>
      <c r="S14" s="94"/>
    </row>
    <row r="15" spans="1:24" ht="26.5" thickBot="1" x14ac:dyDescent="0.4">
      <c r="A15" s="17" t="s">
        <v>23</v>
      </c>
      <c r="B15" s="18">
        <f>'[1]Personnel et Coût opérationnel'!F35*35%</f>
        <v>17640</v>
      </c>
      <c r="C15" s="18">
        <f>'[1]Personnel et Coût opérationnel'!F35*35%</f>
        <v>17640</v>
      </c>
      <c r="D15" s="18">
        <f>'[1]Personnel et Coût opérationnel'!F35*30%</f>
        <v>15120</v>
      </c>
      <c r="E15" s="18">
        <f t="shared" si="1"/>
        <v>17640</v>
      </c>
      <c r="F15" s="18">
        <f t="shared" si="1"/>
        <v>17640</v>
      </c>
      <c r="G15" s="18">
        <f t="shared" si="2"/>
        <v>15120</v>
      </c>
      <c r="H15" s="96">
        <v>20950.909090909096</v>
      </c>
      <c r="I15" s="11">
        <v>5360.06</v>
      </c>
      <c r="J15" s="11">
        <v>2710.75</v>
      </c>
      <c r="K15" s="11">
        <f t="shared" si="3"/>
        <v>8070.81</v>
      </c>
      <c r="L15" s="11">
        <f t="shared" si="0"/>
        <v>12880.099090909094</v>
      </c>
      <c r="M15" s="85">
        <f>K15/H15</f>
        <v>0.38522481124707103</v>
      </c>
      <c r="N15" s="93"/>
      <c r="O15" s="93"/>
      <c r="P15" s="93"/>
      <c r="Q15" s="93"/>
      <c r="R15" s="93"/>
      <c r="S15" s="93"/>
      <c r="U15" t="s">
        <v>131</v>
      </c>
    </row>
    <row r="16" spans="1:24" ht="15" thickBot="1" x14ac:dyDescent="0.4">
      <c r="A16" s="12" t="s">
        <v>24</v>
      </c>
      <c r="B16" s="13"/>
      <c r="C16" s="13"/>
      <c r="D16" s="13"/>
      <c r="E16" s="13">
        <f t="shared" si="1"/>
        <v>0</v>
      </c>
      <c r="F16" s="13"/>
      <c r="G16" s="13">
        <f t="shared" si="2"/>
        <v>0</v>
      </c>
      <c r="H16" s="15">
        <v>0</v>
      </c>
      <c r="I16" s="15"/>
      <c r="J16" s="15"/>
      <c r="K16" s="14">
        <f t="shared" si="3"/>
        <v>0</v>
      </c>
      <c r="L16" s="14">
        <f t="shared" si="0"/>
        <v>0</v>
      </c>
      <c r="M16" s="14"/>
      <c r="N16" s="95"/>
      <c r="O16" s="95"/>
      <c r="P16" s="95"/>
      <c r="Q16" s="95"/>
      <c r="R16" s="95"/>
      <c r="S16" s="95"/>
    </row>
    <row r="17" spans="1:23" ht="26.5" thickBot="1" x14ac:dyDescent="0.4">
      <c r="A17" s="17" t="s">
        <v>25</v>
      </c>
      <c r="B17" s="18">
        <f>'[1]Budget PBF'!C68*35%</f>
        <v>26073.409090909088</v>
      </c>
      <c r="C17" s="18">
        <f>'[1]Budget PBF'!C68*35%</f>
        <v>26073.409090909088</v>
      </c>
      <c r="D17" s="18">
        <f>'[1]Budget PBF'!C68*30%</f>
        <v>22348.636363636364</v>
      </c>
      <c r="E17" s="18">
        <f t="shared" si="1"/>
        <v>26073.409090909088</v>
      </c>
      <c r="F17" s="18">
        <f t="shared" si="1"/>
        <v>26073.409090909088</v>
      </c>
      <c r="G17" s="18">
        <f t="shared" si="2"/>
        <v>22348.636363636364</v>
      </c>
      <c r="H17" s="89">
        <v>103500</v>
      </c>
      <c r="I17" s="11">
        <v>31786.42</v>
      </c>
      <c r="J17" s="11">
        <v>14071.25</v>
      </c>
      <c r="K17" s="11">
        <f t="shared" si="3"/>
        <v>45857.67</v>
      </c>
      <c r="L17" s="11">
        <f t="shared" si="0"/>
        <v>57642.33</v>
      </c>
      <c r="M17" s="85">
        <f>K17/H17</f>
        <v>0.44306927536231883</v>
      </c>
      <c r="N17" s="93"/>
      <c r="O17" s="93"/>
      <c r="P17" s="93"/>
      <c r="Q17" s="93"/>
      <c r="R17" s="93"/>
      <c r="S17" s="93"/>
      <c r="U17" t="s">
        <v>132</v>
      </c>
      <c r="V17" t="s">
        <v>133</v>
      </c>
      <c r="W17" t="s">
        <v>134</v>
      </c>
    </row>
    <row r="18" spans="1:23" ht="26.5" thickBot="1" x14ac:dyDescent="0.4">
      <c r="A18" s="17" t="s">
        <v>26</v>
      </c>
      <c r="B18" s="19">
        <f>('[1]Budget PBF'!C32+'[1]Budget PBF'!C47)*35%+60134</f>
        <v>232767.35122727277</v>
      </c>
      <c r="C18" s="18">
        <f>('[1]Budget PBF'!C32+'[1]Budget PBF'!C47)*35%+60134</f>
        <v>232767.35122727277</v>
      </c>
      <c r="D18" s="18">
        <f>('[1]Budget PBF'!C32+'[1]Budget PBF'!C47)*30%+51543</f>
        <v>199514.44390909094</v>
      </c>
      <c r="E18" s="18">
        <f t="shared" si="1"/>
        <v>232767.35122727277</v>
      </c>
      <c r="F18" s="18">
        <f t="shared" si="1"/>
        <v>232767.35122727277</v>
      </c>
      <c r="G18" s="18">
        <f t="shared" si="2"/>
        <v>199514.44390909094</v>
      </c>
      <c r="H18" s="96">
        <v>662408.51818181819</v>
      </c>
      <c r="I18" s="11">
        <v>85712.35</v>
      </c>
      <c r="J18" s="11">
        <v>95685.38999999997</v>
      </c>
      <c r="K18" s="11">
        <f t="shared" si="3"/>
        <v>181397.74</v>
      </c>
      <c r="L18" s="11">
        <f t="shared" si="0"/>
        <v>481010.7781818182</v>
      </c>
      <c r="M18" s="85">
        <f>K18/H18</f>
        <v>0.27384572362973425</v>
      </c>
      <c r="N18" s="93"/>
      <c r="O18" s="93"/>
      <c r="P18" s="93"/>
      <c r="Q18" s="93"/>
      <c r="R18" s="93"/>
      <c r="S18" s="93"/>
      <c r="U18" t="s">
        <v>145</v>
      </c>
    </row>
    <row r="19" spans="1:23" ht="26.5" thickBot="1" x14ac:dyDescent="0.4">
      <c r="A19" s="17" t="s">
        <v>27</v>
      </c>
      <c r="B19" s="18">
        <f>'[1]Personnel et Coût opérationnel'!F28*35%</f>
        <v>6817.6481416672677</v>
      </c>
      <c r="C19" s="18">
        <f>'[1]Personnel et Coût opérationnel'!F28*35%</f>
        <v>6817.6481416672677</v>
      </c>
      <c r="D19" s="18">
        <f>'[1]Personnel et Coût opérationnel'!F28*30%</f>
        <v>5843.6984071433726</v>
      </c>
      <c r="E19" s="18">
        <f t="shared" si="1"/>
        <v>6817.6481416672677</v>
      </c>
      <c r="F19" s="18">
        <f t="shared" si="1"/>
        <v>6817.6481416672677</v>
      </c>
      <c r="G19" s="18">
        <f t="shared" si="2"/>
        <v>5843.6984071433726</v>
      </c>
      <c r="H19" s="96">
        <v>83934.269727272738</v>
      </c>
      <c r="I19" s="11">
        <v>12659.85</v>
      </c>
      <c r="J19" s="11">
        <v>11290.05</v>
      </c>
      <c r="K19" s="11">
        <f t="shared" si="3"/>
        <v>23949.9</v>
      </c>
      <c r="L19" s="11">
        <f t="shared" si="0"/>
        <v>59984.369727272737</v>
      </c>
      <c r="M19" s="85">
        <f>K19/H19</f>
        <v>0.2853411375093905</v>
      </c>
      <c r="N19" s="93"/>
      <c r="O19" s="93"/>
      <c r="P19" s="93"/>
      <c r="Q19" s="93"/>
      <c r="R19" s="93"/>
      <c r="S19" s="93"/>
      <c r="U19" t="s">
        <v>34</v>
      </c>
      <c r="V19" t="s">
        <v>135</v>
      </c>
      <c r="W19" t="s">
        <v>136</v>
      </c>
    </row>
    <row r="20" spans="1:23" ht="15" thickBot="1" x14ac:dyDescent="0.4">
      <c r="A20" s="20" t="s">
        <v>28</v>
      </c>
      <c r="B20" s="21">
        <f t="shared" ref="B20:F20" si="4">SUM(B13:B19)</f>
        <v>359813.18981880206</v>
      </c>
      <c r="C20" s="21">
        <f>SUM(C13:C19)</f>
        <v>359813.18981880206</v>
      </c>
      <c r="D20" s="21">
        <f t="shared" si="4"/>
        <v>308410.87698754465</v>
      </c>
      <c r="E20" s="21">
        <f t="shared" si="4"/>
        <v>359813.18981880206</v>
      </c>
      <c r="F20" s="21">
        <f t="shared" si="4"/>
        <v>359813.18981880206</v>
      </c>
      <c r="G20" s="21">
        <f>SUM(G13:G19)</f>
        <v>308410.87698754465</v>
      </c>
      <c r="H20" s="22">
        <f>SUM(H13:H19)</f>
        <v>1170656.077</v>
      </c>
      <c r="I20" s="22">
        <f>SUM(I13:I19)</f>
        <v>175892.13</v>
      </c>
      <c r="J20" s="22">
        <f>SUM(J13:J19)</f>
        <v>166131.92999999993</v>
      </c>
      <c r="K20" s="133">
        <f t="shared" si="3"/>
        <v>342024.05999999994</v>
      </c>
      <c r="L20" s="22">
        <f t="shared" si="0"/>
        <v>828632.01700000011</v>
      </c>
      <c r="M20" s="86">
        <f>+K20/H20</f>
        <v>0.29216442533360709</v>
      </c>
      <c r="N20" s="93"/>
      <c r="O20" s="93"/>
      <c r="P20" s="93"/>
      <c r="Q20" s="93"/>
      <c r="R20" s="93"/>
      <c r="S20" s="93"/>
    </row>
    <row r="21" spans="1:23" ht="15" thickBot="1" x14ac:dyDescent="0.4">
      <c r="A21" s="17" t="s">
        <v>29</v>
      </c>
      <c r="B21" s="18">
        <f>+B20*7%</f>
        <v>25186.923287316145</v>
      </c>
      <c r="C21" s="18">
        <f>+C20*7%</f>
        <v>25186.923287316145</v>
      </c>
      <c r="D21" s="18">
        <f>+D20*7%</f>
        <v>21588.761389128129</v>
      </c>
      <c r="E21" s="18">
        <f>+B21</f>
        <v>25186.923287316145</v>
      </c>
      <c r="F21" s="18">
        <f>+C21</f>
        <v>25186.923287316145</v>
      </c>
      <c r="G21" s="18">
        <f>+D21</f>
        <v>21588.761389128129</v>
      </c>
      <c r="H21" s="84">
        <f>H20*7%</f>
        <v>81945.925390000004</v>
      </c>
      <c r="I21" s="23">
        <v>12312</v>
      </c>
      <c r="J21" s="111">
        <f>J20*7%</f>
        <v>11629.235099999996</v>
      </c>
      <c r="K21" s="112">
        <f t="shared" si="3"/>
        <v>23941.235099999998</v>
      </c>
      <c r="L21" s="11">
        <f t="shared" si="0"/>
        <v>58004.690290000006</v>
      </c>
      <c r="M21" s="85">
        <f>K21/H21</f>
        <v>0.29215894489027988</v>
      </c>
      <c r="N21" s="93"/>
      <c r="O21" s="93"/>
      <c r="P21" s="93"/>
      <c r="Q21" s="93"/>
      <c r="R21" s="93"/>
      <c r="S21" s="93"/>
    </row>
    <row r="22" spans="1:23" ht="15" thickBot="1" x14ac:dyDescent="0.4">
      <c r="A22" s="24" t="s">
        <v>30</v>
      </c>
      <c r="B22" s="25">
        <f t="shared" ref="B22:G22" si="5">+B20+B21</f>
        <v>385000.11310611822</v>
      </c>
      <c r="C22" s="25">
        <f t="shared" si="5"/>
        <v>385000.11310611822</v>
      </c>
      <c r="D22" s="25">
        <f t="shared" si="5"/>
        <v>329999.63837667275</v>
      </c>
      <c r="E22" s="25">
        <f t="shared" si="5"/>
        <v>385000.11310611822</v>
      </c>
      <c r="F22" s="25">
        <f t="shared" si="5"/>
        <v>385000.11310611822</v>
      </c>
      <c r="G22" s="25">
        <f t="shared" si="5"/>
        <v>329999.63837667275</v>
      </c>
      <c r="H22" s="26">
        <f>H20+H21</f>
        <v>1252602.00239</v>
      </c>
      <c r="I22" s="26">
        <f>I20+I21</f>
        <v>188204.13</v>
      </c>
      <c r="J22" s="26">
        <f>J20+J21</f>
        <v>177761.16509999993</v>
      </c>
      <c r="K22" s="26">
        <f t="shared" si="3"/>
        <v>365965.29509999993</v>
      </c>
      <c r="L22" s="26">
        <f>L20+L21</f>
        <v>886636.70729000017</v>
      </c>
      <c r="M22" s="86">
        <f>K22/H22</f>
        <v>0.29216406679993151</v>
      </c>
      <c r="N22" s="93"/>
      <c r="O22" s="93"/>
      <c r="P22" s="93"/>
      <c r="Q22" s="93"/>
      <c r="R22" s="93"/>
      <c r="S22" s="93"/>
    </row>
    <row r="23" spans="1:23" x14ac:dyDescent="0.35">
      <c r="H23" s="27"/>
    </row>
    <row r="24" spans="1:23" x14ac:dyDescent="0.35">
      <c r="H24" s="27"/>
      <c r="J24" s="135"/>
      <c r="K24" s="135"/>
    </row>
    <row r="25" spans="1:23" x14ac:dyDescent="0.35">
      <c r="H25" s="27"/>
    </row>
    <row r="26" spans="1:23" x14ac:dyDescent="0.35">
      <c r="H26" s="27"/>
    </row>
  </sheetData>
  <mergeCells count="18">
    <mergeCell ref="M11:M12"/>
    <mergeCell ref="H9:M9"/>
    <mergeCell ref="A11:A12"/>
    <mergeCell ref="B11:D11"/>
    <mergeCell ref="E11:E12"/>
    <mergeCell ref="G11:G12"/>
    <mergeCell ref="H11:H12"/>
    <mergeCell ref="I11:I12"/>
    <mergeCell ref="K11:K12"/>
    <mergeCell ref="L11:L12"/>
    <mergeCell ref="J11:J12"/>
    <mergeCell ref="H8:M8"/>
    <mergeCell ref="H2:M2"/>
    <mergeCell ref="H3:M3"/>
    <mergeCell ref="H4:M4"/>
    <mergeCell ref="H5:M5"/>
    <mergeCell ref="H7:M7"/>
    <mergeCell ref="H6:M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tabSelected="1" topLeftCell="A49" zoomScale="60" zoomScaleNormal="60" zoomScaleSheetLayoutView="68" workbookViewId="0">
      <selection activeCell="I13" sqref="I13"/>
    </sheetView>
  </sheetViews>
  <sheetFormatPr baseColWidth="10" defaultColWidth="9.1796875" defaultRowHeight="14.5" x14ac:dyDescent="0.35"/>
  <cols>
    <col min="1" max="1" width="27.1796875" customWidth="1"/>
    <col min="2" max="2" width="63.1796875" customWidth="1"/>
    <col min="3" max="3" width="25.54296875" customWidth="1"/>
    <col min="4" max="7" width="18.6328125" customWidth="1"/>
    <col min="8" max="8" width="15.1796875" customWidth="1"/>
    <col min="9" max="9" width="16" customWidth="1"/>
    <col min="10" max="10" width="23.26953125" customWidth="1"/>
    <col min="11" max="11" width="19.1796875" customWidth="1"/>
  </cols>
  <sheetData>
    <row r="1" spans="1:11" ht="21" x14ac:dyDescent="0.5">
      <c r="A1" s="28" t="s">
        <v>35</v>
      </c>
      <c r="B1" s="29"/>
    </row>
    <row r="2" spans="1:11" ht="15.5" x14ac:dyDescent="0.35">
      <c r="A2" s="30"/>
      <c r="B2" s="30"/>
    </row>
    <row r="3" spans="1:11" ht="15.5" x14ac:dyDescent="0.35">
      <c r="A3" s="30" t="s">
        <v>36</v>
      </c>
      <c r="B3" s="30"/>
    </row>
    <row r="5" spans="1:11" ht="15.5" x14ac:dyDescent="0.35">
      <c r="A5" s="30" t="s">
        <v>37</v>
      </c>
    </row>
    <row r="6" spans="1:11" ht="15" thickBot="1" x14ac:dyDescent="0.4"/>
    <row r="7" spans="1:11" ht="75" x14ac:dyDescent="0.35">
      <c r="A7" s="31" t="s">
        <v>38</v>
      </c>
      <c r="B7" s="32" t="s">
        <v>39</v>
      </c>
      <c r="C7" s="32" t="s">
        <v>40</v>
      </c>
      <c r="D7" s="32" t="s">
        <v>143</v>
      </c>
      <c r="E7" s="32" t="s">
        <v>146</v>
      </c>
      <c r="F7" s="32" t="s">
        <v>147</v>
      </c>
      <c r="G7" s="132" t="s">
        <v>144</v>
      </c>
      <c r="H7" s="32" t="s">
        <v>16</v>
      </c>
      <c r="I7" s="32" t="s">
        <v>17</v>
      </c>
      <c r="J7" s="32" t="s">
        <v>41</v>
      </c>
      <c r="K7" s="32" t="s">
        <v>42</v>
      </c>
    </row>
    <row r="8" spans="1:11" ht="38.75" customHeight="1" x14ac:dyDescent="0.35">
      <c r="A8" s="161" t="s">
        <v>43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37.25" customHeight="1" x14ac:dyDescent="0.35">
      <c r="A9" s="163" t="s">
        <v>44</v>
      </c>
      <c r="B9" s="164"/>
      <c r="C9" s="98">
        <f>SUM(C10:C13)</f>
        <v>95000</v>
      </c>
      <c r="D9" s="33">
        <f t="shared" ref="D9:F9" si="0">SUM(D10:D13)</f>
        <v>0</v>
      </c>
      <c r="E9" s="33">
        <f t="shared" si="0"/>
        <v>13616.79128524461</v>
      </c>
      <c r="F9" s="33">
        <f t="shared" si="0"/>
        <v>20014.849999999969</v>
      </c>
      <c r="G9" s="33">
        <f>SUM(D9:F9)</f>
        <v>33631.641285244579</v>
      </c>
      <c r="H9" s="33">
        <f>C9-G9</f>
        <v>61368.358714755421</v>
      </c>
      <c r="I9" s="76">
        <f>G9/C9</f>
        <v>0.35401727668678507</v>
      </c>
      <c r="J9" s="34"/>
      <c r="K9" s="35"/>
    </row>
    <row r="10" spans="1:11" ht="23.4" customHeight="1" x14ac:dyDescent="0.35">
      <c r="A10" s="37" t="s">
        <v>45</v>
      </c>
      <c r="B10" s="38" t="s">
        <v>46</v>
      </c>
      <c r="C10" s="99">
        <v>20000</v>
      </c>
      <c r="D10" s="39"/>
      <c r="E10" s="143">
        <v>6981.8648098287367</v>
      </c>
      <c r="F10" s="143">
        <v>9676.9899999999798</v>
      </c>
      <c r="G10" s="33">
        <f t="shared" ref="G10:G61" si="1">SUM(D10:F10)</f>
        <v>16658.854809828717</v>
      </c>
      <c r="H10" s="39">
        <f>C10-G10</f>
        <v>3341.1451901712826</v>
      </c>
      <c r="I10" s="131">
        <f>G10/C10</f>
        <v>0.83294274049143591</v>
      </c>
      <c r="J10" s="40">
        <v>0.4</v>
      </c>
      <c r="K10" s="41"/>
    </row>
    <row r="11" spans="1:11" ht="46.5" x14ac:dyDescent="0.35">
      <c r="A11" s="37" t="s">
        <v>47</v>
      </c>
      <c r="B11" s="38" t="s">
        <v>48</v>
      </c>
      <c r="C11" s="99">
        <v>50000</v>
      </c>
      <c r="D11" s="39"/>
      <c r="E11" s="143">
        <v>5172.2830112779129</v>
      </c>
      <c r="F11" s="143">
        <v>-2468.0200000000009</v>
      </c>
      <c r="G11" s="33">
        <f t="shared" si="1"/>
        <v>2704.263011277912</v>
      </c>
      <c r="H11" s="39">
        <f>C11-G11</f>
        <v>47295.736988722085</v>
      </c>
      <c r="I11" s="131">
        <f>G11/C11</f>
        <v>5.4085260225558242E-2</v>
      </c>
      <c r="J11" s="40">
        <v>1</v>
      </c>
      <c r="K11" s="41"/>
    </row>
    <row r="12" spans="1:11" ht="46.5" x14ac:dyDescent="0.35">
      <c r="A12" s="37" t="s">
        <v>49</v>
      </c>
      <c r="B12" s="38" t="s">
        <v>50</v>
      </c>
      <c r="C12" s="99">
        <v>15000</v>
      </c>
      <c r="D12" s="39"/>
      <c r="E12" s="143">
        <v>1462.6434641379592</v>
      </c>
      <c r="F12" s="143">
        <v>12805.879999999992</v>
      </c>
      <c r="G12" s="33">
        <f t="shared" si="1"/>
        <v>14268.52346413795</v>
      </c>
      <c r="H12" s="39">
        <f>C12-G12</f>
        <v>731.47653586204979</v>
      </c>
      <c r="I12" s="131">
        <f>G12/C12</f>
        <v>0.95123489760919666</v>
      </c>
      <c r="J12" s="40">
        <v>0.8</v>
      </c>
      <c r="K12" s="41"/>
    </row>
    <row r="13" spans="1:11" s="46" customFormat="1" ht="31" x14ac:dyDescent="0.35">
      <c r="A13" s="37" t="s">
        <v>51</v>
      </c>
      <c r="B13" s="42" t="s">
        <v>52</v>
      </c>
      <c r="C13" s="100">
        <v>10000</v>
      </c>
      <c r="D13" s="43"/>
      <c r="E13" s="143"/>
      <c r="F13" s="143"/>
      <c r="G13" s="33">
        <f t="shared" si="1"/>
        <v>0</v>
      </c>
      <c r="H13" s="43">
        <f>C13-G13</f>
        <v>10000</v>
      </c>
      <c r="I13" s="122">
        <f>G13/C13</f>
        <v>0</v>
      </c>
      <c r="J13" s="44">
        <v>0.5</v>
      </c>
      <c r="K13" s="45"/>
    </row>
    <row r="14" spans="1:11" ht="20.75" customHeight="1" x14ac:dyDescent="0.35">
      <c r="A14" s="47"/>
      <c r="B14" s="38"/>
      <c r="C14" s="99"/>
      <c r="D14" s="39"/>
      <c r="E14" s="143"/>
      <c r="F14" s="143"/>
      <c r="G14" s="33">
        <f t="shared" si="1"/>
        <v>0</v>
      </c>
      <c r="H14" s="39"/>
      <c r="I14" s="123"/>
      <c r="J14" s="48"/>
      <c r="K14" s="41"/>
    </row>
    <row r="15" spans="1:11" ht="31.25" customHeight="1" x14ac:dyDescent="0.35">
      <c r="A15" s="49" t="s">
        <v>53</v>
      </c>
      <c r="B15" s="50" t="s">
        <v>54</v>
      </c>
      <c r="C15" s="101">
        <f>SUM(C16:C19)</f>
        <v>90000</v>
      </c>
      <c r="D15" s="51">
        <f t="shared" ref="D15:F15" si="2">SUM(D16:D19)</f>
        <v>0</v>
      </c>
      <c r="E15" s="51">
        <f t="shared" si="2"/>
        <v>26762.415466718834</v>
      </c>
      <c r="F15" s="51">
        <f t="shared" si="2"/>
        <v>22853.360521330316</v>
      </c>
      <c r="G15" s="33">
        <f t="shared" si="1"/>
        <v>49615.77598804915</v>
      </c>
      <c r="H15" s="51">
        <f>C15-G15</f>
        <v>40384.22401195085</v>
      </c>
      <c r="I15" s="124">
        <f>G15/C15</f>
        <v>0.55128639986721273</v>
      </c>
      <c r="J15" s="48"/>
      <c r="K15" s="52"/>
    </row>
    <row r="16" spans="1:11" ht="31" x14ac:dyDescent="0.35">
      <c r="A16" s="47" t="s">
        <v>55</v>
      </c>
      <c r="B16" s="38" t="s">
        <v>56</v>
      </c>
      <c r="C16" s="102">
        <v>17500</v>
      </c>
      <c r="D16" s="41"/>
      <c r="E16" s="130">
        <v>9883.1096348382307</v>
      </c>
      <c r="F16" s="130">
        <v>2049.2754638920187</v>
      </c>
      <c r="G16" s="33">
        <f t="shared" si="1"/>
        <v>11932.38509873025</v>
      </c>
      <c r="H16" s="41">
        <f>C16-G16</f>
        <v>5567.6149012697497</v>
      </c>
      <c r="I16" s="123">
        <f>G16/C16</f>
        <v>0.68185057707030006</v>
      </c>
      <c r="J16" s="40">
        <v>0.4</v>
      </c>
      <c r="K16" s="41"/>
    </row>
    <row r="17" spans="1:11" ht="31" x14ac:dyDescent="0.35">
      <c r="A17" s="47" t="s">
        <v>57</v>
      </c>
      <c r="B17" s="38" t="s">
        <v>58</v>
      </c>
      <c r="C17" s="102">
        <v>10000</v>
      </c>
      <c r="D17" s="41"/>
      <c r="E17" s="130">
        <v>7471.959727531912</v>
      </c>
      <c r="F17" s="130">
        <v>3182.397789300871</v>
      </c>
      <c r="G17" s="33">
        <f t="shared" si="1"/>
        <v>10654.357516832782</v>
      </c>
      <c r="H17" s="41">
        <f>C17-G17</f>
        <v>-654.35751683278249</v>
      </c>
      <c r="I17" s="128">
        <f>G17/C17</f>
        <v>1.0654357516832782</v>
      </c>
      <c r="J17" s="40">
        <v>0.4</v>
      </c>
      <c r="K17" s="41"/>
    </row>
    <row r="18" spans="1:11" ht="15.5" x14ac:dyDescent="0.35">
      <c r="A18" s="47" t="s">
        <v>59</v>
      </c>
      <c r="B18" s="38" t="s">
        <v>60</v>
      </c>
      <c r="C18" s="102">
        <v>25000</v>
      </c>
      <c r="D18" s="41"/>
      <c r="E18" s="130">
        <v>932.21437892473807</v>
      </c>
      <c r="F18" s="130">
        <v>11786.401306449839</v>
      </c>
      <c r="G18" s="33">
        <f t="shared" si="1"/>
        <v>12718.615685374578</v>
      </c>
      <c r="H18" s="41">
        <f>C18-G18</f>
        <v>12281.384314625422</v>
      </c>
      <c r="I18" s="123">
        <f>G18/C18</f>
        <v>0.50874462741498316</v>
      </c>
      <c r="J18" s="40">
        <v>0.5</v>
      </c>
      <c r="K18" s="41"/>
    </row>
    <row r="19" spans="1:11" ht="31" x14ac:dyDescent="0.35">
      <c r="A19" s="47" t="s">
        <v>61</v>
      </c>
      <c r="B19" s="42" t="s">
        <v>62</v>
      </c>
      <c r="C19" s="102">
        <v>37500</v>
      </c>
      <c r="D19" s="41"/>
      <c r="E19" s="130">
        <v>8475.131725423953</v>
      </c>
      <c r="F19" s="130">
        <v>5835.2859616875858</v>
      </c>
      <c r="G19" s="33">
        <f t="shared" si="1"/>
        <v>14310.417687111538</v>
      </c>
      <c r="H19" s="41">
        <f>C19-G19</f>
        <v>23189.582312888462</v>
      </c>
      <c r="I19" s="123">
        <f>G19/C19</f>
        <v>0.38161113832297433</v>
      </c>
      <c r="J19" s="40">
        <v>1</v>
      </c>
      <c r="K19" s="41"/>
    </row>
    <row r="20" spans="1:11" ht="15.5" x14ac:dyDescent="0.35">
      <c r="A20" s="47"/>
      <c r="B20" s="38"/>
      <c r="C20" s="103"/>
      <c r="D20" s="38"/>
      <c r="E20" s="38"/>
      <c r="F20" s="38"/>
      <c r="G20" s="33">
        <f t="shared" si="1"/>
        <v>0</v>
      </c>
      <c r="H20" s="38"/>
      <c r="I20" s="123"/>
      <c r="J20" s="48"/>
      <c r="K20" s="38"/>
    </row>
    <row r="21" spans="1:11" ht="30" x14ac:dyDescent="0.35">
      <c r="A21" s="49" t="s">
        <v>63</v>
      </c>
      <c r="B21" s="53" t="s">
        <v>64</v>
      </c>
      <c r="C21" s="104">
        <f>SUM(C22:C26)</f>
        <v>86000</v>
      </c>
      <c r="D21" s="54">
        <f t="shared" ref="D21:F21" si="3">SUM(D22:D26)</f>
        <v>0</v>
      </c>
      <c r="E21" s="54">
        <f t="shared" si="3"/>
        <v>13552.124848107436</v>
      </c>
      <c r="F21" s="54">
        <f t="shared" si="3"/>
        <v>24542.181457427771</v>
      </c>
      <c r="G21" s="33">
        <f t="shared" si="1"/>
        <v>38094.30630553521</v>
      </c>
      <c r="H21" s="54">
        <f t="shared" ref="H21:H33" si="4">C21-G21</f>
        <v>47905.69369446479</v>
      </c>
      <c r="I21" s="76">
        <f>G21/C21</f>
        <v>0.44295705006436292</v>
      </c>
      <c r="J21" s="34"/>
      <c r="K21" s="35"/>
    </row>
    <row r="22" spans="1:11" ht="31" x14ac:dyDescent="0.35">
      <c r="A22" s="47" t="s">
        <v>65</v>
      </c>
      <c r="B22" s="38" t="s">
        <v>66</v>
      </c>
      <c r="C22" s="102">
        <v>26000</v>
      </c>
      <c r="D22" s="41"/>
      <c r="E22" s="130">
        <v>10644.009178449494</v>
      </c>
      <c r="F22" s="130">
        <v>11752.279999999999</v>
      </c>
      <c r="G22" s="33">
        <f t="shared" si="1"/>
        <v>22396.289178449493</v>
      </c>
      <c r="H22" s="41">
        <f t="shared" si="4"/>
        <v>3603.7108215505068</v>
      </c>
      <c r="I22" s="123">
        <f>G22/C22</f>
        <v>0.86139573763267285</v>
      </c>
      <c r="J22" s="40">
        <v>0.8</v>
      </c>
      <c r="K22" s="55"/>
    </row>
    <row r="23" spans="1:11" ht="31" x14ac:dyDescent="0.35">
      <c r="A23" s="47" t="s">
        <v>67</v>
      </c>
      <c r="B23" s="38" t="s">
        <v>68</v>
      </c>
      <c r="C23" s="102">
        <v>15000</v>
      </c>
      <c r="D23" s="41"/>
      <c r="E23" s="130">
        <v>300.59451881736959</v>
      </c>
      <c r="F23" s="130">
        <v>7589.1799999999994</v>
      </c>
      <c r="G23" s="33">
        <f t="shared" si="1"/>
        <v>7889.7745188173685</v>
      </c>
      <c r="H23" s="41">
        <f t="shared" si="4"/>
        <v>7110.2254811826315</v>
      </c>
      <c r="I23" s="123">
        <f>G23/C23</f>
        <v>0.5259849679211579</v>
      </c>
      <c r="J23" s="40">
        <v>1</v>
      </c>
      <c r="K23" s="41"/>
    </row>
    <row r="24" spans="1:11" ht="31" x14ac:dyDescent="0.35">
      <c r="A24" s="47" t="s">
        <v>69</v>
      </c>
      <c r="B24" s="38" t="s">
        <v>70</v>
      </c>
      <c r="C24" s="102">
        <v>15000</v>
      </c>
      <c r="D24" s="41"/>
      <c r="E24" s="130">
        <v>2607.5211508405719</v>
      </c>
      <c r="F24" s="130">
        <v>5200.7214574277723</v>
      </c>
      <c r="G24" s="33">
        <f t="shared" si="1"/>
        <v>7808.2426082683442</v>
      </c>
      <c r="H24" s="41">
        <f t="shared" si="4"/>
        <v>7191.7573917316558</v>
      </c>
      <c r="I24" s="123">
        <f>G24/C24</f>
        <v>0.52054950721788962</v>
      </c>
      <c r="J24" s="40">
        <v>0.5</v>
      </c>
      <c r="K24" s="41"/>
    </row>
    <row r="25" spans="1:11" ht="31" x14ac:dyDescent="0.35">
      <c r="A25" s="47" t="s">
        <v>71</v>
      </c>
      <c r="B25" s="38" t="s">
        <v>72</v>
      </c>
      <c r="C25" s="102">
        <v>30000</v>
      </c>
      <c r="D25" s="41"/>
      <c r="E25" s="41"/>
      <c r="F25" s="41"/>
      <c r="G25" s="33">
        <f t="shared" si="1"/>
        <v>0</v>
      </c>
      <c r="H25" s="41">
        <f t="shared" si="4"/>
        <v>30000</v>
      </c>
      <c r="I25" s="123">
        <f>G25/C25</f>
        <v>0</v>
      </c>
      <c r="J25" s="40">
        <v>0.5</v>
      </c>
      <c r="K25" s="41"/>
    </row>
    <row r="26" spans="1:11" ht="15.5" x14ac:dyDescent="0.35">
      <c r="A26" s="47" t="s">
        <v>73</v>
      </c>
      <c r="B26" s="38"/>
      <c r="C26" s="102"/>
      <c r="D26" s="41"/>
      <c r="E26" s="41"/>
      <c r="F26" s="41"/>
      <c r="G26" s="33">
        <f t="shared" si="1"/>
        <v>0</v>
      </c>
      <c r="H26" s="41">
        <f t="shared" si="4"/>
        <v>0</v>
      </c>
      <c r="I26" s="123"/>
      <c r="J26" s="40"/>
      <c r="K26" s="41"/>
    </row>
    <row r="27" spans="1:11" ht="12" customHeight="1" x14ac:dyDescent="0.35">
      <c r="A27" s="47"/>
      <c r="B27" s="38"/>
      <c r="C27" s="102"/>
      <c r="D27" s="41"/>
      <c r="E27" s="41"/>
      <c r="F27" s="41"/>
      <c r="G27" s="33">
        <f t="shared" si="1"/>
        <v>0</v>
      </c>
      <c r="H27" s="41">
        <f t="shared" si="4"/>
        <v>0</v>
      </c>
      <c r="I27" s="123"/>
      <c r="J27" s="40"/>
      <c r="K27" s="41"/>
    </row>
    <row r="28" spans="1:11" ht="30" x14ac:dyDescent="0.35">
      <c r="A28" s="49" t="s">
        <v>74</v>
      </c>
      <c r="B28" s="53" t="s">
        <v>75</v>
      </c>
      <c r="C28" s="104">
        <f>SUM(C29:C34)</f>
        <v>132200</v>
      </c>
      <c r="D28" s="54">
        <f t="shared" ref="D28:F28" si="5">SUM(D29:D34)</f>
        <v>0</v>
      </c>
      <c r="E28" s="54">
        <f t="shared" si="5"/>
        <v>2614.3493847322402</v>
      </c>
      <c r="F28" s="54">
        <f t="shared" si="5"/>
        <v>3045.9800000000005</v>
      </c>
      <c r="G28" s="33">
        <f t="shared" si="1"/>
        <v>5660.3293847322402</v>
      </c>
      <c r="H28" s="54">
        <f t="shared" si="4"/>
        <v>126539.67061526777</v>
      </c>
      <c r="I28" s="76">
        <f t="shared" ref="I28:I33" si="6">G28/C28</f>
        <v>4.2816409869381546E-2</v>
      </c>
      <c r="J28" s="40"/>
      <c r="K28" s="52"/>
    </row>
    <row r="29" spans="1:11" ht="31" x14ac:dyDescent="0.35">
      <c r="A29" s="47" t="s">
        <v>76</v>
      </c>
      <c r="B29" s="38" t="s">
        <v>77</v>
      </c>
      <c r="C29" s="102">
        <v>30000</v>
      </c>
      <c r="D29" s="41"/>
      <c r="E29" s="41"/>
      <c r="F29" s="41"/>
      <c r="G29" s="33">
        <f t="shared" si="1"/>
        <v>0</v>
      </c>
      <c r="H29" s="41">
        <f t="shared" si="4"/>
        <v>30000</v>
      </c>
      <c r="I29" s="123">
        <f t="shared" si="6"/>
        <v>0</v>
      </c>
      <c r="J29" s="40">
        <v>0.6</v>
      </c>
      <c r="K29" s="41"/>
    </row>
    <row r="30" spans="1:11" ht="31" x14ac:dyDescent="0.35">
      <c r="A30" s="47" t="s">
        <v>78</v>
      </c>
      <c r="B30" s="38" t="s">
        <v>79</v>
      </c>
      <c r="C30" s="102">
        <v>20000</v>
      </c>
      <c r="D30" s="41"/>
      <c r="E30" s="130">
        <v>2614.3493847322402</v>
      </c>
      <c r="F30" s="130">
        <v>3045.9800000000005</v>
      </c>
      <c r="G30" s="33">
        <f t="shared" si="1"/>
        <v>5660.3293847322402</v>
      </c>
      <c r="H30" s="41">
        <f t="shared" si="4"/>
        <v>14339.67061526776</v>
      </c>
      <c r="I30" s="123">
        <f t="shared" si="6"/>
        <v>0.283016469236612</v>
      </c>
      <c r="J30" s="40">
        <v>0.4</v>
      </c>
      <c r="K30" s="41"/>
    </row>
    <row r="31" spans="1:11" ht="31" x14ac:dyDescent="0.35">
      <c r="A31" s="47" t="s">
        <v>80</v>
      </c>
      <c r="B31" s="38" t="s">
        <v>81</v>
      </c>
      <c r="C31" s="102">
        <v>35000</v>
      </c>
      <c r="D31" s="41"/>
      <c r="E31" s="41"/>
      <c r="F31" s="41"/>
      <c r="G31" s="33">
        <f t="shared" si="1"/>
        <v>0</v>
      </c>
      <c r="H31" s="41">
        <f t="shared" si="4"/>
        <v>35000</v>
      </c>
      <c r="I31" s="123">
        <f t="shared" si="6"/>
        <v>0</v>
      </c>
      <c r="J31" s="40">
        <v>0.6</v>
      </c>
      <c r="K31" s="41"/>
    </row>
    <row r="32" spans="1:11" ht="31" x14ac:dyDescent="0.35">
      <c r="A32" s="47" t="s">
        <v>82</v>
      </c>
      <c r="B32" s="38" t="s">
        <v>83</v>
      </c>
      <c r="C32" s="102">
        <v>15000</v>
      </c>
      <c r="D32" s="41"/>
      <c r="E32" s="41"/>
      <c r="F32" s="41"/>
      <c r="G32" s="33">
        <f t="shared" si="1"/>
        <v>0</v>
      </c>
      <c r="H32" s="41">
        <f t="shared" si="4"/>
        <v>15000</v>
      </c>
      <c r="I32" s="123">
        <f t="shared" si="6"/>
        <v>0</v>
      </c>
      <c r="J32" s="40">
        <v>0.5</v>
      </c>
      <c r="K32" s="41"/>
    </row>
    <row r="33" spans="1:11" ht="31" x14ac:dyDescent="0.35">
      <c r="A33" s="47" t="s">
        <v>84</v>
      </c>
      <c r="B33" s="38" t="s">
        <v>85</v>
      </c>
      <c r="C33" s="102">
        <f>15000+17200</f>
        <v>32200</v>
      </c>
      <c r="D33" s="41"/>
      <c r="E33" s="41"/>
      <c r="F33" s="41"/>
      <c r="G33" s="33">
        <f t="shared" si="1"/>
        <v>0</v>
      </c>
      <c r="H33" s="41">
        <f t="shared" si="4"/>
        <v>32200</v>
      </c>
      <c r="I33" s="123">
        <f t="shared" si="6"/>
        <v>0</v>
      </c>
      <c r="J33" s="40">
        <v>0.5</v>
      </c>
      <c r="K33" s="41"/>
    </row>
    <row r="34" spans="1:11" ht="15.5" x14ac:dyDescent="0.35">
      <c r="A34" s="47"/>
      <c r="B34" s="38"/>
      <c r="C34" s="103"/>
      <c r="D34" s="38"/>
      <c r="E34" s="38"/>
      <c r="F34" s="38"/>
      <c r="G34" s="33">
        <f t="shared" si="1"/>
        <v>0</v>
      </c>
      <c r="H34" s="38"/>
      <c r="I34" s="123"/>
      <c r="J34" s="56"/>
      <c r="K34" s="38"/>
    </row>
    <row r="35" spans="1:11" ht="15" x14ac:dyDescent="0.35">
      <c r="A35" s="57" t="s">
        <v>86</v>
      </c>
      <c r="B35" s="58"/>
      <c r="C35" s="105">
        <f>C28+C21+C15+C9</f>
        <v>403200</v>
      </c>
      <c r="D35" s="59">
        <f t="shared" ref="D35" si="7">D28+D21+D15+D9</f>
        <v>0</v>
      </c>
      <c r="E35" s="59">
        <f>E28+E21+E15+E9</f>
        <v>56545.680984803119</v>
      </c>
      <c r="F35" s="59">
        <f>F28+F21+F15+F9</f>
        <v>70456.371978758048</v>
      </c>
      <c r="G35" s="114">
        <f t="shared" si="1"/>
        <v>127002.05296356117</v>
      </c>
      <c r="H35" s="59">
        <f>C35-G35</f>
        <v>276197.94703643885</v>
      </c>
      <c r="I35" s="125">
        <f>G35/C35</f>
        <v>0.31498525040565767</v>
      </c>
      <c r="J35" s="60"/>
      <c r="K35" s="61"/>
    </row>
    <row r="36" spans="1:11" ht="15" x14ac:dyDescent="0.35">
      <c r="A36" s="49"/>
      <c r="B36" s="53"/>
      <c r="C36" s="106"/>
      <c r="D36" s="53"/>
      <c r="E36" s="88"/>
      <c r="F36" s="134"/>
      <c r="G36" s="33">
        <f t="shared" si="1"/>
        <v>0</v>
      </c>
      <c r="H36" s="53"/>
      <c r="I36" s="76"/>
      <c r="J36" s="53"/>
      <c r="K36" s="53"/>
    </row>
    <row r="37" spans="1:11" ht="54.5" customHeight="1" x14ac:dyDescent="0.35">
      <c r="A37" s="49" t="s">
        <v>87</v>
      </c>
      <c r="B37" s="53" t="s">
        <v>88</v>
      </c>
      <c r="C37" s="107"/>
      <c r="D37" s="63"/>
      <c r="E37" s="63"/>
      <c r="F37" s="63"/>
      <c r="G37" s="33">
        <f t="shared" si="1"/>
        <v>0</v>
      </c>
      <c r="H37" s="63">
        <f t="shared" ref="H37:H65" si="8">C37-G37</f>
        <v>0</v>
      </c>
      <c r="I37" s="76"/>
      <c r="J37" s="53"/>
      <c r="K37" s="53"/>
    </row>
    <row r="38" spans="1:11" ht="31.5" customHeight="1" x14ac:dyDescent="0.35">
      <c r="A38" s="49" t="s">
        <v>89</v>
      </c>
      <c r="B38" s="50" t="s">
        <v>90</v>
      </c>
      <c r="C38" s="101">
        <f>SUM(C39:C42)</f>
        <v>116921.51000000001</v>
      </c>
      <c r="D38" s="51">
        <f t="shared" ref="D38:F38" si="9">SUM(D39:D42)</f>
        <v>0</v>
      </c>
      <c r="E38" s="51">
        <f t="shared" si="9"/>
        <v>14631.354126150054</v>
      </c>
      <c r="F38" s="51">
        <f t="shared" si="9"/>
        <v>14003.24802124191</v>
      </c>
      <c r="G38" s="33">
        <f t="shared" si="1"/>
        <v>28634.602147391965</v>
      </c>
      <c r="H38" s="51">
        <f t="shared" si="8"/>
        <v>88286.907852608041</v>
      </c>
      <c r="I38" s="124">
        <f>G38/C38</f>
        <v>0.24490448461871525</v>
      </c>
      <c r="J38" s="41"/>
      <c r="K38" s="63"/>
    </row>
    <row r="39" spans="1:11" ht="31" x14ac:dyDescent="0.35">
      <c r="A39" s="47" t="s">
        <v>91</v>
      </c>
      <c r="B39" s="38" t="s">
        <v>92</v>
      </c>
      <c r="C39" s="102">
        <f>12000+(9041.51-120)</f>
        <v>20921.510000000002</v>
      </c>
      <c r="D39" s="41"/>
      <c r="E39" s="130">
        <v>9754.050901216915</v>
      </c>
      <c r="F39" s="130">
        <v>8104.5063523948247</v>
      </c>
      <c r="G39" s="33">
        <f t="shared" si="1"/>
        <v>17858.55725361174</v>
      </c>
      <c r="H39" s="41">
        <f t="shared" si="8"/>
        <v>3062.9527463882623</v>
      </c>
      <c r="I39" s="123">
        <f>G39/C39</f>
        <v>0.85359791208243274</v>
      </c>
      <c r="J39" s="40">
        <v>0.4</v>
      </c>
      <c r="K39" s="38"/>
    </row>
    <row r="40" spans="1:11" ht="15.5" x14ac:dyDescent="0.35">
      <c r="A40" s="47" t="s">
        <v>93</v>
      </c>
      <c r="B40" s="38" t="s">
        <v>94</v>
      </c>
      <c r="C40" s="102">
        <v>24000</v>
      </c>
      <c r="D40" s="41"/>
      <c r="E40" s="130">
        <v>4877.3032249331391</v>
      </c>
      <c r="F40" s="130">
        <v>5898.7416688470857</v>
      </c>
      <c r="G40" s="33">
        <f t="shared" si="1"/>
        <v>10776.044893780225</v>
      </c>
      <c r="H40" s="41">
        <f t="shared" si="8"/>
        <v>13223.955106219775</v>
      </c>
      <c r="I40" s="123">
        <f>G40/C40</f>
        <v>0.44900187057417601</v>
      </c>
      <c r="J40" s="40">
        <v>0.4</v>
      </c>
      <c r="K40" s="38"/>
    </row>
    <row r="41" spans="1:11" ht="31" x14ac:dyDescent="0.35">
      <c r="A41" s="47" t="s">
        <v>95</v>
      </c>
      <c r="B41" s="38" t="s">
        <v>96</v>
      </c>
      <c r="C41" s="102">
        <v>32000</v>
      </c>
      <c r="D41" s="41"/>
      <c r="E41" s="41"/>
      <c r="F41" s="41"/>
      <c r="G41" s="33">
        <f t="shared" si="1"/>
        <v>0</v>
      </c>
      <c r="H41" s="41">
        <f t="shared" si="8"/>
        <v>32000</v>
      </c>
      <c r="I41" s="123">
        <f>G41/C41</f>
        <v>0</v>
      </c>
      <c r="J41" s="40">
        <v>0.4</v>
      </c>
      <c r="K41" s="38"/>
    </row>
    <row r="42" spans="1:11" ht="31" x14ac:dyDescent="0.35">
      <c r="A42" s="47" t="s">
        <v>97</v>
      </c>
      <c r="B42" s="38" t="s">
        <v>98</v>
      </c>
      <c r="C42" s="102">
        <v>40000</v>
      </c>
      <c r="D42" s="41"/>
      <c r="E42" s="41"/>
      <c r="F42" s="41"/>
      <c r="G42" s="33">
        <f t="shared" si="1"/>
        <v>0</v>
      </c>
      <c r="H42" s="41">
        <f t="shared" si="8"/>
        <v>40000</v>
      </c>
      <c r="I42" s="123">
        <f>G42/C42</f>
        <v>0</v>
      </c>
      <c r="J42" s="40">
        <v>1</v>
      </c>
      <c r="K42" s="38"/>
    </row>
    <row r="43" spans="1:11" ht="15.5" x14ac:dyDescent="0.35">
      <c r="A43" s="47"/>
      <c r="B43" s="36"/>
      <c r="C43" s="108"/>
      <c r="D43" s="64"/>
      <c r="E43" s="64"/>
      <c r="F43" s="64"/>
      <c r="G43" s="33">
        <f t="shared" si="1"/>
        <v>0</v>
      </c>
      <c r="H43" s="64">
        <f t="shared" si="8"/>
        <v>0</v>
      </c>
      <c r="I43" s="126"/>
      <c r="J43" s="40"/>
      <c r="K43" s="38"/>
    </row>
    <row r="44" spans="1:11" ht="51" customHeight="1" x14ac:dyDescent="0.35">
      <c r="A44" s="49" t="s">
        <v>99</v>
      </c>
      <c r="B44" s="65" t="s">
        <v>100</v>
      </c>
      <c r="C44" s="109">
        <f>SUM(C45:C49)</f>
        <v>73287.010000000009</v>
      </c>
      <c r="D44" s="66">
        <f>SUM(D45:D49)</f>
        <v>0</v>
      </c>
      <c r="E44" s="66">
        <f>SUM(E45:E49)</f>
        <v>14535.310000000001</v>
      </c>
      <c r="F44" s="66">
        <f>SUM(F45:F49)</f>
        <v>8364.49</v>
      </c>
      <c r="G44" s="33">
        <f t="shared" si="1"/>
        <v>22899.800000000003</v>
      </c>
      <c r="H44" s="66">
        <f t="shared" si="8"/>
        <v>50387.210000000006</v>
      </c>
      <c r="I44" s="127">
        <f t="shared" ref="I44:I49" si="10">G44/C44</f>
        <v>0.31246737996269736</v>
      </c>
      <c r="J44" s="40"/>
      <c r="K44" s="63"/>
    </row>
    <row r="45" spans="1:11" ht="31" x14ac:dyDescent="0.35">
      <c r="A45" s="47" t="s">
        <v>101</v>
      </c>
      <c r="B45" s="42" t="s">
        <v>102</v>
      </c>
      <c r="C45" s="102">
        <v>10000</v>
      </c>
      <c r="D45" s="41"/>
      <c r="E45" s="130">
        <v>317.94</v>
      </c>
      <c r="F45" s="130">
        <v>3348.37</v>
      </c>
      <c r="G45" s="129">
        <f t="shared" si="1"/>
        <v>3666.31</v>
      </c>
      <c r="H45" s="41">
        <f t="shared" si="8"/>
        <v>6333.6900000000005</v>
      </c>
      <c r="I45" s="128">
        <f t="shared" si="10"/>
        <v>0.36663099999999998</v>
      </c>
      <c r="J45" s="40">
        <v>0.4</v>
      </c>
      <c r="K45" s="38"/>
    </row>
    <row r="46" spans="1:11" ht="31" x14ac:dyDescent="0.35">
      <c r="A46" s="47" t="s">
        <v>103</v>
      </c>
      <c r="B46" s="42" t="s">
        <v>104</v>
      </c>
      <c r="C46" s="102">
        <v>8500</v>
      </c>
      <c r="D46" s="41"/>
      <c r="E46" s="130"/>
      <c r="F46" s="130">
        <v>5016.12</v>
      </c>
      <c r="G46" s="33">
        <f t="shared" si="1"/>
        <v>5016.12</v>
      </c>
      <c r="H46" s="41">
        <f t="shared" si="8"/>
        <v>3483.88</v>
      </c>
      <c r="I46" s="123">
        <f t="shared" si="10"/>
        <v>0.59013176470588236</v>
      </c>
      <c r="J46" s="40">
        <v>0.4</v>
      </c>
      <c r="K46" s="38"/>
    </row>
    <row r="47" spans="1:11" ht="31" x14ac:dyDescent="0.35">
      <c r="A47" s="47" t="s">
        <v>105</v>
      </c>
      <c r="B47" s="42" t="s">
        <v>106</v>
      </c>
      <c r="C47" s="102">
        <v>12500</v>
      </c>
      <c r="D47" s="41"/>
      <c r="E47" s="130"/>
      <c r="F47" s="130"/>
      <c r="G47" s="33">
        <f t="shared" si="1"/>
        <v>0</v>
      </c>
      <c r="H47" s="41">
        <f t="shared" si="8"/>
        <v>12500</v>
      </c>
      <c r="I47" s="123">
        <f t="shared" si="10"/>
        <v>0</v>
      </c>
      <c r="J47" s="40">
        <v>0.4</v>
      </c>
      <c r="K47" s="38"/>
    </row>
    <row r="48" spans="1:11" ht="31" x14ac:dyDescent="0.35">
      <c r="A48" s="47" t="s">
        <v>107</v>
      </c>
      <c r="B48" s="42" t="s">
        <v>108</v>
      </c>
      <c r="C48" s="102">
        <v>12287.01</v>
      </c>
      <c r="D48" s="41"/>
      <c r="E48" s="130">
        <v>14217.37</v>
      </c>
      <c r="F48" s="130"/>
      <c r="G48" s="129">
        <f t="shared" si="1"/>
        <v>14217.37</v>
      </c>
      <c r="H48" s="41">
        <f t="shared" si="8"/>
        <v>-1930.3600000000006</v>
      </c>
      <c r="I48" s="128">
        <f t="shared" si="10"/>
        <v>1.1571057564045282</v>
      </c>
      <c r="J48" s="40">
        <v>0.4</v>
      </c>
      <c r="K48" s="38"/>
    </row>
    <row r="49" spans="1:11" ht="31" x14ac:dyDescent="0.35">
      <c r="A49" s="47" t="s">
        <v>109</v>
      </c>
      <c r="B49" s="42" t="s">
        <v>110</v>
      </c>
      <c r="C49" s="102">
        <v>30000</v>
      </c>
      <c r="D49" s="41"/>
      <c r="E49" s="41"/>
      <c r="F49" s="41"/>
      <c r="G49" s="33">
        <f t="shared" si="1"/>
        <v>0</v>
      </c>
      <c r="H49" s="41">
        <f t="shared" si="8"/>
        <v>30000</v>
      </c>
      <c r="I49" s="123">
        <f t="shared" si="10"/>
        <v>0</v>
      </c>
      <c r="J49" s="40">
        <v>0.4</v>
      </c>
      <c r="K49" s="38"/>
    </row>
    <row r="50" spans="1:11" ht="15.5" x14ac:dyDescent="0.35">
      <c r="A50" s="47"/>
      <c r="B50" s="36"/>
      <c r="C50" s="108"/>
      <c r="D50" s="64"/>
      <c r="E50" s="64"/>
      <c r="F50" s="64"/>
      <c r="G50" s="33">
        <f t="shared" si="1"/>
        <v>0</v>
      </c>
      <c r="H50" s="64">
        <f t="shared" si="8"/>
        <v>0</v>
      </c>
      <c r="I50" s="126"/>
      <c r="J50" s="40"/>
      <c r="K50" s="38"/>
    </row>
    <row r="51" spans="1:11" ht="30" x14ac:dyDescent="0.35">
      <c r="A51" s="115" t="s">
        <v>111</v>
      </c>
      <c r="B51" s="70" t="s">
        <v>112</v>
      </c>
      <c r="C51" s="116">
        <f>SUM(C52:C56)</f>
        <v>68999.998181818184</v>
      </c>
      <c r="D51" s="116">
        <f t="shared" ref="D51:F51" si="11">SUM(D52:D56)</f>
        <v>0</v>
      </c>
      <c r="E51" s="116">
        <f t="shared" si="11"/>
        <v>0</v>
      </c>
      <c r="F51" s="116">
        <f t="shared" si="11"/>
        <v>2861.2799999999988</v>
      </c>
      <c r="G51" s="116">
        <f t="shared" si="1"/>
        <v>2861.2799999999988</v>
      </c>
      <c r="H51" s="117">
        <f>C51-G51</f>
        <v>66138.718181818185</v>
      </c>
      <c r="I51" s="83">
        <f>G51/C51</f>
        <v>4.1467827179652875E-2</v>
      </c>
      <c r="J51" s="118"/>
      <c r="K51" s="68"/>
    </row>
    <row r="52" spans="1:11" ht="15.5" x14ac:dyDescent="0.35">
      <c r="A52" s="47" t="s">
        <v>113</v>
      </c>
      <c r="B52" s="38" t="s">
        <v>114</v>
      </c>
      <c r="C52" s="102">
        <v>10000</v>
      </c>
      <c r="D52" s="41"/>
      <c r="E52" s="41"/>
      <c r="F52" s="41"/>
      <c r="G52" s="33">
        <f t="shared" si="1"/>
        <v>0</v>
      </c>
      <c r="H52" s="41">
        <f t="shared" si="8"/>
        <v>10000</v>
      </c>
      <c r="I52" s="123">
        <f t="shared" ref="I52:I56" si="12">G52/C52</f>
        <v>0</v>
      </c>
      <c r="J52" s="40">
        <v>0.4</v>
      </c>
      <c r="K52" s="41"/>
    </row>
    <row r="53" spans="1:11" ht="31" x14ac:dyDescent="0.35">
      <c r="A53" s="47" t="s">
        <v>115</v>
      </c>
      <c r="B53" s="38" t="s">
        <v>116</v>
      </c>
      <c r="C53" s="102">
        <v>6500</v>
      </c>
      <c r="D53" s="41"/>
      <c r="E53" s="41"/>
      <c r="F53" s="41"/>
      <c r="G53" s="33">
        <f t="shared" si="1"/>
        <v>0</v>
      </c>
      <c r="H53" s="41">
        <f t="shared" si="8"/>
        <v>6500</v>
      </c>
      <c r="I53" s="123">
        <f t="shared" si="12"/>
        <v>0</v>
      </c>
      <c r="J53" s="40">
        <v>0.4</v>
      </c>
      <c r="K53" s="41"/>
    </row>
    <row r="54" spans="1:11" ht="46.5" x14ac:dyDescent="0.35">
      <c r="A54" s="47" t="s">
        <v>117</v>
      </c>
      <c r="B54" s="38" t="s">
        <v>118</v>
      </c>
      <c r="C54" s="102">
        <v>14318.18</v>
      </c>
      <c r="D54" s="41"/>
      <c r="E54" s="41"/>
      <c r="F54" s="41"/>
      <c r="G54" s="33">
        <f t="shared" si="1"/>
        <v>0</v>
      </c>
      <c r="H54" s="41">
        <f t="shared" si="8"/>
        <v>14318.18</v>
      </c>
      <c r="I54" s="123">
        <f t="shared" si="12"/>
        <v>0</v>
      </c>
      <c r="J54" s="40">
        <v>0.5</v>
      </c>
      <c r="K54" s="41"/>
    </row>
    <row r="55" spans="1:11" ht="31" x14ac:dyDescent="0.35">
      <c r="A55" s="47" t="s">
        <v>119</v>
      </c>
      <c r="B55" s="38" t="s">
        <v>120</v>
      </c>
      <c r="C55" s="102">
        <v>20000</v>
      </c>
      <c r="D55" s="41"/>
      <c r="E55" s="41"/>
      <c r="F55" s="41"/>
      <c r="G55" s="33">
        <f t="shared" si="1"/>
        <v>0</v>
      </c>
      <c r="H55" s="41">
        <f t="shared" si="8"/>
        <v>20000</v>
      </c>
      <c r="I55" s="123">
        <f t="shared" si="12"/>
        <v>0</v>
      </c>
      <c r="J55" s="40">
        <v>0.5</v>
      </c>
      <c r="K55" s="41"/>
    </row>
    <row r="56" spans="1:11" ht="31" x14ac:dyDescent="0.35">
      <c r="A56" s="47" t="s">
        <v>121</v>
      </c>
      <c r="B56" s="38" t="s">
        <v>122</v>
      </c>
      <c r="C56" s="102">
        <f>10000000/550</f>
        <v>18181.81818181818</v>
      </c>
      <c r="D56" s="41"/>
      <c r="E56" s="41"/>
      <c r="F56" s="41">
        <v>2861.2799999999988</v>
      </c>
      <c r="G56" s="33">
        <f t="shared" si="1"/>
        <v>2861.2799999999988</v>
      </c>
      <c r="H56" s="41">
        <f t="shared" si="8"/>
        <v>15320.538181818181</v>
      </c>
      <c r="I56" s="123">
        <f t="shared" si="12"/>
        <v>0.15737039999999994</v>
      </c>
      <c r="J56" s="40">
        <v>0.5</v>
      </c>
      <c r="K56" s="41"/>
    </row>
    <row r="57" spans="1:11" ht="15.5" x14ac:dyDescent="0.35">
      <c r="A57" s="47"/>
      <c r="B57" s="38"/>
      <c r="C57" s="102"/>
      <c r="D57" s="41"/>
      <c r="E57" s="41"/>
      <c r="F57" s="41"/>
      <c r="G57" s="33">
        <f t="shared" si="1"/>
        <v>0</v>
      </c>
      <c r="H57" s="41">
        <f t="shared" si="8"/>
        <v>0</v>
      </c>
      <c r="I57" s="123"/>
      <c r="J57" s="41"/>
      <c r="K57" s="38"/>
    </row>
    <row r="58" spans="1:11" ht="15" x14ac:dyDescent="0.35">
      <c r="A58" s="57" t="s">
        <v>123</v>
      </c>
      <c r="B58" s="58"/>
      <c r="C58" s="105">
        <f>C51+C44+C38</f>
        <v>259208.51818181819</v>
      </c>
      <c r="D58" s="59">
        <f t="shared" ref="D58:F58" si="13">D51+D44+D38</f>
        <v>0</v>
      </c>
      <c r="E58" s="59">
        <f>E51+E44+E38</f>
        <v>29166.664126150055</v>
      </c>
      <c r="F58" s="59">
        <f t="shared" si="13"/>
        <v>25229.018021241907</v>
      </c>
      <c r="G58" s="114">
        <f t="shared" si="1"/>
        <v>54395.682147391963</v>
      </c>
      <c r="H58" s="59">
        <f t="shared" si="8"/>
        <v>204812.83603442623</v>
      </c>
      <c r="I58" s="125">
        <f>G58/C58</f>
        <v>0.20985298835448329</v>
      </c>
      <c r="J58" s="60"/>
      <c r="K58" s="59"/>
    </row>
    <row r="59" spans="1:11" ht="15" x14ac:dyDescent="0.35">
      <c r="A59" s="49"/>
      <c r="B59" s="53"/>
      <c r="C59" s="110"/>
      <c r="D59" s="52"/>
      <c r="E59" s="52"/>
      <c r="F59" s="52"/>
      <c r="G59" s="33">
        <f t="shared" si="1"/>
        <v>0</v>
      </c>
      <c r="H59" s="52">
        <f t="shared" si="8"/>
        <v>0</v>
      </c>
      <c r="I59" s="76"/>
      <c r="J59" s="53"/>
      <c r="K59" s="53"/>
    </row>
    <row r="60" spans="1:11" ht="45" x14ac:dyDescent="0.35">
      <c r="A60" s="136" t="s">
        <v>124</v>
      </c>
      <c r="B60" s="137"/>
      <c r="C60" s="138">
        <v>299862.38</v>
      </c>
      <c r="D60" s="139">
        <v>1152.0599999999997</v>
      </c>
      <c r="E60" s="139">
        <v>39221.790000000023</v>
      </c>
      <c r="F60" s="139">
        <v>42374.489999999976</v>
      </c>
      <c r="G60" s="140">
        <f>SUM(D60:F60)</f>
        <v>82748.34</v>
      </c>
      <c r="H60" s="139">
        <f t="shared" si="8"/>
        <v>217114.04</v>
      </c>
      <c r="I60" s="141">
        <f t="shared" ref="I60:I65" si="14">G60/C60</f>
        <v>0.27595438947693268</v>
      </c>
      <c r="J60" s="137"/>
      <c r="K60" s="142"/>
    </row>
    <row r="61" spans="1:11" ht="15" x14ac:dyDescent="0.35">
      <c r="A61" s="115" t="s">
        <v>125</v>
      </c>
      <c r="B61" s="69"/>
      <c r="C61" s="119">
        <v>40726.363636363647</v>
      </c>
      <c r="D61" s="75">
        <v>604.69000000000005</v>
      </c>
      <c r="E61" s="75">
        <v>17406.140000000007</v>
      </c>
      <c r="F61" s="75">
        <v>8805.5299999999988</v>
      </c>
      <c r="G61" s="67">
        <f t="shared" si="1"/>
        <v>26816.360000000004</v>
      </c>
      <c r="H61" s="75">
        <f t="shared" si="8"/>
        <v>13910.003636363643</v>
      </c>
      <c r="I61" s="83">
        <f t="shared" si="14"/>
        <v>0.65845210830598888</v>
      </c>
      <c r="J61" s="69"/>
      <c r="K61" s="113"/>
    </row>
    <row r="62" spans="1:11" ht="15.5" x14ac:dyDescent="0.35">
      <c r="A62" s="115" t="s">
        <v>126</v>
      </c>
      <c r="B62" s="120"/>
      <c r="C62" s="75">
        <v>167658.81518181818</v>
      </c>
      <c r="D62" s="75">
        <v>0</v>
      </c>
      <c r="E62" s="75">
        <v>31795.499999999996</v>
      </c>
      <c r="F62" s="75">
        <v>19266.52</v>
      </c>
      <c r="G62" s="67">
        <f>SUM(D62:F62)</f>
        <v>51062.02</v>
      </c>
      <c r="H62" s="75">
        <f t="shared" si="8"/>
        <v>116596.79518181819</v>
      </c>
      <c r="I62" s="83">
        <f t="shared" si="14"/>
        <v>0.30455911277093073</v>
      </c>
      <c r="J62" s="120"/>
      <c r="K62" s="121"/>
    </row>
    <row r="63" spans="1:11" ht="15.65" customHeight="1" x14ac:dyDescent="0.35">
      <c r="A63" s="165" t="s">
        <v>127</v>
      </c>
      <c r="B63" s="166"/>
      <c r="C63" s="67">
        <f>C35+C58+C60+C61+C62</f>
        <v>1170656.077</v>
      </c>
      <c r="D63" s="67">
        <f>D35+D58+D60+D61+D62</f>
        <v>1756.7499999999998</v>
      </c>
      <c r="E63" s="67">
        <f>E35+E58+E60+E61+E62</f>
        <v>174135.7751109532</v>
      </c>
      <c r="F63" s="67">
        <f>F35+F58+F60+F61+F62</f>
        <v>166131.92999999993</v>
      </c>
      <c r="G63" s="67">
        <f t="shared" ref="G63:G65" si="15">SUM(D63:F63)</f>
        <v>342024.45511095313</v>
      </c>
      <c r="H63" s="75">
        <f t="shared" si="8"/>
        <v>828631.62188904686</v>
      </c>
      <c r="I63" s="83">
        <f t="shared" si="14"/>
        <v>0.29216476284601656</v>
      </c>
      <c r="J63" s="68"/>
      <c r="K63" s="69"/>
    </row>
    <row r="64" spans="1:11" s="77" customFormat="1" ht="13" x14ac:dyDescent="0.3">
      <c r="A64" s="167" t="s">
        <v>128</v>
      </c>
      <c r="B64" s="168"/>
      <c r="C64" s="82">
        <f>+C63*7%</f>
        <v>81945.925390000004</v>
      </c>
      <c r="D64" s="87">
        <f>+D63*7%</f>
        <v>122.9725</v>
      </c>
      <c r="E64" s="87">
        <f>+E63*7%</f>
        <v>12189.504257766725</v>
      </c>
      <c r="F64" s="87">
        <f>+F63*7%</f>
        <v>11629.235099999996</v>
      </c>
      <c r="G64" s="87">
        <f t="shared" si="15"/>
        <v>23941.711857766721</v>
      </c>
      <c r="H64" s="79">
        <f t="shared" si="8"/>
        <v>58004.213532233283</v>
      </c>
      <c r="I64" s="80">
        <f t="shared" si="14"/>
        <v>0.29216476284601661</v>
      </c>
      <c r="J64" s="78"/>
      <c r="K64" s="81"/>
    </row>
    <row r="65" spans="1:11" ht="15.65" customHeight="1" thickBot="1" x14ac:dyDescent="0.4">
      <c r="A65" s="169" t="s">
        <v>129</v>
      </c>
      <c r="B65" s="170"/>
      <c r="C65" s="71">
        <f>+C63+C64</f>
        <v>1252602.00239</v>
      </c>
      <c r="D65" s="71">
        <f>+D63+D64</f>
        <v>1879.7224999999999</v>
      </c>
      <c r="E65" s="71">
        <f>+E63+E64</f>
        <v>186325.27936871993</v>
      </c>
      <c r="F65" s="71">
        <f>+F63+F64</f>
        <v>177761.16509999993</v>
      </c>
      <c r="G65" s="71">
        <f t="shared" si="15"/>
        <v>365966.16696871986</v>
      </c>
      <c r="H65" s="75">
        <f t="shared" si="8"/>
        <v>886635.83542128024</v>
      </c>
      <c r="I65" s="83">
        <f t="shared" si="14"/>
        <v>0.29216476284601656</v>
      </c>
      <c r="J65" s="72"/>
      <c r="K65" s="72"/>
    </row>
    <row r="67" spans="1:11" ht="18.5" x14ac:dyDescent="0.45">
      <c r="C67" s="73"/>
      <c r="D67" s="73"/>
      <c r="E67" s="73"/>
      <c r="F67" s="73"/>
      <c r="G67" s="73"/>
      <c r="H67" s="73"/>
      <c r="I67" s="73"/>
    </row>
    <row r="68" spans="1:11" x14ac:dyDescent="0.35">
      <c r="C68" s="62"/>
      <c r="D68" s="62"/>
      <c r="E68" s="62"/>
      <c r="F68" s="62"/>
      <c r="G68" s="62"/>
      <c r="H68" s="62"/>
      <c r="I68" s="62"/>
    </row>
    <row r="69" spans="1:11" x14ac:dyDescent="0.35">
      <c r="C69" s="62"/>
      <c r="D69" s="62"/>
      <c r="E69" s="62"/>
      <c r="F69" s="62"/>
      <c r="G69" s="62"/>
      <c r="H69" s="62"/>
      <c r="I69" s="62"/>
    </row>
    <row r="70" spans="1:11" x14ac:dyDescent="0.35">
      <c r="C70" s="74"/>
      <c r="D70" s="74"/>
      <c r="E70" s="74"/>
      <c r="F70" s="74"/>
      <c r="G70" s="74"/>
      <c r="H70" s="74"/>
      <c r="I70" s="74"/>
    </row>
    <row r="72" spans="1:11" x14ac:dyDescent="0.35">
      <c r="C72" s="62"/>
      <c r="D72" s="62"/>
      <c r="E72" s="62"/>
      <c r="F72" s="62"/>
      <c r="G72" s="62"/>
      <c r="H72" s="62"/>
      <c r="I72" s="62"/>
    </row>
  </sheetData>
  <mergeCells count="5">
    <mergeCell ref="A8:K8"/>
    <mergeCell ref="A9:B9"/>
    <mergeCell ref="A63:B63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76492E0394BA43BB2848DDA64D1883" ma:contentTypeVersion="12" ma:contentTypeDescription="Create a new document." ma:contentTypeScope="" ma:versionID="8844d6f069a9f12abba32a2c2af279de">
  <xsd:schema xmlns:xsd="http://www.w3.org/2001/XMLSchema" xmlns:xs="http://www.w3.org/2001/XMLSchema" xmlns:p="http://schemas.microsoft.com/office/2006/metadata/properties" xmlns:ns2="b99065ff-dad7-42bc-9c23-43694f533735" xmlns:ns3="e4ef052d-1cb9-47c5-acea-361e2b0c496f" targetNamespace="http://schemas.microsoft.com/office/2006/metadata/properties" ma:root="true" ma:fieldsID="5d54d21747aef1e32e7766cc2cca1556" ns2:_="" ns3:_="">
    <xsd:import namespace="b99065ff-dad7-42bc-9c23-43694f533735"/>
    <xsd:import namespace="e4ef052d-1cb9-47c5-acea-361e2b0c49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065ff-dad7-42bc-9c23-43694f5337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f052d-1cb9-47c5-acea-361e2b0c4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819F7-A44D-4BF3-90ED-2DE0751654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2E69DF-D955-482B-9D7B-E0D3CBF99D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27041A-08DA-4565-BDF0-8D83E5AB0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9065ff-dad7-42bc-9c23-43694f533735"/>
    <ds:schemaRef ds:uri="e4ef052d-1cb9-47c5-acea-361e2b0c4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UNPBFQ2</vt:lpstr>
      <vt:lpstr>Budget detail PBF</vt:lpstr>
      <vt:lpstr>'Budget detail PBF'!Impression_des_titres</vt:lpstr>
      <vt:lpstr>'Budget detail PBF'!Zone_d_impression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Gogto, Samuel</dc:creator>
  <cp:lastModifiedBy>ISSIAKA</cp:lastModifiedBy>
  <cp:lastPrinted>2021-07-21T17:37:19Z</cp:lastPrinted>
  <dcterms:created xsi:type="dcterms:W3CDTF">2019-04-25T13:35:20Z</dcterms:created>
  <dcterms:modified xsi:type="dcterms:W3CDTF">2021-11-11T15:58:32Z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0x0101009676492E0394BA43BB2848DDA64D1883</vt:lpwstr>
  </property>
</Properties>
</file>