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240" windowHeight="8895" activeTab="0"/>
  </bookViews>
  <sheets>
    <sheet name="EFECTO 1" sheetId="1" r:id="rId1"/>
    <sheet name="EFECTO 2" sheetId="2" r:id="rId2"/>
    <sheet name="EFECTO 3" sheetId="3" r:id="rId3"/>
    <sheet name="Coordinacion atlas" sheetId="4" state="hidden" r:id="rId4"/>
    <sheet name="Coordinación" sheetId="5" r:id="rId5"/>
    <sheet name="Consolidado" sheetId="6" r:id="rId6"/>
    <sheet name="Ingresos" sheetId="7" r:id="rId7"/>
    <sheet name="Hoja1" sheetId="8" state="hidden" r:id="rId8"/>
    <sheet name="Hoja2" sheetId="9" state="hidden" r:id="rId9"/>
  </sheets>
  <definedNames>
    <definedName name="_xlnm.Print_Area" localSheetId="0">'EFECTO 1'!$A$1:$W$172</definedName>
    <definedName name="_xlnm.Print_Area" localSheetId="1">'EFECTO 2'!$A$1:$N$245</definedName>
    <definedName name="_xlnm.Print_Area" localSheetId="2">'EFECTO 3'!$A$1:$W$94</definedName>
    <definedName name="_xlnm.Print_Titles" localSheetId="0">'EFECTO 1'!$1:$11</definedName>
    <definedName name="_xlnm.Print_Titles" localSheetId="1">'EFECTO 2'!$1:$8</definedName>
    <definedName name="_xlnm.Print_Titles" localSheetId="2">'EFECTO 3'!$1:$9</definedName>
  </definedNames>
  <calcPr fullCalcOnLoad="1"/>
</workbook>
</file>

<file path=xl/comments2.xml><?xml version="1.0" encoding="utf-8"?>
<comments xmlns="http://schemas.openxmlformats.org/spreadsheetml/2006/main">
  <authors>
    <author>acaceres</author>
  </authors>
  <commentList>
    <comment ref="M48" authorId="0">
      <text>
        <r>
          <rPr>
            <b/>
            <sz val="8"/>
            <rFont val="Tahoma"/>
            <family val="2"/>
          </rPr>
          <t>acaceres:</t>
        </r>
        <r>
          <rPr>
            <sz val="8"/>
            <rFont val="Tahoma"/>
            <family val="2"/>
          </rPr>
          <t xml:space="preserve">
Ludotecas</t>
        </r>
      </text>
    </comment>
    <comment ref="M55" authorId="0">
      <text>
        <r>
          <rPr>
            <b/>
            <sz val="8"/>
            <rFont val="Tahoma"/>
            <family val="2"/>
          </rPr>
          <t>acaceres:</t>
        </r>
        <r>
          <rPr>
            <sz val="8"/>
            <rFont val="Tahoma"/>
            <family val="2"/>
          </rPr>
          <t xml:space="preserve">
Festivales</t>
        </r>
      </text>
    </comment>
  </commentList>
</comments>
</file>

<file path=xl/comments3.xml><?xml version="1.0" encoding="utf-8"?>
<comments xmlns="http://schemas.openxmlformats.org/spreadsheetml/2006/main">
  <authors>
    <author>acaceres</author>
  </authors>
  <commentList>
    <comment ref="V75" authorId="0">
      <text>
        <r>
          <rPr>
            <b/>
            <sz val="8"/>
            <rFont val="Tahoma"/>
            <family val="2"/>
          </rPr>
          <t>acaceres:</t>
        </r>
        <r>
          <rPr>
            <sz val="8"/>
            <rFont val="Tahoma"/>
            <family val="2"/>
          </rPr>
          <t xml:space="preserve">
Investigaciones</t>
        </r>
      </text>
    </comment>
  </commentList>
</comments>
</file>

<file path=xl/comments4.xml><?xml version="1.0" encoding="utf-8"?>
<comments xmlns="http://schemas.openxmlformats.org/spreadsheetml/2006/main">
  <authors>
    <author>acaceres</author>
  </authors>
  <commentList>
    <comment ref="D18" authorId="0">
      <text>
        <r>
          <rPr>
            <b/>
            <sz val="8"/>
            <rFont val="Tahoma"/>
            <family val="2"/>
          </rPr>
          <t>acaceres:</t>
        </r>
        <r>
          <rPr>
            <sz val="8"/>
            <rFont val="Tahoma"/>
            <family val="2"/>
          </rPr>
          <t xml:space="preserve">
incluye 2010
</t>
        </r>
      </text>
    </comment>
    <comment ref="E18" authorId="0">
      <text>
        <r>
          <rPr>
            <b/>
            <sz val="8"/>
            <rFont val="Tahoma"/>
            <family val="2"/>
          </rPr>
          <t>acaceres:</t>
        </r>
        <r>
          <rPr>
            <sz val="8"/>
            <rFont val="Tahoma"/>
            <family val="2"/>
          </rPr>
          <t xml:space="preserve">
incluye 2010
</t>
        </r>
      </text>
    </comment>
    <comment ref="F18" authorId="0">
      <text>
        <r>
          <rPr>
            <b/>
            <sz val="8"/>
            <rFont val="Tahoma"/>
            <family val="2"/>
          </rPr>
          <t>acaceres:</t>
        </r>
        <r>
          <rPr>
            <sz val="8"/>
            <rFont val="Tahoma"/>
            <family val="2"/>
          </rPr>
          <t xml:space="preserve">
incluye 2010
</t>
        </r>
      </text>
    </comment>
    <comment ref="B24" authorId="0">
      <text>
        <r>
          <rPr>
            <b/>
            <sz val="8"/>
            <rFont val="Tahoma"/>
            <family val="2"/>
          </rPr>
          <t>acaceres:</t>
        </r>
        <r>
          <rPr>
            <sz val="8"/>
            <rFont val="Tahoma"/>
            <family val="2"/>
          </rPr>
          <t xml:space="preserve">
se incluyen los reembolsos</t>
        </r>
      </text>
    </comment>
    <comment ref="D25" authorId="0">
      <text>
        <r>
          <rPr>
            <b/>
            <sz val="8"/>
            <rFont val="Tahoma"/>
            <family val="2"/>
          </rPr>
          <t>acaceres:</t>
        </r>
        <r>
          <rPr>
            <sz val="8"/>
            <rFont val="Tahoma"/>
            <family val="2"/>
          </rPr>
          <t xml:space="preserve">
incluye 2010</t>
        </r>
      </text>
    </comment>
    <comment ref="E25" authorId="0">
      <text>
        <r>
          <rPr>
            <b/>
            <sz val="8"/>
            <rFont val="Tahoma"/>
            <family val="2"/>
          </rPr>
          <t>acaceres:</t>
        </r>
        <r>
          <rPr>
            <sz val="8"/>
            <rFont val="Tahoma"/>
            <family val="2"/>
          </rPr>
          <t xml:space="preserve">
incluye 2010</t>
        </r>
      </text>
    </comment>
    <comment ref="F25" authorId="0">
      <text>
        <r>
          <rPr>
            <b/>
            <sz val="8"/>
            <rFont val="Tahoma"/>
            <family val="2"/>
          </rPr>
          <t>acaceres:</t>
        </r>
        <r>
          <rPr>
            <sz val="8"/>
            <rFont val="Tahoma"/>
            <family val="2"/>
          </rPr>
          <t xml:space="preserve">
incluye 2010</t>
        </r>
      </text>
    </comment>
    <comment ref="D26" authorId="0">
      <text>
        <r>
          <rPr>
            <b/>
            <sz val="8"/>
            <rFont val="Tahoma"/>
            <family val="2"/>
          </rPr>
          <t>acaceres:</t>
        </r>
        <r>
          <rPr>
            <sz val="8"/>
            <rFont val="Tahoma"/>
            <family val="2"/>
          </rPr>
          <t xml:space="preserve">
incluye 2010</t>
        </r>
      </text>
    </comment>
    <comment ref="E26" authorId="0">
      <text>
        <r>
          <rPr>
            <b/>
            <sz val="8"/>
            <rFont val="Tahoma"/>
            <family val="2"/>
          </rPr>
          <t>acaceres:</t>
        </r>
        <r>
          <rPr>
            <sz val="8"/>
            <rFont val="Tahoma"/>
            <family val="2"/>
          </rPr>
          <t xml:space="preserve">
incluye 2010</t>
        </r>
      </text>
    </comment>
    <comment ref="F26" authorId="0">
      <text>
        <r>
          <rPr>
            <b/>
            <sz val="8"/>
            <rFont val="Tahoma"/>
            <family val="2"/>
          </rPr>
          <t>acaceres:</t>
        </r>
        <r>
          <rPr>
            <sz val="8"/>
            <rFont val="Tahoma"/>
            <family val="2"/>
          </rPr>
          <t xml:space="preserve">
incluye 2010</t>
        </r>
      </text>
    </comment>
  </commentList>
</comments>
</file>

<file path=xl/sharedStrings.xml><?xml version="1.0" encoding="utf-8"?>
<sst xmlns="http://schemas.openxmlformats.org/spreadsheetml/2006/main" count="1282" uniqueCount="615">
  <si>
    <t>a) Diagnóstico de los corredores turísticos rurales y eco turísticos de las regiones; b) realizar 5 giras de campo con miembros de las microempresas seleccionadas para conocer experiencias de emprendimiento regional; c)realizar 5 foros sobre "Cultura y Emprendimientos Empresarial Ruarl"; d)Propuesta de oportunidades de inserción de productos naturales a mercados; e)Elaboración de plan regional empresarial de capacitación y asesoría técnica; f)Proceso de certificación de productos naturales; g) Proceso de adquisición de marcas y patentes para productos naturales de empresas seleccionadas; h) Realizar 5 giras regionales con participación de miembros de empresas o grupos de interés para conocar las oportunidades de mercado y ventanas de comercialización y establecimeinto de pactos de negocios; i) En coordinación con proyectos y programas de FAO y las agencias OMT, OIT y UNESCO realizar o participar en 5 ferias regionales para promover y fortalecer la identidad cultural y el emprendimiento empresarial desde los productos naturales; j) Elaboración y presentación de informes técnicos trimestrales, semestrales y anual; k) evaluación del proceso de ejecución del proyecto.</t>
  </si>
  <si>
    <t>a) Articulación del Programa Conjunto al programa de campo; b)Reconocimiento de campo en las areas de intervencion; c) sistematización de campo en relación al proceso valorización y potenciación cultural de productos naturales y su inserción a mercados d) acondicionamiento físico de oficinas  centrales y regionales e) adquisición de medios de transporte y equipo de oficina; f) diagnóstico de productos naturales y empresas existentes en cada región;</t>
  </si>
  <si>
    <t>g) elaboración del libro"Rescate de la Gastronomía local y su valor cultural"; h)selección de 50 empresas o grupos de interes en las regiones seleccionadas</t>
  </si>
  <si>
    <t>i)reunión con las empresas o grupos de interes para socializar la propuesta del programa y concertar reuniones para la elaboración de planes operativos en función las necesidades de capacitación y asesoría técnica; j)elaboración de un plan de capacitación y asesoría técnica por región.</t>
  </si>
  <si>
    <t>k) análisis contextual de las empresas o grupos de interes; l)implementación de los planes de capacitación y asesoría técnica; m)elaboración e implementación de plan regional de manejo ambiental para empresas; n)elaboración de un sistema de planificación y evaluación participativa para las empresas; o)jornadas de evaluación participativa por empresa, región; p)elaboración de un sistema de monitoreo y seguimiento para empresas; q) elaboración y presentación de informe técnico trimestral, semestral y anual.</t>
  </si>
  <si>
    <t>a) Mapeo regional de redes asociativas productivas; b) focalización y desarrollo de redes asociativas productivas con economía solidaria; c) 5 talleres regionales sobre economía solidaria y nuevas relaciones sociales de producción y distribución; d) promoción y constitución de redes  asociativas para la difusión y comercialización de productos naturales; e) elaboración y presentación de informe técnico trimestral, semestral y anual. f) evaluación del proceso de ejecución del proyecto.</t>
  </si>
  <si>
    <t>Transportes</t>
  </si>
  <si>
    <t>a) Elaborar y distribuir criterios de selección en 8 casas de la cultura e identificar y seleccionar cuatro empresas culturales; b) aplicar un diagnostico organizacional en cada empresa seleccionada y elaborar ruta de fortalecimiento; c) realizar cinco estudios del funcionamiento de la cadena productiva de las empresas culturales y creativas seleccionadas.</t>
  </si>
  <si>
    <t>a) 40 empresas fortalecidas; b) 50% de las empresas tuvieron acceso a formación especializada que permitió mejorar su producto. c) seguimiento a las empresas fortalecidas</t>
  </si>
  <si>
    <t>Contratos consultores</t>
  </si>
  <si>
    <t>SNV</t>
  </si>
  <si>
    <t>CALENDARIO 2009</t>
  </si>
  <si>
    <t>Total Producto 3.7</t>
  </si>
  <si>
    <t>A diciembre de 2009 el IHAH y la comunidad de Miravalle cuentan con lineamientos de trabajo y acuerdos firmados</t>
  </si>
  <si>
    <t>A junio de 2009 cada región a identificado un espacio público o patrimonial para uso cultural</t>
  </si>
  <si>
    <t>A diciembre de 2009 se han elaborado los planos y maquetas, presupuestos y acuerdos de ejecucion municipal de los 8 espacios públicos a restaurar o rehabilitar</t>
  </si>
  <si>
    <t>2.5.3. Financiar la ejecución de los proyectos seleccionados y la elaboración de protocolos de uso, mantenimiento y administración de los espacios.</t>
  </si>
  <si>
    <t xml:space="preserve">a) Concertaciòn con IHAH para supervision y definición de estrategias para ejecucion de las obras  b) Inicio de ejecucion de obras c) Consultoria para elaboracion de protocolos de uso y administraciòn de los espacios (planes de manejo participativos) </t>
  </si>
  <si>
    <t>Total actividad 2.5.3</t>
  </si>
  <si>
    <t xml:space="preserve">a) Taller SCAD-UNESCO para la revisión conceptual y operativa,         b)  diseño de programa cultural modelo y regulación de capital semilla para 8 casas de la cultura
</t>
  </si>
  <si>
    <t>c) Establecer diagnostico de necesidades de equipamiento.d) Compra de equipo básico para las casas de la cultura a priorizar por el estudio de necesidades de la SCAD</t>
  </si>
  <si>
    <t>(La consultoria identificará programas y proyectos locales de prevención de violencia a través de la cultura (buenas practicas)y definirá las regiones con mayor problematica de violencia.</t>
  </si>
  <si>
    <t xml:space="preserve">Diseño e implementación de programa cultural con objetivos de prevención de violencia en regiones y grupos a focalizar. </t>
  </si>
  <si>
    <t xml:space="preserve">Cofinanciar eventos culturales y artísticos en ferias, festivales y otros en 8 regiones del país (esta actividad está vinculada a la 2.1.1)
</t>
  </si>
  <si>
    <t>a) TDR y contratación de consultor nacional para definir el proceso de valoracion y selección participativa. b) Divulgacion del proceso; c) Seleccion de sitios a restaurar o rehabilitar</t>
  </si>
  <si>
    <t xml:space="preserve">a) Acuerdos OIT UNESCO para la formacion de capacidades en artes y oficios, b) Brindar asistencia técnica a los proyectos seleccionados para elaboracion de planos y maquetas c) ejecucion de obras   </t>
  </si>
  <si>
    <t xml:space="preserve">1. Realizar acuerdos de cooperación con el Centro de Innovación Tecnológica en Artesanías y Turismo, CITEAT para articular estrategias conjuntas.  </t>
  </si>
  <si>
    <t>2. Actualización del software y capacitación del personal docente del CICAI en el uso del software y su enseñanza</t>
  </si>
  <si>
    <t>Financiamiento de becas para capacitación en diseño e innovación organizada por el CICAI</t>
  </si>
  <si>
    <t>A diciembre de 2009 se ha capacitado en diseño e innovación el 100% del personal docente del CICAI y 30 representantes de asociaciones y grupos artesanales de las 8 regiones del país</t>
  </si>
  <si>
    <t xml:space="preserve"> UNESCO provee logistica,  productos para ferias empresariales; materiales promocionales. OMT contrata personal</t>
  </si>
  <si>
    <t>Estudio de demanda nacional e internacional realizado</t>
  </si>
  <si>
    <t>b) Proceso de contratación de equipo técnico mapeo c) ejecución de la consultoría d) Revisión y ajuste de la matriz de estadísticas e indicadores de la UNESCO para Honduras de acuerdo a los alcances del mapeo.</t>
  </si>
  <si>
    <t>e) Elaboración de instrumentos de recolección de información y análisis con informantes clave y voluntarios UNV identificados en las iniciales 5 regiones</t>
  </si>
  <si>
    <t>a) Preparación (producción) de la exposición etnográfica itinerante para  2009 b) Realizacion de la gira itinerante</t>
  </si>
  <si>
    <t xml:space="preserve">c) Carta cultural iberoamericana d) Carta de derechos y responsabilidades culturales; e) Producir materiales audiovisuales sobre diversidad cultural f) Grabación y difusión de música indígena y Garífuna
</t>
  </si>
  <si>
    <t xml:space="preserve">a. Preparación de contenidos sobre derechos culturales que incluyan a) Agenda 21 de la Cultura b) Convención de la UNESCO sobre la Promoción y Protección de la Diversidad de Expresiones </t>
  </si>
  <si>
    <t xml:space="preserve">a) Concertacion sobre alcances y propositos del Sistema con autoridades nacionales y Consejos Regionales  b) TDR para diseño del sistema c) adquisicion de equipo para nodos regionales y central d) Organización de Consejo Editorial para la definición de contenidos </t>
  </si>
  <si>
    <t>a) Consultoria para la definicion de linea de base del Programa Conjunto b) Consultoría internacional para la  Construcción del sistema nacional de indicadores de impacto de cultura y desarrollo en coordinación con el INE / Banco Central</t>
  </si>
  <si>
    <t>a) Concertacion con el IHAH para conocer de las necesidades y planes para el CDIHA b) Organización de consultoria tecnica para la organización de una línea de investigacion que priorioce las necesidades nacionales en la materia c) ejecución y desarrollo de investigaciones</t>
  </si>
  <si>
    <t>c) ejecución y desarrollo de investigaciones</t>
  </si>
  <si>
    <t xml:space="preserve">8 Consejos Regionales conformados. </t>
  </si>
  <si>
    <t>Un sistema de comunicación en doble vía diseñado e implementado.</t>
  </si>
  <si>
    <t xml:space="preserve">Establecidos centros de conexión y canales de informacion en 8 regiones </t>
  </si>
  <si>
    <t>Perfil del voluntario solidario definido, convocatoria y selección realizada.</t>
  </si>
  <si>
    <t>Iniciada la implementación del plan de trabajo de 8 redes</t>
  </si>
  <si>
    <t>Guía Metodológica elaborada, validada y aplicada en 8 regiones.</t>
  </si>
  <si>
    <t>Ocho grupos locales de trabajadores de construcción formados y certificados por INFOP. Proceso iniciado de constitución de 8 grupos locales en MYPES.</t>
  </si>
  <si>
    <t>80 facilitadores de formación empresarial certificados en metodologías IMESUN en las 8 regiones de intervención.</t>
  </si>
  <si>
    <t>Programa de microempresarios diseñado. Grupos artesanales identificados y capacitados de 5 asociaciones y 10 microempresas de producción artesanal formadas y constituídas.</t>
  </si>
  <si>
    <t>Diseño del sistema de indicadores para el seguimiento y evaluación del impacto de la cultura en el empleo y la actividad económica.</t>
  </si>
  <si>
    <t>- Elaborada la propuesta operativa para el funcionamiento de 8 consejos regionales de cultura.</t>
  </si>
  <si>
    <t>- Obtenidas las personerìas jurìdicas de cada uno de los Consejos regionales</t>
  </si>
  <si>
    <t>- Conformados los 8 consejos regionales de cultura</t>
  </si>
  <si>
    <t>- Difundidos los productos y realizadas las actividades previstas en la estrategia.</t>
  </si>
  <si>
    <t>- Realizados al menos 8 pactos  con alcaldes municipales, uno por región.</t>
  </si>
  <si>
    <t>Diseñado el fondo e identificadas las instituciones financieras  a nivel local.</t>
  </si>
  <si>
    <t>Fondo en funcionamiento y colocado al menos 100,000 dòlares de capital inicial en la instituciòn financiera de segundo piso.</t>
  </si>
  <si>
    <t>Diseñada la estrategia de comunicaciòn diferenciada en cada una de las 8 regiones.</t>
  </si>
  <si>
    <t xml:space="preserve">a) Proceso de producciòn de los materiales de  la estrategia; b) difusión de los productos de la estrategia; c) lanzamiento de la estrategia pro región y a nivel central; d) apoyadas iniciativas comunicación alternativa vinculada a la cultura; </t>
  </si>
  <si>
    <t xml:space="preserve"> '- Suscritos 2 convenios de cooperaciòn triangular con Mèxico y Colombia.</t>
  </si>
  <si>
    <t>- Realizados 4 eventos sobre la economía de la cultura.</t>
  </si>
  <si>
    <t>- Establecido convenios e institucionalizado el sistema en el IHAH.</t>
  </si>
  <si>
    <t>Montada y funcionanado la mesa de cooperantes en cultura y desarrollo.</t>
  </si>
  <si>
    <t>Diseño de una metodología de priorización y selección de escenarios (iniciativas). Diseño e implementación de ludotecas en 8 regiones.</t>
  </si>
  <si>
    <t xml:space="preserve">Diseñada la metodologia y seleccionadas 30 iniciativas a diciembre 2009.  </t>
  </si>
  <si>
    <t>Fondo de iniciativas constituido y 30 iniciativas financiadas a diciembre 2009.</t>
  </si>
  <si>
    <t>1.- Sistematizada  una experiencia de valorización y potenciación cultural de productos naturales.</t>
  </si>
  <si>
    <t>2.- Un documento que identifica los productos naturales y empresas existentes en las regiones seleccionadas.</t>
  </si>
  <si>
    <t>4.- Cincuenta (50) empresas o grupos de interés seleccionadas y conocen del quehacer del programa conjunto.</t>
  </si>
  <si>
    <t>5.- Cincuenta (50) empresas o grupos de interés cuentan con un plan de capacitación, asesoria técnica y manejo ambiental sobre inserción competitiva de productos naturales en el mercado y desarrollo de emprendimientos rurales.</t>
  </si>
  <si>
    <r>
      <t xml:space="preserve">6.- Elaborado y en implementación un sistema de planificación, monitoreo, seguimiento y evaluación participativo </t>
    </r>
    <r>
      <rPr>
        <sz val="8"/>
        <rFont val="Calibri"/>
        <family val="2"/>
      </rPr>
      <t>para empresas.</t>
    </r>
  </si>
  <si>
    <t>2.- Cincuenta (50) microempresas o grupos de interés seleccionadas capacitados en emprendimiento empresarial rural.</t>
  </si>
  <si>
    <t>4.- Una guia para la certificación de productos naturales.</t>
  </si>
  <si>
    <t>7.- Diez empresas insertan sus productos naturales en cinco ferias o festivales.</t>
  </si>
  <si>
    <t>2.- Seleccionada una red asociativa productiva en cada una de las cinco regiones.</t>
  </si>
  <si>
    <t>A marzo de 2009, ocho   ferias o festivales seleccionados y con aprobación de SCAD.</t>
  </si>
  <si>
    <t>A septiembre de 2009, cinco ferias o festivales poseen una programación innovadora en los aspectos culturales.</t>
  </si>
  <si>
    <t>A diciembre 2009 están organizados los comités de 5 ferias o festivales y poseen un manual aprobado por la municipalidad para la administración de los recursos.</t>
  </si>
  <si>
    <t>Aportar capital para 5 ferias o festivales</t>
  </si>
  <si>
    <t>A diciembre 2009 cinco comités de ferias o festivales recibieron capital semilla de parte del Programa, lo que permitió nuevas incorporaciones culturales a la programación ordinaria.</t>
  </si>
  <si>
    <t xml:space="preserve"> En julio de 2009, casas de la cultura en 5 regiones cuentan con material para organizar e innovar ferias y festivales.</t>
  </si>
  <si>
    <t xml:space="preserve">Elaborar 5 diagnósticos rápidos de los contenidos actuales de las ferias o festivales y su organización. </t>
  </si>
  <si>
    <t xml:space="preserve">Elaborar con gestores culturales locales un diagnóstico rápido de las riquezas culturales de su región como insumo para la planifiación de ferias o festivales. </t>
  </si>
  <si>
    <t>A diciembre 2009, 20 grupos o empresas culturales tienen materiales de mercadeo de sus productos.</t>
  </si>
  <si>
    <t>A diciembre de 2009, se han realizado por lo menos dos ferias para promover y conectar productos culturales.</t>
  </si>
  <si>
    <t>A julio de 2009 está realizado y disponible un estudio sobre la demanda privada de productos culturales.</t>
  </si>
  <si>
    <t xml:space="preserve">A diciembre de  2009 están formadas por lo menos 3 empresas de promoción y mercadeo de productos culturales. </t>
  </si>
  <si>
    <t>A diciembre de 2009, 20 empresas creativas y culturales mejoraron la calidad de su producto.</t>
  </si>
  <si>
    <t>A diciembre de 2009, 40 empresas creativas y culturales tienen un plan de negocio y han implementado 20% del mismo.</t>
  </si>
  <si>
    <t>RESULTADOS ESPERADOS 2009</t>
  </si>
  <si>
    <t>- Definido el marco jurìdico-administrativo del proceso de descentralización.</t>
  </si>
  <si>
    <t xml:space="preserve"> - Diseñada la estrategia de comunicaciòn del Programa Conjunto.</t>
  </si>
  <si>
    <t xml:space="preserve">2) Elaborar productos de la estrategia </t>
  </si>
  <si>
    <t xml:space="preserve">3)Distribuir y difundir productos de la estartegia </t>
  </si>
  <si>
    <t>1.1.3.  Definir los canales de comunicación con los diferentes sectores representados                          1.1.4.   Diseñar, producir y difundir los materiales de una estrategia de información y comunicación  regional para  socialización de conceptos claves, difusión del trabajo del consejo, programaciones y desarrollo general del programa.</t>
  </si>
  <si>
    <t xml:space="preserve"> - Elaboradas 8 agendas mìnimas de cultura, una por regiòn.</t>
  </si>
  <si>
    <t>- Concertado un Pacto sobre cultura y desarrollo con los candidatos presidenciales.</t>
  </si>
  <si>
    <t>Realizados 8 mapeos culturales.</t>
  </si>
  <si>
    <t xml:space="preserve">a. Reuniones de coordinación con contrapartes nacionales: IHAH-SCAD y socios: OEI
b. Diseño del plan de publicaciones, diseño grafico e impresión; 
c. Elaboración de módulos de información en 5 regiones.
</t>
  </si>
  <si>
    <t xml:space="preserve">Cuando menos 8 casas de la cultura cuentan con documentacion relevante y pertinente sobre el valor economico y social de la cultura en los procesos de desarrollo. 
</t>
  </si>
  <si>
    <t xml:space="preserve">• Perfiles y competencias del programa de formación definido.
• 20 gestores culturales por región incrementan su capacidad de gestión y presentación de proyectos.
</t>
  </si>
  <si>
    <t xml:space="preserve">Un documento sobre la situación de la educación artística en Honduras y su impacto en la formación de la niñez y juventud, elaborado y socializado. </t>
  </si>
  <si>
    <t>Sistematizada la información resultante de los acuerdos de los 8 consejos regionales.</t>
  </si>
  <si>
    <t>Información sistematizada de los productos por cada región.</t>
  </si>
  <si>
    <t xml:space="preserve">Exhibición etnográfica presentada en 8 regiones a diciembre de 2009
</t>
  </si>
  <si>
    <t>Elaborados y difundidos 8 diagnòsticos de actores locales, uno por regiòn.</t>
  </si>
  <si>
    <t>Un documento que identifica los contenidos de educación artistica. Financiados los CDAP en 8 regiones.</t>
  </si>
  <si>
    <t>Diseñados y ejecutados  8 programas innovadores de educacion artistica, uno por region.</t>
  </si>
  <si>
    <t>Compra de material didáctico para los CEDAP.</t>
  </si>
  <si>
    <t>- Estrategia de coordinación definida con el PC de seguridad humana y el Observatorio de la violencia. - Programa cultural con objetivos de prevención de violencia diseñado e implementado en las regiones focalizadas</t>
  </si>
  <si>
    <t>Realizado el diseño y cofinanciados eventos de creación y circulación de productos culturales y artisticos en 8 regiones.</t>
  </si>
  <si>
    <t>Seleccionar, con las casas de la cultura y SCAD 5 ferias o festivales tradicionales para ser apoyadas por el Programa.</t>
  </si>
  <si>
    <t>1.7.2. Diseñar y realizar 1 exposicion itinerante sobre interculturalidad y pluriculturalidad indigena y garifuna.</t>
  </si>
  <si>
    <t>Apoyo a los CDAP;  Conformación y activación del grupo de capacitación para  participar en el proceso de selección del fondo.</t>
  </si>
  <si>
    <t xml:space="preserve">Planificación y organización conjunta con el Instituto Hondureño de Antropología e Historia de la estrategia para incorporar a las comunidades en el sitio seleccionado  donde se definan los conceptos de conservación, y uso del bien cultural así como las estrategias para resolver los problemas y lograr los objetivos identificados, tanto para la </t>
  </si>
  <si>
    <t>protección como para el uso sostenible del bien (Yarumela y la comunidad de Miravalle es el sitio seleccionado por el IHAH).</t>
  </si>
  <si>
    <t>SCAD, IHAH, UNV</t>
  </si>
  <si>
    <t>SCAD, IHAH, FAO, UNESCO, UNV</t>
  </si>
  <si>
    <t>SCAD, IHAH, OIT, UNV</t>
  </si>
  <si>
    <t>Elaborar Manual de Formación Empresarial basado en IMESUN y realizar 4 Talleres para facilitadores de formación empresarial.</t>
  </si>
  <si>
    <t>3.- Un documento sobre oportunidades de inserción de productos naturales a mercados.</t>
  </si>
  <si>
    <t>6.- Veinticinco (25) empresas de las regiones seleccionadas han iniciado un  proceso participativo de negociación de sus productos.</t>
  </si>
  <si>
    <t xml:space="preserve"> - Programa de actualización e innovación en diseño artesanal e innovación implementado en el CICAI.                                                - El CICAI cuenta con software actualizado y en uso. </t>
  </si>
  <si>
    <t>Coordinacion con OMT, y considerar fondo para estudio de registro de marcas y patentes.</t>
  </si>
  <si>
    <t>Cartera de producciones artísticas y servicios culturales disponibles para el corredor turístico de Honduras.</t>
  </si>
  <si>
    <t>RESULTADOS ESPERADOS  2009</t>
  </si>
  <si>
    <t>- Elaborados y difundidos al menos el 50 por ciento de los productos de la estrategia por regiòn.</t>
  </si>
  <si>
    <t>- Identificados y apoyados al menos 8 experiencias alternativas de comunicaciòn vinculadas a la cultura.</t>
  </si>
  <si>
    <t>A diciembre de 2009, 4 de 8  regiones del pais están interconectadas y acceden a bases de datos e informacion especializada en cultura.</t>
  </si>
  <si>
    <t xml:space="preserve">a) Concertacion sobre alcances y propositos del Sistema con autoridades nacionales y Consejos Regionales  b) TDR para diseño del sistema; </t>
  </si>
  <si>
    <t>- Diseñado y funcionando el Sistema de Indicadores sobre el impacto de la cultura en el desarrollo.</t>
  </si>
  <si>
    <t>- Elaborada la lìnea de base para el programa conjunto.</t>
  </si>
  <si>
    <t>Elaboración de línea base</t>
  </si>
  <si>
    <t xml:space="preserve">- Definida la metodologìa e instrumento para el censo sobre cultura. </t>
  </si>
  <si>
    <t>Diseño de un Módulo de seguimiento y evaluacion de impacto de la cultura en el empleo y actividad económica.</t>
  </si>
  <si>
    <t>- Linea de base del PC realizada.  -  Marco de referencia de indicadores culturales para el desarrollo completado.</t>
  </si>
  <si>
    <t>Realizado el diseño técnico e institucional del CDIHAA.  Plan de investigaciones realizado y en ejecución.</t>
  </si>
  <si>
    <t>A diciembre de 2009, se han iniciado por lo menos 4 investigaciones orientadas a la promoción del arte y la creatividad en general en Honduras.</t>
  </si>
  <si>
    <t>Unidad de Coordinación</t>
  </si>
  <si>
    <t xml:space="preserve">Presupuesto 2009 </t>
  </si>
  <si>
    <t xml:space="preserve">ACTIVIDADES PLANIFICADAS </t>
  </si>
  <si>
    <t>Total</t>
  </si>
  <si>
    <t xml:space="preserve">1) Contratar el metodòlogo y facilitador nacional de la formulaciòn participativa de las estrategias </t>
  </si>
  <si>
    <t xml:space="preserve">2)Realizar el proceso de formulaciòn participativa de las 8 agendas regionales en materia de cultura y desarrollo </t>
  </si>
  <si>
    <t>Celular</t>
  </si>
  <si>
    <t>Combustible</t>
  </si>
  <si>
    <t>Internet</t>
  </si>
  <si>
    <t>PNUD</t>
  </si>
  <si>
    <t>OIT</t>
  </si>
  <si>
    <t>UNICEF</t>
  </si>
  <si>
    <t>FAO</t>
  </si>
  <si>
    <t>UNESCO</t>
  </si>
  <si>
    <t>Programa Conjunto Creatividad e Identidad Cultural para el Desarrollo Local</t>
  </si>
  <si>
    <t>Presupuesto Coordinación 2009</t>
  </si>
  <si>
    <t>71400 Salarios</t>
  </si>
  <si>
    <t>Salario RO</t>
  </si>
  <si>
    <t>Salario AC</t>
  </si>
  <si>
    <t>Salario JM</t>
  </si>
  <si>
    <t>71600 Viajes</t>
  </si>
  <si>
    <t>Viaticos + tickets Coordinador</t>
  </si>
  <si>
    <t>72200 Equipo y Mobiliario</t>
  </si>
  <si>
    <t>Carro</t>
  </si>
  <si>
    <t>72400 Equipo de Comunicaciones y audiovisual</t>
  </si>
  <si>
    <t>72500 Suministros</t>
  </si>
  <si>
    <t>Papelería</t>
  </si>
  <si>
    <t>72800 Equipo de Tecnología</t>
  </si>
  <si>
    <t>Suministros de IT</t>
  </si>
  <si>
    <t>Cámara digital</t>
  </si>
  <si>
    <t>73100 Renta y Mantenimiento de oficinas</t>
  </si>
  <si>
    <t xml:space="preserve">Renta </t>
  </si>
  <si>
    <t>Limpieza</t>
  </si>
  <si>
    <t>Seguridad</t>
  </si>
  <si>
    <t>Servicios Públicos</t>
  </si>
  <si>
    <t>73200 Remodelación de instalaciones</t>
  </si>
  <si>
    <t>Puertas de vidrio</t>
  </si>
  <si>
    <t>73400 Mantenimiento de Equipo</t>
  </si>
  <si>
    <t>Mantenimiento de copiadora</t>
  </si>
  <si>
    <t>Mantenimiento de computadoras</t>
  </si>
  <si>
    <t>Mantenimiento vehiculos</t>
  </si>
  <si>
    <t>74200 Publicaciones e impresiones</t>
  </si>
  <si>
    <t>Impresiones, publicaciones</t>
  </si>
  <si>
    <t>74500 Miscelaneos</t>
  </si>
  <si>
    <t>Seguro vehiculos</t>
  </si>
  <si>
    <t>Seguro coordinador</t>
  </si>
  <si>
    <t>Caja chica</t>
  </si>
  <si>
    <t>Talleres</t>
  </si>
  <si>
    <t>Monitoreo y Evaluación</t>
  </si>
  <si>
    <t>Total Costos Directos</t>
  </si>
  <si>
    <t>Gastos de Administración</t>
  </si>
  <si>
    <t>Total Presupuesto 2009</t>
  </si>
  <si>
    <t>Equipo oficina y Mobiliario</t>
  </si>
  <si>
    <t>TOTAL PNUD</t>
  </si>
  <si>
    <t>TOTAL UNV</t>
  </si>
  <si>
    <t>Presupuesto Coordinacion</t>
  </si>
  <si>
    <t>Gasto 2007-2008</t>
  </si>
  <si>
    <t>Disponible 2009-2011</t>
  </si>
  <si>
    <t>1.1.  Ocho (8) consejos regionales de cultura y desarrollo capaces de representar los intereses de los diferentes sectores sociales, de elaborar consensos sobre áreas estratégicas y de priorizar la asignación de recursos</t>
  </si>
  <si>
    <t>1.4.    Centros de información, gestión y conectividad GestiónCultural en 8 regiones, para los procesos intraregionales de gestión y planeación, interregionales de conexión a mercados y demanda de otros bienes y servicios y nacionales de acceso a información, conocimiento y gestión de recursos</t>
  </si>
  <si>
    <t>1.5.  Ochenta (80) voluntarios solidarios en 8 regiones para la permanencia de los apoyos en distribución de información y comunicación para convocatorias, socialización de conceptos claves, difusión del trabajo del consejo, programaciones y desarrollo general del programa</t>
  </si>
  <si>
    <t>2.13.   Al menos 100 emprendimientos creativos, culturales o artísticos financiados con líneas de crédito comercial, blando y no reembolsable a través del fondo interagencial de emprendimientos</t>
  </si>
  <si>
    <t>3.1.   El 25% de la población hondureña conoce y valora la producción cultural, artística y artesanal nacional y se han incrementado los recursos públicos para fomento e investigación y las inversiones privadas en los productos y servicios culturales</t>
  </si>
  <si>
    <t>3.3.   La información analizada de gestión cultural e impacto de la cultura en el desarrollo ha sido incorporada en los instrumentos de medición de las entidades responsables</t>
  </si>
  <si>
    <t>PRODUCTOS AGENCIALES</t>
  </si>
  <si>
    <t>Total Producto 1.1</t>
  </si>
  <si>
    <t>Total Producto 1.4</t>
  </si>
  <si>
    <t>Total Producto 1.5</t>
  </si>
  <si>
    <t>Total Producto 2.13</t>
  </si>
  <si>
    <t>Total Producto 3.1</t>
  </si>
  <si>
    <t>Total Producto 3.3</t>
  </si>
  <si>
    <t>Total Producto 3.8</t>
  </si>
  <si>
    <t>1.1.1.   Identificar las condiciones de participación ciudadana actuales, sectores sociales, liderazgos claves y recursos existentes para información, convocatoria y discusión pública en las 8 regiones</t>
  </si>
  <si>
    <t>Total actividad 1.1.1</t>
  </si>
  <si>
    <t>1.1.2.   Realizar el diseño metodológico y operativo y el acompañamiento técnico de los procesos de conformación y organización de los consejos</t>
  </si>
  <si>
    <t>T1</t>
  </si>
  <si>
    <t>T3</t>
  </si>
  <si>
    <t>T4</t>
  </si>
  <si>
    <t>AGENCIA RESPONSABLE</t>
  </si>
  <si>
    <t xml:space="preserve">1) Contratación del diseño y producción de la estrategia </t>
  </si>
  <si>
    <t>4) Realizar actividades de presentaciòn del PC</t>
  </si>
  <si>
    <t>1.1.5  . Facilitar la elaboración  colectiva de la estrategia regional de cultura</t>
  </si>
  <si>
    <t>Total actividad 1.1.2</t>
  </si>
  <si>
    <t>Total actividad 1.1.3 Y 1.1.4</t>
  </si>
  <si>
    <t>Total actividad 1.1.5</t>
  </si>
  <si>
    <t>1.2.   Líderes y ciudadanía de 8 regiones sensibilizados en valores y dimensiones de la cultura y el patrimonio y sus beneficios sociales y económicos, generación de empleo y oportunidades de mercado para productos culturales</t>
  </si>
  <si>
    <t>1.2.1.  Elaborar con participación activa de los actores culturales y sociales locales, mapeos culturales en las 8 regiones de intervención</t>
  </si>
  <si>
    <t>1.2.2. Entregar información sobre valores y dimensiones de la cultura y el patrimonio</t>
  </si>
  <si>
    <t>1.2.3.   Diseñar módulos y metodologías de sensibilización y formación a nivel local</t>
  </si>
  <si>
    <t>1.2.4.  Capacitar gestores culturales locales</t>
  </si>
  <si>
    <t>1.3.    Líderes y ciudadanía de 8 regiones sensibilizados en el impacto de la actividad cultural en los procesos educativos y de formación en la niñez y juventud</t>
  </si>
  <si>
    <t>1.3.1.  Realizar conferencias, talleres y entregar material a los consejos y sector educativo regionales sobre el impacto de la actividad cultural en los procesos educativos y de formación en la niñez y juventud, y tecnologías para insertar y aprovechar la cultura de los espacios educativos</t>
  </si>
  <si>
    <t>Total Producto 1.2</t>
  </si>
  <si>
    <t>Total actividad 1.2.4</t>
  </si>
  <si>
    <t>Total actividad 1.2.3</t>
  </si>
  <si>
    <t>Total actividad 1.2.2</t>
  </si>
  <si>
    <t>Total actividad 1.2.1</t>
  </si>
  <si>
    <t>Contratos</t>
  </si>
  <si>
    <t>Costos Administrativos</t>
  </si>
  <si>
    <t>X</t>
  </si>
  <si>
    <t>Total actividad 1.3.1</t>
  </si>
  <si>
    <t>Total Producto 1.3</t>
  </si>
  <si>
    <t>1.4.1.  Proveer el apoyo logístico y de entrega de información para el proceso de conformación de los consejos regionales</t>
  </si>
  <si>
    <t>1.4.2.  Sistematizar la información y acuerdos emanados de los consejos regionales</t>
  </si>
  <si>
    <t>1.4.3.  Canalizar información en doble vía entre los representantes y los representados de todos los sectores culturales, sociales e institucionales participantes</t>
  </si>
  <si>
    <t>1.4.4.  Apoyar técnica y logísticamente a las 8 regiones en el montaje de centros de conexión y establecer los canales de flujo de información desde y hacia otras regiones y de las instituciones centrales</t>
  </si>
  <si>
    <t>1.4.5.  Sistematizar la información del desarrollo de los diferentes productos en cada región</t>
  </si>
  <si>
    <t>Total actividad 1.4.1</t>
  </si>
  <si>
    <t>Total actividad 1.4.2</t>
  </si>
  <si>
    <t>Total actividad 1.4.3</t>
  </si>
  <si>
    <t>Total actividad 1.4.4</t>
  </si>
  <si>
    <t>Total actividad 1.4.5</t>
  </si>
  <si>
    <t>1.5.1.   Definir los perfiles de los voluntarios solidarios y realizar convocatoria a nivel regional</t>
  </si>
  <si>
    <t>1.5.2.   Definir con los voluntarios solidarios tareas puntuales y progresivas</t>
  </si>
  <si>
    <t>1.5.3.   Proveer insumos de información y logísticos para el trabajo de los grupos</t>
  </si>
  <si>
    <t>Total actividad 1.5.1</t>
  </si>
  <si>
    <t>Total actividad 1.5.2</t>
  </si>
  <si>
    <t>Total actividad 1.5.3</t>
  </si>
  <si>
    <t>1.6.    Líderes y ciudadanía de regiones con alta presencia de grupos indígenas y afrodescendientes sensibilizados en la aplicación del convenio 169 de derechos indígenas para favorecer la producción y aprovechamiento del recurso cultural y artístico y para el diálogo y la convivencia intercultural</t>
  </si>
  <si>
    <t>1.7.    Los líderes y al menos el 25% de la población conocen los derechos culturales, de identidad y diversidad</t>
  </si>
  <si>
    <t>1.8.  Dieciseis (16) programas innovadores de educación artística públicos y privados para su aplicación en las 8 regiones</t>
  </si>
  <si>
    <t>1.6.1.   Realizar conferencias, talleres y publicaciones sobre la dimensión económica de la cultura, el impacto en creación de empleo y generación de ingresos y la incidencia en el desarrollo local</t>
  </si>
  <si>
    <t>Total actividad 1.6.1</t>
  </si>
  <si>
    <t>Total Producto 1.6</t>
  </si>
  <si>
    <t>1.7.1.    Realizar talleres y publicaciones de socialización de derechos culturales establecidos en los tratados internacionales y en la legislación hondureña en las 8 regiones</t>
  </si>
  <si>
    <t>Total actividad 1.7.1</t>
  </si>
  <si>
    <t>Total actividad 1.7.2</t>
  </si>
  <si>
    <t>Total Producto 1.7</t>
  </si>
  <si>
    <t>1.8.1. Identificar contenidos de formación a partir de la dinámica regional</t>
  </si>
  <si>
    <t>Total Producto 1.8</t>
  </si>
  <si>
    <t>Total actividad 1.8.1</t>
  </si>
  <si>
    <t xml:space="preserve">PROGRAMA CONJUNTO "CREATIVIDAD E IDENTIDAD CULTURAL PARA EL DESARROLLO LOCAL" </t>
  </si>
  <si>
    <t>PRODUCTOS DEL PROGRAMA CONJUNTO Y METAS ANUALES</t>
  </si>
  <si>
    <t>ASOCIADO EN LA EJECUCION</t>
  </si>
  <si>
    <t>Se han mejorado equipamientos, espacios públicos y patrimoniales para la preservación y defensa del patrimonio cultural y arquelógico, la formación y circulación de expresiones creativas y culturales y la construcción de cultura ciudadana, expresada en cambios de comportamiento individual y colectivo</t>
  </si>
  <si>
    <t xml:space="preserve">2.1. Ocho (8) casas de cultura se han equipado y cuentan con programación de actividades de formación, creación y circulación cultural y artística </t>
  </si>
  <si>
    <t>2.1.1. Realizar el diseño programático y de equipamiento y proveer capital semilla para 8 casas de cultura</t>
  </si>
  <si>
    <t>SCAD</t>
  </si>
  <si>
    <t xml:space="preserve">2.1.2 Realizar el diseño y ejecutar programas para la convivencia y la reducción de violencias, dirigido a grupos vulnerados </t>
  </si>
  <si>
    <t>2.1.3 Realizar el diseño y cofinanciar eventos de creación y circulación de productos culturales y artísticos (ferias, festivales, muestars, exposiciones, presentaciones, tertulias</t>
  </si>
  <si>
    <t>2.2.   Ocho (8) ferias, una por región, han incorporado recursos creativos y culturales en su programación ordinaria</t>
  </si>
  <si>
    <t xml:space="preserve">2.2.1. Con los actores locales diseñar formas de incorporación de los recursos culturales y creativas de la región en las ferias tradicionales.
</t>
  </si>
  <si>
    <t>OMT</t>
  </si>
  <si>
    <t>2.2.2. Fortalecer las capacidades organizativas, de gestión y mercadeo de los comités de feria</t>
  </si>
  <si>
    <t>2.2.4. Distribuir material sobre modelos de feria que incorporan recurso cultural y creativo, en otras regiones del mundo</t>
  </si>
  <si>
    <t>2.3.   Ochenta (80) iniciativas ejecutadas de cultura y desarrollo, orientadas principalmente a niñez, juventud y personas con discapacidad y seleccionadas por los consejos regionales.</t>
  </si>
  <si>
    <t>2.6.   Ocho (8) grupos comunitarios, uno por región, capacitados en planeación y ejecución de obras y en contratación pública</t>
  </si>
  <si>
    <t>2.6.1.  Seleccionar, organizar e incorporar grupos locales en las actividades de restauración y adecuación de espacios públicos</t>
  </si>
  <si>
    <t>2.6.2. Aplicar las metodologías de OIT para la organización de los grupos de trabajo en construcción</t>
  </si>
  <si>
    <t>2.6.3. Seleccionar mano de obra calificada hondureña para que entrenen en obra al personal local.</t>
  </si>
  <si>
    <t>3,000
210</t>
  </si>
  <si>
    <t>2.6.4. Certificar formación recibida con el aval de INFOP</t>
  </si>
  <si>
    <t>Esta actividad no tiene costos</t>
  </si>
  <si>
    <t>Se ha conformado un sistema de incubación de industrias profesionalizadas culturales y creativas, con énfasis en microempresas y conectadas con mercados demandantes</t>
  </si>
  <si>
    <t>2.7.   Ochenta (80) formadores certificados en la metodología de "Inicie su Negocio" (ISUN) en las regiones, con capacidad para fortalecer microempresarios culturales o emprendedores.</t>
  </si>
  <si>
    <t>2.7.1. Adecuar las metodologías de capacitación empresarial ISUN al sector cultura</t>
  </si>
  <si>
    <t>2.7.2. Formar a los formadores modularmente con aproximadamente 100 horas de entrenamiento</t>
  </si>
  <si>
    <t>3,000
6,000
1,000
1,000
770</t>
  </si>
  <si>
    <t>2.8.   Cuarenta (40) microempresas de producción artesanal y 5 asociaciones de empresarios artesanales formadas y constituidas; con mejoramiento de producto e integradas en la producción y comercialización a través de mercados artesanales</t>
  </si>
  <si>
    <t>2.8.1. Diseñar y ejecutar un programa de microempresarios de productos artesanales</t>
  </si>
  <si>
    <t>2.9.  Sesenta (60) nuevas micro y pequeñas empresas de productos artísticos y culturales en las 8 regiones, las cuales han sido conectadas con  mercados nacionales</t>
  </si>
  <si>
    <t>2.9.1. Identificar a través de las casas de la cultura, grupos y empresas culturales y artísticas con potencial de ser formadas o fortalecidas</t>
  </si>
  <si>
    <t>2.9.2 Ejecutar el programa de formación y fortalecimiento y constitución de 60 empresas artísticas y culturales</t>
  </si>
  <si>
    <t>2.9.3 Sensibilizar a los empresarios nacionales de la importancia de invertir en productos culturales</t>
  </si>
  <si>
    <t>2.10.   Cien (100) microempresas de producción, comercialización y servicios que explotan los productos naturales y los bienes ecologicos en funcionamiento.</t>
  </si>
  <si>
    <t>2.10.1 Diseñar y ejecutar un programa de asesoria tecnica y capacitación para la inserción competitiva de productos naturales en el mercado a traves de industrias creativas y culturales</t>
  </si>
  <si>
    <t>2.10.3 Diseñar y promover una red asociativa para la producción,comercialización y difusión de productos culturales basados en la producción natural y la preservación ecologica.</t>
  </si>
  <si>
    <t>2.13.1 Diseñar los componentes financieros, administrativos y de institucionalización de un fondo interagencial de financiación de emprendimientos y microempresas creativas y culturales.</t>
  </si>
  <si>
    <t>ACTIVIDADES PLANIFICADAS</t>
  </si>
  <si>
    <t>Total actividad 2.1.2</t>
  </si>
  <si>
    <t>Total actividad 2.1.1</t>
  </si>
  <si>
    <t>Total actividad 2.1.3</t>
  </si>
  <si>
    <t>Total Producto 2.1</t>
  </si>
  <si>
    <t>Total actividad 2.2.1</t>
  </si>
  <si>
    <t>Total actividad 2.2.2</t>
  </si>
  <si>
    <t>Total actividad 2.2.4</t>
  </si>
  <si>
    <t>Total Producto 2.2</t>
  </si>
  <si>
    <t>Total Producto 2.3</t>
  </si>
  <si>
    <t>Total actividad 2.3.1</t>
  </si>
  <si>
    <t>Total actividad 2.3.2</t>
  </si>
  <si>
    <t>2.5.   Cada región dispone de un espacio público o patrimonial o un conjunto de espacios valorados, apropiados y utilizados por la ciudadanía donde se expresan las manifestaciones culturales y se construye cultura ciudadana, expresada en cambios de comportamiento y actitud individual y colectiva</t>
  </si>
  <si>
    <t>Total Producto 2.5</t>
  </si>
  <si>
    <t>Total actividad 2.5.1</t>
  </si>
  <si>
    <t>Total actividad 2.6.1</t>
  </si>
  <si>
    <t>Total actividad 2.6.2</t>
  </si>
  <si>
    <t>Total actividad 2.6.3</t>
  </si>
  <si>
    <t>Total actividad 2.6.4</t>
  </si>
  <si>
    <t>Total Producto 2.6</t>
  </si>
  <si>
    <t>Total actividad 2.7.1</t>
  </si>
  <si>
    <t>Total actividad 2.7.2</t>
  </si>
  <si>
    <t>Total Producto 2.7</t>
  </si>
  <si>
    <t>UNV-PNUD</t>
  </si>
  <si>
    <t>Equipos</t>
  </si>
  <si>
    <t>2.4 Modelo de protección de parques arqueologicos ejecutado y evaluado</t>
  </si>
  <si>
    <t>2.4.1 Realizar el diseño y los acuerdos con pobladores para la ejecución del programa</t>
  </si>
  <si>
    <t xml:space="preserve">Capacitación </t>
  </si>
  <si>
    <t>Viajes</t>
  </si>
  <si>
    <t>Materiales</t>
  </si>
  <si>
    <t>Total actividad 2.8.1</t>
  </si>
  <si>
    <t>x</t>
  </si>
  <si>
    <t>1.8.2. Elaborar perfil de los programas, definir requerimientos de material y académicos y ejecutar los programas de educación en las 5 regiones.</t>
  </si>
  <si>
    <t>Total actividad 1.8.2</t>
  </si>
  <si>
    <t>8 estrategias regionales de cultura y planes municipales con componente cultural incorporado de las municipalidades involucradas</t>
  </si>
  <si>
    <t>Habitantes de las 8 regiones reconocen las diversas culturas de su región y sus intereses comunes y factores de tensión</t>
  </si>
  <si>
    <t>TOTAL EFECTO 1</t>
  </si>
  <si>
    <t>TOTAL UNESCO</t>
  </si>
  <si>
    <t>TOTAL OIT</t>
  </si>
  <si>
    <t>TOTAL UNICEF</t>
  </si>
  <si>
    <r>
      <rPr>
        <b/>
        <sz val="10"/>
        <rFont val="Calibri"/>
        <family val="2"/>
      </rPr>
      <t>Efecto directo del MANUD:</t>
    </r>
    <r>
      <rPr>
        <sz val="10"/>
        <rFont val="Calibri"/>
        <family val="2"/>
      </rPr>
      <t xml:space="preserve">   Para 2011 las y los hondureñas/os avanzan hacia el cumplimiento equitativo y universal de sus derechos a la salud, al agua y saneamiento, a la alimentación, a la educación, a la cultura y a la protección contra la violencia, el abuso y la explotación.</t>
    </r>
  </si>
  <si>
    <r>
      <rPr>
        <b/>
        <sz val="10"/>
        <rFont val="Calibri"/>
        <family val="2"/>
      </rPr>
      <t>Efecto directo 1 del Programa Conjunto:</t>
    </r>
    <r>
      <rPr>
        <sz val="10"/>
        <rFont val="Calibri"/>
        <family val="2"/>
      </rPr>
      <t xml:space="preserve">  Se han establecido y aplicado estrategias y programas inclusivos de cultura para el desarrollo en ámbitos locales, que sientan las bases para una política nacional de cultura y desarrollo sustentada en la diversidad cultural y el fortalecimiento de la identidad.</t>
    </r>
  </si>
  <si>
    <t>PLAN DE TRABAJO 2009</t>
  </si>
  <si>
    <r>
      <rPr>
        <b/>
        <sz val="10"/>
        <rFont val="Calibri"/>
        <family val="2"/>
      </rPr>
      <t>Efecto directo 2 del Programa Conjunto:</t>
    </r>
    <r>
      <rPr>
        <sz val="10"/>
        <rFont val="Calibri"/>
        <family val="2"/>
      </rPr>
      <t xml:space="preserve">  Se han formado industrias creativas y culturales que fomentan el desarrollo económico y social y que posibilitan la expansión de oportunidades para la población en 8 regiones.</t>
    </r>
  </si>
  <si>
    <r>
      <rPr>
        <b/>
        <sz val="10"/>
        <rFont val="Calibri"/>
        <family val="2"/>
      </rPr>
      <t>Efecto directo del MANUD:</t>
    </r>
    <r>
      <rPr>
        <sz val="10"/>
        <rFont val="Calibri"/>
        <family val="2"/>
      </rPr>
      <t xml:space="preserve">    Para 2011 las comunidades rurales y las organizaciones locales, junto al Estado, implementan políticas públicas y procesos de desarrollo para el acceso equitativo y sostenible de la población vulnerable a la tierra, otros medios de producción, mercados y servicios de apoyo, para la generación de empleo de calidad, la seguridad alimentaria y la reducción de la pobreza.</t>
    </r>
  </si>
  <si>
    <t>Realizar 5 talleres con actores clave públicos y privados para desarrollar una visión innovadora de las ferias, incorporando resultados de los mapeos culturales.</t>
  </si>
  <si>
    <t>2.2.3. Aportar capital semilla para la organización de 8 ferias piloto.</t>
  </si>
  <si>
    <t>Total actividad 2.2.3</t>
  </si>
  <si>
    <t xml:space="preserve">2.3.1 Diseñar la metodología de priorización y selección de escenarios
</t>
  </si>
  <si>
    <t>2.3.2 financiar las 80 iniciativas en las actividades de creación y circulación</t>
  </si>
  <si>
    <t>Certificación INFOP</t>
  </si>
  <si>
    <t>Total Producto 2.8</t>
  </si>
  <si>
    <t xml:space="preserve">2.9.4. Realizar ferias empresariales para promover y conectar los productos culturales con mercados nacionales. </t>
  </si>
  <si>
    <t>Costo Administrativo 7%</t>
  </si>
  <si>
    <t>Total actividad 2.9.1</t>
  </si>
  <si>
    <t>Total actividad 2.9.2</t>
  </si>
  <si>
    <t>Total actividad 2.9.3</t>
  </si>
  <si>
    <t>Total actividad 2.9.4</t>
  </si>
  <si>
    <t>Total Producto 2.9</t>
  </si>
  <si>
    <t>Total actividad 2.13.1</t>
  </si>
  <si>
    <t>Total actividad 2.10.3</t>
  </si>
  <si>
    <t>Total actividad 2.10.2</t>
  </si>
  <si>
    <t>Total actividad 2.10.1</t>
  </si>
  <si>
    <t>Total actividad 2.4.1</t>
  </si>
  <si>
    <t>Total Producto 2.4</t>
  </si>
  <si>
    <t>Contrataciòn del oficial de promoción y seguimiento al crédito</t>
  </si>
  <si>
    <t>Contratación de Consultor para el diagnóstico de oferta/demanda en cada región y definir el modelo</t>
  </si>
  <si>
    <t>Socialización y negociación de convenios con IFI´s locales</t>
  </si>
  <si>
    <t>Monitoreo y seguimiento del fondo</t>
  </si>
  <si>
    <t>TOTAL OMT</t>
  </si>
  <si>
    <t>TOTAL FAO</t>
  </si>
  <si>
    <t>Ciudadanía, instituciones y empresarios hondureños sensibilizados en los valores de la cultura y los impactos de corto y largo plazo en el desarrollo social y económico de la sociedad</t>
  </si>
  <si>
    <t>3.1.1.   Realizar el diseño conceptual y operativo de una estrategia nacional de comunicación educativa sobre valores y beneficios de la cultura, de movilización social e institucional hacia programas e inversiones en cultura y de creación de públicos para la cultura y las artes</t>
  </si>
  <si>
    <t>3.1.2. Ejecutar la estrategia de acuerdo al diseño con los diferentes públicos masivos, macro y micro y estableciendo alianzas con medios locales y nacionales, entidades gubernamentales interesadas, gremios, ONG y organismos de cooperación</t>
  </si>
  <si>
    <t>Sistema de información e indicadores de impacto de la cultura en el desarrollo en operación y marco legal y de cooperación para el sector</t>
  </si>
  <si>
    <t>3.3.1. Realizar el diseño conceptual y metodológico de un sistema de indicadores de gestión e impacto cultural incluyendo su institucionalización a través de observatorios y sistemas de medición existentes</t>
  </si>
  <si>
    <t>3.3.2. Elaborar convenios y proveer apoyo financiero complementario para captura de información en campo, procesamiento, análisis y reportes indicativos</t>
  </si>
  <si>
    <t>3.4.   El sistema de indicadores reporta el impacto de la cultura en la generación de empleo y actividad económica</t>
  </si>
  <si>
    <t>3.4.1. Definir los indicadores de impacto pertinentes y las formas de reporte</t>
  </si>
  <si>
    <t>3.6.   La investigación antropológica, cultural y artística se ha institucionalizado como una tarea ordinaria del IHAH y adecuada a las necesidades de conocimiento regionales</t>
  </si>
  <si>
    <t>3.6.1.  Revisar el estudio de necesidades del Centro de Documentación e Investigaciones Históricas, Antropológicas y Artísticas del IHAH, realizar el diseño técnico e institucional y proveer financiación semilla para una línea de investigación antropológica y cultural</t>
  </si>
  <si>
    <t>3.7.   La investigación sobre productos y mercados de los recursos culturales y artísticos se ha institucionalizado como una tarea ordinaria del IHAH u otra entidad socia definida por éste, y adecuada a las necesidades de conocimiento regionales</t>
  </si>
  <si>
    <r>
      <rPr>
        <b/>
        <sz val="10"/>
        <rFont val="Calibri"/>
        <family val="2"/>
      </rPr>
      <t>Efecto directo del MANUD:</t>
    </r>
    <r>
      <rPr>
        <sz val="10"/>
        <rFont val="Calibri"/>
        <family val="2"/>
      </rPr>
      <t xml:space="preserve">   Para 2011 las hondureñas y los hondureños avanzan en el ejercicio de sus derechos y deberes en un Estado democrático capaz de diseñar e implementar políticas y acciones para la participación ciudadana, equidad, modernización del Estado, descentralización, y seguridad jurídica y ciudadana.</t>
    </r>
  </si>
  <si>
    <r>
      <rPr>
        <b/>
        <sz val="10"/>
        <rFont val="Calibri"/>
        <family val="2"/>
      </rPr>
      <t>Efecto directo 3 del Programa Conjunto:</t>
    </r>
    <r>
      <rPr>
        <sz val="10"/>
        <rFont val="Calibri"/>
        <family val="2"/>
      </rPr>
      <t xml:space="preserve">  Se ha generado, recopilado, analizado y difundido información del impacto de la cultura en el desarrollo para construir públicos y orientar las políticas públicas y la inversión privada.</t>
    </r>
  </si>
  <si>
    <t>Total actividad 3.1.1</t>
  </si>
  <si>
    <t>Total actividad 3.1.2</t>
  </si>
  <si>
    <t>Total actividad 3.3.1</t>
  </si>
  <si>
    <t>Total actividad 3.3.2</t>
  </si>
  <si>
    <t>Total Producto 3.4</t>
  </si>
  <si>
    <t>Total actividad 3.4.1</t>
  </si>
  <si>
    <t>3.2 Centros de servicio e información InfoCultura en 50 zonas rurales y pequeños poblados para acceso a educación, conocimiento e información cultural actualizada</t>
  </si>
  <si>
    <t xml:space="preserve">3.2.1 Diseñar técnica e institucionalmente una red social de conocimiento cultural y un portal central que conforman un sistema de información cultural para el monitoreo, seguimiento, difusión y utilización del conocimiento producido y realizar los acuerdos con la institucionalidad central y los consejos regionales para su sostenibilidad y permanencia      </t>
  </si>
  <si>
    <t>Capacitacion</t>
  </si>
  <si>
    <t>Total actividad 3.2.1</t>
  </si>
  <si>
    <t>Total Producto 3.2</t>
  </si>
  <si>
    <t>Total Producto 3.6</t>
  </si>
  <si>
    <t>Total actividad 3.6.1</t>
  </si>
  <si>
    <t>TOTAL EFECTO 2</t>
  </si>
  <si>
    <t>TOTAL EFECTO 3</t>
  </si>
  <si>
    <t>PRESUPUESTO</t>
  </si>
  <si>
    <t>FUENTE DE FONDOS</t>
  </si>
  <si>
    <t>DESCRIPCION</t>
  </si>
  <si>
    <t>CANTIDAD</t>
  </si>
  <si>
    <t>Contratos empresas</t>
  </si>
  <si>
    <t>Miscelaneos</t>
  </si>
  <si>
    <t>Capacitaciones</t>
  </si>
  <si>
    <t>Transporte</t>
  </si>
  <si>
    <t>Equipo</t>
  </si>
  <si>
    <t>3.5 El sistema de indicadores reporta el impacto de la cultura en la valoración de bienes y recursos y en el desarrollo regional</t>
  </si>
  <si>
    <t>Total Producto 3.5</t>
  </si>
  <si>
    <t>3.5.1Definir los indicadores de impacto pertinentes y las formas de reporte</t>
  </si>
  <si>
    <t>Total actividad 3.5.1</t>
  </si>
  <si>
    <t>Contrataciones Empresas</t>
  </si>
  <si>
    <t>Costo Administrativo</t>
  </si>
  <si>
    <t>Total Producto 2.10</t>
  </si>
  <si>
    <t>Total Producto 2.11</t>
  </si>
  <si>
    <t xml:space="preserve">2.11.1. Realizar acuerdos de cooperación y financiar la actualización de software y capacitación de personal docente del centro para su uso y enseñanza </t>
  </si>
  <si>
    <t>2.11.2. Financiar matrículas y estadía de miembros designados por las asociaciones de micro y pequeños empresarios de producción</t>
  </si>
  <si>
    <t>Total actividad 2.11.1</t>
  </si>
  <si>
    <t>Total actividad 2.11.2</t>
  </si>
  <si>
    <t>2.12. Canales de comercialización con empresas comerciales, industriales y turísticas que demandan productos y servicios de los micro y pequeños empresarios (PRESUPUESTO 2009)</t>
  </si>
  <si>
    <t>2.12.1. Realizar estudios de Identificación de empresas comerciales, industriales y turísticas demandantes potenciales de bienes y servicios culturales</t>
  </si>
  <si>
    <t>Total actividad 2.12.1</t>
  </si>
  <si>
    <t>2.12.2. Diseñar y ejecutar campañas de promoción y mercadeo de bienes y servicios para las empresas comerciales, industriales y turísticas</t>
  </si>
  <si>
    <t>Total actividad 2.12.2</t>
  </si>
  <si>
    <t>Total Producto 2.12</t>
  </si>
  <si>
    <t>Contratos a empresas</t>
  </si>
  <si>
    <t xml:space="preserve">a. Contratación de firma para el diseño  de estrategia de comunicación para 8 regiones.
b. Producción de recursos audiovisuales e implementación del plan de medios
</t>
  </si>
  <si>
    <t>a) Elaboración de los términos de referencia y estrategia de implementación del mapeo en coordinación con equipo técnico interagencial y diagnostico del  PNUD</t>
  </si>
  <si>
    <t xml:space="preserve">Elaboración de un documento guía sobre la dimensión económica de la cultura y su incidencia en el desarrollo local. </t>
  </si>
  <si>
    <t>Identificar instituciones de capacitación y grupos de trabajadores de construcción.</t>
  </si>
  <si>
    <t>Realización de consultoría "Situación de la educación artística en Honduras y su impacto en la formación de la niñez y juventud. Desafíos y Posibilidades".</t>
  </si>
  <si>
    <t>Misceláneos</t>
  </si>
  <si>
    <t>Fondo</t>
  </si>
  <si>
    <t>Elaboración del marco conceptual de la campaña; realizar el proceso de contratación de la empresa que diseñará la estrategia.</t>
  </si>
  <si>
    <t>a) Contrataciòn de empresa consultora para elaborar el diàgnòstico de actores locales  y ejecución de la consultoría; b) difusión de los 8 diadnósticos</t>
  </si>
  <si>
    <t>1) Consultoría para asesorar el proceso de descentralizaciòn o y desconcentración de la SCAD a lo interno y hacia el ámbito local y regional</t>
  </si>
  <si>
    <t xml:space="preserve"> 2)Consultoría para asesorar la conformaciòn de los CRC  y acompañar tecnicamente desde la SCAD</t>
  </si>
  <si>
    <t>4) Contratar consultor para la conformación del consejo de cultura de la Mosquitia (6 meses)</t>
  </si>
  <si>
    <t xml:space="preserve">3)Contrataciòn de especialista para elaborar propuesta para definicion del  marco jurìdico y administrativo del proceso de descentralizaciòn/ desconcentracion  de la SCAD. </t>
  </si>
  <si>
    <t>3)Presentaciòn de las estrategias (una por regiòn ) y firma de acuerdos con candidato a alcaldes (uno por región y uno en Tegucigalpa)</t>
  </si>
  <si>
    <t xml:space="preserve">Talleres de capacitación a técnicos de IFI´s y técnicos de CRC y DTRUNV sobre las directrices y manejo del fondo. </t>
  </si>
  <si>
    <t>Desarrollo de componentes del fondo previsto en la campaña de comunicación</t>
  </si>
  <si>
    <t>2.13.2 Estudiar y otorgar los créditos a emprendimientos de base cultural hasta la institucionalización del fondo en la entidad seleccionada</t>
  </si>
  <si>
    <t>Total actividad 2.13.2</t>
  </si>
  <si>
    <t>b) Elaborar el diseño conceptual y metodològico del Sistema.</t>
  </si>
  <si>
    <t>a) Definir y suscribir convenios de cooperación sur-sur con Colombia y México</t>
  </si>
  <si>
    <t>c) realizar jornadas de trabajo y capacitación con diversos actores sociales sobre la economía de la cultura</t>
  </si>
  <si>
    <t>3.8.1 Asesorar técnicamente a la SCAD y SETCO para la preparación y presentación de una agenda estratégica de cooperación para la cultura</t>
  </si>
  <si>
    <t>Total actividad 3.8.1</t>
  </si>
  <si>
    <t xml:space="preserve">Capacitar a los comites de ferias en organización, gestión y mercadeo </t>
  </si>
  <si>
    <t>Formalizar los comités de ferias y  establecer cuentas específicas para administrar los recursos. Elaborar manual de gestión y administración de ferias adecuado a las condiciones locales.</t>
  </si>
  <si>
    <t>Recopilar y distribuir material impreso y visual</t>
  </si>
  <si>
    <t>Transporte y viajes</t>
  </si>
  <si>
    <t>Capacitaciones y equipamiento</t>
  </si>
  <si>
    <t>Coordinar con UNESCO 2.12, OMT pone personal, UNESCO cubre logística, insumos, productos; coordinar con PNUD para que la campaña incorpore mensajes dirigidos hacia los empresarios</t>
  </si>
  <si>
    <t>Invertir en materiales promocionales de las empresas creaticas preparadas para competir en el mercado. (Financiamiento UNESCO) Actividad de UNESCO:  2.12.2. Diseñar y ejecutar campañas de promoción y mercadeo de bienes y servicios para las empresas comerciales, industriales y turísticas.</t>
  </si>
  <si>
    <t>Reuniones de CTRVNU con Consultores PNUD AD HOC para la descentralización y administración de los Consejos Regionales de Cultura</t>
  </si>
  <si>
    <t>1. Reuniones mensuales para la coordinación de actividades programadas entre Agencias y CTRVNU</t>
  </si>
  <si>
    <t>2. Programar la participación de la Red de Voluntarios (80) en las actividades previstas propias de cada Agencia</t>
  </si>
  <si>
    <t xml:space="preserve">Involucrar a los CTRVNU en la creación y seguimiento del proceso de conformación de los Consejos Regionales a través de su participación en las sus reuniones </t>
  </si>
  <si>
    <t xml:space="preserve">Viaticos </t>
  </si>
  <si>
    <t>Adecuación de Manual de formación empresarial; realizar 6 talleres de formación empresarial.</t>
  </si>
  <si>
    <t>Formación Técnica y empresarial</t>
  </si>
  <si>
    <t>Plan de ejecución de capacitación y desarrollo de 8 talleres</t>
  </si>
  <si>
    <t>Programación de reuniones de campo entre CTRVNU y el resto del personal contratado por las agencias en las distintas regiones</t>
  </si>
  <si>
    <t>Elaborar informes mensuales en los que se reflejen las actividades realizadas con las Casas de Cultura, con cada una de las Agencias y con VNU</t>
  </si>
  <si>
    <t>Visibilzar en la campaña global de Comunicación del PC la contribución del Voluntariado Cultural</t>
  </si>
  <si>
    <t>1. Taller inducción junto a Coordinación para definir las formas de comunicación, contacto y enlace entre todos los protagonistas que ejecutan el PC</t>
  </si>
  <si>
    <t>2. Incluir las instituciones de voluntariado cultural mapeadas por VNU en el mapeo general de UNESCO</t>
  </si>
  <si>
    <t xml:space="preserve">1. Contratación de 4 CTRVNU nacionales (Taulabé, Tela, Puerto Lempira y Catacamas) aprovechando los TDR ya elaborados. </t>
  </si>
  <si>
    <t>2. Definir los perfiles de los 80 voluntarios</t>
  </si>
  <si>
    <t>3. Diseñar actividades e iniciativas para el reclutamiento de los 80 voluntarios (ej.: itinerar exposición de fotografía sobre Voluntariado)</t>
  </si>
  <si>
    <t>1. Fortalecimiento de las organizaciones de voluntariado a través de la creación de una Plataforma o Foro de intercambio en cada una de las 8 regiones</t>
  </si>
  <si>
    <t>2. Participación de las Red de Voluntarios (80) en las actividades programadas propias de las Casas de Cultura</t>
  </si>
  <si>
    <t>3. Elaborar una metodología, temática y contenidos del Voluntariado Cultural</t>
  </si>
  <si>
    <t>4. Calendarizar y programar agenda de cursos según demanda y realizarlos</t>
  </si>
  <si>
    <t>5. Identificar la posibilidad de incluir el Voluntariado en Ferias de las 8 regiones</t>
  </si>
  <si>
    <t>6. Jornadas de Sensibilización acerca de la importancia del Voluntariado Cultural</t>
  </si>
  <si>
    <t>7. Participación de los CTRVNU en las actividades programadas de las Casas de Cultura.</t>
  </si>
  <si>
    <t>8. Elaborar mapeos de organizaciones de voluntariado (cultural o no) en cada región</t>
  </si>
  <si>
    <t>9. Acompañamiento de los CTRVNU en la organización de talleres. Asistencia como participantes a algunos de los talleres. Formación de CTRVNU para la capacitación de otros actores relevantes</t>
  </si>
  <si>
    <t>1. Socializar y difundir los mapeos de las organizaciones de Voluntariado con actores de los departamentos</t>
  </si>
  <si>
    <t>2. Compra de material publicitario y de equipos necesarios conforme a las necesidades y verificar con SCAD las condiciones de su espacio de trabajo</t>
  </si>
  <si>
    <t>3. Evaluación de acciones propias de VNU y para el PC durante 2009</t>
  </si>
  <si>
    <t xml:space="preserve">a. Diseño de la estrategia de formación y definición de alcances de la alianza con la OEI
b. Organización de 2 Seminarios-Taller de formación en Gestión Cultural 
</t>
  </si>
  <si>
    <t xml:space="preserve">Costo Administrativo </t>
  </si>
  <si>
    <t xml:space="preserve">2.5.1. Diseñar y difundir el proceso de valoración colectiva y selección de iniciativas por parte de la ciudadanía de la región respectiva y proveer asesoría técnica para la presentación de proyectos </t>
  </si>
  <si>
    <t>2.5.2. Proveer directrices de diseño para los proyectos seleccionados     (Coordinacion con OIT)</t>
  </si>
  <si>
    <t>Total actividad 2.5.2</t>
  </si>
  <si>
    <t xml:space="preserve">2.11 Treinta (30) miembros de asociaciones de producción cultural y artística diplomados en diseño e innovación  </t>
  </si>
  <si>
    <t>FODM</t>
  </si>
  <si>
    <r>
      <t>F</t>
    </r>
    <r>
      <rPr>
        <sz val="8"/>
        <rFont val="Calibri"/>
        <family val="2"/>
      </rPr>
      <t>ODM</t>
    </r>
  </si>
  <si>
    <t>Total actividad 3.7.1</t>
  </si>
  <si>
    <t>Total actividad 3.6.2</t>
  </si>
  <si>
    <t>Salarios</t>
  </si>
  <si>
    <t>UNV</t>
  </si>
  <si>
    <t>Efecto 1</t>
  </si>
  <si>
    <t>Efecto 2</t>
  </si>
  <si>
    <t>Efecto 3</t>
  </si>
  <si>
    <t>TOTAL</t>
  </si>
  <si>
    <t>Agencia</t>
  </si>
  <si>
    <t>Internet y Celular</t>
  </si>
  <si>
    <t>Equipo y suministros de Tecnología</t>
  </si>
  <si>
    <t>Remodelación de instalaciones</t>
  </si>
  <si>
    <t>Descripción</t>
  </si>
  <si>
    <t>Cantidad</t>
  </si>
  <si>
    <t>Costos Administrativos 7%</t>
  </si>
  <si>
    <t xml:space="preserve">Presupuesto total 2009 </t>
  </si>
  <si>
    <t>SCAD, IHAH</t>
  </si>
  <si>
    <t>SCAD, PNUD</t>
  </si>
  <si>
    <t>SCAD, UNESCO</t>
  </si>
  <si>
    <t>SCAD, UNESCO, OMT, OIT, FAO, UNICEF</t>
  </si>
  <si>
    <t>SCAD, UNV, OIT, FAO</t>
  </si>
  <si>
    <t>SCAD, FAO, UNV</t>
  </si>
  <si>
    <t>Desarrollo de la consultoría "Identificación metodológica de buenas prácticas de educación artística en Honduras", que servira de base para la implementacion de 8 programas innovadores de educacion.</t>
  </si>
  <si>
    <t>Se realizará 1 mesa de trabajo con las/os coordinadores de los CDAP de las 8 regiones.</t>
  </si>
  <si>
    <t>Contratación de coordinadores/as académicos/as para cada CDAP en las 8 regiones.</t>
  </si>
  <si>
    <t>SCAD, UNV</t>
  </si>
  <si>
    <t>SCAD, PNUD, FAO, UNV, UNICEF</t>
  </si>
  <si>
    <t>SCAD, UNV, OMT, FAO</t>
  </si>
  <si>
    <t>SCAD, FAO</t>
  </si>
  <si>
    <t>OMT, FAO, OIT</t>
  </si>
  <si>
    <t>OMT, FAO, OIT, PNUD</t>
  </si>
  <si>
    <t>Fortalecimiento de capacidades de IFI´s Locales</t>
  </si>
  <si>
    <t>Operativización del Fondo.</t>
  </si>
  <si>
    <t>SCAD, UNV, FAO, OIT</t>
  </si>
  <si>
    <t>Creación y ejecución del fondo de apoyo para el componente "Jóvenes Creativos", el cual impulsará 30 iniciativas de creación y circulación en el 2009.</t>
  </si>
  <si>
    <t>UNESCO, IHAH, INFOP</t>
  </si>
  <si>
    <t>SCAD, FAO, OMT</t>
  </si>
  <si>
    <t>SCAD, UNESCO, PNUD</t>
  </si>
  <si>
    <t>SCAD, UNV, OMT, UNESCO, PNUD</t>
  </si>
  <si>
    <t>2.10.2 Diseñar y ejecutar un programa de asesoría técnica y capacitación para el desarrollo de emprendimientos rurales de base creativa y cultural, relacionados con mercados y polos de desarrollo turístico</t>
  </si>
  <si>
    <t>SCAD, OMT, PNUD, UNESCO, OIT, UNV</t>
  </si>
  <si>
    <t>SCAD, UNESCO, OIT, OMT, FAO</t>
  </si>
  <si>
    <t>Establecer convenios con el IHAH, Observatorios de ODM, INE, BCH para la captura, procesamiento y análisis de la información.</t>
  </si>
  <si>
    <t>Institucionalizar el sistema en el IHAH y contratación del personal y equipamiento</t>
  </si>
  <si>
    <t>Inicio del levantamiento de información</t>
  </si>
  <si>
    <t>Vehiculo, equipo/mobiliario</t>
  </si>
  <si>
    <t>Contratos consultores Nacionales</t>
  </si>
  <si>
    <t xml:space="preserve">Materiales </t>
  </si>
  <si>
    <t>Contratos Consultores Nacionales</t>
  </si>
  <si>
    <t>Contratos Consultores Internacionales</t>
  </si>
  <si>
    <t>Contratos Consultores Locales</t>
  </si>
  <si>
    <t>Contratatos empresas</t>
  </si>
  <si>
    <t>Transporte y Viajes</t>
  </si>
  <si>
    <t>Contratos Consultor local</t>
  </si>
  <si>
    <t>Personal</t>
  </si>
  <si>
    <t>Contratos Consultor internacional</t>
  </si>
  <si>
    <t>Contratos Consultor nacional</t>
  </si>
  <si>
    <t xml:space="preserve">Contratos </t>
  </si>
  <si>
    <t>Contratos de Empresas</t>
  </si>
  <si>
    <t>Contratos Consultores</t>
  </si>
  <si>
    <t>Capacitación</t>
  </si>
  <si>
    <t xml:space="preserve">Personal </t>
  </si>
  <si>
    <t>Contrato Consultor nacional</t>
  </si>
  <si>
    <t>Contratos Consultores nacionales</t>
  </si>
  <si>
    <t>Unidad Ejecutora PNUD</t>
  </si>
  <si>
    <t>Contratos Consultor Internacional</t>
  </si>
  <si>
    <t>Contratos Consultor Local</t>
  </si>
  <si>
    <t>Montaje de la mesa de cooperantes en cultura y desarrollo</t>
  </si>
  <si>
    <t>Identificación grupos artesanales y definir sector artesanal de intervención</t>
  </si>
  <si>
    <t>Desarrollo Plan de Promoción y Organización de grupos artesanales</t>
  </si>
  <si>
    <t>COORDINACION</t>
  </si>
  <si>
    <t>PNUD, UNV, COORDINACION</t>
  </si>
  <si>
    <t>70%  *</t>
  </si>
  <si>
    <t>* Valor a ejecutar para efectuar una nueva solicitud de fondos</t>
  </si>
  <si>
    <t>Desarrollar plan de investigaciones con IHAH y SCAD y definir mecanismo de implementación; implementar plan de investigación</t>
  </si>
  <si>
    <t>SCAD, UNESCO, FAO, IHAH</t>
  </si>
  <si>
    <t>SCAD, UNV, OIT, FAO, IHAH</t>
  </si>
  <si>
    <t>SCAD, UNV, IHAH</t>
  </si>
  <si>
    <t>T2</t>
  </si>
  <si>
    <t>SCAD, UNV, PNUD, IHAH</t>
  </si>
  <si>
    <t xml:space="preserve">c) Adquisicion de equipo para nodos regionales y central (CDIHH); d) Organización de Consejo Editorial para la definición de contenidos. </t>
  </si>
  <si>
    <t>SCAD, UNESCO, OIT, UC, IHAH</t>
  </si>
  <si>
    <t>SCAD, FAO, IHAH</t>
  </si>
  <si>
    <t xml:space="preserve">a) Concertacion con el IHAH para conocer de las necesidades y planes para el CDIHH; b) Organización de consultoria tecnica para la organización de una línea de investigacion que priorioce las necesidades nacionales en la materia </t>
  </si>
  <si>
    <t>3.6.2 Dotar de equipo y programas al CDIHH para la convocatoria y realización de investigaciones y para su sistematización y divulgación a través del sistema de información cultural</t>
  </si>
  <si>
    <t xml:space="preserve"> - El CDIHH ha sido equipado como nodo central del sistema de informacion cultural de Honduras.                                                   - El IHAH y la SCAD cuentan con un programa de investigacion en cultura y desarrollo. </t>
  </si>
  <si>
    <t>a) Dotacion de equipo y software para el CDHIHH; b) Consultoría para desarrollar el plan de investigaciones c) Sistematizacion de resultados de investigacion para el Sistema de Informacion Cultural (Coordinar con IHAH-SCAD investigaciones a escala local)</t>
  </si>
  <si>
    <t>3.7.1.  Diseñar y financiar una línea de investigación de productos y mercados de los recursos culturales y artísticos en el marco del fortalecimiento del CDIHH del IHAH, incorporando otras instituciones responsables</t>
  </si>
  <si>
    <t>SCAD, PNUD, UNESCO, IHAH</t>
  </si>
  <si>
    <t>A diciembre de 2009, se han adjudicado al menos 5 contratos de restauración o rehabilitación de espacios públicos para uso cultural en igual número de municipios.</t>
  </si>
  <si>
    <t xml:space="preserve">Al menos 5 casas de la cultura cuentan con equipamiento necesario para facilitar la programacion y oferta cultural. </t>
  </si>
  <si>
    <t>3.- Un documento que contempla el "Rescate de la Gastronomía local y su valor cultural", que permitira conocer la historia de cada alimento, el proceso productivo,  distribución, consumo y su valor  cultural alrededor de cada comida o producto alimenticio.</t>
  </si>
  <si>
    <t>1.- Se cuenta con un documento, diagnostico de los corredores turísticos y eco turísticos de las regiones seleccionadas para el desarrollo de emprendimientos.</t>
  </si>
  <si>
    <t xml:space="preserve">5.- Un manual sobre propiedad intelectual para el registro de marcas y patentes de productos naturales. </t>
  </si>
  <si>
    <t>Viaticos</t>
  </si>
  <si>
    <t>Donaciones</t>
  </si>
  <si>
    <t>1.- Un documento sobre las redes asociativas productivas para su selección y potenciación.</t>
  </si>
  <si>
    <t>3.- Un plan de capacitación y asesoria técnica  para las redes seleccionada sobre: acceso a tecnologías productivas y organizacionales, desarrollo de cadenas de valor, promoción y articulación de las cadenas de valor en función a la demanda, comunicación y difusión.</t>
  </si>
  <si>
    <t>SCAD, UNESCO, OIT, UC, SETCO</t>
  </si>
  <si>
    <t>SCAD, PNUD, UC, INE</t>
  </si>
  <si>
    <t>SCAD, SETCO</t>
  </si>
  <si>
    <t>TAREAS</t>
  </si>
  <si>
    <t>3.8 El gobierno nacional cuenta con instrumentos legales y de planificación para la sostenibilidad del Programa</t>
  </si>
  <si>
    <t>SCAD, PNUD, UNESCO, UC, INE</t>
  </si>
  <si>
    <t>Renta y mantenimiento de Oficinas</t>
  </si>
  <si>
    <t>Mantenimiento de equipo</t>
  </si>
  <si>
    <t>Impresiones y publicaciones</t>
  </si>
  <si>
    <t>Monitoreo y evaluación</t>
  </si>
  <si>
    <t>Fondos Recibidos 2008</t>
  </si>
  <si>
    <t>Dotados al menos 8 módulos de información y disponibles en c/u de las regiones de intervención del Programa.   •Dotados al menos 8 displays para la difusion de materiales impresos a las casas de la cultura y/o bibliotecas en cada una de las regiones</t>
  </si>
  <si>
    <t>Elaborado un plan de trabajo de los voluntarios solidarios por región</t>
  </si>
  <si>
    <r>
      <t xml:space="preserve">
Capacitados en temas clave de derechos culturales, 20 integrantes de cada uno de los 8 consejos regionales de cultura.</t>
    </r>
    <r>
      <rPr>
        <sz val="9"/>
        <rFont val="Calibri"/>
        <family val="2"/>
      </rPr>
      <t xml:space="preserve">
</t>
    </r>
  </si>
  <si>
    <t>7.- Preparado un documento de evaluaciòn interna del proceso técnico operativo en las regiones seleccionadas con medición de avances y ajustes.</t>
  </si>
  <si>
    <r>
      <rPr>
        <b/>
        <i/>
        <sz val="10"/>
        <rFont val="Calibri"/>
        <family val="2"/>
      </rPr>
      <t>Período enero-marzo</t>
    </r>
    <r>
      <rPr>
        <b/>
        <sz val="10"/>
        <rFont val="Calibri"/>
        <family val="2"/>
      </rPr>
      <t xml:space="preserve"> </t>
    </r>
  </si>
  <si>
    <t>Período enero-marzo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</si>
</sst>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#,##0\ &quot;€&quot;;[Red]\-#,##0\ &quot;€&quot;"/>
    <numFmt numFmtId="166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10"/>
      <name val="Calibri"/>
      <family val="2"/>
    </font>
    <font>
      <b/>
      <i/>
      <sz val="1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</borders>
  <cellStyleXfs count="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2" applyNumberFormat="0" applyAlignment="0" applyProtection="0"/>
    <xf numFmtId="0" fontId="11" fillId="0" borderId="3" applyNumberFormat="0" applyFill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5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6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2" fillId="0" borderId="0" applyNumberFormat="0" applyFill="0" applyBorder="0" applyAlignment="0" applyProtection="0"/>
  </cellStyleXfs>
  <cellXfs count="11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4" fontId="4" fillId="0" borderId="0" xfId="0" applyNumberFormat="1" applyFont="1" applyAlignment="1">
      <alignment/>
    </xf>
    <xf numFmtId="0" fontId="5" fillId="0" borderId="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3" fillId="0" borderId="0" xfId="0" applyFont="1" applyAlignment="1">
      <alignment/>
    </xf>
    <xf numFmtId="43" fontId="5" fillId="0" borderId="9" xfId="16" applyFont="1" applyBorder="1" applyAlignment="1">
      <alignment horizontal="center" vertical="top" wrapText="1"/>
    </xf>
    <xf numFmtId="0" fontId="4" fillId="0" borderId="0" xfId="0" applyFont="1" applyFill="1" applyAlignment="1">
      <alignment/>
    </xf>
    <xf numFmtId="43" fontId="5" fillId="0" borderId="0" xfId="16" applyFont="1" applyBorder="1" applyAlignment="1">
      <alignment horizontal="center" vertical="top" wrapText="1"/>
    </xf>
    <xf numFmtId="43" fontId="5" fillId="0" borderId="10" xfId="16" applyFont="1" applyBorder="1" applyAlignment="1">
      <alignment vertical="center" wrapText="1"/>
    </xf>
    <xf numFmtId="43" fontId="6" fillId="7" borderId="11" xfId="16" applyFont="1" applyFill="1" applyBorder="1" applyAlignment="1">
      <alignment horizontal="center" vertical="center" wrapText="1"/>
    </xf>
    <xf numFmtId="43" fontId="5" fillId="7" borderId="11" xfId="16" applyFont="1" applyFill="1" applyBorder="1" applyAlignment="1">
      <alignment horizontal="center" vertical="top" wrapText="1"/>
    </xf>
    <xf numFmtId="43" fontId="5" fillId="7" borderId="12" xfId="16" applyFont="1" applyFill="1" applyBorder="1" applyAlignment="1">
      <alignment horizontal="center" vertical="top" wrapText="1"/>
    </xf>
    <xf numFmtId="43" fontId="5" fillId="0" borderId="13" xfId="16" applyFont="1" applyBorder="1" applyAlignment="1">
      <alignment horizontal="center" vertical="center" wrapText="1"/>
    </xf>
    <xf numFmtId="43" fontId="5" fillId="0" borderId="14" xfId="16" applyFont="1" applyBorder="1" applyAlignment="1">
      <alignment horizontal="center" vertical="center" wrapText="1"/>
    </xf>
    <xf numFmtId="43" fontId="5" fillId="0" borderId="15" xfId="16" applyFont="1" applyBorder="1" applyAlignment="1">
      <alignment vertical="center" wrapText="1"/>
    </xf>
    <xf numFmtId="43" fontId="5" fillId="0" borderId="16" xfId="16" applyFont="1" applyBorder="1" applyAlignment="1">
      <alignment vertical="center" wrapText="1"/>
    </xf>
    <xf numFmtId="43" fontId="5" fillId="0" borderId="13" xfId="16" applyFont="1" applyBorder="1" applyAlignment="1">
      <alignment vertical="center" wrapText="1"/>
    </xf>
    <xf numFmtId="43" fontId="5" fillId="7" borderId="17" xfId="16" applyFont="1" applyFill="1" applyBorder="1" applyAlignment="1">
      <alignment vertical="top" wrapText="1"/>
    </xf>
    <xf numFmtId="43" fontId="6" fillId="7" borderId="12" xfId="16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13" fillId="7" borderId="12" xfId="0" applyFont="1" applyFill="1" applyBorder="1" applyAlignment="1">
      <alignment horizontal="left" vertical="center" wrapText="1"/>
    </xf>
    <xf numFmtId="43" fontId="6" fillId="7" borderId="12" xfId="16" applyFont="1" applyFill="1" applyBorder="1" applyAlignment="1">
      <alignment vertical="top" wrapText="1"/>
    </xf>
    <xf numFmtId="14" fontId="16" fillId="0" borderId="0" xfId="0" applyNumberFormat="1" applyFont="1" applyAlignment="1">
      <alignment/>
    </xf>
    <xf numFmtId="4" fontId="2" fillId="8" borderId="6" xfId="0" applyNumberFormat="1" applyFont="1" applyFill="1" applyBorder="1" applyAlignment="1">
      <alignment/>
    </xf>
    <xf numFmtId="0" fontId="2" fillId="9" borderId="18" xfId="0" applyFont="1" applyFill="1" applyBorder="1" applyAlignment="1">
      <alignment horizontal="left"/>
    </xf>
    <xf numFmtId="4" fontId="4" fillId="0" borderId="6" xfId="0" applyNumberFormat="1" applyFont="1" applyBorder="1" applyAlignment="1">
      <alignment/>
    </xf>
    <xf numFmtId="4" fontId="2" fillId="8" borderId="19" xfId="0" applyNumberFormat="1" applyFont="1" applyFill="1" applyBorder="1" applyAlignment="1">
      <alignment/>
    </xf>
    <xf numFmtId="0" fontId="2" fillId="8" borderId="20" xfId="0" applyFont="1" applyFill="1" applyBorder="1" applyAlignment="1">
      <alignment/>
    </xf>
    <xf numFmtId="0" fontId="2" fillId="8" borderId="18" xfId="0" applyFont="1" applyFill="1" applyBorder="1" applyAlignment="1">
      <alignment/>
    </xf>
    <xf numFmtId="0" fontId="2" fillId="8" borderId="6" xfId="0" applyFont="1" applyFill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2" fillId="8" borderId="21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6" xfId="0" applyNumberFormat="1" applyFont="1" applyBorder="1" applyAlignment="1">
      <alignment/>
    </xf>
    <xf numFmtId="43" fontId="5" fillId="0" borderId="13" xfId="16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3" fillId="0" borderId="22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43" fontId="5" fillId="9" borderId="23" xfId="16" applyFont="1" applyFill="1" applyBorder="1" applyAlignment="1">
      <alignment vertical="center" wrapText="1"/>
    </xf>
    <xf numFmtId="0" fontId="3" fillId="7" borderId="0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left"/>
    </xf>
    <xf numFmtId="43" fontId="5" fillId="7" borderId="0" xfId="16" applyFont="1" applyFill="1" applyBorder="1" applyAlignment="1">
      <alignment horizontal="center" vertical="top" wrapText="1"/>
    </xf>
    <xf numFmtId="43" fontId="6" fillId="7" borderId="22" xfId="16" applyFont="1" applyFill="1" applyBorder="1" applyAlignment="1">
      <alignment horizontal="center" vertical="center" wrapText="1"/>
    </xf>
    <xf numFmtId="43" fontId="5" fillId="7" borderId="7" xfId="16" applyFont="1" applyFill="1" applyBorder="1" applyAlignment="1">
      <alignment vertical="top" wrapText="1"/>
    </xf>
    <xf numFmtId="43" fontId="6" fillId="7" borderId="11" xfId="16" applyFont="1" applyFill="1" applyBorder="1" applyAlignment="1">
      <alignment vertical="top" wrapText="1"/>
    </xf>
    <xf numFmtId="43" fontId="5" fillId="7" borderId="22" xfId="16" applyFont="1" applyFill="1" applyBorder="1" applyAlignment="1">
      <alignment horizontal="center" vertical="top" wrapText="1"/>
    </xf>
    <xf numFmtId="43" fontId="5" fillId="9" borderId="16" xfId="16" applyFont="1" applyFill="1" applyBorder="1" applyAlignment="1">
      <alignment vertical="center" wrapText="1"/>
    </xf>
    <xf numFmtId="43" fontId="5" fillId="9" borderId="13" xfId="16" applyFont="1" applyFill="1" applyBorder="1" applyAlignment="1">
      <alignment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5" fillId="0" borderId="16" xfId="16" applyFont="1" applyFill="1" applyBorder="1" applyAlignment="1">
      <alignment horizontal="center" vertical="center" wrapText="1"/>
    </xf>
    <xf numFmtId="43" fontId="5" fillId="0" borderId="13" xfId="16" applyFont="1" applyFill="1" applyBorder="1" applyAlignment="1">
      <alignment horizontal="center" vertical="center" wrapText="1"/>
    </xf>
    <xf numFmtId="43" fontId="5" fillId="0" borderId="11" xfId="16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vertical="top" wrapText="1"/>
    </xf>
    <xf numFmtId="0" fontId="5" fillId="9" borderId="0" xfId="0" applyFont="1" applyFill="1" applyBorder="1" applyAlignment="1">
      <alignment vertical="top" wrapText="1"/>
    </xf>
    <xf numFmtId="0" fontId="5" fillId="9" borderId="8" xfId="0" applyFont="1" applyFill="1" applyBorder="1" applyAlignment="1">
      <alignment vertical="top" wrapText="1"/>
    </xf>
    <xf numFmtId="43" fontId="5" fillId="0" borderId="11" xfId="16" applyFont="1" applyBorder="1" applyAlignment="1">
      <alignment vertical="center" wrapText="1"/>
    </xf>
    <xf numFmtId="43" fontId="5" fillId="0" borderId="12" xfId="16" applyFont="1" applyBorder="1" applyAlignment="1">
      <alignment horizontal="center" vertical="top" wrapText="1"/>
    </xf>
    <xf numFmtId="0" fontId="0" fillId="0" borderId="0" xfId="29">
      <alignment/>
      <protection/>
    </xf>
    <xf numFmtId="0" fontId="0" fillId="0" borderId="11" xfId="29" applyNumberFormat="1" applyFill="1" applyBorder="1" applyAlignment="1">
      <alignment horizontal="left" vertical="top" wrapText="1"/>
      <protection/>
    </xf>
    <xf numFmtId="4" fontId="0" fillId="0" borderId="0" xfId="29" applyNumberFormat="1">
      <alignment/>
      <protection/>
    </xf>
    <xf numFmtId="0" fontId="13" fillId="0" borderId="10" xfId="0" applyFont="1" applyFill="1" applyBorder="1" applyAlignment="1">
      <alignment vertical="center" wrapText="1"/>
    </xf>
    <xf numFmtId="0" fontId="13" fillId="7" borderId="24" xfId="0" applyFont="1" applyFill="1" applyBorder="1" applyAlignment="1">
      <alignment horizontal="left" vertical="center" wrapText="1"/>
    </xf>
    <xf numFmtId="43" fontId="5" fillId="7" borderId="25" xfId="16" applyFont="1" applyFill="1" applyBorder="1" applyAlignment="1">
      <alignment vertical="top" wrapText="1"/>
    </xf>
    <xf numFmtId="43" fontId="6" fillId="7" borderId="22" xfId="16" applyFont="1" applyFill="1" applyBorder="1" applyAlignment="1">
      <alignment vertical="top" wrapText="1"/>
    </xf>
    <xf numFmtId="0" fontId="4" fillId="8" borderId="12" xfId="0" applyFont="1" applyFill="1" applyBorder="1" applyAlignment="1">
      <alignment/>
    </xf>
    <xf numFmtId="43" fontId="4" fillId="8" borderId="12" xfId="0" applyNumberFormat="1" applyFont="1" applyFill="1" applyBorder="1" applyAlignment="1">
      <alignment/>
    </xf>
    <xf numFmtId="43" fontId="4" fillId="0" borderId="0" xfId="0" applyNumberFormat="1" applyFont="1" applyAlignment="1">
      <alignment/>
    </xf>
    <xf numFmtId="0" fontId="4" fillId="0" borderId="0" xfId="29" applyFont="1" applyFill="1">
      <alignment/>
      <protection/>
    </xf>
    <xf numFmtId="0" fontId="5" fillId="0" borderId="16" xfId="29" applyFont="1" applyFill="1" applyBorder="1" applyAlignment="1">
      <alignment horizontal="center" vertical="top" wrapText="1"/>
      <protection/>
    </xf>
    <xf numFmtId="0" fontId="5" fillId="0" borderId="15" xfId="29" applyFont="1" applyFill="1" applyBorder="1" applyAlignment="1">
      <alignment horizontal="center" vertical="top" wrapText="1"/>
      <protection/>
    </xf>
    <xf numFmtId="0" fontId="5" fillId="0" borderId="11" xfId="29" applyFont="1" applyFill="1" applyBorder="1" applyAlignment="1">
      <alignment horizontal="center" vertical="top" wrapText="1"/>
      <protection/>
    </xf>
    <xf numFmtId="4" fontId="5" fillId="0" borderId="8" xfId="29" applyNumberFormat="1" applyFont="1" applyFill="1" applyBorder="1" applyAlignment="1">
      <alignment horizontal="right" vertical="top" wrapText="1"/>
      <protection/>
    </xf>
    <xf numFmtId="0" fontId="5" fillId="7" borderId="12" xfId="29" applyFont="1" applyFill="1" applyBorder="1">
      <alignment/>
      <protection/>
    </xf>
    <xf numFmtId="0" fontId="5" fillId="7" borderId="17" xfId="29" applyFont="1" applyFill="1" applyBorder="1">
      <alignment/>
      <protection/>
    </xf>
    <xf numFmtId="0" fontId="5" fillId="7" borderId="12" xfId="29" applyFont="1" applyFill="1" applyBorder="1" applyAlignment="1">
      <alignment horizontal="center" vertical="top" wrapText="1"/>
      <protection/>
    </xf>
    <xf numFmtId="4" fontId="5" fillId="7" borderId="26" xfId="29" applyNumberFormat="1" applyFont="1" applyFill="1" applyBorder="1" applyAlignment="1">
      <alignment horizontal="right" vertical="top" wrapText="1"/>
      <protection/>
    </xf>
    <xf numFmtId="0" fontId="5" fillId="0" borderId="13" xfId="29" applyFont="1" applyFill="1" applyBorder="1" applyAlignment="1">
      <alignment horizontal="center" vertical="top" wrapText="1"/>
      <protection/>
    </xf>
    <xf numFmtId="0" fontId="5" fillId="0" borderId="23" xfId="29" applyFont="1" applyFill="1" applyBorder="1" applyAlignment="1">
      <alignment horizontal="center" vertical="top" wrapText="1"/>
      <protection/>
    </xf>
    <xf numFmtId="0" fontId="5" fillId="0" borderId="14" xfId="29" applyFont="1" applyFill="1" applyBorder="1" applyAlignment="1">
      <alignment horizontal="center" vertical="top" wrapText="1"/>
      <protection/>
    </xf>
    <xf numFmtId="4" fontId="5" fillId="0" borderId="27" xfId="29" applyNumberFormat="1" applyFont="1" applyFill="1" applyBorder="1" applyAlignment="1">
      <alignment horizontal="right" vertical="top" wrapText="1"/>
      <protection/>
    </xf>
    <xf numFmtId="0" fontId="5" fillId="7" borderId="12" xfId="29" applyNumberFormat="1" applyFont="1" applyFill="1" applyBorder="1" applyAlignment="1">
      <alignment horizontal="left" vertical="top" wrapText="1"/>
      <protection/>
    </xf>
    <xf numFmtId="0" fontId="6" fillId="7" borderId="28" xfId="0" applyFont="1" applyFill="1" applyBorder="1" applyAlignment="1">
      <alignment horizontal="left"/>
    </xf>
    <xf numFmtId="0" fontId="5" fillId="7" borderId="22" xfId="29" applyFont="1" applyFill="1" applyBorder="1">
      <alignment/>
      <protection/>
    </xf>
    <xf numFmtId="0" fontId="5" fillId="7" borderId="25" xfId="29" applyFont="1" applyFill="1" applyBorder="1">
      <alignment/>
      <protection/>
    </xf>
    <xf numFmtId="0" fontId="5" fillId="7" borderId="22" xfId="29" applyFont="1" applyFill="1" applyBorder="1" applyAlignment="1">
      <alignment horizontal="center" vertical="top" wrapText="1"/>
      <protection/>
    </xf>
    <xf numFmtId="4" fontId="5" fillId="7" borderId="29" xfId="29" applyNumberFormat="1" applyFont="1" applyFill="1" applyBorder="1" applyAlignment="1">
      <alignment horizontal="right" vertical="top" wrapText="1"/>
      <protection/>
    </xf>
    <xf numFmtId="4" fontId="5" fillId="0" borderId="30" xfId="29" applyNumberFormat="1" applyFont="1" applyBorder="1" applyAlignment="1">
      <alignment horizontal="right" vertical="top" wrapText="1"/>
      <protection/>
    </xf>
    <xf numFmtId="0" fontId="5" fillId="0" borderId="31" xfId="29" applyFont="1" applyFill="1" applyBorder="1" applyAlignment="1">
      <alignment horizontal="center" vertical="top" wrapText="1"/>
      <protection/>
    </xf>
    <xf numFmtId="0" fontId="5" fillId="0" borderId="32" xfId="29" applyFont="1" applyFill="1" applyBorder="1" applyAlignment="1">
      <alignment horizontal="center" vertical="top" wrapText="1"/>
      <protection/>
    </xf>
    <xf numFmtId="0" fontId="5" fillId="0" borderId="33" xfId="29" applyFont="1" applyFill="1" applyBorder="1" applyAlignment="1">
      <alignment horizontal="center" vertical="top" wrapText="1"/>
      <protection/>
    </xf>
    <xf numFmtId="0" fontId="5" fillId="0" borderId="34" xfId="29" applyFont="1" applyFill="1" applyBorder="1" applyAlignment="1">
      <alignment horizontal="center" vertical="top" wrapText="1"/>
      <protection/>
    </xf>
    <xf numFmtId="0" fontId="5" fillId="0" borderId="13" xfId="29" applyNumberFormat="1" applyFont="1" applyBorder="1" applyAlignment="1">
      <alignment horizontal="left" vertical="top" wrapText="1"/>
      <protection/>
    </xf>
    <xf numFmtId="4" fontId="5" fillId="0" borderId="35" xfId="29" applyNumberFormat="1" applyFont="1" applyFill="1" applyBorder="1" applyAlignment="1">
      <alignment horizontal="right" vertical="top" wrapText="1"/>
      <protection/>
    </xf>
    <xf numFmtId="0" fontId="5" fillId="0" borderId="23" xfId="29" applyNumberFormat="1" applyFont="1" applyBorder="1" applyAlignment="1">
      <alignment horizontal="left" vertical="top" wrapText="1"/>
      <protection/>
    </xf>
    <xf numFmtId="4" fontId="5" fillId="0" borderId="36" xfId="29" applyNumberFormat="1" applyFont="1" applyFill="1" applyBorder="1" applyAlignment="1">
      <alignment horizontal="right" vertical="top" wrapText="1"/>
      <protection/>
    </xf>
    <xf numFmtId="0" fontId="5" fillId="0" borderId="14" xfId="29" applyNumberFormat="1" applyFont="1" applyBorder="1" applyAlignment="1">
      <alignment horizontal="left" vertical="top" wrapText="1"/>
      <protection/>
    </xf>
    <xf numFmtId="0" fontId="5" fillId="0" borderId="11" xfId="29" applyNumberFormat="1" applyFont="1" applyFill="1" applyBorder="1" applyAlignment="1">
      <alignment horizontal="left" vertical="top" wrapText="1"/>
      <protection/>
    </xf>
    <xf numFmtId="0" fontId="5" fillId="0" borderId="11" xfId="29" applyNumberFormat="1" applyFont="1" applyBorder="1" applyAlignment="1">
      <alignment horizontal="left" vertical="top" wrapText="1"/>
      <protection/>
    </xf>
    <xf numFmtId="0" fontId="5" fillId="0" borderId="7" xfId="29" applyFont="1" applyFill="1" applyBorder="1" applyAlignment="1">
      <alignment horizontal="center" vertical="top" wrapText="1"/>
      <protection/>
    </xf>
    <xf numFmtId="0" fontId="3" fillId="0" borderId="0" xfId="0" applyFont="1" applyBorder="1" applyAlignment="1">
      <alignment vertical="center" wrapText="1"/>
    </xf>
    <xf numFmtId="0" fontId="5" fillId="0" borderId="16" xfId="29" applyFont="1" applyFill="1" applyBorder="1" applyAlignment="1">
      <alignment horizontal="center" vertical="center" wrapText="1"/>
      <protection/>
    </xf>
    <xf numFmtId="0" fontId="5" fillId="0" borderId="15" xfId="29" applyFont="1" applyFill="1" applyBorder="1" applyAlignment="1">
      <alignment horizontal="center" vertical="center" wrapText="1"/>
      <protection/>
    </xf>
    <xf numFmtId="0" fontId="5" fillId="0" borderId="13" xfId="29" applyFont="1" applyFill="1" applyBorder="1" applyAlignment="1">
      <alignment horizontal="center" vertical="center" wrapText="1"/>
      <protection/>
    </xf>
    <xf numFmtId="4" fontId="5" fillId="0" borderId="10" xfId="29" applyNumberFormat="1" applyFont="1" applyBorder="1" applyAlignment="1">
      <alignment vertical="top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31" xfId="29" applyFont="1" applyFill="1" applyBorder="1" applyAlignment="1">
      <alignment horizontal="center" vertical="center" wrapText="1"/>
      <protection/>
    </xf>
    <xf numFmtId="0" fontId="5" fillId="0" borderId="6" xfId="0" applyFont="1" applyBorder="1" applyAlignment="1">
      <alignment horizontal="left" vertical="top" wrapText="1"/>
    </xf>
    <xf numFmtId="0" fontId="4" fillId="0" borderId="0" xfId="29" applyFont="1">
      <alignment/>
      <protection/>
    </xf>
    <xf numFmtId="0" fontId="5" fillId="0" borderId="0" xfId="29" applyFont="1">
      <alignment/>
      <protection/>
    </xf>
    <xf numFmtId="4" fontId="5" fillId="0" borderId="35" xfId="29" applyNumberFormat="1" applyFont="1" applyBorder="1" applyAlignment="1">
      <alignment horizontal="right" vertical="center" wrapText="1"/>
      <protection/>
    </xf>
    <xf numFmtId="4" fontId="5" fillId="0" borderId="37" xfId="29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0" fontId="3" fillId="8" borderId="17" xfId="0" applyFont="1" applyFill="1" applyBorder="1" applyAlignment="1">
      <alignment/>
    </xf>
    <xf numFmtId="0" fontId="3" fillId="8" borderId="24" xfId="0" applyFont="1" applyFill="1" applyBorder="1" applyAlignment="1">
      <alignment/>
    </xf>
    <xf numFmtId="4" fontId="3" fillId="8" borderId="24" xfId="0" applyNumberFormat="1" applyFont="1" applyFill="1" applyBorder="1" applyAlignment="1">
      <alignment/>
    </xf>
    <xf numFmtId="166" fontId="3" fillId="8" borderId="24" xfId="0" applyNumberFormat="1" applyFont="1" applyFill="1" applyBorder="1" applyAlignment="1">
      <alignment/>
    </xf>
    <xf numFmtId="43" fontId="5" fillId="7" borderId="10" xfId="16" applyFont="1" applyFill="1" applyBorder="1" applyAlignment="1">
      <alignment horizontal="center" vertical="top" wrapText="1"/>
    </xf>
    <xf numFmtId="0" fontId="5" fillId="9" borderId="16" xfId="27" applyFont="1" applyFill="1" applyBorder="1" applyAlignment="1">
      <alignment vertical="top" wrapText="1"/>
      <protection/>
    </xf>
    <xf numFmtId="0" fontId="5" fillId="9" borderId="13" xfId="27" applyFont="1" applyFill="1" applyBorder="1" applyAlignment="1">
      <alignment vertical="top" wrapText="1"/>
      <protection/>
    </xf>
    <xf numFmtId="0" fontId="3" fillId="8" borderId="10" xfId="0" applyFont="1" applyFill="1" applyBorder="1" applyAlignment="1">
      <alignment horizontal="center" vertical="center" wrapText="1"/>
    </xf>
    <xf numFmtId="0" fontId="5" fillId="0" borderId="11" xfId="29" applyFont="1" applyBorder="1" applyAlignment="1">
      <alignment horizontal="center" vertical="top" wrapText="1"/>
      <protection/>
    </xf>
    <xf numFmtId="0" fontId="5" fillId="0" borderId="11" xfId="29" applyNumberFormat="1" applyFont="1" applyBorder="1" applyAlignment="1">
      <alignment horizontal="center" vertical="top" wrapText="1"/>
      <protection/>
    </xf>
    <xf numFmtId="43" fontId="5" fillId="0" borderId="16" xfId="16" applyFont="1" applyBorder="1" applyAlignment="1">
      <alignment horizontal="center" vertical="top" wrapText="1"/>
    </xf>
    <xf numFmtId="43" fontId="5" fillId="0" borderId="13" xfId="16" applyFont="1" applyBorder="1" applyAlignment="1">
      <alignment horizontal="center" vertical="top" wrapText="1"/>
    </xf>
    <xf numFmtId="0" fontId="3" fillId="8" borderId="10" xfId="0" applyFont="1" applyFill="1" applyBorder="1" applyAlignment="1">
      <alignment vertical="center" wrapText="1"/>
    </xf>
    <xf numFmtId="0" fontId="5" fillId="7" borderId="28" xfId="29" applyNumberFormat="1" applyFont="1" applyFill="1" applyBorder="1" applyAlignment="1">
      <alignment horizontal="left" vertical="top" wrapText="1"/>
      <protection/>
    </xf>
    <xf numFmtId="0" fontId="5" fillId="0" borderId="9" xfId="29" applyFont="1" applyBorder="1" applyAlignment="1">
      <alignment horizontal="center" vertical="top" wrapText="1"/>
      <protection/>
    </xf>
    <xf numFmtId="0" fontId="5" fillId="7" borderId="17" xfId="29" applyNumberFormat="1" applyFont="1" applyFill="1" applyBorder="1" applyAlignment="1">
      <alignment horizontal="left" vertical="top" wrapText="1"/>
      <protection/>
    </xf>
    <xf numFmtId="0" fontId="5" fillId="0" borderId="0" xfId="29" applyNumberFormat="1" applyFont="1" applyBorder="1" applyAlignment="1">
      <alignment horizontal="center" vertical="top" wrapText="1"/>
      <protection/>
    </xf>
    <xf numFmtId="0" fontId="5" fillId="7" borderId="26" xfId="29" applyFont="1" applyFill="1" applyBorder="1" applyAlignment="1">
      <alignment horizontal="center" vertical="top" wrapText="1"/>
      <protection/>
    </xf>
    <xf numFmtId="0" fontId="5" fillId="0" borderId="8" xfId="29" applyFont="1" applyFill="1" applyBorder="1" applyAlignment="1">
      <alignment horizontal="center" vertical="top" wrapText="1"/>
      <protection/>
    </xf>
    <xf numFmtId="0" fontId="5" fillId="0" borderId="27" xfId="29" applyFont="1" applyFill="1" applyBorder="1" applyAlignment="1">
      <alignment horizontal="center" vertical="top" wrapText="1"/>
      <protection/>
    </xf>
    <xf numFmtId="0" fontId="5" fillId="7" borderId="29" xfId="29" applyFont="1" applyFill="1" applyBorder="1" applyAlignment="1">
      <alignment horizontal="center" vertical="top" wrapText="1"/>
      <protection/>
    </xf>
    <xf numFmtId="0" fontId="5" fillId="0" borderId="35" xfId="29" applyFont="1" applyFill="1" applyBorder="1" applyAlignment="1">
      <alignment horizontal="center" vertical="top" wrapText="1"/>
      <protection/>
    </xf>
    <xf numFmtId="0" fontId="5" fillId="0" borderId="36" xfId="29" applyFont="1" applyFill="1" applyBorder="1" applyAlignment="1">
      <alignment horizontal="center" vertical="top" wrapText="1"/>
      <protection/>
    </xf>
    <xf numFmtId="0" fontId="3" fillId="8" borderId="26" xfId="0" applyFont="1" applyFill="1" applyBorder="1" applyAlignment="1">
      <alignment horizontal="left"/>
    </xf>
    <xf numFmtId="0" fontId="5" fillId="0" borderId="16" xfId="0" applyFont="1" applyFill="1" applyBorder="1" applyAlignment="1">
      <alignment wrapText="1"/>
    </xf>
    <xf numFmtId="43" fontId="5" fillId="0" borderId="16" xfId="16" applyFont="1" applyBorder="1" applyAlignment="1">
      <alignment wrapText="1"/>
    </xf>
    <xf numFmtId="0" fontId="5" fillId="0" borderId="15" xfId="0" applyFont="1" applyFill="1" applyBorder="1" applyAlignment="1">
      <alignment wrapText="1"/>
    </xf>
    <xf numFmtId="43" fontId="5" fillId="0" borderId="13" xfId="16" applyFont="1" applyBorder="1" applyAlignment="1">
      <alignment wrapText="1"/>
    </xf>
    <xf numFmtId="0" fontId="5" fillId="9" borderId="15" xfId="27" applyFont="1" applyFill="1" applyBorder="1" applyAlignment="1">
      <alignment wrapText="1"/>
      <protection/>
    </xf>
    <xf numFmtId="0" fontId="5" fillId="9" borderId="13" xfId="27" applyFont="1" applyFill="1" applyBorder="1" applyAlignment="1">
      <alignment wrapText="1"/>
      <protection/>
    </xf>
    <xf numFmtId="43" fontId="5" fillId="0" borderId="15" xfId="16" applyFont="1" applyBorder="1" applyAlignment="1">
      <alignment wrapText="1"/>
    </xf>
    <xf numFmtId="43" fontId="5" fillId="0" borderId="11" xfId="16" applyFont="1" applyBorder="1" applyAlignment="1">
      <alignment horizontal="center" wrapText="1"/>
    </xf>
    <xf numFmtId="4" fontId="5" fillId="0" borderId="15" xfId="29" applyNumberFormat="1" applyFont="1" applyBorder="1" applyAlignment="1">
      <alignment vertical="center" wrapText="1"/>
      <protection/>
    </xf>
    <xf numFmtId="4" fontId="5" fillId="0" borderId="10" xfId="29" applyNumberFormat="1" applyFont="1" applyBorder="1" applyAlignment="1">
      <alignment vertical="center" wrapText="1"/>
      <protection/>
    </xf>
    <xf numFmtId="4" fontId="5" fillId="0" borderId="16" xfId="29" applyNumberFormat="1" applyFont="1" applyBorder="1" applyAlignment="1">
      <alignment vertical="center" wrapText="1"/>
      <protection/>
    </xf>
    <xf numFmtId="4" fontId="5" fillId="0" borderId="13" xfId="29" applyNumberFormat="1" applyFont="1" applyBorder="1" applyAlignment="1">
      <alignment vertical="center" wrapText="1"/>
      <protection/>
    </xf>
    <xf numFmtId="4" fontId="5" fillId="0" borderId="16" xfId="29" applyNumberFormat="1" applyFont="1" applyBorder="1" applyAlignment="1">
      <alignment horizontal="right" vertical="center" wrapText="1"/>
      <protection/>
    </xf>
    <xf numFmtId="0" fontId="6" fillId="7" borderId="12" xfId="29" applyNumberFormat="1" applyFont="1" applyFill="1" applyBorder="1" applyAlignment="1">
      <alignment horizontal="left" vertical="top" wrapText="1"/>
      <protection/>
    </xf>
    <xf numFmtId="4" fontId="6" fillId="7" borderId="29" xfId="29" applyNumberFormat="1" applyFont="1" applyFill="1" applyBorder="1" applyAlignment="1">
      <alignment horizontal="right" vertical="top" wrapText="1"/>
      <protection/>
    </xf>
    <xf numFmtId="0" fontId="5" fillId="0" borderId="10" xfId="29" applyFont="1" applyFill="1" applyBorder="1" applyAlignment="1">
      <alignment vertical="top" wrapText="1"/>
      <protection/>
    </xf>
    <xf numFmtId="0" fontId="5" fillId="0" borderId="16" xfId="29" applyFont="1" applyFill="1" applyBorder="1" applyAlignment="1">
      <alignment vertical="top" wrapText="1"/>
      <protection/>
    </xf>
    <xf numFmtId="0" fontId="5" fillId="0" borderId="13" xfId="29" applyFont="1" applyFill="1" applyBorder="1" applyAlignment="1">
      <alignment vertical="top" wrapText="1"/>
      <protection/>
    </xf>
    <xf numFmtId="4" fontId="5" fillId="0" borderId="8" xfId="29" applyNumberFormat="1" applyFont="1" applyBorder="1" applyAlignment="1">
      <alignment horizontal="right" vertical="center" wrapText="1"/>
      <protection/>
    </xf>
    <xf numFmtId="4" fontId="5" fillId="0" borderId="13" xfId="29" applyNumberFormat="1" applyFont="1" applyBorder="1" applyAlignment="1">
      <alignment horizontal="right" vertical="center" wrapText="1"/>
      <protection/>
    </xf>
    <xf numFmtId="0" fontId="5" fillId="0" borderId="8" xfId="29" applyFont="1" applyFill="1" applyBorder="1" applyAlignment="1">
      <alignment horizontal="left" vertical="top" wrapText="1"/>
      <protection/>
    </xf>
    <xf numFmtId="43" fontId="5" fillId="0" borderId="16" xfId="16" applyFont="1" applyBorder="1" applyAlignment="1">
      <alignment horizontal="left" vertical="center" wrapText="1"/>
    </xf>
    <xf numFmtId="43" fontId="5" fillId="0" borderId="13" xfId="16" applyFont="1" applyBorder="1" applyAlignment="1">
      <alignment horizontal="left" vertical="center" wrapText="1"/>
    </xf>
    <xf numFmtId="43" fontId="5" fillId="0" borderId="13" xfId="16" applyFont="1" applyBorder="1" applyAlignment="1">
      <alignment vertical="top" wrapText="1"/>
    </xf>
    <xf numFmtId="0" fontId="3" fillId="9" borderId="28" xfId="0" applyFont="1" applyFill="1" applyBorder="1" applyAlignment="1">
      <alignment horizontal="left"/>
    </xf>
    <xf numFmtId="43" fontId="5" fillId="9" borderId="11" xfId="16" applyFont="1" applyFill="1" applyBorder="1" applyAlignment="1">
      <alignment horizontal="center" vertical="top" wrapText="1"/>
    </xf>
    <xf numFmtId="4" fontId="5" fillId="0" borderId="15" xfId="29" applyNumberFormat="1" applyFont="1" applyBorder="1" applyAlignment="1">
      <alignment horizontal="right" vertical="center" wrapText="1"/>
      <protection/>
    </xf>
    <xf numFmtId="0" fontId="5" fillId="0" borderId="16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6" fillId="7" borderId="12" xfId="29" applyNumberFormat="1" applyFont="1" applyFill="1" applyBorder="1" applyAlignment="1">
      <alignment horizontal="left" vertical="center" wrapText="1"/>
      <protection/>
    </xf>
    <xf numFmtId="4" fontId="6" fillId="7" borderId="26" xfId="29" applyNumberFormat="1" applyFont="1" applyFill="1" applyBorder="1" applyAlignment="1">
      <alignment horizontal="right" vertical="center" wrapText="1"/>
      <protection/>
    </xf>
    <xf numFmtId="0" fontId="5" fillId="0" borderId="38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3" fontId="5" fillId="0" borderId="39" xfId="16" applyFont="1" applyBorder="1" applyAlignment="1">
      <alignment/>
    </xf>
    <xf numFmtId="43" fontId="5" fillId="0" borderId="40" xfId="16" applyFont="1" applyBorder="1" applyAlignment="1">
      <alignment/>
    </xf>
    <xf numFmtId="4" fontId="5" fillId="9" borderId="8" xfId="29" applyNumberFormat="1" applyFont="1" applyFill="1" applyBorder="1" applyAlignment="1">
      <alignment horizontal="right" wrapText="1"/>
      <protection/>
    </xf>
    <xf numFmtId="4" fontId="6" fillId="7" borderId="26" xfId="29" applyNumberFormat="1" applyFont="1" applyFill="1" applyBorder="1" applyAlignment="1">
      <alignment horizontal="right" vertical="top" wrapText="1"/>
      <protection/>
    </xf>
    <xf numFmtId="0" fontId="5" fillId="0" borderId="16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4" fontId="5" fillId="0" borderId="41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4" fontId="5" fillId="0" borderId="42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left" wrapText="1"/>
    </xf>
    <xf numFmtId="0" fontId="5" fillId="9" borderId="0" xfId="29" applyFont="1" applyFill="1">
      <alignment/>
      <protection/>
    </xf>
    <xf numFmtId="43" fontId="19" fillId="0" borderId="30" xfId="16" applyFont="1" applyBorder="1" applyAlignment="1">
      <alignment/>
    </xf>
    <xf numFmtId="43" fontId="19" fillId="0" borderId="35" xfId="16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3" fillId="8" borderId="12" xfId="0" applyFont="1" applyFill="1" applyBorder="1" applyAlignment="1">
      <alignment vertical="center" wrapText="1"/>
    </xf>
    <xf numFmtId="0" fontId="3" fillId="8" borderId="12" xfId="0" applyFont="1" applyFill="1" applyBorder="1" applyAlignment="1">
      <alignment horizontal="center" vertical="center" wrapText="1"/>
    </xf>
    <xf numFmtId="43" fontId="5" fillId="0" borderId="8" xfId="16" applyFont="1" applyFill="1" applyBorder="1" applyAlignment="1">
      <alignment horizontal="center" vertical="center" wrapText="1"/>
    </xf>
    <xf numFmtId="43" fontId="5" fillId="0" borderId="24" xfId="16" applyFont="1" applyBorder="1" applyAlignment="1">
      <alignment horizontal="center" vertical="top" wrapText="1"/>
    </xf>
    <xf numFmtId="43" fontId="5" fillId="7" borderId="24" xfId="16" applyFont="1" applyFill="1" applyBorder="1" applyAlignment="1">
      <alignment horizontal="center" vertical="top" wrapText="1"/>
    </xf>
    <xf numFmtId="43" fontId="5" fillId="7" borderId="26" xfId="16" applyFont="1" applyFill="1" applyBorder="1" applyAlignment="1">
      <alignment horizontal="center" vertical="top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17" fillId="7" borderId="28" xfId="0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top" wrapText="1"/>
    </xf>
    <xf numFmtId="43" fontId="5" fillId="9" borderId="15" xfId="16" applyFont="1" applyFill="1" applyBorder="1" applyAlignment="1">
      <alignment horizontal="center" vertical="center" wrapText="1"/>
    </xf>
    <xf numFmtId="43" fontId="5" fillId="0" borderId="15" xfId="16" applyFont="1" applyBorder="1" applyAlignment="1">
      <alignment horizontal="center" vertical="center" wrapText="1"/>
    </xf>
    <xf numFmtId="43" fontId="5" fillId="0" borderId="11" xfId="16" applyFont="1" applyBorder="1" applyAlignment="1">
      <alignment horizontal="center" vertical="top" wrapText="1"/>
    </xf>
    <xf numFmtId="43" fontId="5" fillId="0" borderId="10" xfId="16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3" fillId="7" borderId="28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center" vertical="center" wrapText="1"/>
    </xf>
    <xf numFmtId="43" fontId="5" fillId="0" borderId="22" xfId="16" applyFont="1" applyBorder="1" applyAlignment="1">
      <alignment horizontal="center" vertical="top" wrapText="1"/>
    </xf>
    <xf numFmtId="43" fontId="5" fillId="0" borderId="11" xfId="16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7" fillId="7" borderId="24" xfId="0" applyFont="1" applyFill="1" applyBorder="1" applyAlignment="1">
      <alignment horizontal="center" vertical="top" wrapText="1"/>
    </xf>
    <xf numFmtId="0" fontId="3" fillId="7" borderId="17" xfId="0" applyFont="1" applyFill="1" applyBorder="1" applyAlignment="1">
      <alignment horizontal="left"/>
    </xf>
    <xf numFmtId="0" fontId="3" fillId="7" borderId="24" xfId="0" applyFont="1" applyFill="1" applyBorder="1" applyAlignment="1">
      <alignment horizontal="left"/>
    </xf>
    <xf numFmtId="0" fontId="3" fillId="7" borderId="26" xfId="0" applyFont="1" applyFill="1" applyBorder="1" applyAlignment="1">
      <alignment horizontal="left"/>
    </xf>
    <xf numFmtId="43" fontId="5" fillId="0" borderId="15" xfId="16" applyFont="1" applyBorder="1" applyAlignment="1">
      <alignment horizontal="center" vertical="top" wrapText="1"/>
    </xf>
    <xf numFmtId="0" fontId="6" fillId="7" borderId="17" xfId="0" applyFont="1" applyFill="1" applyBorder="1" applyAlignment="1">
      <alignment horizontal="left"/>
    </xf>
    <xf numFmtId="0" fontId="6" fillId="7" borderId="24" xfId="0" applyFont="1" applyFill="1" applyBorder="1" applyAlignment="1">
      <alignment horizontal="left"/>
    </xf>
    <xf numFmtId="0" fontId="6" fillId="7" borderId="26" xfId="0" applyFont="1" applyFill="1" applyBorder="1" applyAlignment="1">
      <alignment horizontal="left"/>
    </xf>
    <xf numFmtId="43" fontId="5" fillId="0" borderId="23" xfId="16" applyFont="1" applyBorder="1" applyAlignment="1">
      <alignment horizontal="center" vertical="top" wrapText="1"/>
    </xf>
    <xf numFmtId="43" fontId="5" fillId="0" borderId="10" xfId="16" applyFont="1" applyBorder="1" applyAlignment="1">
      <alignment horizontal="center" vertical="center" wrapText="1"/>
    </xf>
    <xf numFmtId="43" fontId="5" fillId="0" borderId="11" xfId="16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5" fillId="0" borderId="22" xfId="29" applyFont="1" applyBorder="1" applyAlignment="1">
      <alignment vertical="center" wrapText="1"/>
      <protection/>
    </xf>
    <xf numFmtId="0" fontId="5" fillId="0" borderId="23" xfId="29" applyFont="1" applyBorder="1" applyAlignment="1">
      <alignment vertical="center" wrapText="1"/>
      <protection/>
    </xf>
    <xf numFmtId="164" fontId="19" fillId="0" borderId="27" xfId="0" applyNumberFormat="1" applyFont="1" applyBorder="1" applyAlignment="1">
      <alignment/>
    </xf>
    <xf numFmtId="0" fontId="5" fillId="0" borderId="14" xfId="29" applyFont="1" applyBorder="1" applyAlignment="1">
      <alignment vertical="center" wrapText="1"/>
      <protection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6" xfId="29" applyFont="1" applyFill="1" applyBorder="1" applyAlignment="1">
      <alignment horizontal="left" vertical="center" wrapText="1"/>
      <protection/>
    </xf>
    <xf numFmtId="0" fontId="5" fillId="0" borderId="13" xfId="29" applyFont="1" applyFill="1" applyBorder="1" applyAlignment="1">
      <alignment horizontal="left" vertical="center" wrapText="1"/>
      <protection/>
    </xf>
    <xf numFmtId="0" fontId="5" fillId="0" borderId="15" xfId="29" applyFont="1" applyFill="1" applyBorder="1" applyAlignment="1">
      <alignment horizontal="left" vertical="center" wrapText="1"/>
      <protection/>
    </xf>
    <xf numFmtId="43" fontId="5" fillId="0" borderId="16" xfId="16" applyFont="1" applyBorder="1" applyAlignment="1">
      <alignment horizontal="left" vertical="top" wrapText="1"/>
    </xf>
    <xf numFmtId="43" fontId="5" fillId="0" borderId="16" xfId="16" applyFont="1" applyFill="1" applyBorder="1" applyAlignment="1">
      <alignment vertical="center" wrapText="1"/>
    </xf>
    <xf numFmtId="43" fontId="5" fillId="0" borderId="13" xfId="16" applyFont="1" applyFill="1" applyBorder="1" applyAlignment="1">
      <alignment vertical="center" wrapText="1"/>
    </xf>
    <xf numFmtId="43" fontId="5" fillId="0" borderId="15" xfId="16" applyFont="1" applyFill="1" applyBorder="1" applyAlignment="1">
      <alignment vertical="center" wrapText="1"/>
    </xf>
    <xf numFmtId="43" fontId="5" fillId="9" borderId="15" xfId="16" applyFont="1" applyFill="1" applyBorder="1" applyAlignment="1">
      <alignment vertical="center" wrapText="1"/>
    </xf>
    <xf numFmtId="0" fontId="5" fillId="0" borderId="11" xfId="29" applyFont="1" applyFill="1" applyBorder="1" applyAlignment="1">
      <alignment vertical="center" wrapText="1"/>
      <protection/>
    </xf>
    <xf numFmtId="0" fontId="5" fillId="0" borderId="15" xfId="29" applyFont="1" applyFill="1" applyBorder="1" applyAlignment="1">
      <alignment vertical="center" wrapText="1"/>
      <protection/>
    </xf>
    <xf numFmtId="0" fontId="5" fillId="0" borderId="15" xfId="29" applyFont="1" applyFill="1" applyBorder="1" applyAlignment="1">
      <alignment vertical="top" wrapText="1"/>
      <protection/>
    </xf>
    <xf numFmtId="4" fontId="5" fillId="9" borderId="30" xfId="29" applyNumberFormat="1" applyFont="1" applyFill="1" applyBorder="1" applyAlignment="1">
      <alignment horizontal="right" wrapText="1"/>
      <protection/>
    </xf>
    <xf numFmtId="0" fontId="5" fillId="0" borderId="10" xfId="0" applyFont="1" applyBorder="1" applyAlignment="1">
      <alignment wrapText="1"/>
    </xf>
    <xf numFmtId="4" fontId="5" fillId="9" borderId="35" xfId="29" applyNumberFormat="1" applyFont="1" applyFill="1" applyBorder="1" applyAlignment="1">
      <alignment horizontal="right" wrapText="1"/>
      <protection/>
    </xf>
    <xf numFmtId="4" fontId="5" fillId="9" borderId="8" xfId="29" applyNumberFormat="1" applyFont="1" applyFill="1" applyBorder="1" applyAlignment="1">
      <alignment horizontal="right" vertical="top" wrapText="1"/>
      <protection/>
    </xf>
    <xf numFmtId="4" fontId="5" fillId="9" borderId="30" xfId="29" applyNumberFormat="1" applyFont="1" applyFill="1" applyBorder="1" applyAlignment="1">
      <alignment horizontal="right" vertical="top" wrapText="1"/>
      <protection/>
    </xf>
    <xf numFmtId="0" fontId="5" fillId="0" borderId="16" xfId="0" applyFont="1" applyFill="1" applyBorder="1" applyAlignment="1">
      <alignment horizontal="left" vertical="center" wrapText="1"/>
    </xf>
    <xf numFmtId="43" fontId="5" fillId="0" borderId="16" xfId="16" applyFont="1" applyBorder="1" applyAlignment="1">
      <alignment horizontal="center" vertical="center" wrapText="1"/>
    </xf>
    <xf numFmtId="0" fontId="5" fillId="0" borderId="37" xfId="29" applyFont="1" applyBorder="1" applyAlignment="1">
      <alignment horizontal="left" vertical="center" wrapText="1"/>
      <protection/>
    </xf>
    <xf numFmtId="0" fontId="5" fillId="9" borderId="16" xfId="29" applyFont="1" applyFill="1" applyBorder="1" applyAlignment="1">
      <alignment horizontal="left" vertical="top" wrapText="1"/>
      <protection/>
    </xf>
    <xf numFmtId="0" fontId="5" fillId="9" borderId="13" xfId="29" applyFont="1" applyFill="1" applyBorder="1" applyAlignment="1">
      <alignment horizontal="left" vertical="center" wrapText="1"/>
      <protection/>
    </xf>
    <xf numFmtId="4" fontId="5" fillId="9" borderId="35" xfId="29" applyNumberFormat="1" applyFont="1" applyFill="1" applyBorder="1" applyAlignment="1">
      <alignment horizontal="right" vertical="top" wrapText="1"/>
      <protection/>
    </xf>
    <xf numFmtId="0" fontId="5" fillId="9" borderId="13" xfId="29" applyFont="1" applyFill="1" applyBorder="1" applyAlignment="1">
      <alignment horizontal="left" vertical="top" wrapText="1"/>
      <protection/>
    </xf>
    <xf numFmtId="4" fontId="5" fillId="0" borderId="11" xfId="29" applyNumberFormat="1" applyFont="1" applyBorder="1" applyAlignment="1">
      <alignment vertical="center" wrapText="1"/>
      <protection/>
    </xf>
    <xf numFmtId="0" fontId="5" fillId="0" borderId="11" xfId="29" applyFont="1" applyFill="1" applyBorder="1" applyAlignment="1">
      <alignment horizontal="left" vertical="center" wrapText="1"/>
      <protection/>
    </xf>
    <xf numFmtId="4" fontId="5" fillId="0" borderId="11" xfId="29" applyNumberFormat="1" applyFont="1" applyFill="1" applyBorder="1" applyAlignment="1">
      <alignment vertical="center" wrapText="1"/>
      <protection/>
    </xf>
    <xf numFmtId="4" fontId="5" fillId="0" borderId="16" xfId="29" applyNumberFormat="1" applyFont="1" applyFill="1" applyBorder="1" applyAlignment="1">
      <alignment vertical="center" wrapText="1"/>
      <protection/>
    </xf>
    <xf numFmtId="0" fontId="6" fillId="7" borderId="17" xfId="0" applyFont="1" applyFill="1" applyBorder="1" applyAlignment="1">
      <alignment/>
    </xf>
    <xf numFmtId="0" fontId="6" fillId="7" borderId="24" xfId="0" applyFont="1" applyFill="1" applyBorder="1" applyAlignment="1">
      <alignment/>
    </xf>
    <xf numFmtId="43" fontId="6" fillId="7" borderId="12" xfId="0" applyNumberFormat="1" applyFont="1" applyFill="1" applyBorder="1" applyAlignment="1">
      <alignment/>
    </xf>
    <xf numFmtId="0" fontId="18" fillId="0" borderId="23" xfId="0" applyFont="1" applyBorder="1" applyAlignment="1">
      <alignment horizontal="left" vertical="top" wrapText="1"/>
    </xf>
    <xf numFmtId="43" fontId="5" fillId="0" borderId="37" xfId="16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43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37" xfId="29" applyFont="1" applyFill="1" applyBorder="1" applyAlignment="1">
      <alignment horizontal="left" vertical="top" wrapText="1"/>
      <protection/>
    </xf>
    <xf numFmtId="0" fontId="5" fillId="0" borderId="37" xfId="29" applyFont="1" applyFill="1" applyBorder="1" applyAlignment="1">
      <alignment horizontal="left" vertical="center" wrapText="1"/>
      <protection/>
    </xf>
    <xf numFmtId="0" fontId="0" fillId="9" borderId="0" xfId="29" applyFill="1">
      <alignment/>
      <protection/>
    </xf>
    <xf numFmtId="0" fontId="5" fillId="0" borderId="16" xfId="0" applyFont="1" applyBorder="1" applyAlignment="1">
      <alignment horizontal="left" vertical="top" wrapText="1"/>
    </xf>
    <xf numFmtId="0" fontId="5" fillId="9" borderId="8" xfId="29" applyFont="1" applyFill="1" applyBorder="1" applyAlignment="1">
      <alignment horizontal="left" vertical="top" wrapText="1"/>
      <protection/>
    </xf>
    <xf numFmtId="0" fontId="5" fillId="0" borderId="15" xfId="0" applyFont="1" applyBorder="1" applyAlignment="1">
      <alignment horizontal="left" vertical="top" wrapText="1"/>
    </xf>
    <xf numFmtId="43" fontId="5" fillId="0" borderId="30" xfId="16" applyFont="1" applyBorder="1" applyAlignment="1">
      <alignment/>
    </xf>
    <xf numFmtId="43" fontId="5" fillId="0" borderId="35" xfId="16" applyFont="1" applyBorder="1" applyAlignment="1">
      <alignment vertical="center"/>
    </xf>
    <xf numFmtId="43" fontId="5" fillId="0" borderId="11" xfId="16" applyFont="1" applyBorder="1" applyAlignment="1">
      <alignment vertical="top" wrapText="1"/>
    </xf>
    <xf numFmtId="43" fontId="5" fillId="0" borderId="10" xfId="16" applyFont="1" applyBorder="1" applyAlignment="1">
      <alignment vertical="top" wrapText="1"/>
    </xf>
    <xf numFmtId="43" fontId="5" fillId="9" borderId="0" xfId="16" applyFont="1" applyFill="1" applyBorder="1" applyAlignment="1">
      <alignment horizontal="center" vertical="top" wrapText="1"/>
    </xf>
    <xf numFmtId="0" fontId="5" fillId="0" borderId="44" xfId="0" applyFont="1" applyBorder="1" applyAlignment="1">
      <alignment horizontal="left" wrapText="1"/>
    </xf>
    <xf numFmtId="0" fontId="5" fillId="0" borderId="22" xfId="29" applyFont="1" applyFill="1" applyBorder="1" applyAlignment="1">
      <alignment horizontal="center" vertical="center" wrapText="1"/>
      <protection/>
    </xf>
    <xf numFmtId="0" fontId="5" fillId="0" borderId="11" xfId="29" applyFont="1" applyFill="1" applyBorder="1" applyAlignment="1">
      <alignment horizontal="center" vertical="center" wrapText="1"/>
      <protection/>
    </xf>
    <xf numFmtId="0" fontId="5" fillId="0" borderId="10" xfId="29" applyFont="1" applyFill="1" applyBorder="1" applyAlignment="1">
      <alignment horizontal="center" vertical="center" wrapText="1"/>
      <protection/>
    </xf>
    <xf numFmtId="0" fontId="5" fillId="9" borderId="10" xfId="29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43" fontId="3" fillId="7" borderId="26" xfId="0" applyNumberFormat="1" applyFont="1" applyFill="1" applyBorder="1" applyAlignment="1">
      <alignment horizontal="left"/>
    </xf>
    <xf numFmtId="43" fontId="6" fillId="7" borderId="26" xfId="0" applyNumberFormat="1" applyFont="1" applyFill="1" applyBorder="1" applyAlignment="1">
      <alignment horizontal="left"/>
    </xf>
    <xf numFmtId="43" fontId="6" fillId="7" borderId="12" xfId="16" applyFont="1" applyFill="1" applyBorder="1" applyAlignment="1">
      <alignment vertical="center" wrapText="1"/>
    </xf>
    <xf numFmtId="0" fontId="4" fillId="0" borderId="9" xfId="0" applyFont="1" applyBorder="1" applyAlignment="1">
      <alignment/>
    </xf>
    <xf numFmtId="0" fontId="3" fillId="9" borderId="0" xfId="0" applyFont="1" applyFill="1" applyBorder="1" applyAlignment="1">
      <alignment horizontal="left"/>
    </xf>
    <xf numFmtId="0" fontId="5" fillId="0" borderId="14" xfId="0" applyFont="1" applyBorder="1" applyAlignment="1">
      <alignment vertical="center"/>
    </xf>
    <xf numFmtId="4" fontId="5" fillId="0" borderId="30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8" borderId="6" xfId="0" applyFont="1" applyFill="1" applyBorder="1" applyAlignment="1">
      <alignment horizontal="center" vertical="center"/>
    </xf>
    <xf numFmtId="4" fontId="21" fillId="0" borderId="6" xfId="0" applyNumberFormat="1" applyFont="1" applyBorder="1" applyAlignment="1">
      <alignment/>
    </xf>
    <xf numFmtId="4" fontId="22" fillId="0" borderId="0" xfId="0" applyNumberFormat="1" applyFont="1" applyAlignment="1">
      <alignment/>
    </xf>
    <xf numFmtId="0" fontId="22" fillId="0" borderId="6" xfId="0" applyFont="1" applyBorder="1" applyAlignment="1">
      <alignment/>
    </xf>
    <xf numFmtId="4" fontId="22" fillId="0" borderId="6" xfId="0" applyNumberFormat="1" applyFont="1" applyBorder="1" applyAlignment="1">
      <alignment/>
    </xf>
    <xf numFmtId="0" fontId="22" fillId="10" borderId="6" xfId="0" applyFont="1" applyFill="1" applyBorder="1" applyAlignment="1">
      <alignment/>
    </xf>
    <xf numFmtId="4" fontId="22" fillId="10" borderId="6" xfId="0" applyNumberFormat="1" applyFont="1" applyFill="1" applyBorder="1" applyAlignment="1">
      <alignment/>
    </xf>
    <xf numFmtId="0" fontId="4" fillId="0" borderId="45" xfId="0" applyFont="1" applyBorder="1" applyAlignment="1">
      <alignment/>
    </xf>
    <xf numFmtId="4" fontId="4" fillId="0" borderId="40" xfId="0" applyNumberFormat="1" applyFont="1" applyBorder="1" applyAlignment="1">
      <alignment/>
    </xf>
    <xf numFmtId="0" fontId="4" fillId="0" borderId="46" xfId="0" applyFont="1" applyBorder="1" applyAlignment="1">
      <alignment/>
    </xf>
    <xf numFmtId="4" fontId="4" fillId="0" borderId="47" xfId="0" applyNumberFormat="1" applyFont="1" applyBorder="1" applyAlignment="1">
      <alignment/>
    </xf>
    <xf numFmtId="0" fontId="3" fillId="8" borderId="48" xfId="0" applyFont="1" applyFill="1" applyBorder="1" applyAlignment="1">
      <alignment horizontal="center"/>
    </xf>
    <xf numFmtId="0" fontId="3" fillId="8" borderId="49" xfId="0" applyFont="1" applyFill="1" applyBorder="1" applyAlignment="1">
      <alignment horizontal="center"/>
    </xf>
    <xf numFmtId="0" fontId="4" fillId="0" borderId="50" xfId="0" applyFont="1" applyBorder="1" applyAlignment="1">
      <alignment/>
    </xf>
    <xf numFmtId="4" fontId="4" fillId="0" borderId="51" xfId="0" applyNumberFormat="1" applyFont="1" applyBorder="1" applyAlignment="1">
      <alignment/>
    </xf>
    <xf numFmtId="0" fontId="3" fillId="10" borderId="48" xfId="0" applyFont="1" applyFill="1" applyBorder="1" applyAlignment="1">
      <alignment/>
    </xf>
    <xf numFmtId="4" fontId="3" fillId="10" borderId="49" xfId="0" applyNumberFormat="1" applyFont="1" applyFill="1" applyBorder="1" applyAlignment="1">
      <alignment/>
    </xf>
    <xf numFmtId="0" fontId="3" fillId="8" borderId="24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43" fontId="5" fillId="0" borderId="11" xfId="16" applyFont="1" applyBorder="1" applyAlignment="1">
      <alignment horizontal="left" vertical="top" wrapText="1"/>
    </xf>
    <xf numFmtId="0" fontId="17" fillId="7" borderId="17" xfId="0" applyFont="1" applyFill="1" applyBorder="1" applyAlignment="1">
      <alignment horizontal="center" vertical="top" wrapText="1"/>
    </xf>
    <xf numFmtId="43" fontId="5" fillId="0" borderId="22" xfId="16" applyFont="1" applyBorder="1" applyAlignment="1">
      <alignment horizontal="center" vertical="center" wrapText="1"/>
    </xf>
    <xf numFmtId="43" fontId="5" fillId="0" borderId="23" xfId="16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29" applyFont="1" applyFill="1" applyBorder="1" applyAlignment="1">
      <alignment horizontal="left" vertical="top" wrapText="1"/>
      <protection/>
    </xf>
    <xf numFmtId="43" fontId="5" fillId="0" borderId="10" xfId="16" applyFont="1" applyBorder="1" applyAlignment="1">
      <alignment horizontal="left" vertical="top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9" borderId="16" xfId="29" applyFont="1" applyFill="1" applyBorder="1" applyAlignment="1">
      <alignment horizontal="center" vertical="center"/>
      <protection/>
    </xf>
    <xf numFmtId="0" fontId="5" fillId="9" borderId="13" xfId="29" applyFont="1" applyFill="1" applyBorder="1" applyAlignment="1">
      <alignment horizontal="center" vertical="center"/>
      <protection/>
    </xf>
    <xf numFmtId="43" fontId="5" fillId="0" borderId="23" xfId="16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3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23" xfId="0" applyFont="1" applyFill="1" applyBorder="1" applyAlignment="1">
      <alignment wrapText="1"/>
    </xf>
    <xf numFmtId="0" fontId="5" fillId="0" borderId="16" xfId="29" applyFont="1" applyFill="1" applyBorder="1" applyAlignment="1">
      <alignment vertical="center" wrapText="1"/>
      <protection/>
    </xf>
    <xf numFmtId="4" fontId="5" fillId="0" borderId="13" xfId="29" applyNumberFormat="1" applyFont="1" applyFill="1" applyBorder="1" applyAlignment="1">
      <alignment horizontal="right" vertical="center" wrapText="1"/>
      <protection/>
    </xf>
    <xf numFmtId="4" fontId="5" fillId="0" borderId="35" xfId="29" applyNumberFormat="1" applyFont="1" applyFill="1" applyBorder="1" applyAlignment="1">
      <alignment horizontal="right" vertical="center" wrapText="1"/>
      <protection/>
    </xf>
    <xf numFmtId="4" fontId="5" fillId="0" borderId="37" xfId="29" applyNumberFormat="1" applyFont="1" applyFill="1" applyBorder="1" applyAlignment="1">
      <alignment horizontal="right" vertical="center" wrapText="1"/>
      <protection/>
    </xf>
    <xf numFmtId="4" fontId="5" fillId="0" borderId="30" xfId="29" applyNumberFormat="1" applyFont="1" applyBorder="1" applyAlignment="1">
      <alignment horizontal="right" vertical="center" wrapText="1"/>
      <protection/>
    </xf>
    <xf numFmtId="4" fontId="5" fillId="0" borderId="52" xfId="29" applyNumberFormat="1" applyFont="1" applyBorder="1" applyAlignment="1">
      <alignment horizontal="right" vertical="center" wrapText="1"/>
      <protection/>
    </xf>
    <xf numFmtId="4" fontId="5" fillId="0" borderId="30" xfId="29" applyNumberFormat="1" applyFont="1" applyFill="1" applyBorder="1" applyAlignment="1">
      <alignment horizontal="right" vertical="center" wrapText="1"/>
      <protection/>
    </xf>
    <xf numFmtId="4" fontId="5" fillId="0" borderId="52" xfId="29" applyNumberFormat="1" applyFont="1" applyFill="1" applyBorder="1" applyAlignment="1">
      <alignment horizontal="right" vertical="center" wrapText="1"/>
      <protection/>
    </xf>
    <xf numFmtId="4" fontId="5" fillId="9" borderId="30" xfId="29" applyNumberFormat="1" applyFont="1" applyFill="1" applyBorder="1" applyAlignment="1">
      <alignment horizontal="right" vertical="center" wrapText="1"/>
      <protection/>
    </xf>
    <xf numFmtId="4" fontId="5" fillId="9" borderId="35" xfId="29" applyNumberFormat="1" applyFont="1" applyFill="1" applyBorder="1" applyAlignment="1">
      <alignment horizontal="right" vertical="center" wrapText="1"/>
      <protection/>
    </xf>
    <xf numFmtId="4" fontId="5" fillId="9" borderId="8" xfId="29" applyNumberFormat="1" applyFont="1" applyFill="1" applyBorder="1" applyAlignment="1">
      <alignment horizontal="right" vertical="center" wrapText="1"/>
      <protection/>
    </xf>
    <xf numFmtId="4" fontId="5" fillId="0" borderId="8" xfId="29" applyNumberFormat="1" applyFont="1" applyFill="1" applyBorder="1" applyAlignment="1">
      <alignment horizontal="right" vertical="center" wrapText="1"/>
      <protection/>
    </xf>
    <xf numFmtId="4" fontId="5" fillId="0" borderId="13" xfId="29" applyNumberFormat="1" applyFont="1" applyFill="1" applyBorder="1" applyAlignment="1">
      <alignment vertical="center" wrapText="1"/>
      <protection/>
    </xf>
    <xf numFmtId="4" fontId="5" fillId="0" borderId="15" xfId="29" applyNumberFormat="1" applyFont="1" applyFill="1" applyBorder="1" applyAlignment="1">
      <alignment vertical="center" wrapText="1"/>
      <protection/>
    </xf>
    <xf numFmtId="0" fontId="5" fillId="9" borderId="15" xfId="29" applyFont="1" applyFill="1" applyBorder="1" applyAlignment="1">
      <alignment horizontal="center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top" wrapText="1"/>
    </xf>
    <xf numFmtId="4" fontId="21" fillId="0" borderId="0" xfId="0" applyNumberFormat="1" applyFont="1" applyAlignment="1">
      <alignment/>
    </xf>
    <xf numFmtId="0" fontId="5" fillId="0" borderId="15" xfId="29" applyFont="1" applyBorder="1" applyAlignment="1">
      <alignment vertical="center" wrapText="1"/>
      <protection/>
    </xf>
    <xf numFmtId="43" fontId="19" fillId="0" borderId="15" xfId="16" applyFont="1" applyBorder="1" applyAlignment="1">
      <alignment vertical="center"/>
    </xf>
    <xf numFmtId="0" fontId="5" fillId="0" borderId="30" xfId="29" applyFont="1" applyFill="1" applyBorder="1" applyAlignment="1">
      <alignment horizontal="left" vertical="top" wrapText="1"/>
      <protection/>
    </xf>
    <xf numFmtId="4" fontId="5" fillId="0" borderId="35" xfId="29" applyNumberFormat="1" applyFont="1" applyBorder="1" applyAlignment="1">
      <alignment vertical="center" wrapText="1"/>
      <protection/>
    </xf>
    <xf numFmtId="0" fontId="5" fillId="7" borderId="24" xfId="29" applyNumberFormat="1" applyFont="1" applyFill="1" applyBorder="1" applyAlignment="1">
      <alignment horizontal="left" vertical="top" wrapText="1"/>
      <protection/>
    </xf>
    <xf numFmtId="0" fontId="5" fillId="7" borderId="22" xfId="0" applyFont="1" applyFill="1" applyBorder="1" applyAlignment="1">
      <alignment horizontal="left" vertical="center" wrapText="1"/>
    </xf>
    <xf numFmtId="0" fontId="13" fillId="7" borderId="22" xfId="0" applyFont="1" applyFill="1" applyBorder="1" applyAlignment="1">
      <alignment horizontal="left" vertical="center" wrapText="1"/>
    </xf>
    <xf numFmtId="0" fontId="5" fillId="7" borderId="24" xfId="0" applyFont="1" applyFill="1" applyBorder="1" applyAlignment="1">
      <alignment horizontal="left" vertical="center" wrapText="1"/>
    </xf>
    <xf numFmtId="0" fontId="3" fillId="8" borderId="53" xfId="0" applyFont="1" applyFill="1" applyBorder="1" applyAlignment="1">
      <alignment horizontal="center" vertical="center"/>
    </xf>
    <xf numFmtId="0" fontId="3" fillId="8" borderId="54" xfId="0" applyFont="1" applyFill="1" applyBorder="1" applyAlignment="1">
      <alignment horizontal="center" wrapText="1"/>
    </xf>
    <xf numFmtId="9" fontId="3" fillId="8" borderId="54" xfId="0" applyNumberFormat="1" applyFont="1" applyFill="1" applyBorder="1" applyAlignment="1">
      <alignment horizontal="center" vertical="center"/>
    </xf>
    <xf numFmtId="9" fontId="3" fillId="8" borderId="55" xfId="0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wrapText="1"/>
    </xf>
    <xf numFmtId="4" fontId="4" fillId="0" borderId="57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0" fontId="3" fillId="0" borderId="45" xfId="0" applyFont="1" applyBorder="1" applyAlignment="1">
      <alignment/>
    </xf>
    <xf numFmtId="0" fontId="3" fillId="0" borderId="50" xfId="0" applyFont="1" applyBorder="1" applyAlignment="1">
      <alignment/>
    </xf>
    <xf numFmtId="4" fontId="4" fillId="0" borderId="58" xfId="0" applyNumberFormat="1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5" fillId="9" borderId="10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" fontId="5" fillId="0" borderId="30" xfId="0" applyNumberFormat="1" applyFont="1" applyBorder="1" applyAlignment="1">
      <alignment vertical="center"/>
    </xf>
    <xf numFmtId="4" fontId="5" fillId="0" borderId="35" xfId="0" applyNumberFormat="1" applyFont="1" applyBorder="1" applyAlignment="1">
      <alignment vertical="center"/>
    </xf>
    <xf numFmtId="4" fontId="5" fillId="0" borderId="27" xfId="0" applyNumberFormat="1" applyFont="1" applyBorder="1" applyAlignment="1">
      <alignment vertical="center"/>
    </xf>
    <xf numFmtId="0" fontId="5" fillId="0" borderId="43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4" fontId="5" fillId="0" borderId="59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 wrapText="1"/>
    </xf>
    <xf numFmtId="0" fontId="6" fillId="7" borderId="26" xfId="0" applyFont="1" applyFill="1" applyBorder="1" applyAlignment="1">
      <alignment/>
    </xf>
    <xf numFmtId="0" fontId="5" fillId="7" borderId="26" xfId="29" applyFont="1" applyFill="1" applyBorder="1">
      <alignment/>
      <protection/>
    </xf>
    <xf numFmtId="0" fontId="6" fillId="7" borderId="24" xfId="29" applyFont="1" applyFill="1" applyBorder="1" applyAlignment="1">
      <alignment vertical="center"/>
      <protection/>
    </xf>
    <xf numFmtId="0" fontId="6" fillId="7" borderId="26" xfId="29" applyFont="1" applyFill="1" applyBorder="1" applyAlignment="1">
      <alignment vertical="center"/>
      <protection/>
    </xf>
    <xf numFmtId="0" fontId="5" fillId="7" borderId="24" xfId="29" applyFont="1" applyFill="1" applyBorder="1">
      <alignment/>
      <protection/>
    </xf>
    <xf numFmtId="0" fontId="6" fillId="7" borderId="17" xfId="0" applyFont="1" applyFill="1" applyBorder="1" applyAlignment="1">
      <alignment horizontal="left" vertical="center"/>
    </xf>
    <xf numFmtId="0" fontId="6" fillId="7" borderId="24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top" wrapText="1"/>
    </xf>
    <xf numFmtId="0" fontId="6" fillId="7" borderId="17" xfId="29" applyNumberFormat="1" applyFont="1" applyFill="1" applyBorder="1" applyAlignment="1">
      <alignment horizontal="left" vertical="center" wrapText="1"/>
      <protection/>
    </xf>
    <xf numFmtId="0" fontId="6" fillId="7" borderId="26" xfId="0" applyFont="1" applyFill="1" applyBorder="1" applyAlignment="1">
      <alignment horizontal="left" vertical="center"/>
    </xf>
    <xf numFmtId="0" fontId="5" fillId="7" borderId="28" xfId="29" applyFont="1" applyFill="1" applyBorder="1">
      <alignment/>
      <protection/>
    </xf>
    <xf numFmtId="0" fontId="5" fillId="7" borderId="29" xfId="29" applyFont="1" applyFill="1" applyBorder="1">
      <alignment/>
      <protection/>
    </xf>
    <xf numFmtId="43" fontId="5" fillId="0" borderId="25" xfId="16" applyFont="1" applyBorder="1" applyAlignment="1">
      <alignment vertical="top" wrapText="1"/>
    </xf>
    <xf numFmtId="43" fontId="5" fillId="0" borderId="7" xfId="16" applyFont="1" applyBorder="1" applyAlignment="1">
      <alignment vertical="top" wrapText="1"/>
    </xf>
    <xf numFmtId="43" fontId="5" fillId="0" borderId="60" xfId="16" applyFont="1" applyBorder="1" applyAlignment="1">
      <alignment vertical="top" wrapText="1"/>
    </xf>
    <xf numFmtId="43" fontId="5" fillId="0" borderId="0" xfId="29" applyNumberFormat="1" applyFont="1">
      <alignment/>
      <protection/>
    </xf>
    <xf numFmtId="0" fontId="5" fillId="0" borderId="11" xfId="0" applyFont="1" applyFill="1" applyBorder="1" applyAlignment="1" quotePrefix="1">
      <alignment horizontal="left" vertical="center" wrapText="1"/>
    </xf>
    <xf numFmtId="43" fontId="5" fillId="7" borderId="12" xfId="16" applyFont="1" applyFill="1" applyBorder="1" applyAlignment="1">
      <alignment horizontal="left" vertical="top" wrapText="1"/>
    </xf>
    <xf numFmtId="0" fontId="5" fillId="0" borderId="22" xfId="0" applyFont="1" applyFill="1" applyBorder="1" applyAlignment="1" quotePrefix="1">
      <alignment horizontal="left" vertical="top" wrapText="1"/>
    </xf>
    <xf numFmtId="0" fontId="5" fillId="0" borderId="13" xfId="0" applyFont="1" applyFill="1" applyBorder="1" applyAlignment="1" quotePrefix="1">
      <alignment horizontal="left" vertical="top" wrapText="1"/>
    </xf>
    <xf numFmtId="0" fontId="5" fillId="0" borderId="11" xfId="0" applyFont="1" applyFill="1" applyBorder="1" applyAlignment="1" quotePrefix="1">
      <alignment horizontal="left" vertical="top" wrapText="1"/>
    </xf>
    <xf numFmtId="0" fontId="18" fillId="0" borderId="16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6" fillId="7" borderId="12" xfId="29" applyFont="1" applyFill="1" applyBorder="1" applyAlignment="1">
      <alignment horizontal="center" vertical="center" wrapText="1"/>
      <protection/>
    </xf>
    <xf numFmtId="0" fontId="6" fillId="7" borderId="26" xfId="29" applyFont="1" applyFill="1" applyBorder="1" applyAlignment="1">
      <alignment horizontal="center" vertical="center" wrapText="1"/>
      <protection/>
    </xf>
    <xf numFmtId="164" fontId="5" fillId="0" borderId="27" xfId="0" applyNumberFormat="1" applyFont="1" applyBorder="1" applyAlignment="1">
      <alignment/>
    </xf>
    <xf numFmtId="4" fontId="5" fillId="9" borderId="37" xfId="29" applyNumberFormat="1" applyFont="1" applyFill="1" applyBorder="1" applyAlignment="1">
      <alignment horizontal="right" wrapText="1"/>
      <protection/>
    </xf>
    <xf numFmtId="43" fontId="5" fillId="0" borderId="16" xfId="16" applyFont="1" applyBorder="1" applyAlignment="1">
      <alignment/>
    </xf>
    <xf numFmtId="43" fontId="5" fillId="0" borderId="15" xfId="16" applyFont="1" applyBorder="1" applyAlignment="1">
      <alignment/>
    </xf>
    <xf numFmtId="43" fontId="5" fillId="0" borderId="13" xfId="16" applyFont="1" applyBorder="1" applyAlignment="1">
      <alignment horizontal="right"/>
    </xf>
    <xf numFmtId="43" fontId="5" fillId="0" borderId="14" xfId="16" applyFont="1" applyBorder="1" applyAlignment="1">
      <alignment horizontal="right"/>
    </xf>
    <xf numFmtId="43" fontId="5" fillId="0" borderId="30" xfId="16" applyFont="1" applyFill="1" applyBorder="1" applyAlignment="1">
      <alignment/>
    </xf>
    <xf numFmtId="43" fontId="5" fillId="0" borderId="35" xfId="16" applyFont="1" applyBorder="1" applyAlignment="1">
      <alignment/>
    </xf>
    <xf numFmtId="43" fontId="5" fillId="0" borderId="36" xfId="16" applyFont="1" applyBorder="1" applyAlignment="1">
      <alignment/>
    </xf>
    <xf numFmtId="43" fontId="5" fillId="0" borderId="27" xfId="16" applyFont="1" applyBorder="1" applyAlignment="1">
      <alignment/>
    </xf>
    <xf numFmtId="0" fontId="5" fillId="0" borderId="23" xfId="0" applyFont="1" applyBorder="1" applyAlignment="1">
      <alignment horizontal="left"/>
    </xf>
    <xf numFmtId="0" fontId="5" fillId="9" borderId="58" xfId="0" applyFont="1" applyFill="1" applyBorder="1" applyAlignment="1">
      <alignment vertical="top" wrapText="1"/>
    </xf>
    <xf numFmtId="4" fontId="5" fillId="0" borderId="37" xfId="29" applyNumberFormat="1" applyFont="1" applyBorder="1" applyAlignment="1">
      <alignment horizontal="right" vertical="center" wrapText="1"/>
      <protection/>
    </xf>
    <xf numFmtId="0" fontId="5" fillId="9" borderId="6" xfId="0" applyFont="1" applyFill="1" applyBorder="1" applyAlignment="1">
      <alignment horizontal="left" vertical="top" wrapText="1"/>
    </xf>
    <xf numFmtId="43" fontId="5" fillId="0" borderId="22" xfId="16" applyFont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left"/>
    </xf>
    <xf numFmtId="0" fontId="3" fillId="11" borderId="11" xfId="0" applyFont="1" applyFill="1" applyBorder="1" applyAlignment="1">
      <alignment horizontal="left"/>
    </xf>
    <xf numFmtId="0" fontId="3" fillId="11" borderId="10" xfId="0" applyFont="1" applyFill="1" applyBorder="1" applyAlignment="1">
      <alignment horizontal="left"/>
    </xf>
    <xf numFmtId="0" fontId="3" fillId="11" borderId="8" xfId="0" applyFont="1" applyFill="1" applyBorder="1" applyAlignment="1">
      <alignment horizontal="left"/>
    </xf>
    <xf numFmtId="43" fontId="5" fillId="11" borderId="23" xfId="16" applyFont="1" applyFill="1" applyBorder="1" applyAlignment="1">
      <alignment horizontal="center" vertical="top" wrapText="1"/>
    </xf>
    <xf numFmtId="43" fontId="5" fillId="11" borderId="16" xfId="16" applyFont="1" applyFill="1" applyBorder="1" applyAlignment="1">
      <alignment horizontal="center" vertical="top" wrapText="1"/>
    </xf>
    <xf numFmtId="43" fontId="5" fillId="11" borderId="15" xfId="16" applyFont="1" applyFill="1" applyBorder="1" applyAlignment="1">
      <alignment horizontal="center" vertical="top" wrapText="1"/>
    </xf>
    <xf numFmtId="43" fontId="5" fillId="12" borderId="15" xfId="16" applyFont="1" applyFill="1" applyBorder="1" applyAlignment="1">
      <alignment horizontal="center" vertical="top" wrapText="1"/>
    </xf>
    <xf numFmtId="43" fontId="5" fillId="12" borderId="13" xfId="16" applyFont="1" applyFill="1" applyBorder="1" applyAlignment="1">
      <alignment horizontal="center" vertical="top" wrapText="1"/>
    </xf>
    <xf numFmtId="43" fontId="37" fillId="11" borderId="22" xfId="16" applyFont="1" applyFill="1" applyBorder="1" applyAlignment="1">
      <alignment horizontal="center" vertical="center" wrapText="1"/>
    </xf>
    <xf numFmtId="43" fontId="5" fillId="11" borderId="15" xfId="16" applyFont="1" applyFill="1" applyBorder="1" applyAlignment="1">
      <alignment horizontal="center" vertical="center" wrapText="1"/>
    </xf>
    <xf numFmtId="43" fontId="5" fillId="12" borderId="23" xfId="16" applyFont="1" applyFill="1" applyBorder="1" applyAlignment="1">
      <alignment horizontal="center" vertical="center" wrapText="1"/>
    </xf>
    <xf numFmtId="43" fontId="5" fillId="12" borderId="10" xfId="16" applyFont="1" applyFill="1" applyBorder="1" applyAlignment="1">
      <alignment horizontal="center" vertical="center" wrapText="1"/>
    </xf>
    <xf numFmtId="43" fontId="5" fillId="12" borderId="23" xfId="16" applyFont="1" applyFill="1" applyBorder="1" applyAlignment="1">
      <alignment horizontal="center" vertical="center" wrapText="1"/>
    </xf>
    <xf numFmtId="43" fontId="5" fillId="12" borderId="11" xfId="16" applyFont="1" applyFill="1" applyBorder="1" applyAlignment="1">
      <alignment horizontal="center" vertical="center" wrapText="1"/>
    </xf>
    <xf numFmtId="43" fontId="5" fillId="12" borderId="10" xfId="16" applyFont="1" applyFill="1" applyBorder="1" applyAlignment="1">
      <alignment horizontal="center" vertical="center" wrapText="1"/>
    </xf>
    <xf numFmtId="43" fontId="5" fillId="12" borderId="15" xfId="16" applyFont="1" applyFill="1" applyBorder="1" applyAlignment="1">
      <alignment horizontal="center" vertical="top" wrapText="1"/>
    </xf>
    <xf numFmtId="43" fontId="5" fillId="12" borderId="23" xfId="16" applyFont="1" applyFill="1" applyBorder="1" applyAlignment="1">
      <alignment horizontal="center" vertical="top" wrapText="1"/>
    </xf>
    <xf numFmtId="43" fontId="5" fillId="12" borderId="11" xfId="16" applyFont="1" applyFill="1" applyBorder="1" applyAlignment="1">
      <alignment horizontal="center" vertical="top" wrapText="1"/>
    </xf>
    <xf numFmtId="0" fontId="13" fillId="12" borderId="22" xfId="0" applyFont="1" applyFill="1" applyBorder="1" applyAlignment="1">
      <alignment horizontal="left" vertical="center" wrapText="1"/>
    </xf>
    <xf numFmtId="0" fontId="13" fillId="12" borderId="11" xfId="0" applyFont="1" applyFill="1" applyBorder="1" applyAlignment="1">
      <alignment horizontal="left" vertical="center" wrapText="1"/>
    </xf>
    <xf numFmtId="0" fontId="13" fillId="12" borderId="15" xfId="0" applyFont="1" applyFill="1" applyBorder="1" applyAlignment="1">
      <alignment horizontal="center" vertical="center" wrapText="1"/>
    </xf>
    <xf numFmtId="0" fontId="13" fillId="12" borderId="10" xfId="0" applyFont="1" applyFill="1" applyBorder="1" applyAlignment="1">
      <alignment vertical="center" wrapText="1"/>
    </xf>
    <xf numFmtId="0" fontId="5" fillId="12" borderId="22" xfId="29" applyFont="1" applyFill="1" applyBorder="1" applyAlignment="1">
      <alignment horizontal="center" vertical="center" wrapText="1"/>
      <protection/>
    </xf>
    <xf numFmtId="0" fontId="5" fillId="11" borderId="10" xfId="29" applyFont="1" applyFill="1" applyBorder="1" applyAlignment="1">
      <alignment horizontal="center" vertical="center" wrapText="1"/>
      <protection/>
    </xf>
    <xf numFmtId="0" fontId="5" fillId="12" borderId="16" xfId="29" applyFont="1" applyFill="1" applyBorder="1" applyAlignment="1">
      <alignment horizontal="center" vertical="center" wrapText="1"/>
      <protection/>
    </xf>
    <xf numFmtId="0" fontId="5" fillId="12" borderId="13" xfId="29" applyFont="1" applyFill="1" applyBorder="1" applyAlignment="1">
      <alignment horizontal="center" vertical="center" wrapText="1"/>
      <protection/>
    </xf>
    <xf numFmtId="0" fontId="5" fillId="12" borderId="15" xfId="29" applyFont="1" applyFill="1" applyBorder="1" applyAlignment="1">
      <alignment horizontal="center" vertical="center" wrapText="1"/>
      <protection/>
    </xf>
    <xf numFmtId="0" fontId="5" fillId="12" borderId="15" xfId="29" applyFont="1" applyFill="1" applyBorder="1" applyAlignment="1">
      <alignment horizontal="center" vertical="top" wrapText="1"/>
      <protection/>
    </xf>
    <xf numFmtId="0" fontId="5" fillId="12" borderId="15" xfId="29" applyFont="1" applyFill="1" applyBorder="1" applyAlignment="1">
      <alignment horizontal="center" vertical="center" wrapText="1"/>
      <protection/>
    </xf>
    <xf numFmtId="0" fontId="5" fillId="11" borderId="15" xfId="29" applyFont="1" applyFill="1" applyBorder="1" applyAlignment="1">
      <alignment horizontal="center"/>
      <protection/>
    </xf>
    <xf numFmtId="0" fontId="5" fillId="11" borderId="11" xfId="29" applyFont="1" applyFill="1" applyBorder="1" applyAlignment="1">
      <alignment horizontal="center"/>
      <protection/>
    </xf>
    <xf numFmtId="0" fontId="5" fillId="11" borderId="10" xfId="29" applyFont="1" applyFill="1" applyBorder="1" applyAlignment="1">
      <alignment horizontal="center"/>
      <protection/>
    </xf>
    <xf numFmtId="0" fontId="6" fillId="11" borderId="16" xfId="0" applyFont="1" applyFill="1" applyBorder="1" applyAlignment="1">
      <alignment horizontal="center"/>
    </xf>
    <xf numFmtId="0" fontId="6" fillId="11" borderId="15" xfId="0" applyFont="1" applyFill="1" applyBorder="1" applyAlignment="1">
      <alignment horizontal="center"/>
    </xf>
    <xf numFmtId="0" fontId="6" fillId="11" borderId="13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5" fillId="11" borderId="23" xfId="0" applyNumberFormat="1" applyFont="1" applyFill="1" applyBorder="1" applyAlignment="1">
      <alignment horizontal="center" vertical="center" wrapText="1"/>
    </xf>
    <xf numFmtId="0" fontId="5" fillId="11" borderId="11" xfId="0" applyNumberFormat="1" applyFont="1" applyFill="1" applyBorder="1" applyAlignment="1">
      <alignment horizontal="center" vertical="center" wrapText="1"/>
    </xf>
    <xf numFmtId="0" fontId="5" fillId="11" borderId="15" xfId="0" applyNumberFormat="1" applyFont="1" applyFill="1" applyBorder="1" applyAlignment="1">
      <alignment horizontal="center" vertical="center" wrapText="1"/>
    </xf>
    <xf numFmtId="0" fontId="5" fillId="11" borderId="10" xfId="0" applyNumberFormat="1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43" fontId="5" fillId="11" borderId="11" xfId="16" applyFont="1" applyFill="1" applyBorder="1" applyAlignment="1">
      <alignment horizontal="center" vertical="top" wrapText="1"/>
    </xf>
    <xf numFmtId="0" fontId="3" fillId="12" borderId="8" xfId="0" applyFont="1" applyFill="1" applyBorder="1" applyAlignment="1">
      <alignment horizontal="left"/>
    </xf>
    <xf numFmtId="43" fontId="5" fillId="12" borderId="10" xfId="16" applyFont="1" applyFill="1" applyBorder="1" applyAlignment="1">
      <alignment horizontal="center" vertical="top" wrapText="1"/>
    </xf>
    <xf numFmtId="43" fontId="5" fillId="12" borderId="16" xfId="16" applyFont="1" applyFill="1" applyBorder="1" applyAlignment="1">
      <alignment horizontal="center" vertical="top" wrapText="1"/>
    </xf>
    <xf numFmtId="43" fontId="38" fillId="11" borderId="15" xfId="16" applyFont="1" applyFill="1" applyBorder="1" applyAlignment="1">
      <alignment horizontal="center" vertical="top" wrapText="1"/>
    </xf>
    <xf numFmtId="0" fontId="6" fillId="11" borderId="16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3" fillId="8" borderId="17" xfId="0" applyFont="1" applyFill="1" applyBorder="1" applyAlignment="1">
      <alignment horizontal="left"/>
    </xf>
    <xf numFmtId="0" fontId="3" fillId="8" borderId="24" xfId="0" applyFont="1" applyFill="1" applyBorder="1" applyAlignment="1">
      <alignment horizontal="left"/>
    </xf>
    <xf numFmtId="0" fontId="13" fillId="12" borderId="23" xfId="0" applyFont="1" applyFill="1" applyBorder="1" applyAlignment="1">
      <alignment horizontal="center" vertical="center" wrapText="1"/>
    </xf>
    <xf numFmtId="0" fontId="13" fillId="12" borderId="15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6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1" xfId="16" applyFont="1" applyBorder="1" applyAlignment="1">
      <alignment horizontal="center" vertical="top" wrapText="1"/>
    </xf>
    <xf numFmtId="43" fontId="5" fillId="0" borderId="10" xfId="16" applyFont="1" applyBorder="1" applyAlignment="1">
      <alignment horizontal="center" vertical="top" wrapText="1"/>
    </xf>
    <xf numFmtId="0" fontId="13" fillId="12" borderId="22" xfId="0" applyFont="1" applyFill="1" applyBorder="1" applyAlignment="1">
      <alignment horizontal="center" vertical="center" wrapText="1"/>
    </xf>
    <xf numFmtId="43" fontId="5" fillId="0" borderId="22" xfId="16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7" fillId="7" borderId="25" xfId="0" applyFont="1" applyFill="1" applyBorder="1" applyAlignment="1">
      <alignment horizontal="center" vertical="top" wrapText="1"/>
    </xf>
    <xf numFmtId="0" fontId="17" fillId="7" borderId="28" xfId="0" applyFont="1" applyFill="1" applyBorder="1" applyAlignment="1">
      <alignment horizontal="center" vertical="top" wrapText="1"/>
    </xf>
    <xf numFmtId="0" fontId="17" fillId="7" borderId="29" xfId="0" applyFont="1" applyFill="1" applyBorder="1" applyAlignment="1">
      <alignment horizontal="center" vertical="top" wrapText="1"/>
    </xf>
    <xf numFmtId="0" fontId="3" fillId="9" borderId="17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left" vertical="top" wrapText="1"/>
    </xf>
    <xf numFmtId="0" fontId="5" fillId="9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3" fontId="5" fillId="0" borderId="22" xfId="16" applyFont="1" applyBorder="1" applyAlignment="1">
      <alignment horizontal="center" vertical="center" wrapText="1"/>
    </xf>
    <xf numFmtId="43" fontId="5" fillId="0" borderId="11" xfId="16" applyFont="1" applyBorder="1" applyAlignment="1">
      <alignment horizontal="center" vertical="center" wrapText="1"/>
    </xf>
    <xf numFmtId="43" fontId="5" fillId="0" borderId="10" xfId="16" applyFont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left"/>
    </xf>
    <xf numFmtId="0" fontId="3" fillId="7" borderId="24" xfId="0" applyFont="1" applyFill="1" applyBorder="1" applyAlignment="1">
      <alignment horizontal="left"/>
    </xf>
    <xf numFmtId="0" fontId="3" fillId="7" borderId="26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 vertical="center" wrapText="1"/>
    </xf>
    <xf numFmtId="0" fontId="4" fillId="12" borderId="22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43" fontId="5" fillId="0" borderId="23" xfId="16" applyFont="1" applyBorder="1" applyAlignment="1">
      <alignment horizontal="center" vertical="center" wrapText="1"/>
    </xf>
    <xf numFmtId="43" fontId="5" fillId="0" borderId="15" xfId="16" applyFont="1" applyBorder="1" applyAlignment="1">
      <alignment horizontal="center" vertical="center" wrapText="1"/>
    </xf>
    <xf numFmtId="43" fontId="5" fillId="0" borderId="23" xfId="16" applyFont="1" applyBorder="1" applyAlignment="1">
      <alignment horizontal="center" vertical="top" wrapText="1"/>
    </xf>
    <xf numFmtId="43" fontId="5" fillId="0" borderId="23" xfId="16" applyFont="1" applyBorder="1" applyAlignment="1">
      <alignment horizontal="left" vertical="center" wrapText="1"/>
    </xf>
    <xf numFmtId="43" fontId="5" fillId="0" borderId="10" xfId="16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11" borderId="22" xfId="0" applyNumberFormat="1" applyFont="1" applyFill="1" applyBorder="1" applyAlignment="1">
      <alignment horizontal="center" vertical="center" wrapText="1"/>
    </xf>
    <xf numFmtId="0" fontId="5" fillId="11" borderId="11" xfId="0" applyNumberFormat="1" applyFont="1" applyFill="1" applyBorder="1" applyAlignment="1">
      <alignment horizontal="center" vertical="center" wrapText="1"/>
    </xf>
    <xf numFmtId="0" fontId="5" fillId="11" borderId="1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3" fontId="5" fillId="0" borderId="15" xfId="16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3" fillId="12" borderId="11" xfId="0" applyFont="1" applyFill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3" fontId="5" fillId="0" borderId="22" xfId="16" applyFont="1" applyBorder="1" applyAlignment="1">
      <alignment horizontal="left" vertical="top" wrapText="1"/>
    </xf>
    <xf numFmtId="43" fontId="5" fillId="0" borderId="11" xfId="16" applyFont="1" applyBorder="1" applyAlignment="1">
      <alignment horizontal="left" vertical="top" wrapText="1"/>
    </xf>
    <xf numFmtId="43" fontId="5" fillId="0" borderId="10" xfId="16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left" vertical="top" wrapText="1"/>
    </xf>
    <xf numFmtId="0" fontId="5" fillId="0" borderId="28" xfId="0" applyNumberFormat="1" applyFont="1" applyFill="1" applyBorder="1" applyAlignment="1">
      <alignment horizontal="left" vertical="top" wrapText="1"/>
    </xf>
    <xf numFmtId="0" fontId="5" fillId="0" borderId="29" xfId="0" applyNumberFormat="1" applyFont="1" applyFill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8" xfId="0" applyNumberFormat="1" applyFont="1" applyFill="1" applyBorder="1" applyAlignment="1">
      <alignment horizontal="left" vertical="top" wrapText="1"/>
    </xf>
    <xf numFmtId="0" fontId="5" fillId="0" borderId="60" xfId="0" applyNumberFormat="1" applyFont="1" applyFill="1" applyBorder="1" applyAlignment="1">
      <alignment horizontal="left" vertical="top" wrapText="1"/>
    </xf>
    <xf numFmtId="0" fontId="5" fillId="0" borderId="9" xfId="0" applyNumberFormat="1" applyFont="1" applyFill="1" applyBorder="1" applyAlignment="1">
      <alignment horizontal="left" vertical="top" wrapText="1"/>
    </xf>
    <xf numFmtId="0" fontId="5" fillId="0" borderId="37" xfId="0" applyNumberFormat="1" applyFont="1" applyFill="1" applyBorder="1" applyAlignment="1">
      <alignment horizontal="left" vertical="top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60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top" wrapText="1"/>
    </xf>
    <xf numFmtId="0" fontId="5" fillId="0" borderId="28" xfId="0" applyNumberFormat="1" applyFont="1" applyFill="1" applyBorder="1" applyAlignment="1">
      <alignment horizontal="center" vertical="top" wrapText="1"/>
    </xf>
    <xf numFmtId="0" fontId="5" fillId="0" borderId="29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43" fontId="37" fillId="11" borderId="11" xfId="16" applyFont="1" applyFill="1" applyBorder="1" applyAlignment="1">
      <alignment horizontal="center" vertical="center" wrapText="1"/>
    </xf>
    <xf numFmtId="43" fontId="37" fillId="11" borderId="10" xfId="16" applyFont="1" applyFill="1" applyBorder="1" applyAlignment="1">
      <alignment horizontal="center" vertical="center" wrapText="1"/>
    </xf>
    <xf numFmtId="43" fontId="5" fillId="11" borderId="11" xfId="16" applyFont="1" applyFill="1" applyBorder="1" applyAlignment="1">
      <alignment horizontal="center" vertical="center" wrapText="1"/>
    </xf>
    <xf numFmtId="43" fontId="5" fillId="11" borderId="10" xfId="16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6" fillId="7" borderId="17" xfId="0" applyFont="1" applyFill="1" applyBorder="1" applyAlignment="1">
      <alignment horizontal="left"/>
    </xf>
    <xf numFmtId="0" fontId="6" fillId="7" borderId="2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43" fontId="5" fillId="0" borderId="7" xfId="16" applyFont="1" applyBorder="1" applyAlignment="1">
      <alignment horizontal="center" vertical="top" wrapText="1"/>
    </xf>
    <xf numFmtId="43" fontId="5" fillId="0" borderId="60" xfId="16" applyFont="1" applyBorder="1" applyAlignment="1">
      <alignment horizontal="center" vertical="top" wrapText="1"/>
    </xf>
    <xf numFmtId="0" fontId="18" fillId="0" borderId="22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23" xfId="0" applyFont="1" applyBorder="1" applyAlignment="1">
      <alignment horizontal="left" wrapText="1"/>
    </xf>
    <xf numFmtId="0" fontId="5" fillId="9" borderId="25" xfId="0" applyFont="1" applyFill="1" applyBorder="1" applyAlignment="1">
      <alignment horizontal="left" vertical="top" wrapText="1"/>
    </xf>
    <xf numFmtId="0" fontId="5" fillId="9" borderId="28" xfId="0" applyFont="1" applyFill="1" applyBorder="1" applyAlignment="1">
      <alignment horizontal="left" vertical="top" wrapText="1"/>
    </xf>
    <xf numFmtId="0" fontId="6" fillId="7" borderId="26" xfId="0" applyFont="1" applyFill="1" applyBorder="1" applyAlignment="1">
      <alignment horizontal="left"/>
    </xf>
    <xf numFmtId="0" fontId="18" fillId="0" borderId="22" xfId="0" applyFont="1" applyBorder="1" applyAlignment="1">
      <alignment horizontal="left" vertical="top" wrapText="1"/>
    </xf>
    <xf numFmtId="0" fontId="17" fillId="7" borderId="17" xfId="0" applyFont="1" applyFill="1" applyBorder="1" applyAlignment="1">
      <alignment horizontal="center" vertical="top" wrapText="1"/>
    </xf>
    <xf numFmtId="0" fontId="17" fillId="7" borderId="24" xfId="0" applyFont="1" applyFill="1" applyBorder="1" applyAlignment="1">
      <alignment horizontal="center" vertical="top" wrapText="1"/>
    </xf>
    <xf numFmtId="0" fontId="17" fillId="7" borderId="26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1" xfId="0" applyFont="1" applyBorder="1" applyAlignment="1">
      <alignment/>
    </xf>
    <xf numFmtId="0" fontId="5" fillId="0" borderId="36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wrapText="1"/>
    </xf>
    <xf numFmtId="0" fontId="5" fillId="0" borderId="22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43" fontId="5" fillId="0" borderId="29" xfId="16" applyFont="1" applyBorder="1" applyAlignment="1">
      <alignment horizontal="left" vertical="top" wrapText="1"/>
    </xf>
    <xf numFmtId="43" fontId="5" fillId="0" borderId="8" xfId="16" applyFont="1" applyBorder="1" applyAlignment="1">
      <alignment horizontal="left" vertical="top" wrapText="1"/>
    </xf>
    <xf numFmtId="43" fontId="5" fillId="0" borderId="37" xfId="16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3" fillId="7" borderId="25" xfId="0" applyFont="1" applyFill="1" applyBorder="1" applyAlignment="1">
      <alignment horizontal="left"/>
    </xf>
    <xf numFmtId="0" fontId="3" fillId="7" borderId="28" xfId="0" applyFont="1" applyFill="1" applyBorder="1" applyAlignment="1">
      <alignment horizontal="left"/>
    </xf>
    <xf numFmtId="0" fontId="3" fillId="7" borderId="29" xfId="0" applyFont="1" applyFill="1" applyBorder="1" applyAlignment="1">
      <alignment horizontal="left"/>
    </xf>
    <xf numFmtId="0" fontId="5" fillId="9" borderId="29" xfId="0" applyFont="1" applyFill="1" applyBorder="1" applyAlignment="1">
      <alignment horizontal="left" vertical="top" wrapText="1"/>
    </xf>
    <xf numFmtId="0" fontId="5" fillId="9" borderId="8" xfId="0" applyFont="1" applyFill="1" applyBorder="1" applyAlignment="1">
      <alignment horizontal="left" vertical="top" wrapText="1"/>
    </xf>
    <xf numFmtId="0" fontId="5" fillId="9" borderId="60" xfId="0" applyFont="1" applyFill="1" applyBorder="1" applyAlignment="1">
      <alignment horizontal="left" vertical="top" wrapText="1"/>
    </xf>
    <xf numFmtId="0" fontId="5" fillId="9" borderId="9" xfId="0" applyFont="1" applyFill="1" applyBorder="1" applyAlignment="1">
      <alignment horizontal="left" vertical="top" wrapText="1"/>
    </xf>
    <xf numFmtId="0" fontId="5" fillId="9" borderId="37" xfId="0" applyFont="1" applyFill="1" applyBorder="1" applyAlignment="1">
      <alignment horizontal="left" vertical="top" wrapText="1"/>
    </xf>
    <xf numFmtId="0" fontId="5" fillId="9" borderId="7" xfId="0" applyFont="1" applyFill="1" applyBorder="1" applyAlignment="1">
      <alignment horizontal="center" vertical="top" wrapText="1"/>
    </xf>
    <xf numFmtId="0" fontId="5" fillId="9" borderId="0" xfId="0" applyFont="1" applyFill="1" applyBorder="1" applyAlignment="1">
      <alignment horizontal="center" vertical="top" wrapText="1"/>
    </xf>
    <xf numFmtId="0" fontId="5" fillId="9" borderId="8" xfId="0" applyFont="1" applyFill="1" applyBorder="1" applyAlignment="1">
      <alignment horizontal="center" vertical="top" wrapText="1"/>
    </xf>
    <xf numFmtId="43" fontId="5" fillId="12" borderId="22" xfId="16" applyFont="1" applyFill="1" applyBorder="1" applyAlignment="1">
      <alignment horizontal="center" vertical="center" wrapText="1"/>
    </xf>
    <xf numFmtId="43" fontId="5" fillId="12" borderId="15" xfId="16" applyFont="1" applyFill="1" applyBorder="1" applyAlignment="1">
      <alignment horizontal="center" vertical="center" wrapText="1"/>
    </xf>
    <xf numFmtId="43" fontId="5" fillId="12" borderId="23" xfId="16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wrapText="1"/>
    </xf>
    <xf numFmtId="0" fontId="5" fillId="0" borderId="60" xfId="0" applyNumberFormat="1" applyFont="1" applyFill="1" applyBorder="1" applyAlignment="1">
      <alignment horizontal="center" vertical="top" wrapText="1"/>
    </xf>
    <xf numFmtId="0" fontId="5" fillId="0" borderId="9" xfId="0" applyNumberFormat="1" applyFont="1" applyFill="1" applyBorder="1" applyAlignment="1">
      <alignment horizontal="center" vertical="top" wrapText="1"/>
    </xf>
    <xf numFmtId="0" fontId="5" fillId="0" borderId="37" xfId="0" applyNumberFormat="1" applyFont="1" applyFill="1" applyBorder="1" applyAlignment="1">
      <alignment horizontal="center" vertical="top" wrapText="1"/>
    </xf>
    <xf numFmtId="43" fontId="5" fillId="12" borderId="11" xfId="16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13" fillId="11" borderId="22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top" wrapText="1"/>
    </xf>
    <xf numFmtId="43" fontId="5" fillId="12" borderId="10" xfId="16" applyFont="1" applyFill="1" applyBorder="1" applyAlignment="1">
      <alignment horizontal="center" vertical="center" wrapText="1"/>
    </xf>
    <xf numFmtId="43" fontId="5" fillId="12" borderId="22" xfId="16" applyFont="1" applyFill="1" applyBorder="1" applyAlignment="1">
      <alignment horizontal="center" vertical="top" wrapText="1"/>
    </xf>
    <xf numFmtId="43" fontId="5" fillId="12" borderId="15" xfId="16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43" fontId="5" fillId="12" borderId="23" xfId="16" applyFont="1" applyFill="1" applyBorder="1" applyAlignment="1">
      <alignment horizontal="center" vertical="top" wrapText="1"/>
    </xf>
    <xf numFmtId="43" fontId="5" fillId="12" borderId="11" xfId="16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0" fontId="13" fillId="7" borderId="17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43" fontId="5" fillId="11" borderId="22" xfId="16" applyFont="1" applyFill="1" applyBorder="1" applyAlignment="1">
      <alignment horizontal="center" vertical="center" wrapText="1"/>
    </xf>
    <xf numFmtId="43" fontId="5" fillId="11" borderId="15" xfId="16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12" borderId="22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3" fontId="5" fillId="9" borderId="23" xfId="16" applyFont="1" applyFill="1" applyBorder="1" applyAlignment="1">
      <alignment horizontal="center" vertical="center" wrapText="1"/>
    </xf>
    <xf numFmtId="43" fontId="5" fillId="9" borderId="11" xfId="16" applyFont="1" applyFill="1" applyBorder="1" applyAlignment="1">
      <alignment horizontal="center" vertical="center" wrapText="1"/>
    </xf>
    <xf numFmtId="43" fontId="5" fillId="9" borderId="15" xfId="16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3" fontId="5" fillId="0" borderId="11" xfId="16" applyFont="1" applyBorder="1" applyAlignment="1">
      <alignment horizontal="left" vertical="center" wrapText="1"/>
    </xf>
    <xf numFmtId="0" fontId="37" fillId="11" borderId="22" xfId="0" applyNumberFormat="1" applyFont="1" applyFill="1" applyBorder="1" applyAlignment="1">
      <alignment horizontal="center" vertical="center" wrapText="1"/>
    </xf>
    <xf numFmtId="0" fontId="37" fillId="11" borderId="11" xfId="0" applyNumberFormat="1" applyFont="1" applyFill="1" applyBorder="1" applyAlignment="1">
      <alignment horizontal="center" vertical="center" wrapText="1"/>
    </xf>
    <xf numFmtId="0" fontId="37" fillId="11" borderId="10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5" fillId="0" borderId="22" xfId="0" applyFont="1" applyFill="1" applyBorder="1" applyAlignment="1" quotePrefix="1">
      <alignment horizontal="left" vertical="center" wrapText="1"/>
    </xf>
    <xf numFmtId="0" fontId="5" fillId="0" borderId="11" xfId="0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NumberFormat="1" applyFont="1" applyBorder="1" applyAlignment="1" quotePrefix="1">
      <alignment horizontal="left" vertical="top" wrapText="1"/>
    </xf>
    <xf numFmtId="0" fontId="5" fillId="0" borderId="11" xfId="0" applyNumberFormat="1" applyFont="1" applyBorder="1" applyAlignment="1" quotePrefix="1">
      <alignment horizontal="left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11" xfId="0" applyFont="1" applyBorder="1" applyAlignment="1" quotePrefix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2" xfId="29" applyFont="1" applyBorder="1" applyAlignment="1">
      <alignment horizontal="center" vertical="center" wrapText="1"/>
      <protection/>
    </xf>
    <xf numFmtId="0" fontId="5" fillId="0" borderId="11" xfId="29" applyFont="1" applyBorder="1" applyAlignment="1">
      <alignment horizontal="center" vertical="center" wrapText="1"/>
      <protection/>
    </xf>
    <xf numFmtId="0" fontId="5" fillId="0" borderId="10" xfId="29" applyFont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9" fillId="12" borderId="22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/>
    </xf>
    <xf numFmtId="0" fontId="5" fillId="9" borderId="22" xfId="29" applyFont="1" applyFill="1" applyBorder="1" applyAlignment="1">
      <alignment horizontal="center" vertical="center"/>
      <protection/>
    </xf>
    <xf numFmtId="0" fontId="5" fillId="9" borderId="11" xfId="29" applyFont="1" applyFill="1" applyBorder="1" applyAlignment="1">
      <alignment horizontal="center" vertical="center"/>
      <protection/>
    </xf>
    <xf numFmtId="0" fontId="5" fillId="9" borderId="10" xfId="29" applyFont="1" applyFill="1" applyBorder="1" applyAlignment="1">
      <alignment horizontal="center" vertical="center"/>
      <protection/>
    </xf>
    <xf numFmtId="0" fontId="5" fillId="12" borderId="22" xfId="29" applyFont="1" applyFill="1" applyBorder="1" applyAlignment="1">
      <alignment horizontal="center" vertical="center" wrapText="1"/>
      <protection/>
    </xf>
    <xf numFmtId="0" fontId="5" fillId="12" borderId="15" xfId="29" applyFont="1" applyFill="1" applyBorder="1" applyAlignment="1">
      <alignment horizontal="center" vertical="center" wrapText="1"/>
      <protection/>
    </xf>
    <xf numFmtId="0" fontId="5" fillId="0" borderId="11" xfId="29" applyFont="1" applyBorder="1" applyAlignment="1">
      <alignment horizontal="left" vertical="top" wrapText="1"/>
      <protection/>
    </xf>
    <xf numFmtId="0" fontId="5" fillId="0" borderId="10" xfId="29" applyFont="1" applyBorder="1" applyAlignment="1">
      <alignment horizontal="left" vertical="top" wrapText="1"/>
      <protection/>
    </xf>
    <xf numFmtId="0" fontId="5" fillId="0" borderId="23" xfId="29" applyFont="1" applyBorder="1" applyAlignment="1">
      <alignment horizontal="left" vertical="center" wrapText="1"/>
      <protection/>
    </xf>
    <xf numFmtId="0" fontId="5" fillId="0" borderId="10" xfId="29" applyFont="1" applyBorder="1" applyAlignment="1">
      <alignment horizontal="left" vertical="center" wrapText="1"/>
      <protection/>
    </xf>
    <xf numFmtId="0" fontId="5" fillId="0" borderId="22" xfId="29" applyFont="1" applyBorder="1" applyAlignment="1">
      <alignment horizontal="left" vertical="center" wrapText="1"/>
      <protection/>
    </xf>
    <xf numFmtId="0" fontId="5" fillId="0" borderId="15" xfId="29" applyFont="1" applyBorder="1" applyAlignment="1">
      <alignment horizontal="left" vertical="center" wrapText="1"/>
      <protection/>
    </xf>
    <xf numFmtId="0" fontId="5" fillId="12" borderId="23" xfId="29" applyFont="1" applyFill="1" applyBorder="1" applyAlignment="1">
      <alignment horizontal="center" vertical="top" wrapText="1"/>
      <protection/>
    </xf>
    <xf numFmtId="0" fontId="5" fillId="12" borderId="10" xfId="29" applyFont="1" applyFill="1" applyBorder="1" applyAlignment="1">
      <alignment horizontal="center" vertical="top" wrapText="1"/>
      <protection/>
    </xf>
    <xf numFmtId="0" fontId="5" fillId="12" borderId="11" xfId="29" applyFont="1" applyFill="1" applyBorder="1" applyAlignment="1">
      <alignment horizontal="center" vertical="center" wrapText="1"/>
      <protection/>
    </xf>
    <xf numFmtId="0" fontId="5" fillId="12" borderId="10" xfId="29" applyFont="1" applyFill="1" applyBorder="1" applyAlignment="1">
      <alignment horizontal="center" vertical="center" wrapText="1"/>
      <protection/>
    </xf>
    <xf numFmtId="0" fontId="6" fillId="12" borderId="22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5" fillId="9" borderId="22" xfId="0" applyFont="1" applyFill="1" applyBorder="1" applyAlignment="1">
      <alignment horizontal="left" vertical="top" wrapText="1"/>
    </xf>
    <xf numFmtId="0" fontId="5" fillId="9" borderId="11" xfId="0" applyFont="1" applyFill="1" applyBorder="1" applyAlignment="1">
      <alignment horizontal="left" vertical="top" wrapText="1"/>
    </xf>
    <xf numFmtId="43" fontId="19" fillId="0" borderId="23" xfId="16" applyFont="1" applyBorder="1" applyAlignment="1">
      <alignment horizontal="center" vertical="center"/>
    </xf>
    <xf numFmtId="43" fontId="19" fillId="0" borderId="15" xfId="16" applyFont="1" applyBorder="1" applyAlignment="1">
      <alignment horizontal="center" vertical="center"/>
    </xf>
    <xf numFmtId="43" fontId="19" fillId="0" borderId="22" xfId="16" applyFont="1" applyBorder="1" applyAlignment="1">
      <alignment horizontal="center" vertical="center"/>
    </xf>
    <xf numFmtId="43" fontId="19" fillId="0" borderId="10" xfId="16" applyFont="1" applyBorder="1" applyAlignment="1">
      <alignment horizontal="center" vertical="center"/>
    </xf>
    <xf numFmtId="0" fontId="4" fillId="9" borderId="11" xfId="29" applyFont="1" applyFill="1" applyBorder="1" applyAlignment="1">
      <alignment horizontal="center" vertical="center"/>
      <protection/>
    </xf>
    <xf numFmtId="0" fontId="4" fillId="9" borderId="10" xfId="29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left" vertical="top" wrapText="1"/>
    </xf>
    <xf numFmtId="0" fontId="5" fillId="9" borderId="22" xfId="0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5" fillId="9" borderId="22" xfId="29" applyFont="1" applyFill="1" applyBorder="1" applyAlignment="1">
      <alignment horizontal="left" wrapText="1"/>
      <protection/>
    </xf>
    <xf numFmtId="0" fontId="5" fillId="9" borderId="11" xfId="29" applyFont="1" applyFill="1" applyBorder="1" applyAlignment="1">
      <alignment horizontal="left" wrapText="1"/>
      <protection/>
    </xf>
    <xf numFmtId="43" fontId="19" fillId="0" borderId="11" xfId="16" applyFont="1" applyBorder="1" applyAlignment="1">
      <alignment horizontal="center" vertical="center"/>
    </xf>
    <xf numFmtId="0" fontId="5" fillId="0" borderId="11" xfId="29" applyFont="1" applyBorder="1" applyAlignment="1">
      <alignment horizontal="left" vertical="center" wrapText="1"/>
      <protection/>
    </xf>
    <xf numFmtId="0" fontId="5" fillId="0" borderId="22" xfId="29" applyFont="1" applyBorder="1" applyAlignment="1">
      <alignment horizontal="center" vertical="top" wrapText="1"/>
      <protection/>
    </xf>
    <xf numFmtId="0" fontId="5" fillId="0" borderId="11" xfId="29" applyFont="1" applyBorder="1" applyAlignment="1">
      <alignment horizontal="center" vertical="top" wrapText="1"/>
      <protection/>
    </xf>
    <xf numFmtId="0" fontId="5" fillId="0" borderId="10" xfId="29" applyFont="1" applyBorder="1" applyAlignment="1">
      <alignment horizontal="center" vertical="top" wrapText="1"/>
      <protection/>
    </xf>
    <xf numFmtId="0" fontId="5" fillId="0" borderId="22" xfId="29" applyFont="1" applyBorder="1" applyAlignment="1">
      <alignment horizontal="left" vertical="top" wrapText="1"/>
      <protection/>
    </xf>
    <xf numFmtId="0" fontId="5" fillId="0" borderId="10" xfId="29" applyFont="1" applyBorder="1" applyAlignment="1">
      <alignment horizontal="left" vertical="top" wrapText="1"/>
      <protection/>
    </xf>
    <xf numFmtId="0" fontId="4" fillId="0" borderId="22" xfId="29" applyFont="1" applyBorder="1" applyAlignment="1">
      <alignment horizontal="center" vertical="center" wrapText="1"/>
      <protection/>
    </xf>
    <xf numFmtId="0" fontId="4" fillId="0" borderId="11" xfId="29" applyFont="1" applyBorder="1" applyAlignment="1">
      <alignment horizontal="center" vertical="center" wrapText="1"/>
      <protection/>
    </xf>
    <xf numFmtId="0" fontId="4" fillId="0" borderId="10" xfId="29" applyFont="1" applyBorder="1" applyAlignment="1">
      <alignment horizontal="center" vertical="center" wrapText="1"/>
      <protection/>
    </xf>
    <xf numFmtId="0" fontId="5" fillId="0" borderId="11" xfId="29" applyFont="1" applyBorder="1" applyAlignment="1">
      <alignment horizontal="left" vertical="top" wrapText="1"/>
      <protection/>
    </xf>
    <xf numFmtId="0" fontId="5" fillId="0" borderId="22" xfId="29" applyNumberFormat="1" applyFont="1" applyBorder="1" applyAlignment="1">
      <alignment horizontal="left" vertical="top" wrapText="1"/>
      <protection/>
    </xf>
    <xf numFmtId="0" fontId="5" fillId="0" borderId="11" xfId="29" applyNumberFormat="1" applyFont="1" applyBorder="1" applyAlignment="1">
      <alignment horizontal="left" vertical="top" wrapText="1"/>
      <protection/>
    </xf>
    <xf numFmtId="0" fontId="5" fillId="0" borderId="10" xfId="29" applyNumberFormat="1" applyFont="1" applyBorder="1" applyAlignment="1">
      <alignment horizontal="left" vertical="top" wrapText="1"/>
      <protection/>
    </xf>
    <xf numFmtId="0" fontId="5" fillId="0" borderId="22" xfId="29" applyFont="1" applyFill="1" applyBorder="1" applyAlignment="1">
      <alignment horizontal="center" vertical="center" wrapText="1"/>
      <protection/>
    </xf>
    <xf numFmtId="0" fontId="5" fillId="0" borderId="11" xfId="29" applyFont="1" applyFill="1" applyBorder="1" applyAlignment="1">
      <alignment horizontal="center" vertical="center" wrapText="1"/>
      <protection/>
    </xf>
    <xf numFmtId="0" fontId="5" fillId="0" borderId="10" xfId="29" applyFont="1" applyFill="1" applyBorder="1" applyAlignment="1">
      <alignment horizontal="center" vertical="center" wrapText="1"/>
      <protection/>
    </xf>
    <xf numFmtId="0" fontId="5" fillId="0" borderId="23" xfId="29" applyFont="1" applyFill="1" applyBorder="1" applyAlignment="1">
      <alignment horizontal="center" vertical="top" wrapText="1"/>
      <protection/>
    </xf>
    <xf numFmtId="0" fontId="5" fillId="0" borderId="15" xfId="29" applyFont="1" applyFill="1" applyBorder="1" applyAlignment="1">
      <alignment horizontal="center" vertical="top" wrapText="1"/>
      <protection/>
    </xf>
    <xf numFmtId="0" fontId="5" fillId="0" borderId="23" xfId="29" applyFont="1" applyFill="1" applyBorder="1" applyAlignment="1">
      <alignment horizontal="center" vertical="center" wrapText="1"/>
      <protection/>
    </xf>
    <xf numFmtId="0" fontId="5" fillId="0" borderId="15" xfId="29" applyFont="1" applyFill="1" applyBorder="1" applyAlignment="1">
      <alignment horizontal="center" vertical="center" wrapText="1"/>
      <protection/>
    </xf>
    <xf numFmtId="0" fontId="5" fillId="9" borderId="22" xfId="29" applyFont="1" applyFill="1" applyBorder="1" applyAlignment="1">
      <alignment horizontal="center" vertical="center" wrapText="1"/>
      <protection/>
    </xf>
    <xf numFmtId="0" fontId="5" fillId="9" borderId="11" xfId="29" applyFont="1" applyFill="1" applyBorder="1" applyAlignment="1">
      <alignment horizontal="center" vertical="center" wrapText="1"/>
      <protection/>
    </xf>
    <xf numFmtId="0" fontId="5" fillId="9" borderId="10" xfId="29" applyFont="1" applyFill="1" applyBorder="1" applyAlignment="1">
      <alignment horizontal="center" vertical="center" wrapText="1"/>
      <protection/>
    </xf>
    <xf numFmtId="0" fontId="5" fillId="0" borderId="31" xfId="0" applyFont="1" applyBorder="1" applyAlignment="1">
      <alignment horizontal="left" vertical="top" wrapText="1"/>
    </xf>
    <xf numFmtId="0" fontId="32" fillId="0" borderId="61" xfId="29" applyFont="1" applyBorder="1" applyAlignment="1">
      <alignment horizontal="center" vertical="center" wrapText="1"/>
      <protection/>
    </xf>
    <xf numFmtId="0" fontId="3" fillId="0" borderId="61" xfId="29" applyFont="1" applyBorder="1" applyAlignment="1">
      <alignment horizontal="center" vertical="center" wrapText="1"/>
      <protection/>
    </xf>
    <xf numFmtId="0" fontId="3" fillId="0" borderId="0" xfId="29" applyFont="1" applyBorder="1" applyAlignment="1">
      <alignment horizontal="center" vertical="center" wrapText="1"/>
      <protection/>
    </xf>
    <xf numFmtId="4" fontId="5" fillId="9" borderId="22" xfId="29" applyNumberFormat="1" applyFont="1" applyFill="1" applyBorder="1" applyAlignment="1">
      <alignment horizontal="right" vertical="center" wrapText="1"/>
      <protection/>
    </xf>
    <xf numFmtId="4" fontId="5" fillId="9" borderId="15" xfId="29" applyNumberFormat="1" applyFont="1" applyFill="1" applyBorder="1" applyAlignment="1">
      <alignment horizontal="right" vertical="center" wrapText="1"/>
      <protection/>
    </xf>
    <xf numFmtId="0" fontId="37" fillId="11" borderId="22" xfId="29" applyFont="1" applyFill="1" applyBorder="1" applyAlignment="1">
      <alignment horizontal="center" vertical="top" wrapText="1"/>
      <protection/>
    </xf>
    <xf numFmtId="0" fontId="37" fillId="11" borderId="10" xfId="29" applyFont="1" applyFill="1" applyBorder="1" applyAlignment="1">
      <alignment horizontal="center" vertical="top" wrapText="1"/>
      <protection/>
    </xf>
    <xf numFmtId="0" fontId="5" fillId="0" borderId="2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12" borderId="23" xfId="29" applyFont="1" applyFill="1" applyBorder="1" applyAlignment="1">
      <alignment horizontal="center" vertical="center" wrapText="1"/>
      <protection/>
    </xf>
    <xf numFmtId="0" fontId="3" fillId="8" borderId="17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left" vertical="center"/>
    </xf>
    <xf numFmtId="0" fontId="6" fillId="7" borderId="24" xfId="0" applyFont="1" applyFill="1" applyBorder="1" applyAlignment="1">
      <alignment horizontal="left" vertical="center"/>
    </xf>
    <xf numFmtId="0" fontId="5" fillId="9" borderId="22" xfId="29" applyFont="1" applyFill="1" applyBorder="1" applyAlignment="1">
      <alignment horizontal="left" vertical="top" wrapText="1"/>
      <protection/>
    </xf>
    <xf numFmtId="0" fontId="5" fillId="9" borderId="11" xfId="29" applyFont="1" applyFill="1" applyBorder="1" applyAlignment="1">
      <alignment horizontal="left" vertical="top" wrapText="1"/>
      <protection/>
    </xf>
    <xf numFmtId="0" fontId="5" fillId="9" borderId="10" xfId="29" applyFont="1" applyFill="1" applyBorder="1" applyAlignment="1">
      <alignment horizontal="left" vertical="top" wrapText="1"/>
      <protection/>
    </xf>
    <xf numFmtId="4" fontId="5" fillId="9" borderId="11" xfId="29" applyNumberFormat="1" applyFont="1" applyFill="1" applyBorder="1" applyAlignment="1">
      <alignment horizontal="right" vertical="center" wrapText="1"/>
      <protection/>
    </xf>
    <xf numFmtId="4" fontId="5" fillId="9" borderId="10" xfId="29" applyNumberFormat="1" applyFont="1" applyFill="1" applyBorder="1" applyAlignment="1">
      <alignment horizontal="right" vertical="center" wrapText="1"/>
      <protection/>
    </xf>
    <xf numFmtId="0" fontId="5" fillId="0" borderId="22" xfId="0" applyFont="1" applyBorder="1" applyAlignment="1" quotePrefix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11" borderId="22" xfId="29" applyFont="1" applyFill="1" applyBorder="1" applyAlignment="1">
      <alignment horizontal="center" vertical="center" wrapText="1"/>
      <protection/>
    </xf>
    <xf numFmtId="0" fontId="5" fillId="11" borderId="11" xfId="29" applyFont="1" applyFill="1" applyBorder="1" applyAlignment="1">
      <alignment horizontal="center" vertical="center" wrapText="1"/>
      <protection/>
    </xf>
    <xf numFmtId="0" fontId="5" fillId="11" borderId="10" xfId="29" applyFont="1" applyFill="1" applyBorder="1" applyAlignment="1">
      <alignment horizontal="center" vertical="center" wrapText="1"/>
      <protection/>
    </xf>
    <xf numFmtId="0" fontId="5" fillId="9" borderId="10" xfId="0" applyFont="1" applyFill="1" applyBorder="1" applyAlignment="1">
      <alignment horizontal="left" vertical="top" wrapText="1"/>
    </xf>
    <xf numFmtId="0" fontId="4" fillId="0" borderId="25" xfId="29" applyNumberFormat="1" applyFont="1" applyFill="1" applyBorder="1" applyAlignment="1">
      <alignment horizontal="center" vertical="center" wrapText="1"/>
      <protection/>
    </xf>
    <xf numFmtId="0" fontId="4" fillId="0" borderId="7" xfId="29" applyNumberFormat="1" applyFont="1" applyFill="1" applyBorder="1" applyAlignment="1">
      <alignment horizontal="center" vertical="center" wrapText="1"/>
      <protection/>
    </xf>
    <xf numFmtId="0" fontId="5" fillId="9" borderId="7" xfId="29" applyFont="1" applyFill="1" applyBorder="1" applyAlignment="1">
      <alignment horizontal="left" vertical="top" wrapText="1"/>
      <protection/>
    </xf>
    <xf numFmtId="0" fontId="5" fillId="9" borderId="60" xfId="29" applyFont="1" applyFill="1" applyBorder="1" applyAlignment="1">
      <alignment horizontal="left" vertical="top" wrapText="1"/>
      <protection/>
    </xf>
    <xf numFmtId="0" fontId="5" fillId="0" borderId="29" xfId="29" applyFont="1" applyBorder="1" applyAlignment="1">
      <alignment horizontal="center" vertical="top" wrapText="1"/>
      <protection/>
    </xf>
    <xf numFmtId="0" fontId="5" fillId="0" borderId="8" xfId="29" applyFont="1" applyBorder="1" applyAlignment="1">
      <alignment horizontal="center" vertical="top" wrapText="1"/>
      <protection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3" fontId="5" fillId="0" borderId="22" xfId="16" applyFont="1" applyBorder="1" applyAlignment="1">
      <alignment horizontal="left" wrapText="1"/>
    </xf>
    <xf numFmtId="43" fontId="5" fillId="0" borderId="11" xfId="16" applyFont="1" applyBorder="1" applyAlignment="1">
      <alignment horizontal="left" wrapText="1"/>
    </xf>
    <xf numFmtId="43" fontId="5" fillId="0" borderId="22" xfId="0" applyNumberFormat="1" applyFont="1" applyBorder="1" applyAlignment="1">
      <alignment horizontal="left" vertical="center" wrapText="1"/>
    </xf>
    <xf numFmtId="0" fontId="5" fillId="0" borderId="22" xfId="29" applyNumberFormat="1" applyFont="1" applyFill="1" applyBorder="1" applyAlignment="1">
      <alignment horizontal="center" vertical="top" wrapText="1"/>
      <protection/>
    </xf>
    <xf numFmtId="0" fontId="5" fillId="0" borderId="11" xfId="29" applyNumberFormat="1" applyFont="1" applyFill="1" applyBorder="1" applyAlignment="1">
      <alignment horizontal="center" vertical="top" wrapText="1"/>
      <protection/>
    </xf>
    <xf numFmtId="0" fontId="5" fillId="0" borderId="22" xfId="29" applyNumberFormat="1" applyFont="1" applyBorder="1" applyAlignment="1">
      <alignment horizontal="center" vertical="top" wrapText="1"/>
      <protection/>
    </xf>
    <xf numFmtId="0" fontId="5" fillId="0" borderId="11" xfId="29" applyNumberFormat="1" applyFont="1" applyBorder="1" applyAlignment="1">
      <alignment horizontal="center" vertical="top" wrapText="1"/>
      <protection/>
    </xf>
    <xf numFmtId="0" fontId="5" fillId="0" borderId="22" xfId="29" applyFont="1" applyBorder="1" applyAlignment="1">
      <alignment horizontal="center" vertical="center"/>
      <protection/>
    </xf>
    <xf numFmtId="0" fontId="5" fillId="0" borderId="11" xfId="29" applyFont="1" applyBorder="1" applyAlignment="1">
      <alignment horizontal="center" vertical="center"/>
      <protection/>
    </xf>
    <xf numFmtId="0" fontId="5" fillId="0" borderId="10" xfId="29" applyFont="1" applyBorder="1" applyAlignment="1">
      <alignment horizontal="center" vertical="center"/>
      <protection/>
    </xf>
    <xf numFmtId="0" fontId="5" fillId="0" borderId="8" xfId="29" applyFont="1" applyBorder="1" applyAlignment="1">
      <alignment horizontal="left" vertical="top" wrapText="1"/>
      <protection/>
    </xf>
    <xf numFmtId="43" fontId="5" fillId="0" borderId="22" xfId="16" applyFont="1" applyBorder="1" applyAlignment="1">
      <alignment horizontal="left" vertical="center" wrapText="1"/>
    </xf>
    <xf numFmtId="43" fontId="5" fillId="0" borderId="11" xfId="16" applyFont="1" applyBorder="1" applyAlignment="1">
      <alignment horizontal="left" vertical="center" wrapText="1"/>
    </xf>
    <xf numFmtId="43" fontId="5" fillId="0" borderId="10" xfId="16" applyFont="1" applyBorder="1" applyAlignment="1">
      <alignment horizontal="left" vertical="center" wrapText="1"/>
    </xf>
    <xf numFmtId="43" fontId="5" fillId="0" borderId="11" xfId="16" applyFont="1" applyBorder="1" applyAlignment="1">
      <alignment horizontal="center" vertical="top" wrapText="1"/>
    </xf>
    <xf numFmtId="43" fontId="5" fillId="0" borderId="10" xfId="16" applyFont="1" applyBorder="1" applyAlignment="1">
      <alignment horizontal="center" vertical="top" wrapText="1"/>
    </xf>
    <xf numFmtId="0" fontId="5" fillId="0" borderId="22" xfId="29" applyFont="1" applyFill="1" applyBorder="1" applyAlignment="1">
      <alignment horizontal="center" vertical="top" wrapText="1"/>
      <protection/>
    </xf>
    <xf numFmtId="0" fontId="5" fillId="9" borderId="22" xfId="0" applyFont="1" applyFill="1" applyBorder="1" applyAlignment="1">
      <alignment horizontal="left" vertical="top" wrapText="1"/>
    </xf>
    <xf numFmtId="0" fontId="5" fillId="9" borderId="11" xfId="0" applyFont="1" applyFill="1" applyBorder="1" applyAlignment="1">
      <alignment horizontal="left" vertical="top" wrapText="1"/>
    </xf>
    <xf numFmtId="0" fontId="5" fillId="9" borderId="10" xfId="0" applyFont="1" applyFill="1" applyBorder="1" applyAlignment="1">
      <alignment horizontal="left" vertical="top" wrapText="1"/>
    </xf>
    <xf numFmtId="0" fontId="5" fillId="0" borderId="37" xfId="29" applyFont="1" applyBorder="1" applyAlignment="1">
      <alignment horizontal="center" vertical="top" wrapText="1"/>
      <protection/>
    </xf>
    <xf numFmtId="0" fontId="5" fillId="9" borderId="22" xfId="29" applyNumberFormat="1" applyFont="1" applyFill="1" applyBorder="1" applyAlignment="1">
      <alignment horizontal="left" vertical="top" wrapText="1"/>
      <protection/>
    </xf>
    <xf numFmtId="0" fontId="5" fillId="9" borderId="11" xfId="29" applyNumberFormat="1" applyFont="1" applyFill="1" applyBorder="1" applyAlignment="1">
      <alignment horizontal="left" vertical="top" wrapText="1"/>
      <protection/>
    </xf>
    <xf numFmtId="0" fontId="5" fillId="9" borderId="10" xfId="29" applyNumberFormat="1" applyFont="1" applyFill="1" applyBorder="1" applyAlignment="1">
      <alignment horizontal="left" vertical="top" wrapText="1"/>
      <protection/>
    </xf>
    <xf numFmtId="0" fontId="5" fillId="0" borderId="29" xfId="29" applyNumberFormat="1" applyFont="1" applyBorder="1" applyAlignment="1">
      <alignment horizontal="left" vertical="top" wrapText="1"/>
      <protection/>
    </xf>
    <xf numFmtId="0" fontId="5" fillId="0" borderId="8" xfId="29" applyNumberFormat="1" applyFont="1" applyBorder="1" applyAlignment="1">
      <alignment horizontal="left" vertical="top" wrapText="1"/>
      <protection/>
    </xf>
    <xf numFmtId="0" fontId="3" fillId="8" borderId="48" xfId="29" applyFont="1" applyFill="1" applyBorder="1" applyAlignment="1">
      <alignment horizontal="center" vertical="top" wrapText="1"/>
      <protection/>
    </xf>
    <xf numFmtId="0" fontId="3" fillId="8" borderId="62" xfId="29" applyFont="1" applyFill="1" applyBorder="1" applyAlignment="1">
      <alignment/>
      <protection/>
    </xf>
    <xf numFmtId="0" fontId="3" fillId="8" borderId="49" xfId="29" applyFont="1" applyFill="1" applyBorder="1" applyAlignment="1">
      <alignment/>
      <protection/>
    </xf>
    <xf numFmtId="0" fontId="5" fillId="0" borderId="29" xfId="29" applyFont="1" applyBorder="1" applyAlignment="1">
      <alignment horizontal="left" vertical="top" wrapText="1"/>
      <protection/>
    </xf>
    <xf numFmtId="0" fontId="5" fillId="0" borderId="52" xfId="29" applyFont="1" applyBorder="1" applyAlignment="1">
      <alignment horizontal="left" vertical="top" wrapText="1"/>
      <protection/>
    </xf>
    <xf numFmtId="0" fontId="5" fillId="11" borderId="22" xfId="29" applyFont="1" applyFill="1" applyBorder="1" applyAlignment="1">
      <alignment horizontal="center" vertical="top" wrapText="1"/>
      <protection/>
    </xf>
    <xf numFmtId="0" fontId="5" fillId="11" borderId="15" xfId="29" applyFont="1" applyFill="1" applyBorder="1" applyAlignment="1">
      <alignment horizontal="center" vertical="top" wrapText="1"/>
      <protection/>
    </xf>
    <xf numFmtId="0" fontId="5" fillId="0" borderId="22" xfId="0" applyFont="1" applyBorder="1" applyAlignment="1">
      <alignment horizontal="left" wrapText="1"/>
    </xf>
    <xf numFmtId="0" fontId="4" fillId="9" borderId="25" xfId="29" applyNumberFormat="1" applyFont="1" applyFill="1" applyBorder="1" applyAlignment="1">
      <alignment horizontal="center" vertical="center" wrapText="1"/>
      <protection/>
    </xf>
    <xf numFmtId="0" fontId="4" fillId="9" borderId="7" xfId="29" applyNumberFormat="1" applyFont="1" applyFill="1" applyBorder="1" applyAlignment="1">
      <alignment horizontal="center" vertical="center" wrapText="1"/>
      <protection/>
    </xf>
    <xf numFmtId="0" fontId="4" fillId="0" borderId="0" xfId="29" applyNumberFormat="1" applyFont="1" applyFill="1" applyBorder="1" applyAlignment="1">
      <alignment horizontal="left" vertical="center" wrapText="1"/>
      <protection/>
    </xf>
    <xf numFmtId="0" fontId="4" fillId="0" borderId="0" xfId="29" applyFont="1" applyBorder="1" applyAlignment="1">
      <alignment horizontal="left" vertical="center" wrapText="1"/>
      <protection/>
    </xf>
    <xf numFmtId="0" fontId="4" fillId="0" borderId="9" xfId="29" applyFont="1" applyBorder="1" applyAlignment="1">
      <alignment horizontal="left" vertical="center"/>
      <protection/>
    </xf>
    <xf numFmtId="0" fontId="5" fillId="0" borderId="22" xfId="29" applyNumberFormat="1" applyFont="1" applyFill="1" applyBorder="1" applyAlignment="1">
      <alignment horizontal="left" vertical="top" wrapText="1"/>
      <protection/>
    </xf>
    <xf numFmtId="0" fontId="5" fillId="0" borderId="11" xfId="29" applyNumberFormat="1" applyFont="1" applyFill="1" applyBorder="1" applyAlignment="1">
      <alignment horizontal="left" vertical="top" wrapText="1"/>
      <protection/>
    </xf>
    <xf numFmtId="0" fontId="5" fillId="0" borderId="10" xfId="29" applyNumberFormat="1" applyFont="1" applyFill="1" applyBorder="1" applyAlignment="1">
      <alignment horizontal="left" vertical="top" wrapText="1"/>
      <protection/>
    </xf>
    <xf numFmtId="0" fontId="5" fillId="0" borderId="29" xfId="29" applyNumberFormat="1" applyFont="1" applyBorder="1" applyAlignment="1">
      <alignment horizontal="center" vertical="top" wrapText="1"/>
      <protection/>
    </xf>
    <xf numFmtId="0" fontId="5" fillId="0" borderId="8" xfId="29" applyNumberFormat="1" applyFont="1" applyBorder="1" applyAlignment="1">
      <alignment horizontal="center" vertical="top" wrapText="1"/>
      <protection/>
    </xf>
    <xf numFmtId="0" fontId="5" fillId="0" borderId="15" xfId="0" applyFont="1" applyBorder="1" applyAlignment="1">
      <alignment horizontal="left" vertical="top" wrapText="1"/>
    </xf>
    <xf numFmtId="0" fontId="5" fillId="11" borderId="23" xfId="29" applyFont="1" applyFill="1" applyBorder="1" applyAlignment="1">
      <alignment horizontal="center" vertical="top" wrapText="1"/>
      <protection/>
    </xf>
    <xf numFmtId="0" fontId="5" fillId="11" borderId="11" xfId="29" applyFont="1" applyFill="1" applyBorder="1" applyAlignment="1">
      <alignment horizontal="center" vertical="top" wrapText="1"/>
      <protection/>
    </xf>
    <xf numFmtId="0" fontId="5" fillId="9" borderId="6" xfId="0" applyFont="1" applyFill="1" applyBorder="1" applyAlignment="1">
      <alignment horizontal="left" vertical="top" wrapText="1"/>
    </xf>
    <xf numFmtId="0" fontId="0" fillId="9" borderId="6" xfId="0" applyFill="1" applyBorder="1" applyAlignment="1">
      <alignment horizontal="left" vertical="top" wrapText="1"/>
    </xf>
    <xf numFmtId="43" fontId="5" fillId="0" borderId="22" xfId="16" applyFont="1" applyBorder="1" applyAlignment="1">
      <alignment horizontal="center" vertical="center" wrapText="1"/>
    </xf>
    <xf numFmtId="43" fontId="5" fillId="0" borderId="11" xfId="16" applyFont="1" applyBorder="1" applyAlignment="1">
      <alignment horizontal="center" vertical="center" wrapText="1"/>
    </xf>
    <xf numFmtId="43" fontId="5" fillId="0" borderId="10" xfId="16" applyFont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4" fontId="5" fillId="0" borderId="22" xfId="29" applyNumberFormat="1" applyFont="1" applyBorder="1" applyAlignment="1">
      <alignment horizontal="right" vertical="center" wrapText="1"/>
      <protection/>
    </xf>
    <xf numFmtId="4" fontId="5" fillId="0" borderId="15" xfId="29" applyNumberFormat="1" applyFont="1" applyBorder="1" applyAlignment="1">
      <alignment horizontal="right" vertical="center" wrapText="1"/>
      <protection/>
    </xf>
    <xf numFmtId="0" fontId="5" fillId="0" borderId="10" xfId="29" applyFont="1" applyFill="1" applyBorder="1" applyAlignment="1">
      <alignment horizontal="center" vertical="top" wrapText="1"/>
      <protection/>
    </xf>
    <xf numFmtId="0" fontId="5" fillId="0" borderId="22" xfId="29" applyFont="1" applyFill="1" applyBorder="1" applyAlignment="1">
      <alignment horizontal="left" vertical="top" wrapText="1"/>
      <protection/>
    </xf>
    <xf numFmtId="0" fontId="5" fillId="0" borderId="15" xfId="29" applyFont="1" applyFill="1" applyBorder="1" applyAlignment="1">
      <alignment horizontal="left" vertical="top" wrapText="1"/>
      <protection/>
    </xf>
    <xf numFmtId="0" fontId="18" fillId="0" borderId="22" xfId="29" applyNumberFormat="1" applyFont="1" applyBorder="1" applyAlignment="1">
      <alignment horizontal="left" vertical="top" wrapText="1"/>
      <protection/>
    </xf>
    <xf numFmtId="0" fontId="18" fillId="0" borderId="11" xfId="29" applyNumberFormat="1" applyFont="1" applyBorder="1" applyAlignment="1">
      <alignment horizontal="left" vertical="top" wrapText="1"/>
      <protection/>
    </xf>
    <xf numFmtId="0" fontId="18" fillId="0" borderId="10" xfId="29" applyNumberFormat="1" applyFont="1" applyBorder="1" applyAlignment="1">
      <alignment horizontal="left" vertical="top" wrapText="1"/>
      <protection/>
    </xf>
    <xf numFmtId="0" fontId="20" fillId="0" borderId="22" xfId="29" applyNumberFormat="1" applyFont="1" applyBorder="1" applyAlignment="1">
      <alignment horizontal="center" vertical="center" wrapText="1"/>
      <protection/>
    </xf>
    <xf numFmtId="0" fontId="20" fillId="0" borderId="11" xfId="29" applyNumberFormat="1" applyFont="1" applyBorder="1" applyAlignment="1">
      <alignment horizontal="center" vertical="center" wrapText="1"/>
      <protection/>
    </xf>
    <xf numFmtId="0" fontId="20" fillId="0" borderId="10" xfId="29" applyNumberFormat="1" applyFont="1" applyBorder="1" applyAlignment="1">
      <alignment horizontal="center" vertical="center" wrapText="1"/>
      <protection/>
    </xf>
    <xf numFmtId="0" fontId="5" fillId="11" borderId="29" xfId="29" applyFont="1" applyFill="1" applyBorder="1" applyAlignment="1">
      <alignment horizontal="center" vertical="center" wrapText="1"/>
      <protection/>
    </xf>
    <xf numFmtId="0" fontId="5" fillId="11" borderId="8" xfId="29" applyFont="1" applyFill="1" applyBorder="1" applyAlignment="1">
      <alignment horizontal="center" vertical="center" wrapText="1"/>
      <protection/>
    </xf>
    <xf numFmtId="0" fontId="5" fillId="11" borderId="37" xfId="29" applyFont="1" applyFill="1" applyBorder="1" applyAlignment="1">
      <alignment horizontal="center" vertical="center" wrapText="1"/>
      <protection/>
    </xf>
    <xf numFmtId="0" fontId="5" fillId="0" borderId="11" xfId="29" applyFont="1" applyFill="1" applyBorder="1" applyAlignment="1">
      <alignment horizontal="center" vertical="top" wrapText="1"/>
      <protection/>
    </xf>
    <xf numFmtId="43" fontId="5" fillId="0" borderId="22" xfId="16" applyFont="1" applyBorder="1" applyAlignment="1">
      <alignment horizontal="center" vertical="top" wrapText="1"/>
    </xf>
    <xf numFmtId="43" fontId="5" fillId="0" borderId="25" xfId="16" applyFont="1" applyBorder="1" applyAlignment="1">
      <alignment horizontal="left" vertical="top" wrapText="1"/>
    </xf>
    <xf numFmtId="43" fontId="5" fillId="0" borderId="60" xfId="16" applyFont="1" applyBorder="1" applyAlignment="1">
      <alignment horizontal="left" vertical="top" wrapText="1"/>
    </xf>
    <xf numFmtId="0" fontId="5" fillId="12" borderId="29" xfId="29" applyFont="1" applyFill="1" applyBorder="1" applyAlignment="1">
      <alignment horizontal="center" vertical="center" wrapText="1"/>
      <protection/>
    </xf>
    <xf numFmtId="0" fontId="5" fillId="12" borderId="8" xfId="29" applyFont="1" applyFill="1" applyBorder="1" applyAlignment="1">
      <alignment horizontal="center" vertical="center" wrapText="1"/>
      <protection/>
    </xf>
    <xf numFmtId="0" fontId="5" fillId="12" borderId="37" xfId="29" applyFont="1" applyFill="1" applyBorder="1" applyAlignment="1">
      <alignment horizontal="center" vertical="center" wrapText="1"/>
      <protection/>
    </xf>
    <xf numFmtId="0" fontId="5" fillId="0" borderId="25" xfId="29" applyNumberFormat="1" applyFont="1" applyBorder="1" applyAlignment="1">
      <alignment horizontal="center" vertical="top" wrapText="1"/>
      <protection/>
    </xf>
    <xf numFmtId="0" fontId="5" fillId="0" borderId="7" xfId="29" applyNumberFormat="1" applyFont="1" applyBorder="1" applyAlignment="1">
      <alignment horizontal="center" vertical="top" wrapText="1"/>
      <protection/>
    </xf>
    <xf numFmtId="0" fontId="5" fillId="0" borderId="60" xfId="29" applyNumberFormat="1" applyFont="1" applyBorder="1" applyAlignment="1">
      <alignment horizontal="center" vertical="top" wrapText="1"/>
      <protection/>
    </xf>
    <xf numFmtId="0" fontId="5" fillId="9" borderId="22" xfId="29" applyFont="1" applyFill="1" applyBorder="1" applyAlignment="1">
      <alignment horizontal="center" vertical="top" wrapText="1"/>
      <protection/>
    </xf>
    <xf numFmtId="0" fontId="5" fillId="9" borderId="10" xfId="29" applyFont="1" applyFill="1" applyBorder="1" applyAlignment="1">
      <alignment horizontal="center" vertical="top" wrapText="1"/>
      <protection/>
    </xf>
    <xf numFmtId="0" fontId="6" fillId="7" borderId="9" xfId="0" applyFont="1" applyFill="1" applyBorder="1" applyAlignment="1">
      <alignment horizontal="left"/>
    </xf>
    <xf numFmtId="0" fontId="19" fillId="1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4" fillId="0" borderId="22" xfId="29" applyNumberFormat="1" applyFont="1" applyBorder="1" applyAlignment="1">
      <alignment horizontal="center" vertical="center" wrapText="1"/>
      <protection/>
    </xf>
    <xf numFmtId="0" fontId="4" fillId="0" borderId="11" xfId="29" applyNumberFormat="1" applyFont="1" applyBorder="1" applyAlignment="1">
      <alignment horizontal="center" vertical="center" wrapText="1"/>
      <protection/>
    </xf>
    <xf numFmtId="0" fontId="4" fillId="0" borderId="10" xfId="29" applyNumberFormat="1" applyFont="1" applyBorder="1" applyAlignment="1">
      <alignment horizontal="center" vertical="center" wrapText="1"/>
      <protection/>
    </xf>
    <xf numFmtId="0" fontId="5" fillId="9" borderId="22" xfId="29" applyFont="1" applyFill="1" applyBorder="1" applyAlignment="1">
      <alignment horizontal="center"/>
      <protection/>
    </xf>
    <xf numFmtId="0" fontId="5" fillId="9" borderId="10" xfId="29" applyFont="1" applyFill="1" applyBorder="1" applyAlignment="1">
      <alignment horizontal="center"/>
      <protection/>
    </xf>
    <xf numFmtId="0" fontId="5" fillId="9" borderId="11" xfId="29" applyFont="1" applyFill="1" applyBorder="1" applyAlignment="1">
      <alignment horizontal="center"/>
      <protection/>
    </xf>
    <xf numFmtId="0" fontId="19" fillId="11" borderId="22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/>
    </xf>
    <xf numFmtId="0" fontId="5" fillId="11" borderId="22" xfId="29" applyFont="1" applyFill="1" applyBorder="1" applyAlignment="1">
      <alignment horizontal="center"/>
      <protection/>
    </xf>
    <xf numFmtId="0" fontId="0" fillId="11" borderId="15" xfId="0" applyFill="1" applyBorder="1" applyAlignment="1">
      <alignment horizontal="center"/>
    </xf>
    <xf numFmtId="0" fontId="5" fillId="11" borderId="15" xfId="29" applyFont="1" applyFill="1" applyBorder="1" applyAlignment="1">
      <alignment horizontal="center" vertical="center" wrapText="1"/>
      <protection/>
    </xf>
    <xf numFmtId="0" fontId="5" fillId="9" borderId="25" xfId="0" applyFont="1" applyFill="1" applyBorder="1" applyAlignment="1">
      <alignment horizontal="left" vertical="top" wrapText="1"/>
    </xf>
    <xf numFmtId="0" fontId="5" fillId="9" borderId="7" xfId="0" applyFont="1" applyFill="1" applyBorder="1" applyAlignment="1">
      <alignment horizontal="left" vertical="top" wrapText="1"/>
    </xf>
    <xf numFmtId="0" fontId="5" fillId="9" borderId="60" xfId="0" applyFont="1" applyFill="1" applyBorder="1" applyAlignment="1">
      <alignment horizontal="left" vertical="top" wrapText="1"/>
    </xf>
    <xf numFmtId="4" fontId="5" fillId="0" borderId="22" xfId="29" applyNumberFormat="1" applyFont="1" applyBorder="1" applyAlignment="1">
      <alignment horizontal="right" vertical="top" wrapText="1"/>
      <protection/>
    </xf>
    <xf numFmtId="4" fontId="5" fillId="0" borderId="15" xfId="29" applyNumberFormat="1" applyFont="1" applyBorder="1" applyAlignment="1">
      <alignment horizontal="right" vertical="top" wrapText="1"/>
      <protection/>
    </xf>
    <xf numFmtId="4" fontId="5" fillId="0" borderId="11" xfId="29" applyNumberFormat="1" applyFont="1" applyBorder="1" applyAlignment="1">
      <alignment horizontal="right" vertical="top" wrapText="1"/>
      <protection/>
    </xf>
    <xf numFmtId="0" fontId="4" fillId="9" borderId="22" xfId="29" applyFont="1" applyFill="1" applyBorder="1" applyAlignment="1">
      <alignment horizontal="center" vertical="center"/>
      <protection/>
    </xf>
    <xf numFmtId="43" fontId="5" fillId="0" borderId="23" xfId="16" applyFont="1" applyBorder="1" applyAlignment="1">
      <alignment horizontal="center" vertical="center"/>
    </xf>
    <xf numFmtId="43" fontId="5" fillId="0" borderId="15" xfId="16" applyFont="1" applyBorder="1" applyAlignment="1">
      <alignment horizontal="center" vertical="center"/>
    </xf>
    <xf numFmtId="0" fontId="6" fillId="7" borderId="26" xfId="0" applyFont="1" applyFill="1" applyBorder="1" applyAlignment="1">
      <alignment horizontal="left" vertical="center"/>
    </xf>
    <xf numFmtId="0" fontId="5" fillId="0" borderId="25" xfId="29" applyNumberFormat="1" applyFont="1" applyBorder="1" applyAlignment="1">
      <alignment horizontal="left" vertical="top" wrapText="1"/>
      <protection/>
    </xf>
    <xf numFmtId="0" fontId="5" fillId="0" borderId="60" xfId="29" applyNumberFormat="1" applyFont="1" applyBorder="1" applyAlignment="1">
      <alignment horizontal="left" vertical="top" wrapText="1"/>
      <protection/>
    </xf>
    <xf numFmtId="0" fontId="5" fillId="11" borderId="10" xfId="29" applyFont="1" applyFill="1" applyBorder="1" applyAlignment="1">
      <alignment horizontal="center" vertical="top" wrapText="1"/>
      <protection/>
    </xf>
    <xf numFmtId="0" fontId="5" fillId="0" borderId="2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5" fillId="0" borderId="23" xfId="0" applyFont="1" applyFill="1" applyBorder="1" applyAlignment="1">
      <alignment horizontal="left" vertical="top" wrapText="1"/>
    </xf>
    <xf numFmtId="0" fontId="5" fillId="12" borderId="15" xfId="29" applyFont="1" applyFill="1" applyBorder="1" applyAlignment="1">
      <alignment horizontal="center" vertical="top" wrapText="1"/>
      <protection/>
    </xf>
    <xf numFmtId="0" fontId="5" fillId="0" borderId="15" xfId="29" applyNumberFormat="1" applyFont="1" applyBorder="1" applyAlignment="1">
      <alignment horizontal="left" vertical="top" wrapText="1"/>
      <protection/>
    </xf>
    <xf numFmtId="0" fontId="5" fillId="12" borderId="22" xfId="29" applyFont="1" applyFill="1" applyBorder="1" applyAlignment="1">
      <alignment horizontal="center" vertical="top" wrapText="1"/>
      <protection/>
    </xf>
    <xf numFmtId="0" fontId="6" fillId="9" borderId="22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left" vertical="top" wrapText="1"/>
    </xf>
    <xf numFmtId="0" fontId="5" fillId="9" borderId="15" xfId="0" applyFont="1" applyFill="1" applyBorder="1" applyAlignment="1">
      <alignment horizontal="left" vertical="top" wrapText="1"/>
    </xf>
    <xf numFmtId="0" fontId="6" fillId="9" borderId="28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top" wrapText="1"/>
    </xf>
    <xf numFmtId="43" fontId="5" fillId="0" borderId="22" xfId="16" applyFont="1" applyBorder="1" applyAlignment="1">
      <alignment horizontal="left" vertical="top" wrapText="1"/>
    </xf>
    <xf numFmtId="43" fontId="5" fillId="0" borderId="11" xfId="16" applyFont="1" applyBorder="1" applyAlignment="1">
      <alignment horizontal="left" vertical="top" wrapText="1"/>
    </xf>
    <xf numFmtId="43" fontId="5" fillId="0" borderId="10" xfId="16" applyFont="1" applyBorder="1" applyAlignment="1">
      <alignment horizontal="left" vertical="top" wrapText="1"/>
    </xf>
    <xf numFmtId="43" fontId="5" fillId="9" borderId="22" xfId="16" applyFont="1" applyFill="1" applyBorder="1" applyAlignment="1">
      <alignment horizontal="center" vertical="center" wrapText="1"/>
    </xf>
    <xf numFmtId="43" fontId="5" fillId="9" borderId="10" xfId="16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 quotePrefix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43" fontId="5" fillId="11" borderId="22" xfId="16" applyFont="1" applyFill="1" applyBorder="1" applyAlignment="1">
      <alignment horizontal="center" vertical="top" wrapText="1"/>
    </xf>
    <xf numFmtId="43" fontId="5" fillId="11" borderId="11" xfId="16" applyFont="1" applyFill="1" applyBorder="1" applyAlignment="1">
      <alignment horizontal="center" vertical="top" wrapText="1"/>
    </xf>
    <xf numFmtId="43" fontId="5" fillId="11" borderId="10" xfId="16" applyFont="1" applyFill="1" applyBorder="1" applyAlignment="1">
      <alignment horizontal="center" vertical="top" wrapText="1"/>
    </xf>
    <xf numFmtId="0" fontId="5" fillId="9" borderId="11" xfId="0" applyFont="1" applyFill="1" applyBorder="1" applyAlignment="1" quotePrefix="1">
      <alignment horizontal="left" vertical="top" wrapText="1"/>
    </xf>
    <xf numFmtId="0" fontId="5" fillId="9" borderId="23" xfId="27" applyFont="1" applyFill="1" applyBorder="1" applyAlignment="1">
      <alignment horizontal="left" wrapText="1"/>
      <protection/>
    </xf>
    <xf numFmtId="0" fontId="5" fillId="9" borderId="10" xfId="27" applyFont="1" applyFill="1" applyBorder="1" applyAlignment="1">
      <alignment horizontal="left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19" fillId="9" borderId="7" xfId="0" applyFont="1" applyFill="1" applyBorder="1" applyAlignment="1">
      <alignment horizontal="center" vertical="center" wrapText="1"/>
    </xf>
    <xf numFmtId="0" fontId="19" fillId="9" borderId="6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13" fillId="11" borderId="25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13" fillId="11" borderId="6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29" applyNumberFormat="1" applyFont="1" applyBorder="1" applyAlignment="1">
      <alignment horizontal="left" vertical="center" wrapText="1"/>
      <protection/>
    </xf>
    <xf numFmtId="0" fontId="13" fillId="0" borderId="2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 quotePrefix="1">
      <alignment horizontal="left" vertical="top" wrapText="1"/>
    </xf>
    <xf numFmtId="43" fontId="5" fillId="0" borderId="15" xfId="16" applyFont="1" applyBorder="1" applyAlignment="1">
      <alignment horizontal="left" vertical="top" wrapText="1"/>
    </xf>
    <xf numFmtId="43" fontId="5" fillId="0" borderId="23" xfId="16" applyFont="1" applyBorder="1" applyAlignment="1">
      <alignment horizontal="left" vertical="top" wrapText="1"/>
    </xf>
    <xf numFmtId="43" fontId="5" fillId="0" borderId="15" xfId="16" applyFont="1" applyBorder="1" applyAlignment="1">
      <alignment horizontal="left" vertical="center" wrapText="1"/>
    </xf>
    <xf numFmtId="43" fontId="5" fillId="12" borderId="10" xfId="16" applyFont="1" applyFill="1" applyBorder="1" applyAlignment="1">
      <alignment horizontal="center" vertical="top" wrapText="1"/>
    </xf>
    <xf numFmtId="43" fontId="5" fillId="9" borderId="7" xfId="16" applyFont="1" applyFill="1" applyBorder="1" applyAlignment="1">
      <alignment horizontal="center" vertical="center" wrapText="1"/>
    </xf>
    <xf numFmtId="43" fontId="5" fillId="9" borderId="60" xfId="16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5" fillId="11" borderId="23" xfId="0" applyNumberFormat="1" applyFont="1" applyFill="1" applyBorder="1" applyAlignment="1">
      <alignment horizontal="center" vertical="center" wrapText="1"/>
    </xf>
    <xf numFmtId="0" fontId="5" fillId="11" borderId="15" xfId="0" applyNumberFormat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5" fillId="9" borderId="22" xfId="27" applyFont="1" applyFill="1" applyBorder="1" applyAlignment="1">
      <alignment horizontal="left" vertical="top" wrapText="1"/>
      <protection/>
    </xf>
    <xf numFmtId="0" fontId="5" fillId="9" borderId="11" xfId="27" applyFont="1" applyFill="1" applyBorder="1" applyAlignment="1">
      <alignment horizontal="left" vertical="top" wrapText="1"/>
      <protection/>
    </xf>
    <xf numFmtId="0" fontId="5" fillId="9" borderId="10" xfId="27" applyFont="1" applyFill="1" applyBorder="1" applyAlignment="1">
      <alignment horizontal="left" vertical="top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5" fillId="9" borderId="22" xfId="27" applyFont="1" applyFill="1" applyBorder="1" applyAlignment="1">
      <alignment horizontal="left" vertical="top" wrapText="1"/>
      <protection/>
    </xf>
    <xf numFmtId="0" fontId="5" fillId="9" borderId="11" xfId="27" applyFont="1" applyFill="1" applyBorder="1" applyAlignment="1">
      <alignment horizontal="left" vertical="top" wrapText="1"/>
      <protection/>
    </xf>
    <xf numFmtId="0" fontId="5" fillId="9" borderId="10" xfId="27" applyFont="1" applyFill="1" applyBorder="1" applyAlignment="1">
      <alignment horizontal="left" vertical="top" wrapText="1"/>
      <protection/>
    </xf>
    <xf numFmtId="43" fontId="5" fillId="0" borderId="22" xfId="16" applyFont="1" applyBorder="1" applyAlignment="1" quotePrefix="1">
      <alignment horizontal="left" vertical="top" wrapText="1"/>
    </xf>
    <xf numFmtId="0" fontId="5" fillId="0" borderId="22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43" fontId="5" fillId="0" borderId="25" xfId="16" applyFont="1" applyBorder="1" applyAlignment="1">
      <alignment horizontal="center" vertical="top" wrapText="1"/>
    </xf>
    <xf numFmtId="43" fontId="5" fillId="0" borderId="7" xfId="16" applyFont="1" applyBorder="1" applyAlignment="1">
      <alignment horizontal="center" vertical="top" wrapText="1"/>
    </xf>
    <xf numFmtId="43" fontId="5" fillId="0" borderId="60" xfId="16" applyFont="1" applyBorder="1" applyAlignment="1">
      <alignment horizontal="center" vertical="top" wrapText="1"/>
    </xf>
    <xf numFmtId="0" fontId="5" fillId="0" borderId="22" xfId="0" applyFont="1" applyBorder="1" applyAlignment="1" quotePrefix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3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3" fontId="5" fillId="0" borderId="23" xfId="16" applyFont="1" applyBorder="1" applyAlignment="1">
      <alignment horizontal="center" wrapText="1"/>
    </xf>
    <xf numFmtId="43" fontId="5" fillId="0" borderId="10" xfId="16" applyFont="1" applyBorder="1" applyAlignment="1">
      <alignment horizontal="center" wrapText="1"/>
    </xf>
    <xf numFmtId="0" fontId="2" fillId="8" borderId="20" xfId="0" applyFont="1" applyFill="1" applyBorder="1" applyAlignment="1">
      <alignment horizontal="left"/>
    </xf>
    <xf numFmtId="0" fontId="2" fillId="8" borderId="2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8" borderId="6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</cellXfs>
  <cellStyles count="20">
    <cellStyle name="Normal" xfId="0"/>
    <cellStyle name="Check Cell" xfId="15"/>
    <cellStyle name="Comma" xfId="16"/>
    <cellStyle name="Comma [0]" xfId="17"/>
    <cellStyle name="Currency" xfId="18"/>
    <cellStyle name="Currency [0]" xfId="19"/>
    <cellStyle name="Good" xfId="20"/>
    <cellStyle name="Heading 4" xfId="21"/>
    <cellStyle name="Input" xfId="22"/>
    <cellStyle name="Linked Cell" xfId="23"/>
    <cellStyle name="Millares 2" xfId="24"/>
    <cellStyle name="Millares 3" xfId="25"/>
    <cellStyle name="Neutral" xfId="26"/>
    <cellStyle name="Normal 2" xfId="27"/>
    <cellStyle name="Normal 3" xfId="28"/>
    <cellStyle name="Normal 4" xfId="29"/>
    <cellStyle name="Note" xfId="30"/>
    <cellStyle name="Percent" xfId="31"/>
    <cellStyle name="Total" xfId="32"/>
    <cellStyle name="Warning Text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5"/>
  <sheetViews>
    <sheetView tabSelected="1" view="pageBreakPreview" zoomScaleSheetLayoutView="100" zoomScalePageLayoutView="0" workbookViewId="0" topLeftCell="A1">
      <selection activeCell="Q163" sqref="Q163"/>
    </sheetView>
  </sheetViews>
  <sheetFormatPr defaultColWidth="9.140625" defaultRowHeight="12.75"/>
  <cols>
    <col min="1" max="1" width="22.7109375" style="1" customWidth="1"/>
    <col min="2" max="3" width="9.140625" style="1" customWidth="1"/>
    <col min="4" max="4" width="5.140625" style="1" customWidth="1"/>
    <col min="5" max="5" width="12.28125" style="1" customWidth="1"/>
    <col min="6" max="7" width="9.140625" style="1" customWidth="1"/>
    <col min="8" max="8" width="6.00390625" style="1" customWidth="1"/>
    <col min="9" max="9" width="11.28125" style="1" hidden="1" customWidth="1"/>
    <col min="10" max="10" width="12.140625" style="1" hidden="1" customWidth="1"/>
    <col min="11" max="12" width="11.00390625" style="1" hidden="1" customWidth="1"/>
    <col min="13" max="13" width="12.421875" style="1" hidden="1" customWidth="1"/>
    <col min="14" max="14" width="26.8515625" style="1" customWidth="1"/>
    <col min="15" max="15" width="23.7109375" style="1" customWidth="1"/>
    <col min="16" max="19" width="4.7109375" style="1" customWidth="1"/>
    <col min="20" max="20" width="11.7109375" style="1" customWidth="1"/>
    <col min="21" max="22" width="12.421875" style="1" customWidth="1"/>
    <col min="23" max="23" width="11.57421875" style="1" customWidth="1"/>
    <col min="24" max="16384" width="9.140625" style="1" customWidth="1"/>
  </cols>
  <sheetData>
    <row r="1" spans="1:23" ht="15.75" customHeight="1">
      <c r="A1" s="546" t="s">
        <v>270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</row>
    <row r="2" spans="1:23" ht="15.75" customHeight="1">
      <c r="A2" s="546" t="s">
        <v>349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</row>
    <row r="3" spans="1:23" ht="15.75" customHeight="1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450" t="s">
        <v>613</v>
      </c>
      <c r="O3" s="329"/>
      <c r="P3" s="329"/>
      <c r="Q3" s="329"/>
      <c r="R3" s="329"/>
      <c r="S3" s="329"/>
      <c r="T3" s="329"/>
      <c r="U3" s="329"/>
      <c r="V3" s="329"/>
      <c r="W3" s="329"/>
    </row>
    <row r="4" spans="1:23" ht="15" customHeight="1">
      <c r="A4" s="547" t="s">
        <v>347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</row>
    <row r="5" spans="1:23" ht="15" customHeight="1">
      <c r="A5" s="547"/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</row>
    <row r="6" spans="1:23" ht="14.25" customHeight="1">
      <c r="A6" s="547" t="s">
        <v>348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</row>
    <row r="7" spans="1:23" ht="14.25" customHeight="1">
      <c r="A7" s="547"/>
      <c r="B7" s="547"/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  <c r="V7" s="547"/>
      <c r="W7" s="547"/>
    </row>
    <row r="8" spans="1:23" ht="13.5" thickBot="1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</row>
    <row r="9" spans="1:23" ht="12.75" customHeight="1">
      <c r="A9" s="506" t="s">
        <v>271</v>
      </c>
      <c r="B9" s="619" t="s">
        <v>203</v>
      </c>
      <c r="C9" s="620"/>
      <c r="D9" s="621"/>
      <c r="E9" s="506" t="s">
        <v>217</v>
      </c>
      <c r="F9" s="619" t="s">
        <v>141</v>
      </c>
      <c r="G9" s="620"/>
      <c r="H9" s="621"/>
      <c r="I9" s="506">
        <v>2008</v>
      </c>
      <c r="J9" s="208">
        <v>2009</v>
      </c>
      <c r="K9" s="208">
        <v>2010</v>
      </c>
      <c r="L9" s="208">
        <v>2011</v>
      </c>
      <c r="M9" s="209" t="s">
        <v>142</v>
      </c>
      <c r="N9" s="209"/>
      <c r="O9" s="506" t="s">
        <v>90</v>
      </c>
      <c r="P9" s="619" t="s">
        <v>11</v>
      </c>
      <c r="Q9" s="620"/>
      <c r="R9" s="620"/>
      <c r="S9" s="621"/>
      <c r="T9" s="506" t="s">
        <v>272</v>
      </c>
      <c r="U9" s="619" t="s">
        <v>406</v>
      </c>
      <c r="V9" s="620"/>
      <c r="W9" s="621"/>
    </row>
    <row r="10" spans="1:23" ht="13.5" customHeight="1" thickBot="1">
      <c r="A10" s="507" t="s">
        <v>271</v>
      </c>
      <c r="B10" s="622"/>
      <c r="C10" s="623"/>
      <c r="D10" s="624"/>
      <c r="E10" s="507"/>
      <c r="F10" s="622"/>
      <c r="G10" s="623"/>
      <c r="H10" s="624"/>
      <c r="I10" s="507"/>
      <c r="J10" s="221"/>
      <c r="K10" s="221"/>
      <c r="L10" s="221"/>
      <c r="M10" s="210"/>
      <c r="N10" s="210" t="s">
        <v>601</v>
      </c>
      <c r="O10" s="507"/>
      <c r="P10" s="625"/>
      <c r="Q10" s="626"/>
      <c r="R10" s="626"/>
      <c r="S10" s="627"/>
      <c r="T10" s="507"/>
      <c r="U10" s="625"/>
      <c r="V10" s="626"/>
      <c r="W10" s="627"/>
    </row>
    <row r="11" spans="1:23" ht="26.25" customHeight="1" thickBot="1">
      <c r="A11" s="508"/>
      <c r="B11" s="625"/>
      <c r="C11" s="626"/>
      <c r="D11" s="627"/>
      <c r="E11" s="508"/>
      <c r="F11" s="625"/>
      <c r="G11" s="626"/>
      <c r="H11" s="627"/>
      <c r="I11" s="507"/>
      <c r="J11" s="42"/>
      <c r="K11" s="42"/>
      <c r="L11" s="42"/>
      <c r="M11" s="43"/>
      <c r="N11" s="43"/>
      <c r="O11" s="508"/>
      <c r="P11" s="54" t="s">
        <v>214</v>
      </c>
      <c r="Q11" s="54" t="s">
        <v>578</v>
      </c>
      <c r="R11" s="54" t="s">
        <v>215</v>
      </c>
      <c r="S11" s="54" t="s">
        <v>216</v>
      </c>
      <c r="T11" s="508"/>
      <c r="U11" s="203" t="s">
        <v>407</v>
      </c>
      <c r="V11" s="203" t="s">
        <v>408</v>
      </c>
      <c r="W11" s="202" t="s">
        <v>409</v>
      </c>
    </row>
    <row r="12" spans="1:23" ht="27.75" customHeight="1">
      <c r="A12" s="509" t="s">
        <v>341</v>
      </c>
      <c r="B12" s="528" t="s">
        <v>197</v>
      </c>
      <c r="C12" s="529"/>
      <c r="D12" s="530"/>
      <c r="E12" s="598" t="s">
        <v>148</v>
      </c>
      <c r="F12" s="661" t="s">
        <v>211</v>
      </c>
      <c r="G12" s="662"/>
      <c r="H12" s="662"/>
      <c r="I12" s="527">
        <v>18190</v>
      </c>
      <c r="J12" s="527">
        <v>0</v>
      </c>
      <c r="K12" s="527">
        <v>0</v>
      </c>
      <c r="L12" s="527">
        <v>0</v>
      </c>
      <c r="M12" s="527">
        <f>SUM(I12:L12)</f>
        <v>18190</v>
      </c>
      <c r="N12" s="676" t="s">
        <v>442</v>
      </c>
      <c r="O12" s="676" t="s">
        <v>106</v>
      </c>
      <c r="P12" s="637" t="s">
        <v>338</v>
      </c>
      <c r="Q12" s="637" t="s">
        <v>338</v>
      </c>
      <c r="R12" s="751" t="s">
        <v>338</v>
      </c>
      <c r="S12" s="770"/>
      <c r="T12" s="751" t="s">
        <v>276</v>
      </c>
      <c r="U12" s="751" t="s">
        <v>498</v>
      </c>
      <c r="V12" s="348" t="s">
        <v>433</v>
      </c>
      <c r="W12" s="18">
        <v>30000</v>
      </c>
    </row>
    <row r="13" spans="1:23" ht="27.75" customHeight="1">
      <c r="A13" s="510"/>
      <c r="B13" s="531"/>
      <c r="C13" s="532"/>
      <c r="D13" s="533"/>
      <c r="E13" s="599"/>
      <c r="F13" s="558"/>
      <c r="G13" s="559"/>
      <c r="H13" s="559"/>
      <c r="I13" s="524"/>
      <c r="J13" s="524"/>
      <c r="K13" s="524"/>
      <c r="L13" s="524"/>
      <c r="M13" s="524"/>
      <c r="N13" s="675"/>
      <c r="O13" s="675"/>
      <c r="P13" s="638"/>
      <c r="Q13" s="638"/>
      <c r="R13" s="752"/>
      <c r="S13" s="771"/>
      <c r="T13" s="752"/>
      <c r="U13" s="752"/>
      <c r="V13" s="349" t="s">
        <v>547</v>
      </c>
      <c r="W13" s="19">
        <v>5000</v>
      </c>
    </row>
    <row r="14" spans="1:23" ht="27.75" customHeight="1">
      <c r="A14" s="510"/>
      <c r="B14" s="531"/>
      <c r="C14" s="532"/>
      <c r="D14" s="533"/>
      <c r="E14" s="599"/>
      <c r="F14" s="558"/>
      <c r="G14" s="559"/>
      <c r="H14" s="559"/>
      <c r="I14" s="524"/>
      <c r="J14" s="524"/>
      <c r="K14" s="524"/>
      <c r="L14" s="524"/>
      <c r="M14" s="524"/>
      <c r="N14" s="675"/>
      <c r="O14" s="675"/>
      <c r="P14" s="638"/>
      <c r="Q14" s="638"/>
      <c r="R14" s="752"/>
      <c r="S14" s="771"/>
      <c r="T14" s="752"/>
      <c r="U14" s="752"/>
      <c r="V14" s="349" t="s">
        <v>335</v>
      </c>
      <c r="W14" s="19">
        <v>2644.87</v>
      </c>
    </row>
    <row r="15" spans="1:23" ht="27.75" customHeight="1" thickBot="1">
      <c r="A15" s="510"/>
      <c r="B15" s="531"/>
      <c r="C15" s="532"/>
      <c r="D15" s="533"/>
      <c r="E15" s="599"/>
      <c r="F15" s="558"/>
      <c r="G15" s="559"/>
      <c r="H15" s="559"/>
      <c r="I15" s="524"/>
      <c r="J15" s="524"/>
      <c r="K15" s="524"/>
      <c r="L15" s="524"/>
      <c r="M15" s="524"/>
      <c r="N15" s="675"/>
      <c r="O15" s="587"/>
      <c r="P15" s="638"/>
      <c r="Q15" s="638"/>
      <c r="R15" s="752"/>
      <c r="S15" s="771"/>
      <c r="T15" s="753"/>
      <c r="U15" s="753"/>
      <c r="V15" s="339" t="s">
        <v>237</v>
      </c>
      <c r="W15" s="223">
        <f>SUM(W12:W14)*0.07</f>
        <v>2635.1409000000003</v>
      </c>
    </row>
    <row r="16" spans="1:23" ht="18" customHeight="1" thickBot="1">
      <c r="A16" s="510"/>
      <c r="B16" s="531"/>
      <c r="C16" s="532"/>
      <c r="D16" s="533"/>
      <c r="E16" s="599"/>
      <c r="F16" s="653" t="s">
        <v>212</v>
      </c>
      <c r="G16" s="654"/>
      <c r="H16" s="654"/>
      <c r="I16" s="654"/>
      <c r="J16" s="654"/>
      <c r="K16" s="654"/>
      <c r="L16" s="654"/>
      <c r="M16" s="654"/>
      <c r="N16" s="663"/>
      <c r="O16" s="232"/>
      <c r="P16" s="232"/>
      <c r="Q16" s="232"/>
      <c r="R16" s="232"/>
      <c r="S16" s="232"/>
      <c r="T16" s="232"/>
      <c r="U16" s="232"/>
      <c r="V16" s="232"/>
      <c r="W16" s="21">
        <f>SUM(W12:W15)</f>
        <v>40280.0109</v>
      </c>
    </row>
    <row r="17" spans="1:23" ht="20.25" customHeight="1">
      <c r="A17" s="510"/>
      <c r="B17" s="531"/>
      <c r="C17" s="532"/>
      <c r="D17" s="533"/>
      <c r="E17" s="599"/>
      <c r="F17" s="661" t="s">
        <v>213</v>
      </c>
      <c r="G17" s="662"/>
      <c r="H17" s="662"/>
      <c r="I17" s="527">
        <v>26215</v>
      </c>
      <c r="J17" s="527">
        <v>0</v>
      </c>
      <c r="K17" s="527">
        <v>0</v>
      </c>
      <c r="L17" s="527">
        <v>0</v>
      </c>
      <c r="M17" s="527">
        <f>SUM(I17:L17)</f>
        <v>26215</v>
      </c>
      <c r="N17" s="634" t="s">
        <v>443</v>
      </c>
      <c r="O17" s="786" t="s">
        <v>51</v>
      </c>
      <c r="P17" s="637" t="s">
        <v>338</v>
      </c>
      <c r="Q17" s="637" t="s">
        <v>338</v>
      </c>
      <c r="R17" s="548" t="s">
        <v>338</v>
      </c>
      <c r="S17" s="548" t="s">
        <v>338</v>
      </c>
      <c r="T17" s="548" t="s">
        <v>276</v>
      </c>
      <c r="U17" s="548" t="s">
        <v>498</v>
      </c>
      <c r="V17" s="634" t="s">
        <v>548</v>
      </c>
      <c r="W17" s="564">
        <v>36000</v>
      </c>
    </row>
    <row r="18" spans="1:23" ht="17.25" customHeight="1">
      <c r="A18" s="510"/>
      <c r="B18" s="531"/>
      <c r="C18" s="532"/>
      <c r="D18" s="533"/>
      <c r="E18" s="599"/>
      <c r="F18" s="558"/>
      <c r="G18" s="559"/>
      <c r="H18" s="559"/>
      <c r="I18" s="524"/>
      <c r="J18" s="524"/>
      <c r="K18" s="524"/>
      <c r="L18" s="524"/>
      <c r="M18" s="524"/>
      <c r="N18" s="556"/>
      <c r="O18" s="556"/>
      <c r="P18" s="638"/>
      <c r="Q18" s="638"/>
      <c r="R18" s="549"/>
      <c r="S18" s="549"/>
      <c r="T18" s="549"/>
      <c r="U18" s="549"/>
      <c r="V18" s="557"/>
      <c r="W18" s="575"/>
    </row>
    <row r="19" spans="1:23" ht="21" customHeight="1">
      <c r="A19" s="510"/>
      <c r="B19" s="531"/>
      <c r="C19" s="532"/>
      <c r="D19" s="533"/>
      <c r="E19" s="599"/>
      <c r="F19" s="558"/>
      <c r="G19" s="559"/>
      <c r="H19" s="559"/>
      <c r="I19" s="524"/>
      <c r="J19" s="524"/>
      <c r="K19" s="524"/>
      <c r="L19" s="524"/>
      <c r="M19" s="524"/>
      <c r="N19" s="556"/>
      <c r="O19" s="556"/>
      <c r="P19" s="638"/>
      <c r="Q19" s="638"/>
      <c r="R19" s="549"/>
      <c r="S19" s="549"/>
      <c r="T19" s="549"/>
      <c r="U19" s="549"/>
      <c r="V19" s="570" t="s">
        <v>335</v>
      </c>
      <c r="W19" s="574">
        <v>8000</v>
      </c>
    </row>
    <row r="20" spans="1:23" ht="16.5" customHeight="1">
      <c r="A20" s="510"/>
      <c r="B20" s="531"/>
      <c r="C20" s="532"/>
      <c r="D20" s="533"/>
      <c r="E20" s="599"/>
      <c r="F20" s="558"/>
      <c r="G20" s="559"/>
      <c r="H20" s="559"/>
      <c r="I20" s="524"/>
      <c r="J20" s="524"/>
      <c r="K20" s="524"/>
      <c r="L20" s="524"/>
      <c r="M20" s="524"/>
      <c r="N20" s="556" t="s">
        <v>444</v>
      </c>
      <c r="O20" s="787" t="s">
        <v>52</v>
      </c>
      <c r="P20" s="638"/>
      <c r="Q20" s="638"/>
      <c r="R20" s="549"/>
      <c r="S20" s="549"/>
      <c r="T20" s="549"/>
      <c r="U20" s="549"/>
      <c r="V20" s="557"/>
      <c r="W20" s="575"/>
    </row>
    <row r="21" spans="1:23" ht="19.5" customHeight="1">
      <c r="A21" s="510"/>
      <c r="B21" s="531"/>
      <c r="C21" s="532"/>
      <c r="D21" s="533"/>
      <c r="E21" s="599"/>
      <c r="F21" s="558"/>
      <c r="G21" s="559"/>
      <c r="H21" s="559"/>
      <c r="I21" s="524"/>
      <c r="J21" s="524"/>
      <c r="K21" s="524"/>
      <c r="L21" s="524"/>
      <c r="M21" s="524"/>
      <c r="N21" s="556"/>
      <c r="O21" s="556"/>
      <c r="P21" s="638"/>
      <c r="Q21" s="638"/>
      <c r="R21" s="549"/>
      <c r="S21" s="549"/>
      <c r="T21" s="549"/>
      <c r="U21" s="549"/>
      <c r="V21" s="570" t="s">
        <v>411</v>
      </c>
      <c r="W21" s="574">
        <f>15691.58-8000</f>
        <v>7691.58</v>
      </c>
    </row>
    <row r="22" spans="1:23" ht="29.25" customHeight="1" thickBot="1">
      <c r="A22" s="510"/>
      <c r="B22" s="531"/>
      <c r="C22" s="532"/>
      <c r="D22" s="533"/>
      <c r="E22" s="599"/>
      <c r="F22" s="558"/>
      <c r="G22" s="559"/>
      <c r="H22" s="559"/>
      <c r="I22" s="8"/>
      <c r="J22" s="217"/>
      <c r="K22" s="217"/>
      <c r="L22" s="217"/>
      <c r="M22" s="217"/>
      <c r="N22" s="685" t="s">
        <v>446</v>
      </c>
      <c r="O22" s="787" t="s">
        <v>53</v>
      </c>
      <c r="P22" s="638"/>
      <c r="Q22" s="638"/>
      <c r="R22" s="549"/>
      <c r="S22" s="549"/>
      <c r="T22" s="549"/>
      <c r="U22" s="549"/>
      <c r="V22" s="557"/>
      <c r="W22" s="575"/>
    </row>
    <row r="23" spans="1:23" ht="32.25" customHeight="1" thickBot="1">
      <c r="A23" s="510"/>
      <c r="B23" s="531"/>
      <c r="C23" s="532"/>
      <c r="D23" s="533"/>
      <c r="E23" s="599"/>
      <c r="F23" s="558"/>
      <c r="G23" s="559"/>
      <c r="H23" s="559"/>
      <c r="I23" s="8"/>
      <c r="J23" s="217"/>
      <c r="K23" s="217"/>
      <c r="L23" s="217"/>
      <c r="M23" s="217"/>
      <c r="N23" s="685"/>
      <c r="O23" s="556"/>
      <c r="P23" s="638"/>
      <c r="Q23" s="638"/>
      <c r="R23" s="549"/>
      <c r="S23" s="549"/>
      <c r="T23" s="549"/>
      <c r="U23" s="549"/>
      <c r="V23" s="332" t="s">
        <v>334</v>
      </c>
      <c r="W23" s="347">
        <v>8000</v>
      </c>
    </row>
    <row r="24" spans="1:23" ht="36" customHeight="1" thickBot="1">
      <c r="A24" s="510"/>
      <c r="B24" s="531"/>
      <c r="C24" s="532"/>
      <c r="D24" s="533"/>
      <c r="E24" s="599"/>
      <c r="F24" s="558"/>
      <c r="G24" s="559"/>
      <c r="H24" s="559"/>
      <c r="I24" s="10"/>
      <c r="J24" s="217"/>
      <c r="K24" s="217"/>
      <c r="L24" s="217"/>
      <c r="M24" s="217"/>
      <c r="N24" s="430" t="s">
        <v>445</v>
      </c>
      <c r="O24" s="422" t="s">
        <v>91</v>
      </c>
      <c r="P24" s="639"/>
      <c r="Q24" s="639"/>
      <c r="R24" s="560"/>
      <c r="S24" s="560"/>
      <c r="T24" s="560"/>
      <c r="U24" s="560"/>
      <c r="V24" s="332" t="s">
        <v>237</v>
      </c>
      <c r="W24" s="347">
        <f>SUM(W17:W23)*0.07</f>
        <v>4178.4106</v>
      </c>
    </row>
    <row r="25" spans="1:23" ht="19.5" customHeight="1" thickBot="1">
      <c r="A25" s="510"/>
      <c r="B25" s="531"/>
      <c r="C25" s="532"/>
      <c r="D25" s="533"/>
      <c r="E25" s="599"/>
      <c r="F25" s="653" t="s">
        <v>221</v>
      </c>
      <c r="G25" s="654"/>
      <c r="H25" s="654"/>
      <c r="I25" s="654"/>
      <c r="J25" s="654"/>
      <c r="K25" s="654"/>
      <c r="L25" s="654"/>
      <c r="M25" s="654"/>
      <c r="N25" s="663"/>
      <c r="O25" s="232"/>
      <c r="P25" s="232"/>
      <c r="Q25" s="232"/>
      <c r="R25" s="232"/>
      <c r="S25" s="232"/>
      <c r="T25" s="232"/>
      <c r="U25" s="232"/>
      <c r="V25" s="232"/>
      <c r="W25" s="21">
        <f>SUM(W17:W24)</f>
        <v>63869.990600000005</v>
      </c>
    </row>
    <row r="26" spans="1:23" ht="12.75" customHeight="1">
      <c r="A26" s="510"/>
      <c r="B26" s="531"/>
      <c r="C26" s="532"/>
      <c r="D26" s="533"/>
      <c r="E26" s="599"/>
      <c r="F26" s="661" t="s">
        <v>95</v>
      </c>
      <c r="G26" s="662"/>
      <c r="H26" s="662"/>
      <c r="I26" s="527">
        <v>8025</v>
      </c>
      <c r="J26" s="527">
        <v>0</v>
      </c>
      <c r="K26" s="527">
        <v>0</v>
      </c>
      <c r="L26" s="527">
        <v>0</v>
      </c>
      <c r="M26" s="527">
        <f>SUM(I26:L26)</f>
        <v>8025</v>
      </c>
      <c r="N26" s="634" t="s">
        <v>218</v>
      </c>
      <c r="O26" s="634" t="s">
        <v>92</v>
      </c>
      <c r="P26" s="637" t="s">
        <v>338</v>
      </c>
      <c r="Q26" s="637" t="s">
        <v>338</v>
      </c>
      <c r="R26" s="548"/>
      <c r="S26" s="548"/>
      <c r="T26" s="548" t="s">
        <v>276</v>
      </c>
      <c r="U26" s="548" t="s">
        <v>498</v>
      </c>
      <c r="V26" s="634" t="s">
        <v>433</v>
      </c>
      <c r="W26" s="564">
        <v>10000</v>
      </c>
    </row>
    <row r="27" spans="1:23" ht="22.5" customHeight="1">
      <c r="A27" s="510"/>
      <c r="B27" s="531"/>
      <c r="C27" s="532"/>
      <c r="D27" s="533"/>
      <c r="E27" s="599"/>
      <c r="F27" s="558"/>
      <c r="G27" s="559"/>
      <c r="H27" s="559"/>
      <c r="I27" s="524"/>
      <c r="J27" s="524"/>
      <c r="K27" s="524"/>
      <c r="L27" s="524"/>
      <c r="M27" s="524"/>
      <c r="N27" s="556"/>
      <c r="O27" s="556"/>
      <c r="P27" s="638"/>
      <c r="Q27" s="638"/>
      <c r="R27" s="549"/>
      <c r="S27" s="549"/>
      <c r="T27" s="549"/>
      <c r="U27" s="549"/>
      <c r="V27" s="557"/>
      <c r="W27" s="575"/>
    </row>
    <row r="28" spans="1:23" ht="12.75">
      <c r="A28" s="510"/>
      <c r="B28" s="531"/>
      <c r="C28" s="532"/>
      <c r="D28" s="533"/>
      <c r="E28" s="599"/>
      <c r="F28" s="558"/>
      <c r="G28" s="559"/>
      <c r="H28" s="559"/>
      <c r="I28" s="524"/>
      <c r="J28" s="524"/>
      <c r="K28" s="524"/>
      <c r="L28" s="524"/>
      <c r="M28" s="524"/>
      <c r="N28" s="556"/>
      <c r="O28" s="556"/>
      <c r="P28" s="638"/>
      <c r="Q28" s="638"/>
      <c r="R28" s="549"/>
      <c r="S28" s="549"/>
      <c r="T28" s="549"/>
      <c r="U28" s="549"/>
      <c r="V28" s="570" t="s">
        <v>336</v>
      </c>
      <c r="W28" s="574">
        <v>4000</v>
      </c>
    </row>
    <row r="29" spans="1:23" ht="12.75" customHeight="1">
      <c r="A29" s="510"/>
      <c r="B29" s="531"/>
      <c r="C29" s="532"/>
      <c r="D29" s="533"/>
      <c r="E29" s="599"/>
      <c r="F29" s="558"/>
      <c r="G29" s="559"/>
      <c r="H29" s="559"/>
      <c r="I29" s="524"/>
      <c r="J29" s="524"/>
      <c r="K29" s="524"/>
      <c r="L29" s="524"/>
      <c r="M29" s="524"/>
      <c r="N29" s="556" t="s">
        <v>93</v>
      </c>
      <c r="O29" s="556"/>
      <c r="P29" s="638"/>
      <c r="Q29" s="638"/>
      <c r="R29" s="549"/>
      <c r="S29" s="549"/>
      <c r="T29" s="549"/>
      <c r="U29" s="549"/>
      <c r="V29" s="556"/>
      <c r="W29" s="565"/>
    </row>
    <row r="30" spans="1:23" ht="12.75">
      <c r="A30" s="510"/>
      <c r="B30" s="531"/>
      <c r="C30" s="532"/>
      <c r="D30" s="533"/>
      <c r="E30" s="599"/>
      <c r="F30" s="558"/>
      <c r="G30" s="559"/>
      <c r="H30" s="559"/>
      <c r="I30" s="524"/>
      <c r="J30" s="524"/>
      <c r="K30" s="524"/>
      <c r="L30" s="524"/>
      <c r="M30" s="524"/>
      <c r="N30" s="677"/>
      <c r="O30" s="556"/>
      <c r="P30" s="638"/>
      <c r="Q30" s="638"/>
      <c r="R30" s="549"/>
      <c r="S30" s="549"/>
      <c r="T30" s="549"/>
      <c r="U30" s="549"/>
      <c r="V30" s="557"/>
      <c r="W30" s="575"/>
    </row>
    <row r="31" spans="1:23" ht="22.5" customHeight="1">
      <c r="A31" s="510"/>
      <c r="B31" s="531"/>
      <c r="C31" s="532"/>
      <c r="D31" s="533"/>
      <c r="E31" s="599"/>
      <c r="F31" s="558"/>
      <c r="G31" s="559"/>
      <c r="H31" s="559"/>
      <c r="I31" s="524"/>
      <c r="J31" s="524"/>
      <c r="K31" s="524"/>
      <c r="L31" s="524"/>
      <c r="M31" s="524"/>
      <c r="N31" s="556" t="s">
        <v>94</v>
      </c>
      <c r="O31" s="787" t="s">
        <v>54</v>
      </c>
      <c r="P31" s="638"/>
      <c r="Q31" s="638"/>
      <c r="R31" s="549"/>
      <c r="S31" s="549"/>
      <c r="T31" s="549"/>
      <c r="U31" s="549"/>
      <c r="V31" s="570" t="s">
        <v>411</v>
      </c>
      <c r="W31" s="574">
        <v>3000</v>
      </c>
    </row>
    <row r="32" spans="1:23" ht="12.75">
      <c r="A32" s="510"/>
      <c r="B32" s="531"/>
      <c r="C32" s="532"/>
      <c r="D32" s="533"/>
      <c r="E32" s="599"/>
      <c r="F32" s="558"/>
      <c r="G32" s="559"/>
      <c r="H32" s="559"/>
      <c r="I32" s="524"/>
      <c r="J32" s="524"/>
      <c r="K32" s="524"/>
      <c r="L32" s="524"/>
      <c r="M32" s="524"/>
      <c r="N32" s="677"/>
      <c r="O32" s="556"/>
      <c r="P32" s="638"/>
      <c r="Q32" s="638"/>
      <c r="R32" s="549"/>
      <c r="S32" s="549"/>
      <c r="T32" s="549"/>
      <c r="U32" s="549"/>
      <c r="V32" s="557"/>
      <c r="W32" s="575"/>
    </row>
    <row r="33" spans="1:23" ht="19.5" customHeight="1">
      <c r="A33" s="510"/>
      <c r="B33" s="531"/>
      <c r="C33" s="532"/>
      <c r="D33" s="533"/>
      <c r="E33" s="599"/>
      <c r="F33" s="558"/>
      <c r="G33" s="559"/>
      <c r="H33" s="559"/>
      <c r="I33" s="524"/>
      <c r="J33" s="524"/>
      <c r="K33" s="524"/>
      <c r="L33" s="524"/>
      <c r="M33" s="524"/>
      <c r="N33" s="556" t="s">
        <v>219</v>
      </c>
      <c r="O33" s="556"/>
      <c r="P33" s="638"/>
      <c r="Q33" s="638"/>
      <c r="R33" s="549"/>
      <c r="S33" s="549"/>
      <c r="T33" s="549"/>
      <c r="U33" s="549"/>
      <c r="V33" s="556" t="s">
        <v>237</v>
      </c>
      <c r="W33" s="565">
        <f>SUM(W26:W32)*0.07</f>
        <v>1190</v>
      </c>
    </row>
    <row r="34" spans="1:23" ht="13.5" thickBot="1">
      <c r="A34" s="510"/>
      <c r="B34" s="531"/>
      <c r="C34" s="532"/>
      <c r="D34" s="533"/>
      <c r="E34" s="599"/>
      <c r="F34" s="558"/>
      <c r="G34" s="559"/>
      <c r="H34" s="559"/>
      <c r="I34" s="524"/>
      <c r="J34" s="524"/>
      <c r="K34" s="524"/>
      <c r="L34" s="524"/>
      <c r="M34" s="524"/>
      <c r="N34" s="556"/>
      <c r="O34" s="788"/>
      <c r="P34" s="639"/>
      <c r="Q34" s="639"/>
      <c r="R34" s="560"/>
      <c r="S34" s="560"/>
      <c r="T34" s="560"/>
      <c r="U34" s="560"/>
      <c r="V34" s="556"/>
      <c r="W34" s="565"/>
    </row>
    <row r="35" spans="1:23" ht="18.75" customHeight="1" thickBot="1">
      <c r="A35" s="510"/>
      <c r="B35" s="531"/>
      <c r="C35" s="532"/>
      <c r="D35" s="533"/>
      <c r="E35" s="599"/>
      <c r="F35" s="653" t="s">
        <v>222</v>
      </c>
      <c r="G35" s="654"/>
      <c r="H35" s="654"/>
      <c r="I35" s="654"/>
      <c r="J35" s="654"/>
      <c r="K35" s="654"/>
      <c r="L35" s="654"/>
      <c r="M35" s="654"/>
      <c r="N35" s="663"/>
      <c r="O35" s="232"/>
      <c r="P35" s="59"/>
      <c r="Q35" s="232"/>
      <c r="R35" s="232"/>
      <c r="S35" s="232"/>
      <c r="T35" s="232"/>
      <c r="U35" s="232"/>
      <c r="V35" s="232"/>
      <c r="W35" s="21">
        <f>SUM(W26:W34)</f>
        <v>18190</v>
      </c>
    </row>
    <row r="36" spans="1:23" ht="16.5" customHeight="1">
      <c r="A36" s="510"/>
      <c r="B36" s="531"/>
      <c r="C36" s="532"/>
      <c r="D36" s="533"/>
      <c r="E36" s="599"/>
      <c r="F36" s="558" t="s">
        <v>220</v>
      </c>
      <c r="G36" s="559"/>
      <c r="H36" s="559"/>
      <c r="I36" s="524">
        <v>8560</v>
      </c>
      <c r="J36" s="524">
        <v>42595</v>
      </c>
      <c r="K36" s="524">
        <v>22595</v>
      </c>
      <c r="L36" s="524">
        <v>46000</v>
      </c>
      <c r="M36" s="524">
        <f>SUM(I36:L36)</f>
        <v>119750</v>
      </c>
      <c r="N36" s="680" t="s">
        <v>143</v>
      </c>
      <c r="O36" s="789" t="s">
        <v>96</v>
      </c>
      <c r="P36" s="764" t="s">
        <v>338</v>
      </c>
      <c r="Q36" s="580" t="s">
        <v>338</v>
      </c>
      <c r="R36" s="583" t="s">
        <v>338</v>
      </c>
      <c r="S36" s="583" t="s">
        <v>338</v>
      </c>
      <c r="T36" s="583" t="s">
        <v>276</v>
      </c>
      <c r="U36" s="583" t="s">
        <v>498</v>
      </c>
      <c r="V36" s="635" t="s">
        <v>546</v>
      </c>
      <c r="W36" s="564">
        <v>10000</v>
      </c>
    </row>
    <row r="37" spans="1:23" ht="20.25" customHeight="1">
      <c r="A37" s="510"/>
      <c r="B37" s="531"/>
      <c r="C37" s="532"/>
      <c r="D37" s="533"/>
      <c r="E37" s="599"/>
      <c r="F37" s="558"/>
      <c r="G37" s="559"/>
      <c r="H37" s="559"/>
      <c r="I37" s="524"/>
      <c r="J37" s="524"/>
      <c r="K37" s="524"/>
      <c r="L37" s="524"/>
      <c r="M37" s="524"/>
      <c r="N37" s="681"/>
      <c r="O37" s="681"/>
      <c r="P37" s="765"/>
      <c r="Q37" s="581"/>
      <c r="R37" s="584"/>
      <c r="S37" s="584"/>
      <c r="T37" s="584"/>
      <c r="U37" s="584"/>
      <c r="V37" s="636"/>
      <c r="W37" s="575"/>
    </row>
    <row r="38" spans="1:23" ht="33" customHeight="1">
      <c r="A38" s="510"/>
      <c r="B38" s="531"/>
      <c r="C38" s="532"/>
      <c r="D38" s="533"/>
      <c r="E38" s="599"/>
      <c r="F38" s="558"/>
      <c r="G38" s="559"/>
      <c r="H38" s="559"/>
      <c r="I38" s="524"/>
      <c r="J38" s="524"/>
      <c r="K38" s="524"/>
      <c r="L38" s="524"/>
      <c r="M38" s="524"/>
      <c r="N38" s="675" t="s">
        <v>144</v>
      </c>
      <c r="O38" s="790" t="s">
        <v>55</v>
      </c>
      <c r="P38" s="765"/>
      <c r="Q38" s="581"/>
      <c r="R38" s="584"/>
      <c r="S38" s="584"/>
      <c r="T38" s="584"/>
      <c r="U38" s="584"/>
      <c r="V38" s="350" t="s">
        <v>411</v>
      </c>
      <c r="W38" s="347">
        <f>15000-7000</f>
        <v>8000</v>
      </c>
    </row>
    <row r="39" spans="1:23" ht="32.25" customHeight="1">
      <c r="A39" s="510"/>
      <c r="B39" s="531"/>
      <c r="C39" s="532"/>
      <c r="D39" s="533"/>
      <c r="E39" s="599"/>
      <c r="F39" s="558"/>
      <c r="G39" s="559"/>
      <c r="H39" s="559"/>
      <c r="I39" s="524"/>
      <c r="J39" s="524"/>
      <c r="K39" s="524"/>
      <c r="L39" s="524"/>
      <c r="M39" s="524"/>
      <c r="N39" s="675"/>
      <c r="O39" s="681"/>
      <c r="P39" s="765"/>
      <c r="Q39" s="581"/>
      <c r="R39" s="584"/>
      <c r="S39" s="584"/>
      <c r="T39" s="584"/>
      <c r="U39" s="584"/>
      <c r="V39" s="351" t="s">
        <v>334</v>
      </c>
      <c r="W39" s="19">
        <v>7000</v>
      </c>
    </row>
    <row r="40" spans="1:23" ht="34.5" customHeight="1">
      <c r="A40" s="510"/>
      <c r="B40" s="531"/>
      <c r="C40" s="532"/>
      <c r="D40" s="533"/>
      <c r="E40" s="599"/>
      <c r="F40" s="558"/>
      <c r="G40" s="559"/>
      <c r="H40" s="559"/>
      <c r="I40" s="524"/>
      <c r="J40" s="524"/>
      <c r="K40" s="524"/>
      <c r="L40" s="524"/>
      <c r="M40" s="524"/>
      <c r="N40" s="675" t="s">
        <v>447</v>
      </c>
      <c r="O40" s="797" t="s">
        <v>97</v>
      </c>
      <c r="P40" s="765"/>
      <c r="Q40" s="581"/>
      <c r="R40" s="584"/>
      <c r="S40" s="584"/>
      <c r="T40" s="584"/>
      <c r="U40" s="584"/>
      <c r="V40" s="579" t="s">
        <v>237</v>
      </c>
      <c r="W40" s="565">
        <f>SUM(W36:W39)*0.07</f>
        <v>1750.0000000000002</v>
      </c>
    </row>
    <row r="41" spans="1:23" ht="13.5" thickBot="1">
      <c r="A41" s="510"/>
      <c r="B41" s="531"/>
      <c r="C41" s="532"/>
      <c r="D41" s="533"/>
      <c r="E41" s="599"/>
      <c r="F41" s="558"/>
      <c r="G41" s="559"/>
      <c r="H41" s="559"/>
      <c r="I41" s="524"/>
      <c r="J41" s="524"/>
      <c r="K41" s="524"/>
      <c r="L41" s="524"/>
      <c r="M41" s="524"/>
      <c r="N41" s="675"/>
      <c r="O41" s="587"/>
      <c r="P41" s="766"/>
      <c r="Q41" s="582"/>
      <c r="R41" s="585"/>
      <c r="S41" s="585"/>
      <c r="T41" s="585"/>
      <c r="U41" s="585"/>
      <c r="V41" s="579"/>
      <c r="W41" s="565"/>
    </row>
    <row r="42" spans="1:23" ht="13.5" thickBot="1">
      <c r="A42" s="510"/>
      <c r="B42" s="534"/>
      <c r="C42" s="535"/>
      <c r="D42" s="536"/>
      <c r="E42" s="600"/>
      <c r="F42" s="653" t="s">
        <v>223</v>
      </c>
      <c r="G42" s="654"/>
      <c r="H42" s="654"/>
      <c r="I42" s="654"/>
      <c r="J42" s="654"/>
      <c r="K42" s="654"/>
      <c r="L42" s="654"/>
      <c r="M42" s="654"/>
      <c r="N42" s="663"/>
      <c r="O42" s="232"/>
      <c r="P42" s="232"/>
      <c r="Q42" s="232"/>
      <c r="R42" s="232"/>
      <c r="S42" s="232"/>
      <c r="T42" s="232"/>
      <c r="U42" s="232"/>
      <c r="V42" s="232"/>
      <c r="W42" s="21">
        <f>SUM(W36:W41)</f>
        <v>26750</v>
      </c>
    </row>
    <row r="43" spans="1:23" ht="15" customHeight="1" thickBot="1">
      <c r="A43" s="510"/>
      <c r="B43" s="665" t="s">
        <v>204</v>
      </c>
      <c r="C43" s="666"/>
      <c r="D43" s="667"/>
      <c r="E43" s="225"/>
      <c r="F43" s="230"/>
      <c r="G43" s="231"/>
      <c r="H43" s="231"/>
      <c r="I43" s="231"/>
      <c r="J43" s="231"/>
      <c r="K43" s="231"/>
      <c r="L43" s="231"/>
      <c r="M43" s="231"/>
      <c r="N43" s="232"/>
      <c r="O43" s="232"/>
      <c r="P43" s="232"/>
      <c r="Q43" s="232"/>
      <c r="R43" s="232"/>
      <c r="S43" s="232"/>
      <c r="T43" s="232"/>
      <c r="U43" s="232"/>
      <c r="V43" s="232"/>
      <c r="W43" s="21">
        <f>W42+W35+W25+W16</f>
        <v>149090.0015</v>
      </c>
    </row>
    <row r="44" spans="1:23" s="9" customFormat="1" ht="36.75" customHeight="1">
      <c r="A44" s="510"/>
      <c r="B44" s="628" t="s">
        <v>224</v>
      </c>
      <c r="C44" s="629"/>
      <c r="D44" s="630"/>
      <c r="E44" s="607" t="s">
        <v>152</v>
      </c>
      <c r="F44" s="610" t="s">
        <v>225</v>
      </c>
      <c r="G44" s="611"/>
      <c r="H44" s="612"/>
      <c r="I44" s="60"/>
      <c r="J44" s="60"/>
      <c r="K44" s="60"/>
      <c r="L44" s="60"/>
      <c r="M44" s="60"/>
      <c r="N44" s="671" t="s">
        <v>435</v>
      </c>
      <c r="O44" s="791" t="s">
        <v>98</v>
      </c>
      <c r="P44" s="748" t="s">
        <v>338</v>
      </c>
      <c r="Q44" s="748" t="s">
        <v>238</v>
      </c>
      <c r="R44" s="739" t="s">
        <v>238</v>
      </c>
      <c r="S44" s="739" t="s">
        <v>238</v>
      </c>
      <c r="T44" s="736" t="s">
        <v>516</v>
      </c>
      <c r="U44" s="736" t="s">
        <v>498</v>
      </c>
      <c r="V44" s="200" t="s">
        <v>549</v>
      </c>
      <c r="W44" s="198">
        <v>18238</v>
      </c>
    </row>
    <row r="45" spans="1:23" s="9" customFormat="1" ht="35.25" customHeight="1">
      <c r="A45" s="510"/>
      <c r="B45" s="631"/>
      <c r="C45" s="632"/>
      <c r="D45" s="633"/>
      <c r="E45" s="608"/>
      <c r="F45" s="613"/>
      <c r="G45" s="614"/>
      <c r="H45" s="615"/>
      <c r="I45" s="60"/>
      <c r="J45" s="60"/>
      <c r="K45" s="60"/>
      <c r="L45" s="60"/>
      <c r="M45" s="60"/>
      <c r="N45" s="672"/>
      <c r="O45" s="792"/>
      <c r="P45" s="749"/>
      <c r="Q45" s="749"/>
      <c r="R45" s="740"/>
      <c r="S45" s="740"/>
      <c r="T45" s="737"/>
      <c r="U45" s="737"/>
      <c r="V45" s="124" t="s">
        <v>550</v>
      </c>
      <c r="W45" s="199">
        <v>13500</v>
      </c>
    </row>
    <row r="46" spans="1:23" s="9" customFormat="1" ht="22.5" customHeight="1">
      <c r="A46" s="510"/>
      <c r="B46" s="631"/>
      <c r="C46" s="632"/>
      <c r="D46" s="633"/>
      <c r="E46" s="608"/>
      <c r="F46" s="613"/>
      <c r="G46" s="614"/>
      <c r="H46" s="615"/>
      <c r="I46" s="60"/>
      <c r="J46" s="60"/>
      <c r="K46" s="60"/>
      <c r="L46" s="60"/>
      <c r="M46" s="60"/>
      <c r="N46" s="673"/>
      <c r="O46" s="792"/>
      <c r="P46" s="749"/>
      <c r="Q46" s="749"/>
      <c r="R46" s="740"/>
      <c r="S46" s="740"/>
      <c r="T46" s="737"/>
      <c r="U46" s="737"/>
      <c r="V46" s="123" t="s">
        <v>433</v>
      </c>
      <c r="W46" s="199">
        <v>12821.76</v>
      </c>
    </row>
    <row r="47" spans="1:23" s="9" customFormat="1" ht="18" customHeight="1">
      <c r="A47" s="510"/>
      <c r="B47" s="631"/>
      <c r="C47" s="632"/>
      <c r="D47" s="633"/>
      <c r="E47" s="608"/>
      <c r="F47" s="613"/>
      <c r="G47" s="614"/>
      <c r="H47" s="615"/>
      <c r="I47" s="60"/>
      <c r="J47" s="60"/>
      <c r="K47" s="60"/>
      <c r="L47" s="60"/>
      <c r="M47" s="60"/>
      <c r="N47" s="674" t="s">
        <v>32</v>
      </c>
      <c r="O47" s="792"/>
      <c r="P47" s="749"/>
      <c r="Q47" s="749"/>
      <c r="R47" s="740"/>
      <c r="S47" s="740"/>
      <c r="T47" s="737"/>
      <c r="U47" s="737"/>
      <c r="V47" s="123" t="s">
        <v>334</v>
      </c>
      <c r="W47" s="199">
        <v>18000</v>
      </c>
    </row>
    <row r="48" spans="1:23" s="9" customFormat="1" ht="22.5" customHeight="1">
      <c r="A48" s="510"/>
      <c r="B48" s="631"/>
      <c r="C48" s="632"/>
      <c r="D48" s="633"/>
      <c r="E48" s="608"/>
      <c r="F48" s="613"/>
      <c r="G48" s="614"/>
      <c r="H48" s="615"/>
      <c r="I48" s="60"/>
      <c r="J48" s="60"/>
      <c r="K48" s="60"/>
      <c r="L48" s="60"/>
      <c r="M48" s="60"/>
      <c r="N48" s="672"/>
      <c r="O48" s="792"/>
      <c r="P48" s="749"/>
      <c r="Q48" s="749"/>
      <c r="R48" s="740"/>
      <c r="S48" s="740"/>
      <c r="T48" s="737"/>
      <c r="U48" s="737"/>
      <c r="V48" s="124" t="s">
        <v>414</v>
      </c>
      <c r="W48" s="199">
        <v>21244</v>
      </c>
    </row>
    <row r="49" spans="1:23" s="9" customFormat="1" ht="21.75" customHeight="1">
      <c r="A49" s="510"/>
      <c r="B49" s="631"/>
      <c r="C49" s="632"/>
      <c r="D49" s="633"/>
      <c r="E49" s="608"/>
      <c r="F49" s="613"/>
      <c r="G49" s="614"/>
      <c r="H49" s="615"/>
      <c r="I49" s="60"/>
      <c r="J49" s="60"/>
      <c r="K49" s="60"/>
      <c r="L49" s="60"/>
      <c r="M49" s="60"/>
      <c r="N49" s="672"/>
      <c r="O49" s="792"/>
      <c r="P49" s="749"/>
      <c r="Q49" s="749"/>
      <c r="R49" s="740"/>
      <c r="S49" s="740"/>
      <c r="T49" s="737"/>
      <c r="U49" s="737"/>
      <c r="V49" s="123" t="s">
        <v>547</v>
      </c>
      <c r="W49" s="199">
        <v>20000</v>
      </c>
    </row>
    <row r="50" spans="1:23" s="9" customFormat="1" ht="24" customHeight="1">
      <c r="A50" s="510"/>
      <c r="B50" s="631"/>
      <c r="C50" s="632"/>
      <c r="D50" s="633"/>
      <c r="E50" s="608"/>
      <c r="F50" s="613"/>
      <c r="G50" s="614"/>
      <c r="H50" s="615"/>
      <c r="I50" s="60"/>
      <c r="J50" s="60"/>
      <c r="K50" s="60"/>
      <c r="L50" s="60"/>
      <c r="M50" s="60"/>
      <c r="N50" s="673"/>
      <c r="O50" s="792"/>
      <c r="P50" s="749"/>
      <c r="Q50" s="749"/>
      <c r="R50" s="740"/>
      <c r="S50" s="740"/>
      <c r="T50" s="737"/>
      <c r="U50" s="737"/>
      <c r="V50" s="123" t="s">
        <v>411</v>
      </c>
      <c r="W50" s="199">
        <v>2000</v>
      </c>
    </row>
    <row r="51" spans="1:23" s="9" customFormat="1" ht="29.25" customHeight="1">
      <c r="A51" s="510"/>
      <c r="B51" s="631"/>
      <c r="C51" s="632"/>
      <c r="D51" s="633"/>
      <c r="E51" s="608"/>
      <c r="F51" s="613"/>
      <c r="G51" s="614"/>
      <c r="H51" s="615"/>
      <c r="I51" s="60"/>
      <c r="J51" s="60"/>
      <c r="K51" s="60"/>
      <c r="L51" s="60"/>
      <c r="M51" s="60"/>
      <c r="N51" s="678" t="s">
        <v>33</v>
      </c>
      <c r="O51" s="792"/>
      <c r="P51" s="749"/>
      <c r="Q51" s="749"/>
      <c r="R51" s="740"/>
      <c r="S51" s="740"/>
      <c r="T51" s="737"/>
      <c r="U51" s="737"/>
      <c r="V51" s="124" t="s">
        <v>460</v>
      </c>
      <c r="W51" s="199">
        <v>9096.2</v>
      </c>
    </row>
    <row r="52" spans="1:23" s="9" customFormat="1" ht="28.5" customHeight="1" thickBot="1">
      <c r="A52" s="510"/>
      <c r="B52" s="631"/>
      <c r="C52" s="632"/>
      <c r="D52" s="633"/>
      <c r="E52" s="608"/>
      <c r="F52" s="616"/>
      <c r="G52" s="617"/>
      <c r="H52" s="618"/>
      <c r="I52" s="60"/>
      <c r="J52" s="60"/>
      <c r="K52" s="60"/>
      <c r="L52" s="60"/>
      <c r="M52" s="60"/>
      <c r="N52" s="679"/>
      <c r="O52" s="793"/>
      <c r="P52" s="750"/>
      <c r="Q52" s="750"/>
      <c r="R52" s="741"/>
      <c r="S52" s="741"/>
      <c r="T52" s="738"/>
      <c r="U52" s="738"/>
      <c r="V52" s="201" t="s">
        <v>420</v>
      </c>
      <c r="W52" s="204">
        <f>SUM(W44:W51)*0.07</f>
        <v>8042.997200000002</v>
      </c>
    </row>
    <row r="53" spans="1:23" s="9" customFormat="1" ht="18" customHeight="1" thickBot="1">
      <c r="A53" s="510"/>
      <c r="B53" s="631"/>
      <c r="C53" s="632"/>
      <c r="D53" s="633"/>
      <c r="E53" s="608"/>
      <c r="F53" s="567" t="s">
        <v>235</v>
      </c>
      <c r="G53" s="568"/>
      <c r="H53" s="568"/>
      <c r="I53" s="568"/>
      <c r="J53" s="568"/>
      <c r="K53" s="568"/>
      <c r="L53" s="568"/>
      <c r="M53" s="568"/>
      <c r="N53" s="569"/>
      <c r="O53" s="228"/>
      <c r="P53" s="228"/>
      <c r="Q53" s="228"/>
      <c r="R53" s="228"/>
      <c r="S53" s="228"/>
      <c r="T53" s="228"/>
      <c r="U53" s="228"/>
      <c r="V53" s="228"/>
      <c r="W53" s="21">
        <f>SUM(W44:W52)</f>
        <v>122942.9572</v>
      </c>
    </row>
    <row r="54" spans="1:23" s="9" customFormat="1" ht="32.25" customHeight="1">
      <c r="A54" s="510"/>
      <c r="B54" s="631"/>
      <c r="C54" s="632"/>
      <c r="D54" s="633"/>
      <c r="E54" s="608"/>
      <c r="F54" s="610" t="s">
        <v>226</v>
      </c>
      <c r="G54" s="611"/>
      <c r="H54" s="612"/>
      <c r="I54" s="55"/>
      <c r="J54" s="55"/>
      <c r="K54" s="55"/>
      <c r="L54" s="55"/>
      <c r="M54" s="55"/>
      <c r="N54" s="601" t="s">
        <v>99</v>
      </c>
      <c r="O54" s="794" t="s">
        <v>100</v>
      </c>
      <c r="P54" s="748" t="s">
        <v>238</v>
      </c>
      <c r="Q54" s="497"/>
      <c r="R54" s="56"/>
      <c r="S54" s="56"/>
      <c r="T54" s="736" t="s">
        <v>516</v>
      </c>
      <c r="U54" s="733" t="s">
        <v>498</v>
      </c>
      <c r="V54" s="190" t="s">
        <v>336</v>
      </c>
      <c r="W54" s="61">
        <v>15000</v>
      </c>
    </row>
    <row r="55" spans="1:23" s="9" customFormat="1" ht="36.75" customHeight="1">
      <c r="A55" s="510"/>
      <c r="B55" s="631"/>
      <c r="C55" s="632"/>
      <c r="D55" s="633"/>
      <c r="E55" s="608"/>
      <c r="F55" s="613"/>
      <c r="G55" s="614"/>
      <c r="H55" s="615"/>
      <c r="I55" s="55"/>
      <c r="J55" s="55"/>
      <c r="K55" s="55"/>
      <c r="L55" s="55"/>
      <c r="M55" s="55"/>
      <c r="N55" s="602"/>
      <c r="O55" s="795"/>
      <c r="P55" s="749"/>
      <c r="Q55" s="497"/>
      <c r="R55" s="56"/>
      <c r="S55" s="56"/>
      <c r="T55" s="737"/>
      <c r="U55" s="734"/>
      <c r="V55" s="191" t="s">
        <v>551</v>
      </c>
      <c r="W55" s="62">
        <v>2500</v>
      </c>
    </row>
    <row r="56" spans="1:23" s="9" customFormat="1" ht="36.75" customHeight="1">
      <c r="A56" s="510"/>
      <c r="B56" s="631"/>
      <c r="C56" s="632"/>
      <c r="D56" s="633"/>
      <c r="E56" s="608"/>
      <c r="F56" s="613"/>
      <c r="G56" s="614"/>
      <c r="H56" s="615"/>
      <c r="I56" s="55"/>
      <c r="J56" s="55"/>
      <c r="K56" s="55"/>
      <c r="L56" s="55"/>
      <c r="M56" s="55"/>
      <c r="N56" s="602"/>
      <c r="O56" s="795"/>
      <c r="P56" s="749"/>
      <c r="Q56" s="497"/>
      <c r="R56" s="56"/>
      <c r="S56" s="56"/>
      <c r="T56" s="737"/>
      <c r="U56" s="734"/>
      <c r="V56" s="191" t="s">
        <v>552</v>
      </c>
      <c r="W56" s="62">
        <v>2000</v>
      </c>
    </row>
    <row r="57" spans="1:23" s="9" customFormat="1" ht="34.5" customHeight="1" thickBot="1">
      <c r="A57" s="510"/>
      <c r="B57" s="631"/>
      <c r="C57" s="632"/>
      <c r="D57" s="633"/>
      <c r="E57" s="608"/>
      <c r="F57" s="616"/>
      <c r="G57" s="617"/>
      <c r="H57" s="618"/>
      <c r="I57" s="55"/>
      <c r="J57" s="55"/>
      <c r="K57" s="55"/>
      <c r="L57" s="55"/>
      <c r="M57" s="55"/>
      <c r="N57" s="603"/>
      <c r="O57" s="796"/>
      <c r="P57" s="750"/>
      <c r="Q57" s="497"/>
      <c r="R57" s="56"/>
      <c r="S57" s="56"/>
      <c r="T57" s="738"/>
      <c r="U57" s="735"/>
      <c r="V57" s="192" t="s">
        <v>420</v>
      </c>
      <c r="W57" s="63">
        <f>SUM(W54:W56)*0.07</f>
        <v>1365.0000000000002</v>
      </c>
    </row>
    <row r="58" spans="1:23" s="9" customFormat="1" ht="15" customHeight="1" thickBot="1">
      <c r="A58" s="510"/>
      <c r="B58" s="631"/>
      <c r="C58" s="632"/>
      <c r="D58" s="633"/>
      <c r="E58" s="608"/>
      <c r="F58" s="567" t="s">
        <v>234</v>
      </c>
      <c r="G58" s="568"/>
      <c r="H58" s="568"/>
      <c r="I58" s="568"/>
      <c r="J58" s="568"/>
      <c r="K58" s="568"/>
      <c r="L58" s="568"/>
      <c r="M58" s="568"/>
      <c r="N58" s="569"/>
      <c r="O58" s="228"/>
      <c r="P58" s="228"/>
      <c r="Q58" s="228"/>
      <c r="R58" s="228"/>
      <c r="S58" s="228"/>
      <c r="T58" s="228"/>
      <c r="U58" s="228"/>
      <c r="V58" s="228"/>
      <c r="W58" s="21">
        <f>SUM(W54:W57)</f>
        <v>20865</v>
      </c>
    </row>
    <row r="59" spans="1:23" s="9" customFormat="1" ht="48" customHeight="1">
      <c r="A59" s="510"/>
      <c r="B59" s="631"/>
      <c r="C59" s="632"/>
      <c r="D59" s="633"/>
      <c r="E59" s="608"/>
      <c r="F59" s="610" t="s">
        <v>227</v>
      </c>
      <c r="G59" s="611"/>
      <c r="H59" s="612"/>
      <c r="I59" s="55"/>
      <c r="J59" s="55"/>
      <c r="K59" s="55"/>
      <c r="L59" s="55"/>
      <c r="M59" s="55"/>
      <c r="N59" s="601" t="s">
        <v>434</v>
      </c>
      <c r="O59" s="644" t="s">
        <v>609</v>
      </c>
      <c r="P59" s="452"/>
      <c r="Q59" s="571" t="s">
        <v>338</v>
      </c>
      <c r="R59" s="56"/>
      <c r="S59" s="56"/>
      <c r="T59" s="736" t="s">
        <v>517</v>
      </c>
      <c r="U59" s="736" t="s">
        <v>498</v>
      </c>
      <c r="V59" s="190" t="s">
        <v>553</v>
      </c>
      <c r="W59" s="398">
        <v>2500</v>
      </c>
    </row>
    <row r="60" spans="1:23" s="9" customFormat="1" ht="39.75" customHeight="1">
      <c r="A60" s="510"/>
      <c r="B60" s="631"/>
      <c r="C60" s="632"/>
      <c r="D60" s="633"/>
      <c r="E60" s="608"/>
      <c r="F60" s="613"/>
      <c r="G60" s="614"/>
      <c r="H60" s="615"/>
      <c r="I60" s="55"/>
      <c r="J60" s="55"/>
      <c r="K60" s="55"/>
      <c r="L60" s="55"/>
      <c r="M60" s="55"/>
      <c r="N60" s="602"/>
      <c r="O60" s="795"/>
      <c r="P60" s="453"/>
      <c r="Q60" s="572"/>
      <c r="R60" s="56"/>
      <c r="S60" s="56"/>
      <c r="T60" s="737"/>
      <c r="U60" s="737"/>
      <c r="V60" s="191" t="s">
        <v>433</v>
      </c>
      <c r="W60" s="399">
        <v>10000</v>
      </c>
    </row>
    <row r="61" spans="1:23" s="9" customFormat="1" ht="36" customHeight="1" thickBot="1">
      <c r="A61" s="510"/>
      <c r="B61" s="631"/>
      <c r="C61" s="632"/>
      <c r="D61" s="633"/>
      <c r="E61" s="608"/>
      <c r="F61" s="616"/>
      <c r="G61" s="617"/>
      <c r="H61" s="618"/>
      <c r="I61" s="55"/>
      <c r="J61" s="55"/>
      <c r="K61" s="55"/>
      <c r="L61" s="55"/>
      <c r="M61" s="55"/>
      <c r="N61" s="603"/>
      <c r="O61" s="796"/>
      <c r="P61" s="454"/>
      <c r="Q61" s="573"/>
      <c r="R61" s="56"/>
      <c r="S61" s="56"/>
      <c r="T61" s="738"/>
      <c r="U61" s="738"/>
      <c r="V61" s="192" t="s">
        <v>420</v>
      </c>
      <c r="W61" s="400">
        <f>SUM(W59:W60)*0.07</f>
        <v>875.0000000000001</v>
      </c>
    </row>
    <row r="62" spans="1:23" s="9" customFormat="1" ht="15" customHeight="1" thickBot="1">
      <c r="A62" s="510"/>
      <c r="B62" s="631"/>
      <c r="C62" s="632"/>
      <c r="D62" s="633"/>
      <c r="E62" s="608"/>
      <c r="F62" s="567" t="s">
        <v>233</v>
      </c>
      <c r="G62" s="568"/>
      <c r="H62" s="568"/>
      <c r="I62" s="568"/>
      <c r="J62" s="568"/>
      <c r="K62" s="568"/>
      <c r="L62" s="568"/>
      <c r="M62" s="568"/>
      <c r="N62" s="569"/>
      <c r="O62" s="228"/>
      <c r="P62" s="228"/>
      <c r="Q62" s="228"/>
      <c r="R62" s="228"/>
      <c r="S62" s="228"/>
      <c r="T62" s="228"/>
      <c r="U62" s="228"/>
      <c r="V62" s="228"/>
      <c r="W62" s="21">
        <f>SUM(W59:W61)</f>
        <v>13375</v>
      </c>
    </row>
    <row r="63" spans="1:23" s="9" customFormat="1" ht="24.75" customHeight="1">
      <c r="A63" s="510"/>
      <c r="B63" s="631"/>
      <c r="C63" s="632"/>
      <c r="D63" s="633"/>
      <c r="E63" s="608"/>
      <c r="F63" s="610" t="s">
        <v>228</v>
      </c>
      <c r="G63" s="611"/>
      <c r="H63" s="612"/>
      <c r="I63" s="55"/>
      <c r="J63" s="55"/>
      <c r="K63" s="55"/>
      <c r="L63" s="55"/>
      <c r="M63" s="55"/>
      <c r="N63" s="682" t="s">
        <v>492</v>
      </c>
      <c r="O63" s="783" t="s">
        <v>101</v>
      </c>
      <c r="P63" s="455"/>
      <c r="Q63" s="742" t="s">
        <v>338</v>
      </c>
      <c r="R63" s="56"/>
      <c r="S63" s="56"/>
      <c r="T63" s="736" t="s">
        <v>276</v>
      </c>
      <c r="U63" s="739" t="s">
        <v>499</v>
      </c>
      <c r="V63" s="200" t="s">
        <v>553</v>
      </c>
      <c r="W63" s="306">
        <v>2000</v>
      </c>
    </row>
    <row r="64" spans="1:23" s="9" customFormat="1" ht="24.75" customHeight="1">
      <c r="A64" s="510"/>
      <c r="B64" s="631"/>
      <c r="C64" s="632"/>
      <c r="D64" s="633"/>
      <c r="E64" s="608"/>
      <c r="F64" s="613"/>
      <c r="G64" s="614"/>
      <c r="H64" s="615"/>
      <c r="I64" s="55"/>
      <c r="J64" s="55"/>
      <c r="K64" s="55"/>
      <c r="L64" s="55"/>
      <c r="M64" s="55"/>
      <c r="N64" s="683"/>
      <c r="O64" s="798"/>
      <c r="P64" s="455"/>
      <c r="Q64" s="743"/>
      <c r="R64" s="56"/>
      <c r="S64" s="56"/>
      <c r="T64" s="737"/>
      <c r="U64" s="740"/>
      <c r="V64" s="124" t="s">
        <v>399</v>
      </c>
      <c r="W64" s="307">
        <v>5000</v>
      </c>
    </row>
    <row r="65" spans="1:23" s="9" customFormat="1" ht="26.25" customHeight="1">
      <c r="A65" s="510"/>
      <c r="B65" s="631"/>
      <c r="C65" s="632"/>
      <c r="D65" s="633"/>
      <c r="E65" s="608"/>
      <c r="F65" s="613"/>
      <c r="G65" s="614"/>
      <c r="H65" s="615"/>
      <c r="I65" s="55"/>
      <c r="J65" s="55"/>
      <c r="K65" s="55"/>
      <c r="L65" s="55"/>
      <c r="M65" s="55"/>
      <c r="N65" s="683"/>
      <c r="O65" s="798"/>
      <c r="P65" s="455"/>
      <c r="Q65" s="743"/>
      <c r="R65" s="56"/>
      <c r="S65" s="56"/>
      <c r="T65" s="737"/>
      <c r="U65" s="740"/>
      <c r="V65" s="124" t="s">
        <v>460</v>
      </c>
      <c r="W65" s="307">
        <v>1000</v>
      </c>
    </row>
    <row r="66" spans="1:23" s="9" customFormat="1" ht="24.75" customHeight="1" thickBot="1">
      <c r="A66" s="510"/>
      <c r="B66" s="631"/>
      <c r="C66" s="632"/>
      <c r="D66" s="633"/>
      <c r="E66" s="608"/>
      <c r="F66" s="616"/>
      <c r="G66" s="617"/>
      <c r="H66" s="618"/>
      <c r="I66" s="55"/>
      <c r="J66" s="55"/>
      <c r="K66" s="55"/>
      <c r="L66" s="55"/>
      <c r="M66" s="55"/>
      <c r="N66" s="684"/>
      <c r="O66" s="799"/>
      <c r="P66" s="455"/>
      <c r="Q66" s="744"/>
      <c r="R66" s="56"/>
      <c r="S66" s="56"/>
      <c r="T66" s="738"/>
      <c r="U66" s="741"/>
      <c r="V66" s="201" t="s">
        <v>420</v>
      </c>
      <c r="W66" s="308">
        <f>SUM(W63:W65)*0.07</f>
        <v>560</v>
      </c>
    </row>
    <row r="67" spans="1:23" s="9" customFormat="1" ht="18" customHeight="1" thickBot="1">
      <c r="A67" s="510"/>
      <c r="B67" s="212"/>
      <c r="C67" s="213"/>
      <c r="D67" s="214"/>
      <c r="E67" s="609"/>
      <c r="F67" s="567" t="s">
        <v>232</v>
      </c>
      <c r="G67" s="568"/>
      <c r="H67" s="568"/>
      <c r="I67" s="568"/>
      <c r="J67" s="568"/>
      <c r="K67" s="568"/>
      <c r="L67" s="568"/>
      <c r="M67" s="568"/>
      <c r="N67" s="569"/>
      <c r="O67" s="228"/>
      <c r="P67" s="228"/>
      <c r="Q67" s="228"/>
      <c r="R67" s="228"/>
      <c r="S67" s="228"/>
      <c r="T67" s="228"/>
      <c r="U67" s="228"/>
      <c r="V67" s="228"/>
      <c r="W67" s="21">
        <f>SUM(W63:W66)</f>
        <v>8560</v>
      </c>
    </row>
    <row r="68" spans="1:23" ht="18" customHeight="1" thickBot="1">
      <c r="A68" s="510"/>
      <c r="B68" s="665" t="s">
        <v>231</v>
      </c>
      <c r="C68" s="666"/>
      <c r="D68" s="667"/>
      <c r="E68" s="225"/>
      <c r="F68" s="226"/>
      <c r="G68" s="227"/>
      <c r="H68" s="227"/>
      <c r="I68" s="227"/>
      <c r="J68" s="227"/>
      <c r="K68" s="227"/>
      <c r="L68" s="227"/>
      <c r="M68" s="227"/>
      <c r="N68" s="228"/>
      <c r="O68" s="228"/>
      <c r="P68" s="228"/>
      <c r="Q68" s="228"/>
      <c r="R68" s="228"/>
      <c r="S68" s="228"/>
      <c r="T68" s="228"/>
      <c r="U68" s="228"/>
      <c r="V68" s="228"/>
      <c r="W68" s="21">
        <f>W67+W62+W58+W53</f>
        <v>165742.9572</v>
      </c>
    </row>
    <row r="69" spans="1:23" s="9" customFormat="1" ht="27" customHeight="1">
      <c r="A69" s="510"/>
      <c r="B69" s="628" t="s">
        <v>229</v>
      </c>
      <c r="C69" s="629"/>
      <c r="D69" s="630"/>
      <c r="E69" s="607" t="s">
        <v>150</v>
      </c>
      <c r="F69" s="610" t="s">
        <v>230</v>
      </c>
      <c r="G69" s="611"/>
      <c r="H69" s="612"/>
      <c r="I69" s="55"/>
      <c r="J69" s="55"/>
      <c r="K69" s="55"/>
      <c r="L69" s="55"/>
      <c r="M69" s="55"/>
      <c r="N69" s="668" t="s">
        <v>438</v>
      </c>
      <c r="O69" s="777" t="s">
        <v>102</v>
      </c>
      <c r="P69" s="742" t="s">
        <v>338</v>
      </c>
      <c r="Q69" s="571" t="s">
        <v>338</v>
      </c>
      <c r="R69" s="745"/>
      <c r="S69" s="745"/>
      <c r="T69" s="736" t="s">
        <v>276</v>
      </c>
      <c r="U69" s="736" t="s">
        <v>498</v>
      </c>
      <c r="V69" s="275" t="s">
        <v>236</v>
      </c>
      <c r="W69" s="247">
        <v>3000</v>
      </c>
    </row>
    <row r="70" spans="1:23" s="9" customFormat="1" ht="23.25" customHeight="1">
      <c r="A70" s="510"/>
      <c r="B70" s="631"/>
      <c r="C70" s="632"/>
      <c r="D70" s="633"/>
      <c r="E70" s="608"/>
      <c r="F70" s="613"/>
      <c r="G70" s="614"/>
      <c r="H70" s="615"/>
      <c r="I70" s="55"/>
      <c r="J70" s="55"/>
      <c r="K70" s="55"/>
      <c r="L70" s="55"/>
      <c r="M70" s="55"/>
      <c r="N70" s="669"/>
      <c r="O70" s="778"/>
      <c r="P70" s="743"/>
      <c r="Q70" s="572"/>
      <c r="R70" s="746"/>
      <c r="S70" s="746"/>
      <c r="T70" s="737"/>
      <c r="U70" s="737"/>
      <c r="V70" s="276" t="s">
        <v>335</v>
      </c>
      <c r="W70" s="248">
        <v>2220</v>
      </c>
    </row>
    <row r="71" spans="1:23" s="9" customFormat="1" ht="26.25" customHeight="1">
      <c r="A71" s="510"/>
      <c r="B71" s="631"/>
      <c r="C71" s="632"/>
      <c r="D71" s="633"/>
      <c r="E71" s="608"/>
      <c r="F71" s="613"/>
      <c r="G71" s="614"/>
      <c r="H71" s="615"/>
      <c r="I71" s="55"/>
      <c r="J71" s="55"/>
      <c r="K71" s="55"/>
      <c r="L71" s="55"/>
      <c r="M71" s="55"/>
      <c r="N71" s="669"/>
      <c r="O71" s="778"/>
      <c r="P71" s="743"/>
      <c r="Q71" s="572"/>
      <c r="R71" s="746"/>
      <c r="S71" s="746"/>
      <c r="T71" s="737"/>
      <c r="U71" s="737"/>
      <c r="V71" s="276" t="s">
        <v>439</v>
      </c>
      <c r="W71" s="249">
        <v>8059</v>
      </c>
    </row>
    <row r="72" spans="1:23" s="9" customFormat="1" ht="31.5" customHeight="1" thickBot="1">
      <c r="A72" s="510"/>
      <c r="B72" s="631"/>
      <c r="C72" s="632"/>
      <c r="D72" s="633"/>
      <c r="E72" s="608"/>
      <c r="F72" s="613"/>
      <c r="G72" s="614"/>
      <c r="H72" s="615"/>
      <c r="I72" s="55"/>
      <c r="J72" s="55"/>
      <c r="K72" s="55"/>
      <c r="L72" s="55"/>
      <c r="M72" s="55"/>
      <c r="N72" s="670"/>
      <c r="O72" s="779"/>
      <c r="P72" s="744"/>
      <c r="Q72" s="573"/>
      <c r="R72" s="747"/>
      <c r="S72" s="747"/>
      <c r="T72" s="738"/>
      <c r="U72" s="738"/>
      <c r="V72" s="58" t="s">
        <v>237</v>
      </c>
      <c r="W72" s="248">
        <f>SUM(W69:W71)*0.07</f>
        <v>929.5300000000001</v>
      </c>
    </row>
    <row r="73" spans="1:23" s="9" customFormat="1" ht="18" customHeight="1" thickBot="1">
      <c r="A73" s="510"/>
      <c r="B73" s="631"/>
      <c r="C73" s="632"/>
      <c r="D73" s="633"/>
      <c r="E73" s="609"/>
      <c r="F73" s="567" t="s">
        <v>239</v>
      </c>
      <c r="G73" s="568"/>
      <c r="H73" s="568"/>
      <c r="I73" s="568"/>
      <c r="J73" s="568"/>
      <c r="K73" s="568"/>
      <c r="L73" s="568"/>
      <c r="M73" s="568"/>
      <c r="N73" s="569"/>
      <c r="O73" s="228"/>
      <c r="P73" s="228"/>
      <c r="Q73" s="228"/>
      <c r="R73" s="228"/>
      <c r="S73" s="228"/>
      <c r="T73" s="228"/>
      <c r="U73" s="228"/>
      <c r="V73" s="228"/>
      <c r="W73" s="21">
        <f>SUM(W69:W72)</f>
        <v>14208.53</v>
      </c>
    </row>
    <row r="74" spans="1:23" ht="15" customHeight="1" thickBot="1">
      <c r="A74" s="510"/>
      <c r="B74" s="665" t="s">
        <v>240</v>
      </c>
      <c r="C74" s="666"/>
      <c r="D74" s="667"/>
      <c r="E74" s="225"/>
      <c r="F74" s="226"/>
      <c r="G74" s="227"/>
      <c r="H74" s="227"/>
      <c r="I74" s="227"/>
      <c r="J74" s="227"/>
      <c r="K74" s="227"/>
      <c r="L74" s="227"/>
      <c r="M74" s="227"/>
      <c r="N74" s="228"/>
      <c r="O74" s="228"/>
      <c r="P74" s="228"/>
      <c r="Q74" s="228"/>
      <c r="R74" s="228"/>
      <c r="S74" s="228"/>
      <c r="T74" s="228"/>
      <c r="U74" s="228"/>
      <c r="V74" s="228"/>
      <c r="W74" s="21">
        <f>W73</f>
        <v>14208.53</v>
      </c>
    </row>
    <row r="75" spans="1:23" ht="22.5" customHeight="1">
      <c r="A75" s="510"/>
      <c r="B75" s="610" t="s">
        <v>198</v>
      </c>
      <c r="C75" s="611"/>
      <c r="D75" s="612"/>
      <c r="E75" s="607" t="s">
        <v>330</v>
      </c>
      <c r="F75" s="537" t="s">
        <v>241</v>
      </c>
      <c r="G75" s="538"/>
      <c r="H75" s="539"/>
      <c r="I75" s="527">
        <v>78003</v>
      </c>
      <c r="J75" s="527">
        <v>189390.5</v>
      </c>
      <c r="K75" s="527">
        <v>189390</v>
      </c>
      <c r="L75" s="527">
        <v>49958</v>
      </c>
      <c r="M75" s="527">
        <f>SUM(I75:L75)</f>
        <v>506741.5</v>
      </c>
      <c r="N75" s="594" t="s">
        <v>464</v>
      </c>
      <c r="O75" s="780" t="s">
        <v>41</v>
      </c>
      <c r="P75" s="526" t="s">
        <v>338</v>
      </c>
      <c r="Q75" s="526" t="s">
        <v>338</v>
      </c>
      <c r="R75" s="767"/>
      <c r="S75" s="767"/>
      <c r="T75" s="751" t="s">
        <v>276</v>
      </c>
      <c r="U75" s="751" t="s">
        <v>498</v>
      </c>
      <c r="V75" s="299" t="s">
        <v>554</v>
      </c>
      <c r="W75" s="18">
        <f>5000*0.37</f>
        <v>1850</v>
      </c>
    </row>
    <row r="76" spans="1:23" ht="20.25" customHeight="1">
      <c r="A76" s="510"/>
      <c r="B76" s="613"/>
      <c r="C76" s="614"/>
      <c r="D76" s="615"/>
      <c r="E76" s="608"/>
      <c r="F76" s="540"/>
      <c r="G76" s="541"/>
      <c r="H76" s="542"/>
      <c r="I76" s="524"/>
      <c r="J76" s="524"/>
      <c r="K76" s="524"/>
      <c r="L76" s="524"/>
      <c r="M76" s="524"/>
      <c r="N76" s="595"/>
      <c r="O76" s="781"/>
      <c r="P76" s="596"/>
      <c r="Q76" s="596"/>
      <c r="R76" s="768"/>
      <c r="S76" s="768"/>
      <c r="T76" s="752"/>
      <c r="U76" s="752"/>
      <c r="V76" s="242" t="s">
        <v>335</v>
      </c>
      <c r="W76" s="19">
        <f>5000*0.35</f>
        <v>1750</v>
      </c>
    </row>
    <row r="77" spans="1:23" ht="21" customHeight="1">
      <c r="A77" s="510"/>
      <c r="B77" s="613"/>
      <c r="C77" s="614"/>
      <c r="D77" s="615"/>
      <c r="E77" s="608"/>
      <c r="F77" s="540"/>
      <c r="G77" s="541"/>
      <c r="H77" s="542"/>
      <c r="I77" s="524"/>
      <c r="J77" s="524"/>
      <c r="K77" s="524"/>
      <c r="L77" s="524"/>
      <c r="M77" s="524"/>
      <c r="N77" s="595"/>
      <c r="O77" s="781"/>
      <c r="P77" s="596"/>
      <c r="Q77" s="596"/>
      <c r="R77" s="768"/>
      <c r="S77" s="768"/>
      <c r="T77" s="752"/>
      <c r="U77" s="752"/>
      <c r="V77" s="298" t="s">
        <v>336</v>
      </c>
      <c r="W77" s="17">
        <f>5000*0.08</f>
        <v>400</v>
      </c>
    </row>
    <row r="78" spans="1:23" ht="20.25" customHeight="1">
      <c r="A78" s="510"/>
      <c r="B78" s="613"/>
      <c r="C78" s="614"/>
      <c r="D78" s="615"/>
      <c r="E78" s="608"/>
      <c r="F78" s="540"/>
      <c r="G78" s="541"/>
      <c r="H78" s="542"/>
      <c r="I78" s="524"/>
      <c r="J78" s="524"/>
      <c r="K78" s="524"/>
      <c r="L78" s="524"/>
      <c r="M78" s="524"/>
      <c r="N78" s="595"/>
      <c r="O78" s="781"/>
      <c r="P78" s="596"/>
      <c r="Q78" s="596"/>
      <c r="R78" s="768"/>
      <c r="S78" s="768"/>
      <c r="T78" s="752"/>
      <c r="U78" s="752"/>
      <c r="V78" s="297" t="s">
        <v>439</v>
      </c>
      <c r="W78" s="223">
        <f>5000*0.2</f>
        <v>1000</v>
      </c>
    </row>
    <row r="79" spans="1:23" ht="18" customHeight="1">
      <c r="A79" s="510"/>
      <c r="B79" s="613"/>
      <c r="C79" s="614"/>
      <c r="D79" s="615"/>
      <c r="E79" s="608"/>
      <c r="F79" s="540"/>
      <c r="G79" s="541"/>
      <c r="H79" s="542"/>
      <c r="I79" s="524"/>
      <c r="J79" s="524"/>
      <c r="K79" s="524"/>
      <c r="L79" s="524"/>
      <c r="M79" s="524"/>
      <c r="N79" s="595"/>
      <c r="O79" s="781"/>
      <c r="P79" s="596"/>
      <c r="Q79" s="596"/>
      <c r="R79" s="768"/>
      <c r="S79" s="768"/>
      <c r="T79" s="752"/>
      <c r="U79" s="752"/>
      <c r="V79" s="586" t="s">
        <v>237</v>
      </c>
      <c r="W79" s="574">
        <f>SUM(W75:W78)*0.07</f>
        <v>350.00000000000006</v>
      </c>
    </row>
    <row r="80" spans="1:23" ht="18" customHeight="1" thickBot="1">
      <c r="A80" s="510"/>
      <c r="B80" s="613"/>
      <c r="C80" s="614"/>
      <c r="D80" s="615"/>
      <c r="E80" s="608"/>
      <c r="F80" s="543"/>
      <c r="G80" s="544"/>
      <c r="H80" s="545"/>
      <c r="I80" s="524"/>
      <c r="J80" s="524"/>
      <c r="K80" s="524"/>
      <c r="L80" s="524"/>
      <c r="M80" s="524"/>
      <c r="N80" s="655"/>
      <c r="O80" s="782"/>
      <c r="P80" s="597"/>
      <c r="Q80" s="597"/>
      <c r="R80" s="769"/>
      <c r="S80" s="769"/>
      <c r="T80" s="753"/>
      <c r="U80" s="753"/>
      <c r="V80" s="587"/>
      <c r="W80" s="575"/>
    </row>
    <row r="81" spans="1:23" ht="18" customHeight="1" thickBot="1">
      <c r="A81" s="510"/>
      <c r="B81" s="613"/>
      <c r="C81" s="614"/>
      <c r="D81" s="615"/>
      <c r="E81" s="608"/>
      <c r="F81" s="653" t="s">
        <v>246</v>
      </c>
      <c r="G81" s="654"/>
      <c r="H81" s="654"/>
      <c r="I81" s="524"/>
      <c r="J81" s="524"/>
      <c r="K81" s="524"/>
      <c r="L81" s="524"/>
      <c r="M81" s="524"/>
      <c r="N81" s="270"/>
      <c r="O81" s="271"/>
      <c r="P81" s="271"/>
      <c r="Q81" s="271"/>
      <c r="R81" s="271"/>
      <c r="S81" s="271"/>
      <c r="T81" s="271"/>
      <c r="U81" s="271"/>
      <c r="V81" s="271"/>
      <c r="W81" s="272">
        <f>SUM(W75:W80)</f>
        <v>5350</v>
      </c>
    </row>
    <row r="82" spans="1:23" ht="18" customHeight="1">
      <c r="A82" s="510"/>
      <c r="B82" s="613"/>
      <c r="C82" s="614"/>
      <c r="D82" s="615"/>
      <c r="E82" s="608"/>
      <c r="F82" s="537" t="s">
        <v>242</v>
      </c>
      <c r="G82" s="538"/>
      <c r="H82" s="538"/>
      <c r="I82" s="524"/>
      <c r="J82" s="524"/>
      <c r="K82" s="524"/>
      <c r="L82" s="524"/>
      <c r="M82" s="656"/>
      <c r="N82" s="594" t="s">
        <v>467</v>
      </c>
      <c r="O82" s="780" t="s">
        <v>103</v>
      </c>
      <c r="P82" s="697" t="s">
        <v>338</v>
      </c>
      <c r="Q82" s="697" t="s">
        <v>338</v>
      </c>
      <c r="R82" s="564" t="s">
        <v>338</v>
      </c>
      <c r="S82" s="564" t="s">
        <v>338</v>
      </c>
      <c r="T82" s="564" t="s">
        <v>276</v>
      </c>
      <c r="U82" s="564" t="s">
        <v>498</v>
      </c>
      <c r="V82" s="299" t="s">
        <v>554</v>
      </c>
      <c r="W82" s="18">
        <f>8000*0.37</f>
        <v>2960</v>
      </c>
    </row>
    <row r="83" spans="1:23" ht="18" customHeight="1" thickBot="1">
      <c r="A83" s="510"/>
      <c r="B83" s="613"/>
      <c r="C83" s="614"/>
      <c r="D83" s="615"/>
      <c r="E83" s="608"/>
      <c r="F83" s="540"/>
      <c r="G83" s="541"/>
      <c r="H83" s="541"/>
      <c r="I83" s="525"/>
      <c r="J83" s="525"/>
      <c r="K83" s="525"/>
      <c r="L83" s="525"/>
      <c r="M83" s="657"/>
      <c r="N83" s="595"/>
      <c r="O83" s="781"/>
      <c r="P83" s="705"/>
      <c r="Q83" s="705"/>
      <c r="R83" s="565"/>
      <c r="S83" s="565"/>
      <c r="T83" s="565"/>
      <c r="U83" s="565"/>
      <c r="V83" s="242" t="s">
        <v>335</v>
      </c>
      <c r="W83" s="17">
        <f>8000*0.35</f>
        <v>2800</v>
      </c>
    </row>
    <row r="84" spans="1:23" ht="18" customHeight="1" thickBot="1">
      <c r="A84" s="510"/>
      <c r="B84" s="613"/>
      <c r="C84" s="614"/>
      <c r="D84" s="615"/>
      <c r="E84" s="608"/>
      <c r="F84" s="540"/>
      <c r="G84" s="541"/>
      <c r="H84" s="541"/>
      <c r="I84" s="8"/>
      <c r="J84" s="8"/>
      <c r="K84" s="8"/>
      <c r="L84" s="8"/>
      <c r="M84" s="8"/>
      <c r="N84" s="595"/>
      <c r="O84" s="781"/>
      <c r="P84" s="705"/>
      <c r="Q84" s="705"/>
      <c r="R84" s="565"/>
      <c r="S84" s="565"/>
      <c r="T84" s="565"/>
      <c r="U84" s="565"/>
      <c r="V84" s="298" t="s">
        <v>336</v>
      </c>
      <c r="W84" s="15">
        <f>8000*0.08</f>
        <v>640</v>
      </c>
    </row>
    <row r="85" spans="1:23" ht="19.5" customHeight="1" thickBot="1">
      <c r="A85" s="510"/>
      <c r="B85" s="613"/>
      <c r="C85" s="614"/>
      <c r="D85" s="615"/>
      <c r="E85" s="608"/>
      <c r="F85" s="540"/>
      <c r="G85" s="541"/>
      <c r="H85" s="541"/>
      <c r="I85" s="8"/>
      <c r="J85" s="8"/>
      <c r="K85" s="8"/>
      <c r="L85" s="8"/>
      <c r="M85" s="8"/>
      <c r="N85" s="595"/>
      <c r="O85" s="781"/>
      <c r="P85" s="705"/>
      <c r="Q85" s="705"/>
      <c r="R85" s="565"/>
      <c r="S85" s="565"/>
      <c r="T85" s="565"/>
      <c r="U85" s="565"/>
      <c r="V85" s="242" t="s">
        <v>439</v>
      </c>
      <c r="W85" s="15">
        <f>8000*0.2</f>
        <v>1600</v>
      </c>
    </row>
    <row r="86" spans="1:23" ht="30" customHeight="1" thickBot="1">
      <c r="A86" s="510"/>
      <c r="B86" s="613"/>
      <c r="C86" s="614"/>
      <c r="D86" s="615"/>
      <c r="E86" s="608"/>
      <c r="F86" s="543"/>
      <c r="G86" s="544"/>
      <c r="H86" s="544"/>
      <c r="I86" s="8"/>
      <c r="J86" s="8"/>
      <c r="K86" s="8"/>
      <c r="L86" s="8"/>
      <c r="M86" s="8"/>
      <c r="N86" s="655"/>
      <c r="O86" s="782"/>
      <c r="P86" s="710"/>
      <c r="Q86" s="710"/>
      <c r="R86" s="566"/>
      <c r="S86" s="566"/>
      <c r="T86" s="566"/>
      <c r="U86" s="566"/>
      <c r="V86" s="274" t="s">
        <v>237</v>
      </c>
      <c r="W86" s="234">
        <f>SUM(W82:W85)*0.07</f>
        <v>560</v>
      </c>
    </row>
    <row r="87" spans="1:23" ht="18" customHeight="1" thickBot="1">
      <c r="A87" s="510"/>
      <c r="B87" s="613"/>
      <c r="C87" s="614"/>
      <c r="D87" s="615"/>
      <c r="E87" s="608"/>
      <c r="F87" s="653" t="s">
        <v>247</v>
      </c>
      <c r="G87" s="654"/>
      <c r="H87" s="654"/>
      <c r="I87" s="654"/>
      <c r="J87" s="654"/>
      <c r="K87" s="654"/>
      <c r="L87" s="654"/>
      <c r="M87" s="654"/>
      <c r="N87" s="663"/>
      <c r="O87" s="232"/>
      <c r="P87" s="228"/>
      <c r="Q87" s="228"/>
      <c r="R87" s="228"/>
      <c r="S87" s="228"/>
      <c r="T87" s="228"/>
      <c r="U87" s="228"/>
      <c r="V87" s="228"/>
      <c r="W87" s="21">
        <f>SUM(W82:W86)</f>
        <v>8560</v>
      </c>
    </row>
    <row r="88" spans="1:23" ht="18" customHeight="1">
      <c r="A88" s="510"/>
      <c r="B88" s="613"/>
      <c r="C88" s="614"/>
      <c r="D88" s="615"/>
      <c r="E88" s="608"/>
      <c r="F88" s="537" t="s">
        <v>243</v>
      </c>
      <c r="G88" s="538"/>
      <c r="H88" s="539"/>
      <c r="I88" s="527">
        <v>37182.5</v>
      </c>
      <c r="J88" s="527">
        <v>0</v>
      </c>
      <c r="K88" s="527">
        <v>0</v>
      </c>
      <c r="L88" s="527">
        <v>0</v>
      </c>
      <c r="M88" s="527">
        <f>SUM(I88:L88)</f>
        <v>37182.5</v>
      </c>
      <c r="N88" s="664" t="s">
        <v>465</v>
      </c>
      <c r="O88" s="709" t="s">
        <v>42</v>
      </c>
      <c r="P88" s="697" t="s">
        <v>338</v>
      </c>
      <c r="Q88" s="697" t="s">
        <v>338</v>
      </c>
      <c r="R88" s="564" t="s">
        <v>338</v>
      </c>
      <c r="S88" s="564" t="s">
        <v>338</v>
      </c>
      <c r="T88" s="564" t="s">
        <v>276</v>
      </c>
      <c r="U88" s="564" t="s">
        <v>498</v>
      </c>
      <c r="V88" s="299" t="s">
        <v>554</v>
      </c>
      <c r="W88" s="18">
        <f>19000*0.37</f>
        <v>7030</v>
      </c>
    </row>
    <row r="89" spans="1:23" ht="22.5" customHeight="1">
      <c r="A89" s="510"/>
      <c r="B89" s="613"/>
      <c r="C89" s="614"/>
      <c r="D89" s="615"/>
      <c r="E89" s="608"/>
      <c r="F89" s="540"/>
      <c r="G89" s="541"/>
      <c r="H89" s="542"/>
      <c r="I89" s="524"/>
      <c r="J89" s="524"/>
      <c r="K89" s="524"/>
      <c r="L89" s="524"/>
      <c r="M89" s="524"/>
      <c r="N89" s="605"/>
      <c r="O89" s="589"/>
      <c r="P89" s="705"/>
      <c r="Q89" s="705"/>
      <c r="R89" s="565"/>
      <c r="S89" s="565"/>
      <c r="T89" s="565"/>
      <c r="U89" s="565"/>
      <c r="V89" s="298" t="s">
        <v>335</v>
      </c>
      <c r="W89" s="19">
        <f>19000*0.35</f>
        <v>6650</v>
      </c>
    </row>
    <row r="90" spans="1:23" ht="19.5" customHeight="1">
      <c r="A90" s="510"/>
      <c r="B90" s="613"/>
      <c r="C90" s="614"/>
      <c r="D90" s="615"/>
      <c r="E90" s="608"/>
      <c r="F90" s="540"/>
      <c r="G90" s="541"/>
      <c r="H90" s="542"/>
      <c r="I90" s="524"/>
      <c r="J90" s="524"/>
      <c r="K90" s="524"/>
      <c r="L90" s="524"/>
      <c r="M90" s="524"/>
      <c r="N90" s="700" t="s">
        <v>466</v>
      </c>
      <c r="O90" s="589"/>
      <c r="P90" s="705"/>
      <c r="Q90" s="705"/>
      <c r="R90" s="565"/>
      <c r="S90" s="565"/>
      <c r="T90" s="565"/>
      <c r="U90" s="565"/>
      <c r="V90" s="298" t="s">
        <v>336</v>
      </c>
      <c r="W90" s="19">
        <f>19000*0.08</f>
        <v>1520</v>
      </c>
    </row>
    <row r="91" spans="1:23" ht="18" customHeight="1">
      <c r="A91" s="510"/>
      <c r="B91" s="613"/>
      <c r="C91" s="614"/>
      <c r="D91" s="615"/>
      <c r="E91" s="608"/>
      <c r="F91" s="540"/>
      <c r="G91" s="541"/>
      <c r="H91" s="542"/>
      <c r="I91" s="524"/>
      <c r="J91" s="524"/>
      <c r="K91" s="524"/>
      <c r="L91" s="524"/>
      <c r="M91" s="524"/>
      <c r="N91" s="589"/>
      <c r="O91" s="589"/>
      <c r="P91" s="705"/>
      <c r="Q91" s="705"/>
      <c r="R91" s="565"/>
      <c r="S91" s="565"/>
      <c r="T91" s="565"/>
      <c r="U91" s="565"/>
      <c r="V91" s="242" t="s">
        <v>439</v>
      </c>
      <c r="W91" s="19">
        <f>19000*0.2</f>
        <v>3800</v>
      </c>
    </row>
    <row r="92" spans="1:23" ht="28.5" customHeight="1" thickBot="1">
      <c r="A92" s="510"/>
      <c r="B92" s="613"/>
      <c r="C92" s="614"/>
      <c r="D92" s="615"/>
      <c r="E92" s="608"/>
      <c r="F92" s="543"/>
      <c r="G92" s="544"/>
      <c r="H92" s="545"/>
      <c r="I92" s="524"/>
      <c r="J92" s="524"/>
      <c r="K92" s="524"/>
      <c r="L92" s="524"/>
      <c r="M92" s="524"/>
      <c r="N92" s="590"/>
      <c r="O92" s="590"/>
      <c r="P92" s="710"/>
      <c r="Q92" s="710"/>
      <c r="R92" s="566"/>
      <c r="S92" s="566"/>
      <c r="T92" s="566"/>
      <c r="U92" s="566"/>
      <c r="V92" s="235" t="s">
        <v>237</v>
      </c>
      <c r="W92" s="67">
        <f>SUM(W88:W91)*0.07</f>
        <v>1330.0000000000002</v>
      </c>
    </row>
    <row r="93" spans="1:23" ht="18" customHeight="1" thickBot="1">
      <c r="A93" s="510"/>
      <c r="B93" s="613"/>
      <c r="C93" s="614"/>
      <c r="D93" s="615"/>
      <c r="E93" s="608"/>
      <c r="F93" s="653" t="s">
        <v>248</v>
      </c>
      <c r="G93" s="654"/>
      <c r="H93" s="654"/>
      <c r="I93" s="524"/>
      <c r="J93" s="524"/>
      <c r="K93" s="524"/>
      <c r="L93" s="524"/>
      <c r="M93" s="524"/>
      <c r="N93" s="14"/>
      <c r="O93" s="14"/>
      <c r="P93" s="14"/>
      <c r="Q93" s="14"/>
      <c r="R93" s="14"/>
      <c r="S93" s="14"/>
      <c r="T93" s="14"/>
      <c r="U93" s="14"/>
      <c r="V93" s="14"/>
      <c r="W93" s="302">
        <f>SUM(W88:W92)</f>
        <v>20330</v>
      </c>
    </row>
    <row r="94" spans="1:23" ht="24.75" customHeight="1">
      <c r="A94" s="510"/>
      <c r="B94" s="613"/>
      <c r="C94" s="614"/>
      <c r="D94" s="615"/>
      <c r="E94" s="608"/>
      <c r="F94" s="537" t="s">
        <v>244</v>
      </c>
      <c r="G94" s="538"/>
      <c r="H94" s="539"/>
      <c r="I94" s="524"/>
      <c r="J94" s="524"/>
      <c r="K94" s="524"/>
      <c r="L94" s="524"/>
      <c r="M94" s="524"/>
      <c r="N94" s="658" t="s">
        <v>472</v>
      </c>
      <c r="O94" s="774" t="s">
        <v>43</v>
      </c>
      <c r="P94" s="697" t="s">
        <v>338</v>
      </c>
      <c r="Q94" s="697" t="s">
        <v>338</v>
      </c>
      <c r="R94" s="564" t="s">
        <v>338</v>
      </c>
      <c r="S94" s="564" t="s">
        <v>338</v>
      </c>
      <c r="T94" s="564" t="s">
        <v>276</v>
      </c>
      <c r="U94" s="564" t="s">
        <v>498</v>
      </c>
      <c r="V94" s="299" t="s">
        <v>554</v>
      </c>
      <c r="W94" s="18">
        <f>24000*0.37</f>
        <v>8880</v>
      </c>
    </row>
    <row r="95" spans="1:23" ht="24.75" customHeight="1">
      <c r="A95" s="510"/>
      <c r="B95" s="613"/>
      <c r="C95" s="614"/>
      <c r="D95" s="615"/>
      <c r="E95" s="608"/>
      <c r="F95" s="540"/>
      <c r="G95" s="541"/>
      <c r="H95" s="542"/>
      <c r="I95" s="524"/>
      <c r="J95" s="524"/>
      <c r="K95" s="524"/>
      <c r="L95" s="524"/>
      <c r="M95" s="524"/>
      <c r="N95" s="659"/>
      <c r="O95" s="775"/>
      <c r="P95" s="698"/>
      <c r="Q95" s="698"/>
      <c r="R95" s="575"/>
      <c r="S95" s="575"/>
      <c r="T95" s="565"/>
      <c r="U95" s="565"/>
      <c r="V95" s="298" t="s">
        <v>335</v>
      </c>
      <c r="W95" s="19">
        <f>24000*0.35</f>
        <v>8400</v>
      </c>
    </row>
    <row r="96" spans="1:23" ht="21.75" customHeight="1">
      <c r="A96" s="510"/>
      <c r="B96" s="613"/>
      <c r="C96" s="614"/>
      <c r="D96" s="615"/>
      <c r="E96" s="608"/>
      <c r="F96" s="540"/>
      <c r="G96" s="541"/>
      <c r="H96" s="542"/>
      <c r="I96" s="524"/>
      <c r="J96" s="524"/>
      <c r="K96" s="524"/>
      <c r="L96" s="524"/>
      <c r="M96" s="524"/>
      <c r="N96" s="660" t="s">
        <v>473</v>
      </c>
      <c r="O96" s="775"/>
      <c r="P96" s="699" t="s">
        <v>338</v>
      </c>
      <c r="Q96" s="699" t="s">
        <v>338</v>
      </c>
      <c r="R96" s="574" t="s">
        <v>338</v>
      </c>
      <c r="S96" s="574" t="s">
        <v>338</v>
      </c>
      <c r="T96" s="565"/>
      <c r="U96" s="565"/>
      <c r="V96" s="298" t="s">
        <v>336</v>
      </c>
      <c r="W96" s="19">
        <f>24000*0.08</f>
        <v>1920</v>
      </c>
    </row>
    <row r="97" spans="1:23" ht="24" customHeight="1">
      <c r="A97" s="510"/>
      <c r="B97" s="613"/>
      <c r="C97" s="614"/>
      <c r="D97" s="615"/>
      <c r="E97" s="608"/>
      <c r="F97" s="540"/>
      <c r="G97" s="541"/>
      <c r="H97" s="542"/>
      <c r="I97" s="524"/>
      <c r="J97" s="524"/>
      <c r="K97" s="524"/>
      <c r="L97" s="524"/>
      <c r="M97" s="524"/>
      <c r="N97" s="659"/>
      <c r="O97" s="775"/>
      <c r="P97" s="698"/>
      <c r="Q97" s="698"/>
      <c r="R97" s="575"/>
      <c r="S97" s="575"/>
      <c r="T97" s="565"/>
      <c r="U97" s="565"/>
      <c r="V97" s="242" t="s">
        <v>439</v>
      </c>
      <c r="W97" s="19">
        <f>24000*0.2</f>
        <v>4800</v>
      </c>
    </row>
    <row r="98" spans="1:23" ht="20.25" customHeight="1">
      <c r="A98" s="510"/>
      <c r="B98" s="613"/>
      <c r="C98" s="614"/>
      <c r="D98" s="615"/>
      <c r="E98" s="608"/>
      <c r="F98" s="540"/>
      <c r="G98" s="541"/>
      <c r="H98" s="542"/>
      <c r="I98" s="524"/>
      <c r="J98" s="524"/>
      <c r="K98" s="524"/>
      <c r="L98" s="524"/>
      <c r="M98" s="524"/>
      <c r="N98" s="660" t="s">
        <v>474</v>
      </c>
      <c r="O98" s="775"/>
      <c r="P98" s="640"/>
      <c r="Q98" s="642"/>
      <c r="R98" s="565"/>
      <c r="S98" s="565" t="s">
        <v>338</v>
      </c>
      <c r="T98" s="565"/>
      <c r="U98" s="565"/>
      <c r="V98" s="577" t="s">
        <v>237</v>
      </c>
      <c r="W98" s="565">
        <f>SUM(W94:W97)*0.07</f>
        <v>1680.0000000000002</v>
      </c>
    </row>
    <row r="99" spans="1:23" ht="17.25" customHeight="1" thickBot="1">
      <c r="A99" s="510"/>
      <c r="B99" s="613"/>
      <c r="C99" s="614"/>
      <c r="D99" s="615"/>
      <c r="E99" s="608"/>
      <c r="F99" s="543"/>
      <c r="G99" s="544"/>
      <c r="H99" s="545"/>
      <c r="I99" s="524"/>
      <c r="J99" s="524"/>
      <c r="K99" s="524"/>
      <c r="L99" s="524"/>
      <c r="M99" s="524"/>
      <c r="N99" s="701"/>
      <c r="O99" s="776"/>
      <c r="P99" s="641"/>
      <c r="Q99" s="643"/>
      <c r="R99" s="566"/>
      <c r="S99" s="566"/>
      <c r="T99" s="566"/>
      <c r="U99" s="566"/>
      <c r="V99" s="578"/>
      <c r="W99" s="566"/>
    </row>
    <row r="100" spans="1:23" ht="20.25" customHeight="1" thickBot="1">
      <c r="A100" s="510"/>
      <c r="B100" s="613"/>
      <c r="C100" s="614"/>
      <c r="D100" s="615"/>
      <c r="E100" s="608"/>
      <c r="F100" s="653" t="s">
        <v>249</v>
      </c>
      <c r="G100" s="654"/>
      <c r="H100" s="654"/>
      <c r="I100" s="524"/>
      <c r="J100" s="524"/>
      <c r="K100" s="524"/>
      <c r="L100" s="524"/>
      <c r="M100" s="524"/>
      <c r="N100" s="14"/>
      <c r="O100" s="14"/>
      <c r="P100" s="14"/>
      <c r="Q100" s="14"/>
      <c r="R100" s="14"/>
      <c r="S100" s="14"/>
      <c r="T100" s="14"/>
      <c r="U100" s="14"/>
      <c r="V100" s="14"/>
      <c r="W100" s="302">
        <f>SUM(W94:W99)</f>
        <v>25680</v>
      </c>
    </row>
    <row r="101" spans="1:23" ht="23.25" customHeight="1">
      <c r="A101" s="510"/>
      <c r="B101" s="613"/>
      <c r="C101" s="614"/>
      <c r="D101" s="615"/>
      <c r="E101" s="608"/>
      <c r="F101" s="644" t="s">
        <v>245</v>
      </c>
      <c r="G101" s="645"/>
      <c r="H101" s="646"/>
      <c r="I101" s="524"/>
      <c r="J101" s="524"/>
      <c r="K101" s="524"/>
      <c r="L101" s="524"/>
      <c r="M101" s="524"/>
      <c r="N101" s="664" t="s">
        <v>475</v>
      </c>
      <c r="O101" s="709" t="s">
        <v>104</v>
      </c>
      <c r="P101" s="697" t="s">
        <v>338</v>
      </c>
      <c r="Q101" s="470"/>
      <c r="R101" s="217"/>
      <c r="S101" s="217"/>
      <c r="T101" s="564" t="s">
        <v>518</v>
      </c>
      <c r="U101" s="564" t="s">
        <v>498</v>
      </c>
      <c r="V101" s="299" t="s">
        <v>554</v>
      </c>
      <c r="W101" s="18">
        <f>8000*0.37</f>
        <v>2960</v>
      </c>
    </row>
    <row r="102" spans="1:23" ht="21" customHeight="1">
      <c r="A102" s="510"/>
      <c r="B102" s="613"/>
      <c r="C102" s="614"/>
      <c r="D102" s="615"/>
      <c r="E102" s="608"/>
      <c r="F102" s="647"/>
      <c r="G102" s="648"/>
      <c r="H102" s="649"/>
      <c r="I102" s="524"/>
      <c r="J102" s="524"/>
      <c r="K102" s="524"/>
      <c r="L102" s="524"/>
      <c r="M102" s="524"/>
      <c r="N102" s="604"/>
      <c r="O102" s="589"/>
      <c r="P102" s="705"/>
      <c r="Q102" s="470"/>
      <c r="R102" s="217"/>
      <c r="S102" s="217"/>
      <c r="T102" s="565"/>
      <c r="U102" s="565"/>
      <c r="V102" s="298" t="s">
        <v>335</v>
      </c>
      <c r="W102" s="19">
        <f>8000*0.35</f>
        <v>2800</v>
      </c>
    </row>
    <row r="103" spans="1:23" ht="24.75" customHeight="1">
      <c r="A103" s="510"/>
      <c r="B103" s="613"/>
      <c r="C103" s="614"/>
      <c r="D103" s="615"/>
      <c r="E103" s="608"/>
      <c r="F103" s="647"/>
      <c r="G103" s="648"/>
      <c r="H103" s="649"/>
      <c r="I103" s="524"/>
      <c r="J103" s="524"/>
      <c r="K103" s="524"/>
      <c r="L103" s="524"/>
      <c r="M103" s="524"/>
      <c r="N103" s="605"/>
      <c r="O103" s="589"/>
      <c r="P103" s="705"/>
      <c r="Q103" s="470"/>
      <c r="R103" s="217"/>
      <c r="S103" s="217"/>
      <c r="T103" s="565"/>
      <c r="U103" s="565"/>
      <c r="V103" s="298" t="s">
        <v>336</v>
      </c>
      <c r="W103" s="19">
        <f>8000*0.08</f>
        <v>640</v>
      </c>
    </row>
    <row r="104" spans="1:23" ht="24.75" customHeight="1">
      <c r="A104" s="510"/>
      <c r="B104" s="613"/>
      <c r="C104" s="614"/>
      <c r="D104" s="615"/>
      <c r="E104" s="608"/>
      <c r="F104" s="647"/>
      <c r="G104" s="648"/>
      <c r="H104" s="649"/>
      <c r="I104" s="524"/>
      <c r="J104" s="524"/>
      <c r="K104" s="524"/>
      <c r="L104" s="524"/>
      <c r="M104" s="524"/>
      <c r="N104" s="606" t="s">
        <v>476</v>
      </c>
      <c r="O104" s="589"/>
      <c r="P104" s="705"/>
      <c r="Q104" s="470"/>
      <c r="R104" s="217"/>
      <c r="S104" s="217"/>
      <c r="T104" s="565"/>
      <c r="U104" s="565"/>
      <c r="V104" s="242" t="s">
        <v>439</v>
      </c>
      <c r="W104" s="19">
        <f>8000*0.2</f>
        <v>1600</v>
      </c>
    </row>
    <row r="105" spans="1:23" ht="27.75" customHeight="1" thickBot="1">
      <c r="A105" s="510"/>
      <c r="B105" s="613"/>
      <c r="C105" s="614"/>
      <c r="D105" s="615"/>
      <c r="E105" s="608"/>
      <c r="F105" s="650"/>
      <c r="G105" s="651"/>
      <c r="H105" s="652"/>
      <c r="I105" s="525"/>
      <c r="J105" s="525"/>
      <c r="K105" s="525"/>
      <c r="L105" s="525"/>
      <c r="M105" s="525"/>
      <c r="N105" s="706"/>
      <c r="O105" s="590"/>
      <c r="P105" s="710"/>
      <c r="Q105" s="498"/>
      <c r="R105" s="218"/>
      <c r="S105" s="218"/>
      <c r="T105" s="566"/>
      <c r="U105" s="566"/>
      <c r="V105" s="235" t="s">
        <v>237</v>
      </c>
      <c r="W105" s="11">
        <f>SUM(W101:W104)*0.07</f>
        <v>560</v>
      </c>
    </row>
    <row r="106" spans="1:23" ht="18.75" customHeight="1" thickBot="1">
      <c r="A106" s="510"/>
      <c r="B106" s="616"/>
      <c r="C106" s="617"/>
      <c r="D106" s="618"/>
      <c r="E106" s="609"/>
      <c r="F106" s="567" t="s">
        <v>250</v>
      </c>
      <c r="G106" s="568"/>
      <c r="H106" s="568"/>
      <c r="I106" s="568"/>
      <c r="J106" s="568"/>
      <c r="K106" s="568"/>
      <c r="L106" s="568"/>
      <c r="M106" s="568"/>
      <c r="N106" s="569"/>
      <c r="O106" s="228"/>
      <c r="P106" s="228"/>
      <c r="Q106" s="228"/>
      <c r="R106" s="228"/>
      <c r="S106" s="228"/>
      <c r="T106" s="228"/>
      <c r="U106" s="228"/>
      <c r="V106" s="228"/>
      <c r="W106" s="21">
        <f>SUM(W101:W105)</f>
        <v>8560</v>
      </c>
    </row>
    <row r="107" spans="1:23" ht="17.25" customHeight="1" thickBot="1">
      <c r="A107" s="510"/>
      <c r="B107" s="665" t="s">
        <v>205</v>
      </c>
      <c r="C107" s="666"/>
      <c r="D107" s="667"/>
      <c r="E107" s="335"/>
      <c r="F107" s="227"/>
      <c r="G107" s="227"/>
      <c r="H107" s="227"/>
      <c r="I107" s="227"/>
      <c r="J107" s="227"/>
      <c r="K107" s="227"/>
      <c r="L107" s="227"/>
      <c r="M107" s="227"/>
      <c r="N107" s="228"/>
      <c r="O107" s="228"/>
      <c r="P107" s="46"/>
      <c r="Q107" s="46"/>
      <c r="R107" s="46"/>
      <c r="S107" s="46"/>
      <c r="T107" s="46"/>
      <c r="U107" s="46"/>
      <c r="V107" s="46"/>
      <c r="W107" s="12">
        <f>W106+W100+W93+W87+W81</f>
        <v>68480</v>
      </c>
    </row>
    <row r="108" spans="1:23" ht="28.5" customHeight="1">
      <c r="A108" s="510"/>
      <c r="B108" s="628" t="s">
        <v>199</v>
      </c>
      <c r="C108" s="629"/>
      <c r="D108" s="630"/>
      <c r="E108" s="608" t="s">
        <v>330</v>
      </c>
      <c r="F108" s="694" t="s">
        <v>251</v>
      </c>
      <c r="G108" s="695"/>
      <c r="H108" s="696"/>
      <c r="I108" s="524">
        <v>26857</v>
      </c>
      <c r="J108" s="524">
        <v>0</v>
      </c>
      <c r="K108" s="524">
        <v>0</v>
      </c>
      <c r="L108" s="524">
        <v>0</v>
      </c>
      <c r="M108" s="524">
        <f>SUM(I108:L108)</f>
        <v>26857</v>
      </c>
      <c r="N108" s="604" t="s">
        <v>477</v>
      </c>
      <c r="O108" s="589" t="s">
        <v>44</v>
      </c>
      <c r="P108" s="711" t="s">
        <v>338</v>
      </c>
      <c r="Q108" s="711"/>
      <c r="R108" s="527"/>
      <c r="S108" s="527"/>
      <c r="T108" s="564" t="s">
        <v>276</v>
      </c>
      <c r="U108" s="564" t="s">
        <v>498</v>
      </c>
      <c r="V108" s="299" t="s">
        <v>554</v>
      </c>
      <c r="W108" s="18">
        <f>29000*0.37</f>
        <v>10730</v>
      </c>
    </row>
    <row r="109" spans="1:23" ht="29.25" customHeight="1">
      <c r="A109" s="510"/>
      <c r="B109" s="631"/>
      <c r="C109" s="632"/>
      <c r="D109" s="633"/>
      <c r="E109" s="608"/>
      <c r="F109" s="694"/>
      <c r="G109" s="695"/>
      <c r="H109" s="696"/>
      <c r="I109" s="524"/>
      <c r="J109" s="524"/>
      <c r="K109" s="524"/>
      <c r="L109" s="524"/>
      <c r="M109" s="524"/>
      <c r="N109" s="605"/>
      <c r="O109" s="589"/>
      <c r="P109" s="712"/>
      <c r="Q109" s="712"/>
      <c r="R109" s="588"/>
      <c r="S109" s="588"/>
      <c r="T109" s="565"/>
      <c r="U109" s="565"/>
      <c r="V109" s="298" t="s">
        <v>335</v>
      </c>
      <c r="W109" s="19">
        <f>29000*0.35</f>
        <v>10150</v>
      </c>
    </row>
    <row r="110" spans="1:23" ht="30.75" customHeight="1">
      <c r="A110" s="510"/>
      <c r="B110" s="631"/>
      <c r="C110" s="632"/>
      <c r="D110" s="633"/>
      <c r="E110" s="608"/>
      <c r="F110" s="694"/>
      <c r="G110" s="695"/>
      <c r="H110" s="696"/>
      <c r="I110" s="524"/>
      <c r="J110" s="524"/>
      <c r="K110" s="524"/>
      <c r="L110" s="524"/>
      <c r="M110" s="524"/>
      <c r="N110" s="273" t="s">
        <v>478</v>
      </c>
      <c r="O110" s="589"/>
      <c r="P110" s="456" t="s">
        <v>338</v>
      </c>
      <c r="Q110" s="469" t="s">
        <v>338</v>
      </c>
      <c r="R110" s="233" t="s">
        <v>338</v>
      </c>
      <c r="S110" s="233"/>
      <c r="T110" s="565"/>
      <c r="U110" s="565"/>
      <c r="V110" s="298" t="s">
        <v>336</v>
      </c>
      <c r="W110" s="19">
        <f>29000*0.08</f>
        <v>2320</v>
      </c>
    </row>
    <row r="111" spans="1:23" ht="24.75" customHeight="1">
      <c r="A111" s="510"/>
      <c r="B111" s="631"/>
      <c r="C111" s="632"/>
      <c r="D111" s="633"/>
      <c r="E111" s="608"/>
      <c r="F111" s="694"/>
      <c r="G111" s="695"/>
      <c r="H111" s="696"/>
      <c r="I111" s="524"/>
      <c r="J111" s="524"/>
      <c r="K111" s="524"/>
      <c r="L111" s="524"/>
      <c r="M111" s="524"/>
      <c r="N111" s="606" t="s">
        <v>479</v>
      </c>
      <c r="O111" s="589"/>
      <c r="P111" s="715"/>
      <c r="Q111" s="715" t="s">
        <v>338</v>
      </c>
      <c r="R111" s="576" t="s">
        <v>338</v>
      </c>
      <c r="S111" s="576"/>
      <c r="T111" s="565"/>
      <c r="U111" s="565"/>
      <c r="V111" s="242" t="s">
        <v>439</v>
      </c>
      <c r="W111" s="19">
        <f>29000*0.2</f>
        <v>5800</v>
      </c>
    </row>
    <row r="112" spans="1:23" ht="24" customHeight="1" thickBot="1">
      <c r="A112" s="510"/>
      <c r="B112" s="631"/>
      <c r="C112" s="632"/>
      <c r="D112" s="633"/>
      <c r="E112" s="608"/>
      <c r="F112" s="694"/>
      <c r="G112" s="695"/>
      <c r="H112" s="696"/>
      <c r="I112" s="524"/>
      <c r="J112" s="524"/>
      <c r="K112" s="524"/>
      <c r="L112" s="524"/>
      <c r="M112" s="524"/>
      <c r="N112" s="605"/>
      <c r="O112" s="590"/>
      <c r="P112" s="716"/>
      <c r="Q112" s="716"/>
      <c r="R112" s="524"/>
      <c r="S112" s="524"/>
      <c r="T112" s="566"/>
      <c r="U112" s="566"/>
      <c r="V112" s="235" t="s">
        <v>237</v>
      </c>
      <c r="W112" s="11">
        <f>SUM(W108:W111)*0.07</f>
        <v>2030.0000000000002</v>
      </c>
    </row>
    <row r="113" spans="1:23" ht="17.25" customHeight="1" thickBot="1">
      <c r="A113" s="510"/>
      <c r="B113" s="631"/>
      <c r="C113" s="632"/>
      <c r="D113" s="633"/>
      <c r="E113" s="608"/>
      <c r="F113" s="230" t="s">
        <v>254</v>
      </c>
      <c r="G113" s="231"/>
      <c r="H113" s="231"/>
      <c r="I113" s="524"/>
      <c r="J113" s="524"/>
      <c r="K113" s="524"/>
      <c r="L113" s="524"/>
      <c r="M113" s="524"/>
      <c r="N113" s="228"/>
      <c r="O113" s="228"/>
      <c r="P113" s="228"/>
      <c r="Q113" s="228"/>
      <c r="R113" s="228"/>
      <c r="S113" s="228"/>
      <c r="T113" s="228"/>
      <c r="U113" s="228"/>
      <c r="V113" s="228"/>
      <c r="W113" s="300">
        <f>SUM(W108:W112)</f>
        <v>31030</v>
      </c>
    </row>
    <row r="114" spans="1:23" ht="58.5" customHeight="1">
      <c r="A114" s="510"/>
      <c r="B114" s="631"/>
      <c r="C114" s="632"/>
      <c r="D114" s="633"/>
      <c r="E114" s="608"/>
      <c r="F114" s="661" t="s">
        <v>252</v>
      </c>
      <c r="G114" s="662"/>
      <c r="H114" s="689"/>
      <c r="I114" s="524"/>
      <c r="J114" s="524"/>
      <c r="K114" s="524"/>
      <c r="L114" s="524"/>
      <c r="M114" s="524"/>
      <c r="N114" s="427" t="s">
        <v>480</v>
      </c>
      <c r="O114" s="591" t="s">
        <v>610</v>
      </c>
      <c r="P114" s="457"/>
      <c r="Q114" s="499"/>
      <c r="R114" s="135"/>
      <c r="S114" s="135" t="s">
        <v>338</v>
      </c>
      <c r="T114" s="564" t="s">
        <v>519</v>
      </c>
      <c r="U114" s="564" t="s">
        <v>498</v>
      </c>
      <c r="V114" s="299" t="s">
        <v>554</v>
      </c>
      <c r="W114" s="18">
        <f>89000*0.37</f>
        <v>32930</v>
      </c>
    </row>
    <row r="115" spans="1:23" ht="45.75" customHeight="1">
      <c r="A115" s="510"/>
      <c r="B115" s="631"/>
      <c r="C115" s="632"/>
      <c r="D115" s="633"/>
      <c r="E115" s="608"/>
      <c r="F115" s="558"/>
      <c r="G115" s="559"/>
      <c r="H115" s="690"/>
      <c r="I115" s="524"/>
      <c r="J115" s="524"/>
      <c r="K115" s="524"/>
      <c r="L115" s="524"/>
      <c r="M115" s="524"/>
      <c r="N115" s="428" t="s">
        <v>481</v>
      </c>
      <c r="O115" s="592"/>
      <c r="P115" s="458"/>
      <c r="Q115" s="468" t="s">
        <v>338</v>
      </c>
      <c r="R115" s="229" t="s">
        <v>338</v>
      </c>
      <c r="S115" s="229" t="s">
        <v>338</v>
      </c>
      <c r="T115" s="565"/>
      <c r="U115" s="565"/>
      <c r="V115" s="760" t="s">
        <v>335</v>
      </c>
      <c r="W115" s="574">
        <f>89000*0.35</f>
        <v>31149.999999999996</v>
      </c>
    </row>
    <row r="116" spans="1:23" ht="33.75" customHeight="1">
      <c r="A116" s="510"/>
      <c r="B116" s="631"/>
      <c r="C116" s="632"/>
      <c r="D116" s="633"/>
      <c r="E116" s="608"/>
      <c r="F116" s="558"/>
      <c r="G116" s="559"/>
      <c r="H116" s="690"/>
      <c r="I116" s="524"/>
      <c r="J116" s="524"/>
      <c r="K116" s="524"/>
      <c r="L116" s="524"/>
      <c r="M116" s="524"/>
      <c r="N116" s="428" t="s">
        <v>482</v>
      </c>
      <c r="O116" s="592"/>
      <c r="P116" s="459" t="s">
        <v>338</v>
      </c>
      <c r="Q116" s="468" t="s">
        <v>338</v>
      </c>
      <c r="R116" s="229"/>
      <c r="S116" s="229"/>
      <c r="T116" s="565"/>
      <c r="U116" s="565"/>
      <c r="V116" s="761"/>
      <c r="W116" s="575"/>
    </row>
    <row r="117" spans="1:23" ht="34.5" customHeight="1">
      <c r="A117" s="510"/>
      <c r="B117" s="631"/>
      <c r="C117" s="632"/>
      <c r="D117" s="633"/>
      <c r="E117" s="608"/>
      <c r="F117" s="558"/>
      <c r="G117" s="559"/>
      <c r="H117" s="690"/>
      <c r="I117" s="524"/>
      <c r="J117" s="524"/>
      <c r="K117" s="524"/>
      <c r="L117" s="524"/>
      <c r="M117" s="524"/>
      <c r="N117" s="428" t="s">
        <v>483</v>
      </c>
      <c r="O117" s="592"/>
      <c r="P117" s="459" t="s">
        <v>338</v>
      </c>
      <c r="Q117" s="468" t="s">
        <v>338</v>
      </c>
      <c r="R117" s="229" t="s">
        <v>338</v>
      </c>
      <c r="S117" s="229" t="s">
        <v>338</v>
      </c>
      <c r="T117" s="565"/>
      <c r="U117" s="565"/>
      <c r="V117" s="762" t="s">
        <v>336</v>
      </c>
      <c r="W117" s="574">
        <f>89000*0.08</f>
        <v>7120</v>
      </c>
    </row>
    <row r="118" spans="1:23" ht="37.5" customHeight="1">
      <c r="A118" s="510"/>
      <c r="B118" s="631"/>
      <c r="C118" s="632"/>
      <c r="D118" s="633"/>
      <c r="E118" s="608"/>
      <c r="F118" s="558"/>
      <c r="G118" s="559"/>
      <c r="H118" s="690"/>
      <c r="I118" s="524"/>
      <c r="J118" s="524"/>
      <c r="K118" s="524"/>
      <c r="L118" s="524"/>
      <c r="M118" s="524"/>
      <c r="N118" s="428" t="s">
        <v>484</v>
      </c>
      <c r="O118" s="592"/>
      <c r="P118" s="458" t="s">
        <v>338</v>
      </c>
      <c r="Q118" s="500" t="s">
        <v>338</v>
      </c>
      <c r="R118" s="229" t="s">
        <v>338</v>
      </c>
      <c r="S118" s="229" t="s">
        <v>338</v>
      </c>
      <c r="T118" s="565"/>
      <c r="U118" s="565"/>
      <c r="V118" s="761"/>
      <c r="W118" s="575"/>
    </row>
    <row r="119" spans="1:23" ht="33" customHeight="1">
      <c r="A119" s="510"/>
      <c r="B119" s="631"/>
      <c r="C119" s="632"/>
      <c r="D119" s="633"/>
      <c r="E119" s="608"/>
      <c r="F119" s="558"/>
      <c r="G119" s="559"/>
      <c r="H119" s="690"/>
      <c r="I119" s="524"/>
      <c r="J119" s="524"/>
      <c r="K119" s="524"/>
      <c r="L119" s="524"/>
      <c r="M119" s="524"/>
      <c r="N119" s="428" t="s">
        <v>485</v>
      </c>
      <c r="O119" s="592"/>
      <c r="P119" s="459"/>
      <c r="Q119" s="468"/>
      <c r="R119" s="229" t="s">
        <v>338</v>
      </c>
      <c r="S119" s="229" t="s">
        <v>338</v>
      </c>
      <c r="T119" s="565"/>
      <c r="U119" s="565"/>
      <c r="V119" s="760" t="s">
        <v>439</v>
      </c>
      <c r="W119" s="574">
        <f>89000*0.2</f>
        <v>17800</v>
      </c>
    </row>
    <row r="120" spans="1:23" ht="34.5" customHeight="1">
      <c r="A120" s="510"/>
      <c r="B120" s="631"/>
      <c r="C120" s="632"/>
      <c r="D120" s="633"/>
      <c r="E120" s="608"/>
      <c r="F120" s="558"/>
      <c r="G120" s="559"/>
      <c r="H120" s="690"/>
      <c r="I120" s="524"/>
      <c r="J120" s="524"/>
      <c r="K120" s="524"/>
      <c r="L120" s="524"/>
      <c r="M120" s="524"/>
      <c r="N120" s="428" t="s">
        <v>486</v>
      </c>
      <c r="O120" s="592"/>
      <c r="P120" s="459" t="s">
        <v>338</v>
      </c>
      <c r="Q120" s="468" t="s">
        <v>338</v>
      </c>
      <c r="R120" s="229" t="s">
        <v>338</v>
      </c>
      <c r="S120" s="229" t="s">
        <v>338</v>
      </c>
      <c r="T120" s="565"/>
      <c r="U120" s="565"/>
      <c r="V120" s="761"/>
      <c r="W120" s="575"/>
    </row>
    <row r="121" spans="1:23" ht="37.5" customHeight="1">
      <c r="A121" s="510"/>
      <c r="B121" s="631"/>
      <c r="C121" s="632"/>
      <c r="D121" s="633"/>
      <c r="E121" s="608"/>
      <c r="F121" s="558"/>
      <c r="G121" s="559"/>
      <c r="H121" s="690"/>
      <c r="I121" s="524"/>
      <c r="J121" s="524"/>
      <c r="K121" s="524"/>
      <c r="L121" s="524"/>
      <c r="M121" s="524"/>
      <c r="N121" s="428" t="s">
        <v>487</v>
      </c>
      <c r="O121" s="592"/>
      <c r="P121" s="460" t="s">
        <v>338</v>
      </c>
      <c r="Q121" s="460"/>
      <c r="R121" s="136"/>
      <c r="S121" s="136"/>
      <c r="T121" s="565"/>
      <c r="U121" s="565"/>
      <c r="V121" s="763" t="s">
        <v>237</v>
      </c>
      <c r="W121" s="565">
        <f>SUM(W114:W120)*0.07</f>
        <v>6230.000000000001</v>
      </c>
    </row>
    <row r="122" spans="1:23" ht="70.5" customHeight="1" thickBot="1">
      <c r="A122" s="510"/>
      <c r="B122" s="631"/>
      <c r="C122" s="632"/>
      <c r="D122" s="633"/>
      <c r="E122" s="608"/>
      <c r="F122" s="691"/>
      <c r="G122" s="692"/>
      <c r="H122" s="693"/>
      <c r="I122" s="524"/>
      <c r="J122" s="524"/>
      <c r="K122" s="524"/>
      <c r="L122" s="524"/>
      <c r="M122" s="524"/>
      <c r="N122" s="429" t="s">
        <v>488</v>
      </c>
      <c r="O122" s="593"/>
      <c r="P122" s="460" t="s">
        <v>338</v>
      </c>
      <c r="Q122" s="460" t="s">
        <v>338</v>
      </c>
      <c r="R122" s="136" t="s">
        <v>338</v>
      </c>
      <c r="S122" s="136" t="s">
        <v>338</v>
      </c>
      <c r="T122" s="566"/>
      <c r="U122" s="566"/>
      <c r="V122" s="578"/>
      <c r="W122" s="566"/>
    </row>
    <row r="123" spans="1:23" ht="20.25" customHeight="1" thickBot="1">
      <c r="A123" s="510"/>
      <c r="B123" s="631"/>
      <c r="C123" s="632"/>
      <c r="D123" s="633"/>
      <c r="E123" s="608"/>
      <c r="F123" s="653" t="s">
        <v>255</v>
      </c>
      <c r="G123" s="654"/>
      <c r="H123" s="654"/>
      <c r="I123" s="524"/>
      <c r="J123" s="524"/>
      <c r="K123" s="524"/>
      <c r="L123" s="524"/>
      <c r="M123" s="524"/>
      <c r="N123" s="228"/>
      <c r="O123" s="228"/>
      <c r="P123" s="228"/>
      <c r="Q123" s="228"/>
      <c r="R123" s="228"/>
      <c r="S123" s="228"/>
      <c r="T123" s="228"/>
      <c r="U123" s="228"/>
      <c r="V123" s="228"/>
      <c r="W123" s="301">
        <f>SUM(W114:W122)</f>
        <v>95230</v>
      </c>
    </row>
    <row r="124" spans="1:23" ht="30.75" customHeight="1">
      <c r="A124" s="510"/>
      <c r="B124" s="631"/>
      <c r="C124" s="632"/>
      <c r="D124" s="633"/>
      <c r="E124" s="608"/>
      <c r="F124" s="558" t="s">
        <v>253</v>
      </c>
      <c r="G124" s="559"/>
      <c r="H124" s="690"/>
      <c r="I124" s="524"/>
      <c r="J124" s="524"/>
      <c r="K124" s="524"/>
      <c r="L124" s="524"/>
      <c r="M124" s="524"/>
      <c r="N124" s="721" t="s">
        <v>489</v>
      </c>
      <c r="O124" s="727" t="s">
        <v>45</v>
      </c>
      <c r="P124" s="461"/>
      <c r="Q124" s="725" t="s">
        <v>338</v>
      </c>
      <c r="R124" s="336"/>
      <c r="S124" s="336"/>
      <c r="T124" s="564" t="s">
        <v>518</v>
      </c>
      <c r="U124" s="564" t="s">
        <v>498</v>
      </c>
      <c r="V124" s="299" t="s">
        <v>554</v>
      </c>
      <c r="W124" s="18">
        <f>6250*0.37</f>
        <v>2312.5</v>
      </c>
    </row>
    <row r="125" spans="1:23" ht="31.5" customHeight="1">
      <c r="A125" s="510"/>
      <c r="B125" s="631"/>
      <c r="C125" s="632"/>
      <c r="D125" s="633"/>
      <c r="E125" s="608"/>
      <c r="F125" s="558"/>
      <c r="G125" s="559"/>
      <c r="H125" s="690"/>
      <c r="I125" s="524"/>
      <c r="J125" s="524"/>
      <c r="K125" s="524"/>
      <c r="L125" s="524"/>
      <c r="M125" s="524"/>
      <c r="N125" s="714"/>
      <c r="O125" s="728"/>
      <c r="P125" s="462"/>
      <c r="Q125" s="726"/>
      <c r="R125" s="216"/>
      <c r="S125" s="216"/>
      <c r="T125" s="565"/>
      <c r="U125" s="565"/>
      <c r="V125" s="298" t="s">
        <v>335</v>
      </c>
      <c r="W125" s="19">
        <f>6250*0.35</f>
        <v>2187.5</v>
      </c>
    </row>
    <row r="126" spans="1:23" ht="31.5" customHeight="1">
      <c r="A126" s="510"/>
      <c r="B126" s="631"/>
      <c r="C126" s="632"/>
      <c r="D126" s="633"/>
      <c r="E126" s="608"/>
      <c r="F126" s="558"/>
      <c r="G126" s="559"/>
      <c r="H126" s="690"/>
      <c r="I126" s="524"/>
      <c r="J126" s="524"/>
      <c r="K126" s="524"/>
      <c r="L126" s="524"/>
      <c r="M126" s="524"/>
      <c r="N126" s="713" t="s">
        <v>490</v>
      </c>
      <c r="O126" s="728"/>
      <c r="P126" s="699" t="s">
        <v>338</v>
      </c>
      <c r="Q126" s="465"/>
      <c r="R126" s="337"/>
      <c r="S126" s="337"/>
      <c r="T126" s="565"/>
      <c r="U126" s="565"/>
      <c r="V126" s="298" t="s">
        <v>336</v>
      </c>
      <c r="W126" s="19">
        <f>6250*0.08</f>
        <v>500</v>
      </c>
    </row>
    <row r="127" spans="1:23" ht="29.25" customHeight="1">
      <c r="A127" s="510"/>
      <c r="B127" s="631"/>
      <c r="C127" s="632"/>
      <c r="D127" s="633"/>
      <c r="E127" s="608"/>
      <c r="F127" s="558"/>
      <c r="G127" s="559"/>
      <c r="H127" s="690"/>
      <c r="I127" s="524"/>
      <c r="J127" s="524"/>
      <c r="K127" s="524"/>
      <c r="L127" s="524"/>
      <c r="M127" s="524"/>
      <c r="N127" s="714"/>
      <c r="O127" s="728"/>
      <c r="P127" s="705"/>
      <c r="Q127" s="466"/>
      <c r="R127" s="223"/>
      <c r="S127" s="223"/>
      <c r="T127" s="565"/>
      <c r="U127" s="565"/>
      <c r="V127" s="242" t="s">
        <v>439</v>
      </c>
      <c r="W127" s="19">
        <f>6250*0.2</f>
        <v>1250</v>
      </c>
    </row>
    <row r="128" spans="1:23" ht="29.25" customHeight="1">
      <c r="A128" s="510"/>
      <c r="B128" s="631"/>
      <c r="C128" s="632"/>
      <c r="D128" s="633"/>
      <c r="E128" s="608"/>
      <c r="F128" s="558"/>
      <c r="G128" s="559"/>
      <c r="H128" s="690"/>
      <c r="I128" s="524"/>
      <c r="J128" s="524"/>
      <c r="K128" s="524"/>
      <c r="L128" s="524"/>
      <c r="M128" s="524"/>
      <c r="N128" s="713" t="s">
        <v>491</v>
      </c>
      <c r="O128" s="728"/>
      <c r="P128" s="463"/>
      <c r="Q128" s="465"/>
      <c r="R128" s="337"/>
      <c r="S128" s="574" t="s">
        <v>338</v>
      </c>
      <c r="T128" s="565"/>
      <c r="U128" s="565"/>
      <c r="V128" s="242" t="s">
        <v>414</v>
      </c>
      <c r="W128" s="19">
        <v>11000</v>
      </c>
    </row>
    <row r="129" spans="1:23" ht="36.75" customHeight="1" thickBot="1">
      <c r="A129" s="510"/>
      <c r="B129" s="631"/>
      <c r="C129" s="632"/>
      <c r="D129" s="633"/>
      <c r="E129" s="608"/>
      <c r="F129" s="558"/>
      <c r="G129" s="559"/>
      <c r="H129" s="690"/>
      <c r="I129" s="524"/>
      <c r="J129" s="524"/>
      <c r="K129" s="524"/>
      <c r="L129" s="524"/>
      <c r="M129" s="524"/>
      <c r="N129" s="717"/>
      <c r="O129" s="729"/>
      <c r="P129" s="464"/>
      <c r="Q129" s="467"/>
      <c r="R129" s="234"/>
      <c r="S129" s="566"/>
      <c r="T129" s="566"/>
      <c r="U129" s="566"/>
      <c r="V129" s="235" t="s">
        <v>237</v>
      </c>
      <c r="W129" s="11">
        <f>SUM(W124:W128)*0.07</f>
        <v>1207.5000000000002</v>
      </c>
    </row>
    <row r="130" spans="1:23" ht="16.5" customHeight="1" thickBot="1">
      <c r="A130" s="510"/>
      <c r="B130" s="702"/>
      <c r="C130" s="703"/>
      <c r="D130" s="704"/>
      <c r="E130" s="609"/>
      <c r="F130" s="686" t="s">
        <v>256</v>
      </c>
      <c r="G130" s="687"/>
      <c r="H130" s="687"/>
      <c r="I130" s="687"/>
      <c r="J130" s="688"/>
      <c r="K130" s="217"/>
      <c r="L130" s="217"/>
      <c r="M130" s="217"/>
      <c r="N130" s="51"/>
      <c r="O130" s="51"/>
      <c r="P130" s="51"/>
      <c r="Q130" s="51"/>
      <c r="R130" s="51"/>
      <c r="S130" s="51"/>
      <c r="T130" s="51"/>
      <c r="U130" s="51"/>
      <c r="V130" s="51"/>
      <c r="W130" s="48">
        <f>SUM(W124:W129)</f>
        <v>18457.5</v>
      </c>
    </row>
    <row r="131" spans="1:23" ht="16.5" customHeight="1" thickBot="1">
      <c r="A131" s="511"/>
      <c r="B131" s="665" t="s">
        <v>206</v>
      </c>
      <c r="C131" s="666"/>
      <c r="D131" s="667"/>
      <c r="E131" s="225"/>
      <c r="F131" s="226"/>
      <c r="G131" s="227"/>
      <c r="H131" s="227"/>
      <c r="I131" s="227"/>
      <c r="J131" s="228"/>
      <c r="K131" s="68"/>
      <c r="L131" s="68"/>
      <c r="M131" s="68"/>
      <c r="N131" s="14"/>
      <c r="O131" s="14"/>
      <c r="P131" s="14"/>
      <c r="Q131" s="14"/>
      <c r="R131" s="14"/>
      <c r="S131" s="14"/>
      <c r="T131" s="14"/>
      <c r="U131" s="14"/>
      <c r="V131" s="14"/>
      <c r="W131" s="21">
        <f>W130+W123+W113</f>
        <v>144717.5</v>
      </c>
    </row>
    <row r="132" spans="1:23" ht="35.25" customHeight="1">
      <c r="A132" s="509" t="s">
        <v>342</v>
      </c>
      <c r="B132" s="610" t="s">
        <v>257</v>
      </c>
      <c r="C132" s="611"/>
      <c r="D132" s="612"/>
      <c r="E132" s="518" t="s">
        <v>149</v>
      </c>
      <c r="F132" s="558" t="s">
        <v>260</v>
      </c>
      <c r="G132" s="559"/>
      <c r="H132" s="559"/>
      <c r="I132" s="524"/>
      <c r="J132" s="524"/>
      <c r="K132" s="524"/>
      <c r="L132" s="524"/>
      <c r="M132" s="524"/>
      <c r="N132" s="548" t="s">
        <v>436</v>
      </c>
      <c r="O132" s="548" t="s">
        <v>46</v>
      </c>
      <c r="P132" s="637" t="s">
        <v>338</v>
      </c>
      <c r="Q132" s="637" t="s">
        <v>338</v>
      </c>
      <c r="R132" s="548" t="s">
        <v>338</v>
      </c>
      <c r="S132" s="548" t="s">
        <v>338</v>
      </c>
      <c r="T132" s="548" t="s">
        <v>575</v>
      </c>
      <c r="U132" s="548" t="s">
        <v>498</v>
      </c>
      <c r="V132" s="259" t="s">
        <v>555</v>
      </c>
      <c r="W132" s="18">
        <v>6000</v>
      </c>
    </row>
    <row r="133" spans="1:23" ht="34.5" customHeight="1">
      <c r="A133" s="510"/>
      <c r="B133" s="613"/>
      <c r="C133" s="614"/>
      <c r="D133" s="615"/>
      <c r="E133" s="519"/>
      <c r="F133" s="558"/>
      <c r="G133" s="559"/>
      <c r="H133" s="559"/>
      <c r="I133" s="524"/>
      <c r="J133" s="524"/>
      <c r="K133" s="524"/>
      <c r="L133" s="524"/>
      <c r="M133" s="524"/>
      <c r="N133" s="549"/>
      <c r="O133" s="549"/>
      <c r="P133" s="638"/>
      <c r="Q133" s="638"/>
      <c r="R133" s="549"/>
      <c r="S133" s="549"/>
      <c r="T133" s="549"/>
      <c r="U133" s="549"/>
      <c r="V133" s="58" t="s">
        <v>556</v>
      </c>
      <c r="W133" s="19">
        <v>7000</v>
      </c>
    </row>
    <row r="134" spans="1:23" ht="27.75" customHeight="1">
      <c r="A134" s="510"/>
      <c r="B134" s="613"/>
      <c r="C134" s="614"/>
      <c r="D134" s="615"/>
      <c r="E134" s="519"/>
      <c r="F134" s="558"/>
      <c r="G134" s="559"/>
      <c r="H134" s="559"/>
      <c r="I134" s="524"/>
      <c r="J134" s="524"/>
      <c r="K134" s="524"/>
      <c r="L134" s="524"/>
      <c r="M134" s="524"/>
      <c r="N134" s="549"/>
      <c r="O134" s="549"/>
      <c r="P134" s="638"/>
      <c r="Q134" s="638"/>
      <c r="R134" s="549"/>
      <c r="S134" s="549"/>
      <c r="T134" s="549"/>
      <c r="U134" s="549"/>
      <c r="V134" s="58" t="s">
        <v>439</v>
      </c>
      <c r="W134" s="17">
        <v>4000</v>
      </c>
    </row>
    <row r="135" spans="1:23" ht="27.75" customHeight="1">
      <c r="A135" s="510"/>
      <c r="B135" s="613"/>
      <c r="C135" s="614"/>
      <c r="D135" s="615"/>
      <c r="E135" s="519"/>
      <c r="F135" s="558"/>
      <c r="G135" s="559"/>
      <c r="H135" s="559"/>
      <c r="I135" s="524"/>
      <c r="J135" s="524"/>
      <c r="K135" s="524"/>
      <c r="L135" s="524"/>
      <c r="M135" s="524"/>
      <c r="N135" s="549"/>
      <c r="O135" s="549"/>
      <c r="P135" s="638"/>
      <c r="Q135" s="638"/>
      <c r="R135" s="549"/>
      <c r="S135" s="549"/>
      <c r="T135" s="549"/>
      <c r="U135" s="549"/>
      <c r="V135" s="58" t="s">
        <v>336</v>
      </c>
      <c r="W135" s="19">
        <v>3000</v>
      </c>
    </row>
    <row r="136" spans="1:23" ht="27.75" customHeight="1" thickBot="1">
      <c r="A136" s="510"/>
      <c r="B136" s="613"/>
      <c r="C136" s="614"/>
      <c r="D136" s="615"/>
      <c r="E136" s="519"/>
      <c r="F136" s="558"/>
      <c r="G136" s="559"/>
      <c r="H136" s="559"/>
      <c r="I136" s="524"/>
      <c r="J136" s="524"/>
      <c r="K136" s="524"/>
      <c r="L136" s="524"/>
      <c r="M136" s="524"/>
      <c r="N136" s="560"/>
      <c r="O136" s="560"/>
      <c r="P136" s="639"/>
      <c r="Q136" s="639"/>
      <c r="R136" s="560"/>
      <c r="S136" s="560"/>
      <c r="T136" s="549"/>
      <c r="U136" s="560"/>
      <c r="V136" s="224" t="s">
        <v>237</v>
      </c>
      <c r="W136" s="19">
        <f>SUM(W132:W135)*0.07</f>
        <v>1400.0000000000002</v>
      </c>
    </row>
    <row r="137" spans="1:23" ht="16.5" customHeight="1" thickBot="1">
      <c r="A137" s="510"/>
      <c r="B137" s="4"/>
      <c r="C137" s="5"/>
      <c r="D137" s="6"/>
      <c r="E137" s="519"/>
      <c r="F137" s="686" t="s">
        <v>261</v>
      </c>
      <c r="G137" s="687"/>
      <c r="H137" s="687"/>
      <c r="I137" s="688"/>
      <c r="J137" s="217"/>
      <c r="K137" s="217"/>
      <c r="L137" s="217"/>
      <c r="M137" s="217"/>
      <c r="N137" s="379"/>
      <c r="O137" s="379"/>
      <c r="P137" s="718"/>
      <c r="Q137" s="719"/>
      <c r="R137" s="719"/>
      <c r="S137" s="720"/>
      <c r="T137" s="380"/>
      <c r="U137" s="380"/>
      <c r="V137" s="380"/>
      <c r="W137" s="48">
        <f>SUM(W132:W136)</f>
        <v>21400</v>
      </c>
    </row>
    <row r="138" spans="1:23" ht="18" customHeight="1" thickBot="1">
      <c r="A138" s="510"/>
      <c r="B138" s="665" t="s">
        <v>262</v>
      </c>
      <c r="C138" s="666"/>
      <c r="D138" s="667"/>
      <c r="E138" s="335"/>
      <c r="F138" s="227"/>
      <c r="G138" s="227"/>
      <c r="H138" s="227"/>
      <c r="I138" s="227"/>
      <c r="J138" s="68"/>
      <c r="K138" s="68"/>
      <c r="L138" s="68"/>
      <c r="M138" s="68"/>
      <c r="N138" s="381"/>
      <c r="O138" s="381"/>
      <c r="P138" s="73"/>
      <c r="Q138" s="73"/>
      <c r="R138" s="73"/>
      <c r="S138" s="73"/>
      <c r="T138" s="73"/>
      <c r="U138" s="73"/>
      <c r="V138" s="73"/>
      <c r="W138" s="21">
        <f>W137</f>
        <v>21400</v>
      </c>
    </row>
    <row r="139" spans="1:23" ht="26.25" customHeight="1">
      <c r="A139" s="510"/>
      <c r="B139" s="610" t="s">
        <v>258</v>
      </c>
      <c r="C139" s="611"/>
      <c r="D139" s="612"/>
      <c r="E139" s="607" t="s">
        <v>152</v>
      </c>
      <c r="F139" s="610" t="s">
        <v>263</v>
      </c>
      <c r="G139" s="611"/>
      <c r="H139" s="612"/>
      <c r="I139" s="527">
        <v>47722</v>
      </c>
      <c r="J139" s="527">
        <v>60000</v>
      </c>
      <c r="K139" s="527">
        <v>60000</v>
      </c>
      <c r="L139" s="527">
        <v>15000</v>
      </c>
      <c r="M139" s="527">
        <f>SUM(I139:L139)</f>
        <v>182722</v>
      </c>
      <c r="N139" s="594" t="s">
        <v>36</v>
      </c>
      <c r="O139" s="676" t="s">
        <v>611</v>
      </c>
      <c r="P139" s="707" t="s">
        <v>338</v>
      </c>
      <c r="Q139" s="707" t="s">
        <v>338</v>
      </c>
      <c r="R139" s="722"/>
      <c r="S139" s="722"/>
      <c r="T139" s="548" t="s">
        <v>576</v>
      </c>
      <c r="U139" s="548" t="s">
        <v>498</v>
      </c>
      <c r="V139" s="277" t="s">
        <v>553</v>
      </c>
      <c r="W139" s="52">
        <v>6500</v>
      </c>
    </row>
    <row r="140" spans="1:23" ht="21" customHeight="1">
      <c r="A140" s="510"/>
      <c r="B140" s="613"/>
      <c r="C140" s="614"/>
      <c r="D140" s="615"/>
      <c r="E140" s="608"/>
      <c r="F140" s="613"/>
      <c r="G140" s="614"/>
      <c r="H140" s="615"/>
      <c r="I140" s="524"/>
      <c r="J140" s="524"/>
      <c r="K140" s="524"/>
      <c r="L140" s="524"/>
      <c r="M140" s="524"/>
      <c r="N140" s="595"/>
      <c r="O140" s="772"/>
      <c r="P140" s="708"/>
      <c r="Q140" s="708"/>
      <c r="R140" s="723"/>
      <c r="S140" s="723"/>
      <c r="T140" s="549"/>
      <c r="U140" s="549"/>
      <c r="V140" s="278" t="s">
        <v>334</v>
      </c>
      <c r="W140" s="53">
        <v>12000</v>
      </c>
    </row>
    <row r="141" spans="1:23" ht="24.75" customHeight="1">
      <c r="A141" s="510"/>
      <c r="B141" s="613"/>
      <c r="C141" s="614"/>
      <c r="D141" s="615"/>
      <c r="E141" s="608"/>
      <c r="F141" s="613"/>
      <c r="G141" s="614"/>
      <c r="H141" s="615"/>
      <c r="I141" s="524"/>
      <c r="J141" s="524"/>
      <c r="K141" s="524"/>
      <c r="L141" s="524"/>
      <c r="M141" s="524"/>
      <c r="N141" s="724"/>
      <c r="O141" s="772"/>
      <c r="P141" s="708"/>
      <c r="Q141" s="708"/>
      <c r="R141" s="723"/>
      <c r="S141" s="723"/>
      <c r="T141" s="549"/>
      <c r="U141" s="549"/>
      <c r="V141" s="278" t="s">
        <v>336</v>
      </c>
      <c r="W141" s="44">
        <v>20800</v>
      </c>
    </row>
    <row r="142" spans="1:23" ht="12.75" customHeight="1">
      <c r="A142" s="510"/>
      <c r="B142" s="613"/>
      <c r="C142" s="614"/>
      <c r="D142" s="615"/>
      <c r="E142" s="608"/>
      <c r="F142" s="613"/>
      <c r="G142" s="614"/>
      <c r="H142" s="615"/>
      <c r="I142" s="524"/>
      <c r="J142" s="524"/>
      <c r="K142" s="524"/>
      <c r="L142" s="524"/>
      <c r="M142" s="524"/>
      <c r="N142" s="602" t="s">
        <v>35</v>
      </c>
      <c r="O142" s="772"/>
      <c r="P142" s="708"/>
      <c r="Q142" s="708"/>
      <c r="R142" s="723"/>
      <c r="S142" s="723"/>
      <c r="T142" s="549"/>
      <c r="U142" s="549"/>
      <c r="V142" s="757" t="s">
        <v>460</v>
      </c>
      <c r="W142" s="754">
        <v>3500</v>
      </c>
    </row>
    <row r="143" spans="1:23" ht="12.75" customHeight="1">
      <c r="A143" s="510"/>
      <c r="B143" s="613"/>
      <c r="C143" s="614"/>
      <c r="D143" s="615"/>
      <c r="E143" s="608"/>
      <c r="F143" s="212"/>
      <c r="G143" s="213"/>
      <c r="H143" s="214"/>
      <c r="I143" s="524"/>
      <c r="J143" s="524"/>
      <c r="K143" s="524"/>
      <c r="L143" s="524"/>
      <c r="M143" s="524"/>
      <c r="N143" s="602"/>
      <c r="O143" s="772"/>
      <c r="P143" s="708"/>
      <c r="Q143" s="708"/>
      <c r="R143" s="723"/>
      <c r="S143" s="723"/>
      <c r="T143" s="549"/>
      <c r="U143" s="549"/>
      <c r="V143" s="758"/>
      <c r="W143" s="755"/>
    </row>
    <row r="144" spans="1:23" ht="12.75" customHeight="1">
      <c r="A144" s="510"/>
      <c r="B144" s="613"/>
      <c r="C144" s="614"/>
      <c r="D144" s="615"/>
      <c r="E144" s="608"/>
      <c r="F144" s="64"/>
      <c r="G144" s="65"/>
      <c r="H144" s="66"/>
      <c r="I144" s="524"/>
      <c r="J144" s="524"/>
      <c r="K144" s="524"/>
      <c r="L144" s="524"/>
      <c r="M144" s="524"/>
      <c r="N144" s="602"/>
      <c r="O144" s="772"/>
      <c r="P144" s="708"/>
      <c r="Q144" s="708"/>
      <c r="R144" s="723"/>
      <c r="S144" s="723"/>
      <c r="T144" s="549"/>
      <c r="U144" s="549"/>
      <c r="V144" s="759"/>
      <c r="W144" s="756"/>
    </row>
    <row r="145" spans="1:23" ht="37.5" customHeight="1" thickBot="1">
      <c r="A145" s="510"/>
      <c r="B145" s="613"/>
      <c r="C145" s="614"/>
      <c r="D145" s="615"/>
      <c r="E145" s="608"/>
      <c r="F145" s="64"/>
      <c r="G145" s="65"/>
      <c r="H145" s="66"/>
      <c r="I145" s="524"/>
      <c r="J145" s="524"/>
      <c r="K145" s="524"/>
      <c r="L145" s="524"/>
      <c r="M145" s="524"/>
      <c r="N145" s="603"/>
      <c r="O145" s="773"/>
      <c r="P145" s="708"/>
      <c r="Q145" s="708"/>
      <c r="R145" s="723"/>
      <c r="S145" s="723"/>
      <c r="T145" s="549"/>
      <c r="U145" s="560"/>
      <c r="V145" s="279" t="s">
        <v>493</v>
      </c>
      <c r="W145" s="16">
        <f>SUM(W139:W144)*0.07</f>
        <v>2996.0000000000005</v>
      </c>
    </row>
    <row r="146" spans="1:23" ht="19.5" customHeight="1" thickBot="1">
      <c r="A146" s="510"/>
      <c r="B146" s="613"/>
      <c r="C146" s="614"/>
      <c r="D146" s="615"/>
      <c r="E146" s="608"/>
      <c r="F146" s="567" t="s">
        <v>264</v>
      </c>
      <c r="G146" s="568"/>
      <c r="H146" s="568"/>
      <c r="I146" s="568"/>
      <c r="J146" s="205"/>
      <c r="K146" s="205"/>
      <c r="L146" s="205"/>
      <c r="M146" s="205"/>
      <c r="N146" s="206"/>
      <c r="O146" s="206"/>
      <c r="P146" s="206"/>
      <c r="Q146" s="206"/>
      <c r="R146" s="206"/>
      <c r="S146" s="206"/>
      <c r="T146" s="206"/>
      <c r="U146" s="206"/>
      <c r="V146" s="207"/>
      <c r="W146" s="21">
        <f>SUM(W139:W145)</f>
        <v>45796</v>
      </c>
    </row>
    <row r="147" spans="1:23" ht="39.75" customHeight="1">
      <c r="A147" s="510"/>
      <c r="B147" s="613"/>
      <c r="C147" s="614"/>
      <c r="D147" s="615"/>
      <c r="E147" s="608"/>
      <c r="F147" s="610" t="s">
        <v>113</v>
      </c>
      <c r="G147" s="611"/>
      <c r="H147" s="612"/>
      <c r="I147" s="527">
        <v>48150</v>
      </c>
      <c r="J147" s="527">
        <v>25000</v>
      </c>
      <c r="K147" s="527">
        <v>0</v>
      </c>
      <c r="L147" s="527">
        <v>0</v>
      </c>
      <c r="M147" s="527">
        <f>SUM(I147:L147)</f>
        <v>73150</v>
      </c>
      <c r="N147" s="601" t="s">
        <v>34</v>
      </c>
      <c r="O147" s="783" t="s">
        <v>105</v>
      </c>
      <c r="P147" s="471"/>
      <c r="Q147" s="526" t="s">
        <v>338</v>
      </c>
      <c r="R147" s="41"/>
      <c r="S147" s="41"/>
      <c r="T147" s="548" t="s">
        <v>576</v>
      </c>
      <c r="U147" s="561" t="s">
        <v>499</v>
      </c>
      <c r="V147" s="401" t="s">
        <v>433</v>
      </c>
      <c r="W147" s="18">
        <v>18000</v>
      </c>
    </row>
    <row r="148" spans="1:23" ht="37.5" customHeight="1">
      <c r="A148" s="510"/>
      <c r="B148" s="613"/>
      <c r="C148" s="614"/>
      <c r="D148" s="615"/>
      <c r="E148" s="608"/>
      <c r="F148" s="613"/>
      <c r="G148" s="614"/>
      <c r="H148" s="615"/>
      <c r="I148" s="524"/>
      <c r="J148" s="524"/>
      <c r="K148" s="524"/>
      <c r="L148" s="524"/>
      <c r="M148" s="524"/>
      <c r="N148" s="602"/>
      <c r="O148" s="784"/>
      <c r="P148" s="472"/>
      <c r="Q148" s="596"/>
      <c r="R148" s="219" t="s">
        <v>338</v>
      </c>
      <c r="S148" s="219" t="s">
        <v>338</v>
      </c>
      <c r="T148" s="549"/>
      <c r="U148" s="562"/>
      <c r="V148" s="402" t="s">
        <v>460</v>
      </c>
      <c r="W148" s="19">
        <v>2000</v>
      </c>
    </row>
    <row r="149" spans="1:23" ht="33.75" customHeight="1" thickBot="1">
      <c r="A149" s="510"/>
      <c r="B149" s="613"/>
      <c r="C149" s="614"/>
      <c r="D149" s="615"/>
      <c r="E149" s="608"/>
      <c r="F149" s="616"/>
      <c r="G149" s="617"/>
      <c r="H149" s="618"/>
      <c r="I149" s="524"/>
      <c r="J149" s="524"/>
      <c r="K149" s="524"/>
      <c r="L149" s="524"/>
      <c r="M149" s="524"/>
      <c r="N149" s="603"/>
      <c r="O149" s="785"/>
      <c r="P149" s="472"/>
      <c r="Q149" s="597"/>
      <c r="R149" s="219"/>
      <c r="S149" s="219"/>
      <c r="T149" s="560"/>
      <c r="U149" s="563"/>
      <c r="V149" s="403" t="s">
        <v>420</v>
      </c>
      <c r="W149" s="11">
        <f>SUM(W147:W148)*0.07</f>
        <v>1400.0000000000002</v>
      </c>
    </row>
    <row r="150" spans="1:23" ht="16.5" customHeight="1" thickBot="1">
      <c r="A150" s="510"/>
      <c r="B150" s="613"/>
      <c r="C150" s="614"/>
      <c r="D150" s="615"/>
      <c r="E150" s="609"/>
      <c r="F150" s="567" t="s">
        <v>265</v>
      </c>
      <c r="G150" s="568"/>
      <c r="H150" s="568"/>
      <c r="I150" s="569"/>
      <c r="J150" s="217"/>
      <c r="K150" s="217"/>
      <c r="L150" s="217"/>
      <c r="M150" s="217"/>
      <c r="N150" s="14"/>
      <c r="O150" s="14"/>
      <c r="P150" s="14"/>
      <c r="Q150" s="14"/>
      <c r="R150" s="14"/>
      <c r="S150" s="14"/>
      <c r="T150" s="14"/>
      <c r="U150" s="14"/>
      <c r="V150" s="14"/>
      <c r="W150" s="21">
        <f>SUM(W147:W149)</f>
        <v>21400</v>
      </c>
    </row>
    <row r="151" spans="1:23" ht="18" customHeight="1" thickBot="1">
      <c r="A151" s="510"/>
      <c r="B151" s="665" t="s">
        <v>266</v>
      </c>
      <c r="C151" s="666"/>
      <c r="D151" s="667"/>
      <c r="E151" s="225"/>
      <c r="F151" s="226"/>
      <c r="G151" s="227"/>
      <c r="H151" s="227"/>
      <c r="I151" s="227"/>
      <c r="J151" s="68"/>
      <c r="K151" s="68"/>
      <c r="L151" s="68"/>
      <c r="M151" s="68"/>
      <c r="N151" s="73"/>
      <c r="O151" s="73"/>
      <c r="P151" s="73"/>
      <c r="Q151" s="73"/>
      <c r="R151" s="73"/>
      <c r="S151" s="73"/>
      <c r="T151" s="23"/>
      <c r="U151" s="23"/>
      <c r="V151" s="23"/>
      <c r="W151" s="21">
        <f>W146+W150</f>
        <v>67196</v>
      </c>
    </row>
    <row r="152" spans="1:23" ht="27.75" customHeight="1">
      <c r="A152" s="510"/>
      <c r="B152" s="628" t="s">
        <v>259</v>
      </c>
      <c r="C152" s="629"/>
      <c r="D152" s="630"/>
      <c r="E152" s="518" t="s">
        <v>150</v>
      </c>
      <c r="F152" s="558" t="s">
        <v>267</v>
      </c>
      <c r="G152" s="559"/>
      <c r="H152" s="559"/>
      <c r="I152" s="524">
        <v>99938</v>
      </c>
      <c r="J152" s="524">
        <f>57312-J147</f>
        <v>32312</v>
      </c>
      <c r="K152" s="524">
        <v>57312</v>
      </c>
      <c r="L152" s="524">
        <f>43656-7500</f>
        <v>36156</v>
      </c>
      <c r="M152" s="524">
        <f>SUM(I152:L152)</f>
        <v>225718</v>
      </c>
      <c r="N152" s="594" t="s">
        <v>522</v>
      </c>
      <c r="O152" s="730" t="s">
        <v>107</v>
      </c>
      <c r="P152" s="526" t="s">
        <v>338</v>
      </c>
      <c r="Q152" s="526" t="s">
        <v>338</v>
      </c>
      <c r="R152" s="561"/>
      <c r="S152" s="561"/>
      <c r="T152" s="548" t="s">
        <v>521</v>
      </c>
      <c r="U152" s="548" t="s">
        <v>498</v>
      </c>
      <c r="V152" s="58" t="s">
        <v>554</v>
      </c>
      <c r="W152" s="17">
        <v>15000</v>
      </c>
    </row>
    <row r="153" spans="1:23" ht="27.75" customHeight="1">
      <c r="A153" s="510"/>
      <c r="B153" s="631"/>
      <c r="C153" s="632"/>
      <c r="D153" s="633"/>
      <c r="E153" s="519"/>
      <c r="F153" s="558"/>
      <c r="G153" s="559"/>
      <c r="H153" s="559"/>
      <c r="I153" s="524"/>
      <c r="J153" s="524"/>
      <c r="K153" s="524"/>
      <c r="L153" s="524"/>
      <c r="M153" s="524"/>
      <c r="N153" s="595"/>
      <c r="O153" s="731"/>
      <c r="P153" s="596"/>
      <c r="Q153" s="596"/>
      <c r="R153" s="562"/>
      <c r="S153" s="562"/>
      <c r="T153" s="549"/>
      <c r="U153" s="549"/>
      <c r="V153" s="58" t="s">
        <v>335</v>
      </c>
      <c r="W153" s="53">
        <v>2220</v>
      </c>
    </row>
    <row r="154" spans="1:23" ht="27.75" customHeight="1">
      <c r="A154" s="510"/>
      <c r="B154" s="631"/>
      <c r="C154" s="632"/>
      <c r="D154" s="633"/>
      <c r="E154" s="519"/>
      <c r="F154" s="558"/>
      <c r="G154" s="559"/>
      <c r="H154" s="559"/>
      <c r="I154" s="524"/>
      <c r="J154" s="524"/>
      <c r="K154" s="524"/>
      <c r="L154" s="524"/>
      <c r="M154" s="524"/>
      <c r="N154" s="595"/>
      <c r="O154" s="731"/>
      <c r="P154" s="596"/>
      <c r="Q154" s="596"/>
      <c r="R154" s="562"/>
      <c r="S154" s="562"/>
      <c r="T154" s="549"/>
      <c r="U154" s="549"/>
      <c r="V154" s="58" t="s">
        <v>557</v>
      </c>
      <c r="W154" s="250">
        <v>13000</v>
      </c>
    </row>
    <row r="155" spans="1:23" ht="27.75" customHeight="1">
      <c r="A155" s="510"/>
      <c r="B155" s="631"/>
      <c r="C155" s="632"/>
      <c r="D155" s="633"/>
      <c r="E155" s="519"/>
      <c r="F155" s="558"/>
      <c r="G155" s="559"/>
      <c r="H155" s="559"/>
      <c r="I155" s="524"/>
      <c r="J155" s="524"/>
      <c r="K155" s="524"/>
      <c r="L155" s="524"/>
      <c r="M155" s="524"/>
      <c r="N155" s="595"/>
      <c r="O155" s="731"/>
      <c r="P155" s="596"/>
      <c r="Q155" s="596"/>
      <c r="R155" s="562"/>
      <c r="S155" s="562"/>
      <c r="T155" s="549"/>
      <c r="U155" s="549"/>
      <c r="V155" s="58" t="s">
        <v>439</v>
      </c>
      <c r="W155" s="250">
        <v>5059</v>
      </c>
    </row>
    <row r="156" spans="1:23" ht="27.75" customHeight="1" thickBot="1">
      <c r="A156" s="510"/>
      <c r="B156" s="631"/>
      <c r="C156" s="632"/>
      <c r="D156" s="633"/>
      <c r="E156" s="519"/>
      <c r="F156" s="558"/>
      <c r="G156" s="559"/>
      <c r="H156" s="559"/>
      <c r="I156" s="524"/>
      <c r="J156" s="524"/>
      <c r="K156" s="524"/>
      <c r="L156" s="524"/>
      <c r="M156" s="524"/>
      <c r="N156" s="595"/>
      <c r="O156" s="732"/>
      <c r="P156" s="597"/>
      <c r="Q156" s="597"/>
      <c r="R156" s="563"/>
      <c r="S156" s="563"/>
      <c r="T156" s="560"/>
      <c r="U156" s="560"/>
      <c r="V156" s="224" t="s">
        <v>237</v>
      </c>
      <c r="W156" s="215">
        <f>SUM(W152:W155)*0.07</f>
        <v>2469.53</v>
      </c>
    </row>
    <row r="157" spans="1:23" ht="17.25" customHeight="1" thickBot="1">
      <c r="A157" s="510"/>
      <c r="B157" s="631"/>
      <c r="C157" s="632"/>
      <c r="D157" s="633"/>
      <c r="E157" s="519"/>
      <c r="F157" s="567" t="s">
        <v>269</v>
      </c>
      <c r="G157" s="568"/>
      <c r="H157" s="568"/>
      <c r="I157" s="569"/>
      <c r="J157" s="217"/>
      <c r="K157" s="217"/>
      <c r="L157" s="217"/>
      <c r="M157" s="217"/>
      <c r="N157" s="20"/>
      <c r="O157" s="20"/>
      <c r="P157" s="20"/>
      <c r="Q157" s="20"/>
      <c r="R157" s="20"/>
      <c r="S157" s="20"/>
      <c r="T157" s="20"/>
      <c r="U157" s="20"/>
      <c r="V157" s="20"/>
      <c r="W157" s="24">
        <f>SUM(W152:W156)</f>
        <v>37748.53</v>
      </c>
    </row>
    <row r="158" spans="1:23" ht="21.75" customHeight="1">
      <c r="A158" s="510"/>
      <c r="B158" s="631"/>
      <c r="C158" s="632"/>
      <c r="D158" s="633"/>
      <c r="E158" s="519"/>
      <c r="F158" s="558" t="s">
        <v>339</v>
      </c>
      <c r="G158" s="559"/>
      <c r="H158" s="559"/>
      <c r="I158" s="524">
        <v>99938</v>
      </c>
      <c r="J158" s="524">
        <f>57312-J154</f>
        <v>57312</v>
      </c>
      <c r="K158" s="524">
        <v>57312</v>
      </c>
      <c r="L158" s="524">
        <f>43656-7500</f>
        <v>36156</v>
      </c>
      <c r="M158" s="524">
        <f>SUM(I158:L158)</f>
        <v>250718</v>
      </c>
      <c r="N158" s="556" t="s">
        <v>524</v>
      </c>
      <c r="O158" s="521" t="s">
        <v>108</v>
      </c>
      <c r="P158" s="526" t="s">
        <v>338</v>
      </c>
      <c r="Q158" s="526" t="s">
        <v>338</v>
      </c>
      <c r="R158" s="561"/>
      <c r="S158" s="561"/>
      <c r="T158" s="548" t="s">
        <v>520</v>
      </c>
      <c r="U158" s="548" t="s">
        <v>498</v>
      </c>
      <c r="V158" s="259" t="s">
        <v>554</v>
      </c>
      <c r="W158" s="18">
        <v>15714</v>
      </c>
    </row>
    <row r="159" spans="1:23" ht="24.75" customHeight="1">
      <c r="A159" s="510"/>
      <c r="B159" s="631"/>
      <c r="C159" s="632"/>
      <c r="D159" s="633"/>
      <c r="E159" s="519"/>
      <c r="F159" s="558"/>
      <c r="G159" s="559"/>
      <c r="H159" s="559"/>
      <c r="I159" s="524"/>
      <c r="J159" s="524"/>
      <c r="K159" s="524"/>
      <c r="L159" s="524"/>
      <c r="M159" s="524"/>
      <c r="N159" s="557"/>
      <c r="O159" s="522"/>
      <c r="P159" s="515"/>
      <c r="Q159" s="515"/>
      <c r="R159" s="517"/>
      <c r="S159" s="517"/>
      <c r="T159" s="549"/>
      <c r="U159" s="549"/>
      <c r="V159" s="58" t="s">
        <v>414</v>
      </c>
      <c r="W159" s="17">
        <v>11000</v>
      </c>
    </row>
    <row r="160" spans="1:23" ht="25.5" customHeight="1">
      <c r="A160" s="510"/>
      <c r="B160" s="631"/>
      <c r="C160" s="632"/>
      <c r="D160" s="633"/>
      <c r="E160" s="519"/>
      <c r="F160" s="558"/>
      <c r="G160" s="559"/>
      <c r="H160" s="559"/>
      <c r="I160" s="524"/>
      <c r="J160" s="524"/>
      <c r="K160" s="524"/>
      <c r="L160" s="524"/>
      <c r="M160" s="524"/>
      <c r="N160" s="570" t="s">
        <v>523</v>
      </c>
      <c r="O160" s="522"/>
      <c r="P160" s="514" t="s">
        <v>338</v>
      </c>
      <c r="Q160" s="514"/>
      <c r="R160" s="516"/>
      <c r="S160" s="516"/>
      <c r="T160" s="549"/>
      <c r="U160" s="549"/>
      <c r="V160" s="58" t="s">
        <v>336</v>
      </c>
      <c r="W160" s="53">
        <v>21500</v>
      </c>
    </row>
    <row r="161" spans="1:23" ht="27" customHeight="1">
      <c r="A161" s="510"/>
      <c r="B161" s="631"/>
      <c r="C161" s="632"/>
      <c r="D161" s="633"/>
      <c r="E161" s="519"/>
      <c r="F161" s="558"/>
      <c r="G161" s="559"/>
      <c r="H161" s="559"/>
      <c r="I161" s="524"/>
      <c r="J161" s="524"/>
      <c r="K161" s="524"/>
      <c r="L161" s="524"/>
      <c r="M161" s="524"/>
      <c r="N161" s="557"/>
      <c r="O161" s="522"/>
      <c r="P161" s="515"/>
      <c r="Q161" s="515"/>
      <c r="R161" s="517"/>
      <c r="S161" s="517"/>
      <c r="T161" s="549"/>
      <c r="U161" s="549"/>
      <c r="V161" s="58" t="s">
        <v>236</v>
      </c>
      <c r="W161" s="250">
        <v>26000</v>
      </c>
    </row>
    <row r="162" spans="1:23" ht="25.5" customHeight="1">
      <c r="A162" s="510"/>
      <c r="B162" s="631"/>
      <c r="C162" s="632"/>
      <c r="D162" s="633"/>
      <c r="E162" s="519"/>
      <c r="F162" s="558"/>
      <c r="G162" s="559"/>
      <c r="H162" s="559"/>
      <c r="I162" s="524"/>
      <c r="J162" s="524"/>
      <c r="K162" s="524"/>
      <c r="L162" s="524"/>
      <c r="M162" s="524"/>
      <c r="N162" s="352" t="s">
        <v>109</v>
      </c>
      <c r="O162" s="522"/>
      <c r="P162" s="473"/>
      <c r="Q162" s="473" t="s">
        <v>338</v>
      </c>
      <c r="R162" s="331" t="s">
        <v>338</v>
      </c>
      <c r="S162" s="331" t="s">
        <v>338</v>
      </c>
      <c r="T162" s="549"/>
      <c r="U162" s="549"/>
      <c r="V162" s="58" t="s">
        <v>439</v>
      </c>
      <c r="W162" s="250">
        <v>4000</v>
      </c>
    </row>
    <row r="163" spans="1:23" ht="29.25" customHeight="1" thickBot="1">
      <c r="A163" s="510"/>
      <c r="B163" s="631"/>
      <c r="C163" s="632"/>
      <c r="D163" s="633"/>
      <c r="E163" s="519"/>
      <c r="F163" s="558"/>
      <c r="G163" s="559"/>
      <c r="H163" s="559"/>
      <c r="I163" s="525"/>
      <c r="J163" s="525"/>
      <c r="K163" s="525"/>
      <c r="L163" s="525"/>
      <c r="M163" s="525"/>
      <c r="N163" s="236"/>
      <c r="O163" s="523"/>
      <c r="P163" s="474"/>
      <c r="Q163" s="474"/>
      <c r="R163" s="72"/>
      <c r="S163" s="72"/>
      <c r="T163" s="560"/>
      <c r="U163" s="560"/>
      <c r="V163" s="224" t="s">
        <v>237</v>
      </c>
      <c r="W163" s="216">
        <f>SUM(W158:W162)*0.07</f>
        <v>5474.9800000000005</v>
      </c>
    </row>
    <row r="164" spans="1:23" ht="17.25" customHeight="1" thickBot="1">
      <c r="A164" s="510"/>
      <c r="B164" s="631"/>
      <c r="C164" s="632"/>
      <c r="D164" s="633"/>
      <c r="E164" s="520"/>
      <c r="F164" s="567" t="s">
        <v>340</v>
      </c>
      <c r="G164" s="568"/>
      <c r="H164" s="568"/>
      <c r="I164" s="569"/>
      <c r="J164" s="217"/>
      <c r="K164" s="217"/>
      <c r="L164" s="217"/>
      <c r="M164" s="217"/>
      <c r="N164" s="74"/>
      <c r="O164" s="74"/>
      <c r="P164" s="74"/>
      <c r="Q164" s="74"/>
      <c r="R164" s="74"/>
      <c r="S164" s="74"/>
      <c r="T164" s="74"/>
      <c r="U164" s="74"/>
      <c r="V164" s="74"/>
      <c r="W164" s="75">
        <f>SUM(W158:W163)</f>
        <v>83688.98</v>
      </c>
    </row>
    <row r="165" spans="1:23" ht="15" customHeight="1" thickBot="1">
      <c r="A165" s="510"/>
      <c r="B165" s="550" t="s">
        <v>268</v>
      </c>
      <c r="C165" s="551"/>
      <c r="D165" s="552"/>
      <c r="E165" s="211"/>
      <c r="F165" s="220"/>
      <c r="G165" s="220"/>
      <c r="H165" s="220"/>
      <c r="I165" s="220"/>
      <c r="J165" s="222"/>
      <c r="K165" s="222"/>
      <c r="L165" s="222"/>
      <c r="M165" s="222"/>
      <c r="N165" s="74"/>
      <c r="O165" s="74"/>
      <c r="P165" s="74"/>
      <c r="Q165" s="74"/>
      <c r="R165" s="74"/>
      <c r="S165" s="74"/>
      <c r="T165" s="74"/>
      <c r="U165" s="74"/>
      <c r="V165" s="74"/>
      <c r="W165" s="75">
        <f>W164+W157</f>
        <v>121437.51</v>
      </c>
    </row>
    <row r="166" spans="1:23" ht="18" customHeight="1" thickBot="1">
      <c r="A166" s="512" t="s">
        <v>343</v>
      </c>
      <c r="B166" s="513"/>
      <c r="C166" s="513"/>
      <c r="D166" s="513"/>
      <c r="E166" s="513"/>
      <c r="F166" s="513"/>
      <c r="G166" s="513"/>
      <c r="H166" s="513"/>
      <c r="I166" s="513"/>
      <c r="J166" s="513"/>
      <c r="K166" s="513"/>
      <c r="L166" s="513"/>
      <c r="M166" s="513"/>
      <c r="N166" s="513"/>
      <c r="O166" s="513"/>
      <c r="P166" s="513"/>
      <c r="Q166" s="513"/>
      <c r="R166" s="513"/>
      <c r="S166" s="513"/>
      <c r="T166" s="148"/>
      <c r="U166" s="148"/>
      <c r="V166" s="148"/>
      <c r="W166" s="77">
        <f>W165+W151+W138+W131+W107+W74+W68+W43</f>
        <v>752272.4987000001</v>
      </c>
    </row>
    <row r="167" spans="1:23" ht="18" customHeight="1" thickBot="1">
      <c r="A167" s="553"/>
      <c r="B167" s="554"/>
      <c r="C167" s="554"/>
      <c r="D167" s="554"/>
      <c r="E167" s="554"/>
      <c r="F167" s="554"/>
      <c r="G167" s="554"/>
      <c r="H167" s="554"/>
      <c r="I167" s="554"/>
      <c r="J167" s="554"/>
      <c r="K167" s="554"/>
      <c r="L167" s="554"/>
      <c r="M167" s="554"/>
      <c r="N167" s="554"/>
      <c r="O167" s="554"/>
      <c r="P167" s="554"/>
      <c r="Q167" s="554"/>
      <c r="R167" s="554"/>
      <c r="S167" s="554"/>
      <c r="T167" s="554"/>
      <c r="U167" s="554"/>
      <c r="V167" s="554"/>
      <c r="W167" s="555"/>
    </row>
    <row r="168" spans="1:23" ht="18" customHeight="1" thickBot="1">
      <c r="A168" s="512" t="s">
        <v>192</v>
      </c>
      <c r="B168" s="513"/>
      <c r="C168" s="513"/>
      <c r="D168" s="513"/>
      <c r="E168" s="513"/>
      <c r="F168" s="513"/>
      <c r="G168" s="513"/>
      <c r="H168" s="513"/>
      <c r="I168" s="513"/>
      <c r="J168" s="513"/>
      <c r="K168" s="513"/>
      <c r="L168" s="513"/>
      <c r="M168" s="513"/>
      <c r="N168" s="513"/>
      <c r="O168" s="513"/>
      <c r="P168" s="513"/>
      <c r="Q168" s="513"/>
      <c r="R168" s="513"/>
      <c r="S168" s="513"/>
      <c r="T168" s="148"/>
      <c r="U168" s="148"/>
      <c r="V168" s="148"/>
      <c r="W168" s="77">
        <f>W43</f>
        <v>149090.0015</v>
      </c>
    </row>
    <row r="169" spans="1:23" ht="18" customHeight="1" thickBot="1">
      <c r="A169" s="512" t="s">
        <v>193</v>
      </c>
      <c r="B169" s="513"/>
      <c r="C169" s="513"/>
      <c r="D169" s="513"/>
      <c r="E169" s="513"/>
      <c r="F169" s="513"/>
      <c r="G169" s="513"/>
      <c r="H169" s="513"/>
      <c r="I169" s="513"/>
      <c r="J169" s="513"/>
      <c r="K169" s="513"/>
      <c r="L169" s="513"/>
      <c r="M169" s="513"/>
      <c r="N169" s="513"/>
      <c r="O169" s="513"/>
      <c r="P169" s="513"/>
      <c r="Q169" s="513"/>
      <c r="R169" s="513"/>
      <c r="S169" s="513"/>
      <c r="T169" s="148"/>
      <c r="U169" s="148"/>
      <c r="V169" s="148"/>
      <c r="W169" s="77">
        <f>W131+W107</f>
        <v>213197.5</v>
      </c>
    </row>
    <row r="170" spans="1:23" ht="18" customHeight="1" thickBot="1">
      <c r="A170" s="512" t="s">
        <v>344</v>
      </c>
      <c r="B170" s="513"/>
      <c r="C170" s="513"/>
      <c r="D170" s="513"/>
      <c r="E170" s="513"/>
      <c r="F170" s="513"/>
      <c r="G170" s="513"/>
      <c r="H170" s="513"/>
      <c r="I170" s="513"/>
      <c r="J170" s="513"/>
      <c r="K170" s="513"/>
      <c r="L170" s="513"/>
      <c r="M170" s="513"/>
      <c r="N170" s="513"/>
      <c r="O170" s="513"/>
      <c r="P170" s="513"/>
      <c r="Q170" s="513"/>
      <c r="R170" s="513"/>
      <c r="S170" s="513"/>
      <c r="T170" s="148"/>
      <c r="U170" s="148"/>
      <c r="V170" s="148"/>
      <c r="W170" s="77">
        <f>W151+W68</f>
        <v>232938.9572</v>
      </c>
    </row>
    <row r="171" spans="1:23" ht="18" customHeight="1" thickBot="1">
      <c r="A171" s="512" t="s">
        <v>345</v>
      </c>
      <c r="B171" s="513"/>
      <c r="C171" s="513"/>
      <c r="D171" s="513"/>
      <c r="E171" s="513"/>
      <c r="F171" s="513"/>
      <c r="G171" s="513"/>
      <c r="H171" s="513"/>
      <c r="I171" s="513"/>
      <c r="J171" s="513"/>
      <c r="K171" s="513"/>
      <c r="L171" s="513"/>
      <c r="M171" s="513"/>
      <c r="N171" s="513"/>
      <c r="O171" s="513"/>
      <c r="P171" s="513"/>
      <c r="Q171" s="513"/>
      <c r="R171" s="513"/>
      <c r="S171" s="513"/>
      <c r="T171" s="148"/>
      <c r="U171" s="148"/>
      <c r="V171" s="148"/>
      <c r="W171" s="77">
        <f>W138</f>
        <v>21400</v>
      </c>
    </row>
    <row r="172" spans="1:23" ht="18" customHeight="1" thickBot="1">
      <c r="A172" s="512" t="s">
        <v>346</v>
      </c>
      <c r="B172" s="513"/>
      <c r="C172" s="513"/>
      <c r="D172" s="513"/>
      <c r="E172" s="513"/>
      <c r="F172" s="513"/>
      <c r="G172" s="513"/>
      <c r="H172" s="513"/>
      <c r="I172" s="513"/>
      <c r="J172" s="513"/>
      <c r="K172" s="513"/>
      <c r="L172" s="513"/>
      <c r="M172" s="513"/>
      <c r="N172" s="513"/>
      <c r="O172" s="513"/>
      <c r="P172" s="513"/>
      <c r="Q172" s="513"/>
      <c r="R172" s="513"/>
      <c r="S172" s="513"/>
      <c r="T172" s="148"/>
      <c r="U172" s="148"/>
      <c r="V172" s="148"/>
      <c r="W172" s="77">
        <f>W165+W74</f>
        <v>135646.04</v>
      </c>
    </row>
    <row r="173" spans="2:23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2:23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ht="12.75">
      <c r="W175" s="78"/>
    </row>
  </sheetData>
  <sheetProtection/>
  <mergeCells count="376">
    <mergeCell ref="O147:O149"/>
    <mergeCell ref="O17:O19"/>
    <mergeCell ref="O20:O21"/>
    <mergeCell ref="O22:O23"/>
    <mergeCell ref="O26:O30"/>
    <mergeCell ref="O31:O34"/>
    <mergeCell ref="O36:O37"/>
    <mergeCell ref="O38:O39"/>
    <mergeCell ref="O82:O86"/>
    <mergeCell ref="O44:O52"/>
    <mergeCell ref="O54:O57"/>
    <mergeCell ref="O59:O61"/>
    <mergeCell ref="O40:O41"/>
    <mergeCell ref="O63:O66"/>
    <mergeCell ref="U12:U15"/>
    <mergeCell ref="U17:U24"/>
    <mergeCell ref="U26:U34"/>
    <mergeCell ref="U36:U41"/>
    <mergeCell ref="U44:U52"/>
    <mergeCell ref="T36:T41"/>
    <mergeCell ref="T44:T52"/>
    <mergeCell ref="T54:T57"/>
    <mergeCell ref="O139:O145"/>
    <mergeCell ref="O12:O15"/>
    <mergeCell ref="T124:T129"/>
    <mergeCell ref="T114:T122"/>
    <mergeCell ref="U82:U86"/>
    <mergeCell ref="U101:U105"/>
    <mergeCell ref="U108:U112"/>
    <mergeCell ref="U114:U122"/>
    <mergeCell ref="U124:U129"/>
    <mergeCell ref="O88:O92"/>
    <mergeCell ref="O94:O99"/>
    <mergeCell ref="O69:O72"/>
    <mergeCell ref="O75:O80"/>
    <mergeCell ref="S17:S24"/>
    <mergeCell ref="P26:P34"/>
    <mergeCell ref="Q26:Q34"/>
    <mergeCell ref="P36:P41"/>
    <mergeCell ref="O9:O11"/>
    <mergeCell ref="Q44:Q52"/>
    <mergeCell ref="R44:R52"/>
    <mergeCell ref="Q75:Q80"/>
    <mergeCell ref="R75:R80"/>
    <mergeCell ref="P17:P24"/>
    <mergeCell ref="T17:T24"/>
    <mergeCell ref="S69:S72"/>
    <mergeCell ref="S26:S34"/>
    <mergeCell ref="T26:T34"/>
    <mergeCell ref="R12:R15"/>
    <mergeCell ref="S12:S15"/>
    <mergeCell ref="R26:R34"/>
    <mergeCell ref="S36:S41"/>
    <mergeCell ref="S44:S52"/>
    <mergeCell ref="R17:R24"/>
    <mergeCell ref="P44:P52"/>
    <mergeCell ref="T69:T72"/>
    <mergeCell ref="T75:T80"/>
    <mergeCell ref="S75:S80"/>
    <mergeCell ref="P75:P80"/>
    <mergeCell ref="T59:T61"/>
    <mergeCell ref="T12:T15"/>
    <mergeCell ref="W142:W144"/>
    <mergeCell ref="V142:V144"/>
    <mergeCell ref="V115:V116"/>
    <mergeCell ref="W115:W116"/>
    <mergeCell ref="V117:V118"/>
    <mergeCell ref="W117:W118"/>
    <mergeCell ref="V119:V120"/>
    <mergeCell ref="W119:W120"/>
    <mergeCell ref="V121:V122"/>
    <mergeCell ref="W121:W122"/>
    <mergeCell ref="O152:O156"/>
    <mergeCell ref="O132:O136"/>
    <mergeCell ref="Q108:Q109"/>
    <mergeCell ref="R108:R109"/>
    <mergeCell ref="U54:U57"/>
    <mergeCell ref="U59:U61"/>
    <mergeCell ref="U63:U66"/>
    <mergeCell ref="P69:P72"/>
    <mergeCell ref="Q69:Q72"/>
    <mergeCell ref="R69:R72"/>
    <mergeCell ref="P54:P57"/>
    <mergeCell ref="P88:P92"/>
    <mergeCell ref="Q88:Q92"/>
    <mergeCell ref="R88:R92"/>
    <mergeCell ref="S88:S92"/>
    <mergeCell ref="Q96:Q97"/>
    <mergeCell ref="R96:R97"/>
    <mergeCell ref="S96:S97"/>
    <mergeCell ref="U69:U72"/>
    <mergeCell ref="U75:U80"/>
    <mergeCell ref="S128:S129"/>
    <mergeCell ref="R98:R99"/>
    <mergeCell ref="T147:T149"/>
    <mergeCell ref="T101:T105"/>
    <mergeCell ref="B151:D151"/>
    <mergeCell ref="P139:P145"/>
    <mergeCell ref="Q139:Q145"/>
    <mergeCell ref="L139:L145"/>
    <mergeCell ref="M139:M145"/>
    <mergeCell ref="Q147:Q149"/>
    <mergeCell ref="N147:N149"/>
    <mergeCell ref="O101:O105"/>
    <mergeCell ref="N101:N103"/>
    <mergeCell ref="P101:P105"/>
    <mergeCell ref="P108:P109"/>
    <mergeCell ref="N126:N127"/>
    <mergeCell ref="P111:P112"/>
    <mergeCell ref="Q111:Q112"/>
    <mergeCell ref="N142:N145"/>
    <mergeCell ref="N128:N129"/>
    <mergeCell ref="P137:S137"/>
    <mergeCell ref="N124:N125"/>
    <mergeCell ref="S139:S145"/>
    <mergeCell ref="Q132:Q136"/>
    <mergeCell ref="R139:R145"/>
    <mergeCell ref="N139:N141"/>
    <mergeCell ref="Q124:Q125"/>
    <mergeCell ref="O124:O129"/>
    <mergeCell ref="E108:E130"/>
    <mergeCell ref="E132:E137"/>
    <mergeCell ref="F123:H123"/>
    <mergeCell ref="B131:D131"/>
    <mergeCell ref="P94:P95"/>
    <mergeCell ref="P96:P97"/>
    <mergeCell ref="N90:N92"/>
    <mergeCell ref="B132:D136"/>
    <mergeCell ref="N132:N136"/>
    <mergeCell ref="P132:P136"/>
    <mergeCell ref="N98:N99"/>
    <mergeCell ref="F130:J130"/>
    <mergeCell ref="B108:D130"/>
    <mergeCell ref="P126:P127"/>
    <mergeCell ref="B75:D106"/>
    <mergeCell ref="L88:L105"/>
    <mergeCell ref="M88:M105"/>
    <mergeCell ref="N104:N105"/>
    <mergeCell ref="N75:N80"/>
    <mergeCell ref="P82:P86"/>
    <mergeCell ref="B139:D150"/>
    <mergeCell ref="B44:D66"/>
    <mergeCell ref="B68:D68"/>
    <mergeCell ref="F53:N53"/>
    <mergeCell ref="N33:N34"/>
    <mergeCell ref="N31:N32"/>
    <mergeCell ref="B43:D43"/>
    <mergeCell ref="E44:E67"/>
    <mergeCell ref="K88:K105"/>
    <mergeCell ref="F58:N58"/>
    <mergeCell ref="F137:I137"/>
    <mergeCell ref="I132:I136"/>
    <mergeCell ref="J132:J136"/>
    <mergeCell ref="K132:K136"/>
    <mergeCell ref="J108:J129"/>
    <mergeCell ref="F146:I146"/>
    <mergeCell ref="F114:H122"/>
    <mergeCell ref="F124:H129"/>
    <mergeCell ref="B138:D138"/>
    <mergeCell ref="F139:H142"/>
    <mergeCell ref="B107:D107"/>
    <mergeCell ref="F108:H112"/>
    <mergeCell ref="K139:K145"/>
    <mergeCell ref="E139:E150"/>
    <mergeCell ref="F93:H93"/>
    <mergeCell ref="J75:J83"/>
    <mergeCell ref="K75:K83"/>
    <mergeCell ref="J26:J34"/>
    <mergeCell ref="M12:M15"/>
    <mergeCell ref="N29:N30"/>
    <mergeCell ref="F59:H61"/>
    <mergeCell ref="F63:H66"/>
    <mergeCell ref="F44:H52"/>
    <mergeCell ref="N51:N52"/>
    <mergeCell ref="F42:N42"/>
    <mergeCell ref="N36:N37"/>
    <mergeCell ref="N38:N39"/>
    <mergeCell ref="F35:N35"/>
    <mergeCell ref="J36:J41"/>
    <mergeCell ref="N63:N66"/>
    <mergeCell ref="N22:N23"/>
    <mergeCell ref="M17:M21"/>
    <mergeCell ref="I12:I15"/>
    <mergeCell ref="F17:H24"/>
    <mergeCell ref="J17:J21"/>
    <mergeCell ref="L12:L15"/>
    <mergeCell ref="I17:I21"/>
    <mergeCell ref="F12:H15"/>
    <mergeCell ref="F16:N16"/>
    <mergeCell ref="B69:D73"/>
    <mergeCell ref="F73:N73"/>
    <mergeCell ref="B74:D74"/>
    <mergeCell ref="N69:N72"/>
    <mergeCell ref="N59:N61"/>
    <mergeCell ref="F62:N62"/>
    <mergeCell ref="F67:N67"/>
    <mergeCell ref="L26:L34"/>
    <mergeCell ref="M26:M34"/>
    <mergeCell ref="F69:H72"/>
    <mergeCell ref="N44:N46"/>
    <mergeCell ref="N47:N50"/>
    <mergeCell ref="N40:N41"/>
    <mergeCell ref="N26:N28"/>
    <mergeCell ref="F54:H57"/>
    <mergeCell ref="N12:N15"/>
    <mergeCell ref="F25:N25"/>
    <mergeCell ref="N17:N19"/>
    <mergeCell ref="N20:N21"/>
    <mergeCell ref="Q17:Q24"/>
    <mergeCell ref="W17:W18"/>
    <mergeCell ref="V19:V20"/>
    <mergeCell ref="F106:N106"/>
    <mergeCell ref="P98:P99"/>
    <mergeCell ref="Q98:Q99"/>
    <mergeCell ref="F101:H105"/>
    <mergeCell ref="J88:J105"/>
    <mergeCell ref="F81:H81"/>
    <mergeCell ref="N82:N86"/>
    <mergeCell ref="M75:M83"/>
    <mergeCell ref="F82:H86"/>
    <mergeCell ref="N94:N95"/>
    <mergeCell ref="N96:N97"/>
    <mergeCell ref="L75:L83"/>
    <mergeCell ref="I88:I105"/>
    <mergeCell ref="F100:H100"/>
    <mergeCell ref="F75:H80"/>
    <mergeCell ref="F94:H99"/>
    <mergeCell ref="F26:H34"/>
    <mergeCell ref="I26:I34"/>
    <mergeCell ref="K26:K34"/>
    <mergeCell ref="F87:N87"/>
    <mergeCell ref="N88:N89"/>
    <mergeCell ref="B9:D11"/>
    <mergeCell ref="F9:H11"/>
    <mergeCell ref="J12:J15"/>
    <mergeCell ref="F132:H136"/>
    <mergeCell ref="B152:D164"/>
    <mergeCell ref="W19:W20"/>
    <mergeCell ref="V21:V22"/>
    <mergeCell ref="W21:W22"/>
    <mergeCell ref="W31:W32"/>
    <mergeCell ref="W26:W27"/>
    <mergeCell ref="W28:W30"/>
    <mergeCell ref="W36:W37"/>
    <mergeCell ref="W33:W34"/>
    <mergeCell ref="V26:V27"/>
    <mergeCell ref="V28:V30"/>
    <mergeCell ref="V31:V32"/>
    <mergeCell ref="V33:V34"/>
    <mergeCell ref="V36:V37"/>
    <mergeCell ref="V17:V18"/>
    <mergeCell ref="P9:S10"/>
    <mergeCell ref="P12:P15"/>
    <mergeCell ref="Q12:Q15"/>
    <mergeCell ref="U9:W10"/>
    <mergeCell ref="T9:T11"/>
    <mergeCell ref="E9:E11"/>
    <mergeCell ref="E12:E42"/>
    <mergeCell ref="N54:N57"/>
    <mergeCell ref="F157:I157"/>
    <mergeCell ref="I139:I145"/>
    <mergeCell ref="J139:J145"/>
    <mergeCell ref="F36:H41"/>
    <mergeCell ref="K108:K129"/>
    <mergeCell ref="L108:L129"/>
    <mergeCell ref="M147:M149"/>
    <mergeCell ref="F150:I150"/>
    <mergeCell ref="L152:L156"/>
    <mergeCell ref="N108:N109"/>
    <mergeCell ref="N111:N112"/>
    <mergeCell ref="E69:E73"/>
    <mergeCell ref="E75:E106"/>
    <mergeCell ref="M108:M129"/>
    <mergeCell ref="I152:I156"/>
    <mergeCell ref="J152:J156"/>
    <mergeCell ref="K152:K156"/>
    <mergeCell ref="F147:H149"/>
    <mergeCell ref="F152:H156"/>
    <mergeCell ref="K17:K21"/>
    <mergeCell ref="L17:L21"/>
    <mergeCell ref="U152:U156"/>
    <mergeCell ref="U158:U163"/>
    <mergeCell ref="R158:R159"/>
    <mergeCell ref="S158:S159"/>
    <mergeCell ref="T152:T156"/>
    <mergeCell ref="T158:T163"/>
    <mergeCell ref="L132:L136"/>
    <mergeCell ref="M132:M136"/>
    <mergeCell ref="I108:I129"/>
    <mergeCell ref="O108:O112"/>
    <mergeCell ref="O114:O122"/>
    <mergeCell ref="M152:M156"/>
    <mergeCell ref="I147:I149"/>
    <mergeCell ref="J147:J149"/>
    <mergeCell ref="K147:K149"/>
    <mergeCell ref="L147:L149"/>
    <mergeCell ref="R132:R136"/>
    <mergeCell ref="S132:S136"/>
    <mergeCell ref="R111:R112"/>
    <mergeCell ref="N152:N156"/>
    <mergeCell ref="P152:P156"/>
    <mergeCell ref="Q152:Q156"/>
    <mergeCell ref="R152:R156"/>
    <mergeCell ref="S152:S156"/>
    <mergeCell ref="W40:W41"/>
    <mergeCell ref="Q59:Q61"/>
    <mergeCell ref="W79:W80"/>
    <mergeCell ref="S111:S112"/>
    <mergeCell ref="V98:V99"/>
    <mergeCell ref="W98:W99"/>
    <mergeCell ref="T82:T86"/>
    <mergeCell ref="V40:V41"/>
    <mergeCell ref="Q36:Q41"/>
    <mergeCell ref="R36:R41"/>
    <mergeCell ref="V79:V80"/>
    <mergeCell ref="S108:S109"/>
    <mergeCell ref="T108:T112"/>
    <mergeCell ref="Q94:Q95"/>
    <mergeCell ref="R94:R95"/>
    <mergeCell ref="S94:S95"/>
    <mergeCell ref="Q82:Q86"/>
    <mergeCell ref="R82:R86"/>
    <mergeCell ref="S82:S86"/>
    <mergeCell ref="T63:T66"/>
    <mergeCell ref="T88:T92"/>
    <mergeCell ref="T94:T99"/>
    <mergeCell ref="S98:S99"/>
    <mergeCell ref="Q63:Q66"/>
    <mergeCell ref="A172:S172"/>
    <mergeCell ref="A1:W1"/>
    <mergeCell ref="A2:W2"/>
    <mergeCell ref="A4:W5"/>
    <mergeCell ref="A6:W7"/>
    <mergeCell ref="T132:T136"/>
    <mergeCell ref="T139:T145"/>
    <mergeCell ref="B165:D165"/>
    <mergeCell ref="A166:S166"/>
    <mergeCell ref="A167:W167"/>
    <mergeCell ref="M158:M163"/>
    <mergeCell ref="N158:N159"/>
    <mergeCell ref="P158:P159"/>
    <mergeCell ref="F158:H163"/>
    <mergeCell ref="I158:I163"/>
    <mergeCell ref="J158:J163"/>
    <mergeCell ref="K158:K163"/>
    <mergeCell ref="U132:U136"/>
    <mergeCell ref="U139:U145"/>
    <mergeCell ref="U147:U149"/>
    <mergeCell ref="U88:U92"/>
    <mergeCell ref="U94:U99"/>
    <mergeCell ref="F164:I164"/>
    <mergeCell ref="N160:N161"/>
    <mergeCell ref="A9:A11"/>
    <mergeCell ref="A12:A131"/>
    <mergeCell ref="A132:A165"/>
    <mergeCell ref="A170:S170"/>
    <mergeCell ref="A171:S171"/>
    <mergeCell ref="A168:S168"/>
    <mergeCell ref="A169:S169"/>
    <mergeCell ref="Q160:Q161"/>
    <mergeCell ref="R160:R161"/>
    <mergeCell ref="E152:E164"/>
    <mergeCell ref="P160:P161"/>
    <mergeCell ref="O158:O163"/>
    <mergeCell ref="L158:L163"/>
    <mergeCell ref="Q158:Q159"/>
    <mergeCell ref="S160:S161"/>
    <mergeCell ref="I75:I83"/>
    <mergeCell ref="K36:K41"/>
    <mergeCell ref="L36:L41"/>
    <mergeCell ref="M36:M41"/>
    <mergeCell ref="K12:K15"/>
    <mergeCell ref="I9:I11"/>
    <mergeCell ref="I36:I41"/>
    <mergeCell ref="B12:D42"/>
    <mergeCell ref="F88:H92"/>
  </mergeCells>
  <printOptions/>
  <pageMargins left="0.6299212598425197" right="0.5905511811023623" top="0.984251968503937" bottom="0.5905511811023623" header="0.5118110236220472" footer="0.4330708661417323"/>
  <pageSetup fitToHeight="4" horizontalDpi="300" verticalDpi="300" orientation="landscape" paperSize="127" scale="63" r:id="rId1"/>
  <headerFooter alignWithMargins="0">
    <oddFooter>&amp;CPágina &amp;P</oddFooter>
  </headerFooter>
  <rowBreaks count="8" manualBreakCount="8">
    <brk id="35" max="21" man="1"/>
    <brk id="58" max="21" man="1"/>
    <brk id="80" max="22" man="1"/>
    <brk id="106" max="21" man="1"/>
    <brk id="123" max="21" man="1"/>
    <brk id="146" max="21" man="1"/>
    <brk id="166" max="22" man="1"/>
    <brk id="17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50"/>
  <sheetViews>
    <sheetView view="pageBreakPreview" zoomScaleSheetLayoutView="100" zoomScalePageLayoutView="0" workbookViewId="0" topLeftCell="B1">
      <selection activeCell="H235" sqref="H235"/>
    </sheetView>
  </sheetViews>
  <sheetFormatPr defaultColWidth="12.57421875" defaultRowHeight="12.75"/>
  <cols>
    <col min="1" max="1" width="21.7109375" style="69" customWidth="1"/>
    <col min="2" max="2" width="23.00390625" style="69" customWidth="1"/>
    <col min="3" max="3" width="12.421875" style="69" customWidth="1"/>
    <col min="4" max="4" width="25.7109375" style="69" customWidth="1"/>
    <col min="5" max="5" width="25.00390625" style="69" customWidth="1"/>
    <col min="6" max="6" width="19.00390625" style="69" customWidth="1"/>
    <col min="7" max="10" width="4.7109375" style="69" customWidth="1"/>
    <col min="11" max="11" width="13.8515625" style="69" customWidth="1"/>
    <col min="12" max="12" width="12.00390625" style="69" customWidth="1"/>
    <col min="13" max="13" width="13.421875" style="69" customWidth="1"/>
    <col min="14" max="14" width="14.140625" style="69" customWidth="1"/>
    <col min="15" max="246" width="11.421875" style="69" customWidth="1"/>
    <col min="247" max="247" width="28.140625" style="69" customWidth="1"/>
    <col min="248" max="248" width="22.8515625" style="69" customWidth="1"/>
    <col min="249" max="249" width="27.7109375" style="69" customWidth="1"/>
    <col min="250" max="250" width="12.421875" style="69" customWidth="1"/>
    <col min="251" max="253" width="11.421875" style="69" customWidth="1"/>
    <col min="254" max="254" width="17.28125" style="69" customWidth="1"/>
    <col min="255" max="255" width="14.7109375" style="69" customWidth="1"/>
    <col min="256" max="16384" width="12.57421875" style="69" customWidth="1"/>
  </cols>
  <sheetData>
    <row r="1" spans="1:14" s="79" customFormat="1" ht="21" customHeight="1">
      <c r="A1" s="869" t="s">
        <v>270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</row>
    <row r="2" spans="1:14" ht="15.75" customHeight="1">
      <c r="A2" s="546" t="s">
        <v>349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</row>
    <row r="3" spans="1:14" s="79" customFormat="1" ht="14.25" customHeight="1">
      <c r="A3" s="867" t="s">
        <v>614</v>
      </c>
      <c r="B3" s="868"/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9"/>
    </row>
    <row r="4" spans="1:14" s="79" customFormat="1" ht="38.25" customHeight="1">
      <c r="A4" s="943" t="s">
        <v>351</v>
      </c>
      <c r="B4" s="944"/>
      <c r="C4" s="944"/>
      <c r="D4" s="944"/>
      <c r="E4" s="944"/>
      <c r="F4" s="944"/>
      <c r="G4" s="944"/>
      <c r="H4" s="944"/>
      <c r="I4" s="944"/>
      <c r="J4" s="944"/>
      <c r="K4" s="944"/>
      <c r="L4" s="944"/>
      <c r="M4" s="944"/>
      <c r="N4" s="944"/>
    </row>
    <row r="5" spans="1:14" s="79" customFormat="1" ht="31.5" customHeight="1">
      <c r="A5" s="943" t="s">
        <v>350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</row>
    <row r="6" spans="1:14" s="79" customFormat="1" ht="15" customHeight="1" thickBot="1">
      <c r="A6" s="945"/>
      <c r="B6" s="945"/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</row>
    <row r="7" spans="1:14" ht="27" customHeight="1" thickBot="1">
      <c r="A7" s="619" t="s">
        <v>271</v>
      </c>
      <c r="B7" s="619" t="s">
        <v>203</v>
      </c>
      <c r="C7" s="506" t="s">
        <v>217</v>
      </c>
      <c r="D7" s="619" t="s">
        <v>307</v>
      </c>
      <c r="E7" s="619" t="s">
        <v>601</v>
      </c>
      <c r="F7" s="506" t="s">
        <v>126</v>
      </c>
      <c r="G7" s="933" t="s">
        <v>11</v>
      </c>
      <c r="H7" s="934"/>
      <c r="I7" s="934"/>
      <c r="J7" s="935"/>
      <c r="K7" s="619" t="s">
        <v>272</v>
      </c>
      <c r="L7" s="879" t="s">
        <v>406</v>
      </c>
      <c r="M7" s="880"/>
      <c r="N7" s="881"/>
    </row>
    <row r="8" spans="1:14" ht="25.5" customHeight="1" thickBot="1">
      <c r="A8" s="622"/>
      <c r="B8" s="622"/>
      <c r="C8" s="508"/>
      <c r="D8" s="622"/>
      <c r="E8" s="622"/>
      <c r="F8" s="508"/>
      <c r="G8" s="54" t="s">
        <v>214</v>
      </c>
      <c r="H8" s="54" t="s">
        <v>578</v>
      </c>
      <c r="I8" s="54" t="s">
        <v>215</v>
      </c>
      <c r="J8" s="54" t="s">
        <v>216</v>
      </c>
      <c r="K8" s="622"/>
      <c r="L8" s="132" t="s">
        <v>407</v>
      </c>
      <c r="M8" s="132" t="s">
        <v>408</v>
      </c>
      <c r="N8" s="137" t="s">
        <v>409</v>
      </c>
    </row>
    <row r="9" spans="1:14" ht="28.5" customHeight="1">
      <c r="A9" s="946" t="s">
        <v>273</v>
      </c>
      <c r="B9" s="910" t="s">
        <v>274</v>
      </c>
      <c r="C9" s="896" t="s">
        <v>152</v>
      </c>
      <c r="D9" s="847" t="s">
        <v>275</v>
      </c>
      <c r="E9" s="907" t="s">
        <v>19</v>
      </c>
      <c r="F9" s="909" t="s">
        <v>590</v>
      </c>
      <c r="G9" s="810" t="s">
        <v>338</v>
      </c>
      <c r="H9" s="810" t="s">
        <v>338</v>
      </c>
      <c r="I9" s="914" t="s">
        <v>338</v>
      </c>
      <c r="J9" s="914" t="s">
        <v>338</v>
      </c>
      <c r="K9" s="856" t="s">
        <v>577</v>
      </c>
      <c r="L9" s="856" t="s">
        <v>498</v>
      </c>
      <c r="M9" s="183" t="s">
        <v>236</v>
      </c>
      <c r="N9" s="404">
        <v>64000</v>
      </c>
    </row>
    <row r="10" spans="1:14" ht="45" customHeight="1">
      <c r="A10" s="947"/>
      <c r="B10" s="911"/>
      <c r="C10" s="897"/>
      <c r="D10" s="812"/>
      <c r="E10" s="908"/>
      <c r="F10" s="762"/>
      <c r="G10" s="820"/>
      <c r="H10" s="820"/>
      <c r="I10" s="915"/>
      <c r="J10" s="915"/>
      <c r="K10" s="857"/>
      <c r="L10" s="857"/>
      <c r="M10" s="184" t="s">
        <v>550</v>
      </c>
      <c r="N10" s="194">
        <v>7000</v>
      </c>
    </row>
    <row r="11" spans="1:14" ht="30" customHeight="1">
      <c r="A11" s="947"/>
      <c r="B11" s="911"/>
      <c r="C11" s="897"/>
      <c r="D11" s="812"/>
      <c r="E11" s="602" t="s">
        <v>20</v>
      </c>
      <c r="F11" s="762"/>
      <c r="G11" s="820"/>
      <c r="H11" s="820"/>
      <c r="I11" s="915"/>
      <c r="J11" s="915"/>
      <c r="K11" s="857"/>
      <c r="L11" s="857"/>
      <c r="M11" s="184" t="s">
        <v>460</v>
      </c>
      <c r="N11" s="194">
        <v>5899.75</v>
      </c>
    </row>
    <row r="12" spans="1:14" ht="28.5" customHeight="1">
      <c r="A12" s="947"/>
      <c r="B12" s="911"/>
      <c r="C12" s="897"/>
      <c r="D12" s="812"/>
      <c r="E12" s="602"/>
      <c r="F12" s="762"/>
      <c r="G12" s="820"/>
      <c r="H12" s="820"/>
      <c r="I12" s="915"/>
      <c r="J12" s="915"/>
      <c r="K12" s="857"/>
      <c r="L12" s="857"/>
      <c r="M12" s="184" t="s">
        <v>414</v>
      </c>
      <c r="N12" s="405">
        <v>60000</v>
      </c>
    </row>
    <row r="13" spans="1:14" ht="34.5" customHeight="1" thickBot="1">
      <c r="A13" s="947"/>
      <c r="B13" s="911"/>
      <c r="C13" s="897"/>
      <c r="D13" s="848"/>
      <c r="E13" s="603"/>
      <c r="F13" s="890"/>
      <c r="G13" s="821"/>
      <c r="H13" s="821"/>
      <c r="I13" s="916"/>
      <c r="J13" s="916"/>
      <c r="K13" s="858"/>
      <c r="L13" s="858"/>
      <c r="M13" s="185" t="s">
        <v>420</v>
      </c>
      <c r="N13" s="195">
        <f>SUM(N9:N12)*0.07</f>
        <v>9582.9825</v>
      </c>
    </row>
    <row r="14" spans="1:14" ht="17.25" customHeight="1" thickBot="1">
      <c r="A14" s="947"/>
      <c r="B14" s="911"/>
      <c r="C14" s="897"/>
      <c r="D14" s="882" t="s">
        <v>309</v>
      </c>
      <c r="E14" s="883"/>
      <c r="F14" s="883"/>
      <c r="G14" s="883"/>
      <c r="H14" s="883"/>
      <c r="I14" s="410"/>
      <c r="J14" s="407"/>
      <c r="K14" s="86"/>
      <c r="L14" s="142"/>
      <c r="M14" s="142"/>
      <c r="N14" s="179">
        <f>SUM(N9:N13)</f>
        <v>146482.7325</v>
      </c>
    </row>
    <row r="15" spans="1:14" ht="30.75" customHeight="1">
      <c r="A15" s="947"/>
      <c r="B15" s="911"/>
      <c r="C15" s="897"/>
      <c r="D15" s="884" t="s">
        <v>277</v>
      </c>
      <c r="E15" s="907" t="s">
        <v>22</v>
      </c>
      <c r="F15" s="889" t="s">
        <v>110</v>
      </c>
      <c r="G15" s="892" t="s">
        <v>338</v>
      </c>
      <c r="H15" s="892" t="s">
        <v>338</v>
      </c>
      <c r="I15" s="807" t="s">
        <v>338</v>
      </c>
      <c r="J15" s="807" t="s">
        <v>338</v>
      </c>
      <c r="K15" s="863" t="s">
        <v>526</v>
      </c>
      <c r="L15" s="863" t="s">
        <v>498</v>
      </c>
      <c r="M15" s="874" t="s">
        <v>419</v>
      </c>
      <c r="N15" s="870">
        <v>10000</v>
      </c>
    </row>
    <row r="16" spans="1:14" ht="23.25" customHeight="1">
      <c r="A16" s="947"/>
      <c r="B16" s="911"/>
      <c r="C16" s="897"/>
      <c r="D16" s="885"/>
      <c r="E16" s="908"/>
      <c r="F16" s="762"/>
      <c r="G16" s="893"/>
      <c r="H16" s="893"/>
      <c r="I16" s="808"/>
      <c r="J16" s="808"/>
      <c r="K16" s="864"/>
      <c r="L16" s="864"/>
      <c r="M16" s="875"/>
      <c r="N16" s="871"/>
    </row>
    <row r="17" spans="1:14" ht="32.25" customHeight="1">
      <c r="A17" s="947"/>
      <c r="B17" s="911"/>
      <c r="C17" s="897"/>
      <c r="D17" s="885"/>
      <c r="E17" s="898" t="s">
        <v>21</v>
      </c>
      <c r="F17" s="762"/>
      <c r="G17" s="893"/>
      <c r="H17" s="893"/>
      <c r="I17" s="808"/>
      <c r="J17" s="808"/>
      <c r="K17" s="864"/>
      <c r="L17" s="864"/>
      <c r="M17" s="876" t="s">
        <v>420</v>
      </c>
      <c r="N17" s="887">
        <f>N15*0.07</f>
        <v>700.0000000000001</v>
      </c>
    </row>
    <row r="18" spans="1:14" ht="39.75" customHeight="1" thickBot="1">
      <c r="A18" s="947"/>
      <c r="B18" s="911"/>
      <c r="C18" s="897"/>
      <c r="D18" s="886"/>
      <c r="E18" s="899"/>
      <c r="F18" s="890"/>
      <c r="G18" s="894"/>
      <c r="H18" s="894"/>
      <c r="I18" s="809"/>
      <c r="J18" s="809"/>
      <c r="K18" s="865"/>
      <c r="L18" s="865"/>
      <c r="M18" s="877"/>
      <c r="N18" s="888"/>
    </row>
    <row r="19" spans="1:14" ht="18.75" customHeight="1" thickBot="1">
      <c r="A19" s="947"/>
      <c r="B19" s="911"/>
      <c r="C19" s="897"/>
      <c r="D19" s="653" t="s">
        <v>308</v>
      </c>
      <c r="E19" s="654"/>
      <c r="F19" s="654"/>
      <c r="G19" s="654"/>
      <c r="H19" s="654"/>
      <c r="I19" s="410"/>
      <c r="J19" s="407"/>
      <c r="K19" s="86"/>
      <c r="L19" s="142"/>
      <c r="M19" s="142"/>
      <c r="N19" s="179">
        <f>SUM(N15:N18)</f>
        <v>10700</v>
      </c>
    </row>
    <row r="20" spans="1:14" ht="36" customHeight="1">
      <c r="A20" s="947"/>
      <c r="B20" s="911"/>
      <c r="C20" s="897"/>
      <c r="D20" s="884" t="s">
        <v>278</v>
      </c>
      <c r="E20" s="918" t="s">
        <v>23</v>
      </c>
      <c r="F20" s="891" t="s">
        <v>111</v>
      </c>
      <c r="G20" s="892"/>
      <c r="H20" s="810" t="s">
        <v>338</v>
      </c>
      <c r="I20" s="807" t="s">
        <v>338</v>
      </c>
      <c r="J20" s="807" t="s">
        <v>338</v>
      </c>
      <c r="K20" s="863" t="s">
        <v>527</v>
      </c>
      <c r="L20" s="863" t="s">
        <v>498</v>
      </c>
      <c r="M20" s="183" t="s">
        <v>550</v>
      </c>
      <c r="N20" s="186">
        <v>3000</v>
      </c>
    </row>
    <row r="21" spans="1:14" ht="24" customHeight="1">
      <c r="A21" s="947"/>
      <c r="B21" s="911"/>
      <c r="C21" s="897"/>
      <c r="D21" s="885"/>
      <c r="E21" s="919"/>
      <c r="F21" s="762"/>
      <c r="G21" s="893"/>
      <c r="H21" s="820"/>
      <c r="I21" s="808"/>
      <c r="J21" s="808"/>
      <c r="K21" s="864"/>
      <c r="L21" s="864"/>
      <c r="M21" s="184" t="s">
        <v>558</v>
      </c>
      <c r="N21" s="187">
        <v>3000</v>
      </c>
    </row>
    <row r="22" spans="1:14" ht="22.5" customHeight="1">
      <c r="A22" s="947"/>
      <c r="B22" s="911"/>
      <c r="C22" s="897"/>
      <c r="D22" s="885"/>
      <c r="E22" s="919"/>
      <c r="F22" s="762"/>
      <c r="G22" s="893"/>
      <c r="H22" s="820"/>
      <c r="I22" s="808"/>
      <c r="J22" s="808"/>
      <c r="K22" s="864"/>
      <c r="L22" s="864"/>
      <c r="M22" s="184" t="s">
        <v>336</v>
      </c>
      <c r="N22" s="187">
        <v>2000</v>
      </c>
    </row>
    <row r="23" spans="1:14" ht="24" customHeight="1">
      <c r="A23" s="947"/>
      <c r="B23" s="911"/>
      <c r="C23" s="897"/>
      <c r="D23" s="885"/>
      <c r="E23" s="919"/>
      <c r="F23" s="762"/>
      <c r="G23" s="893"/>
      <c r="H23" s="820"/>
      <c r="I23" s="808"/>
      <c r="J23" s="808"/>
      <c r="K23" s="864"/>
      <c r="L23" s="864"/>
      <c r="M23" s="184" t="s">
        <v>552</v>
      </c>
      <c r="N23" s="187">
        <v>2000</v>
      </c>
    </row>
    <row r="24" spans="1:14" ht="26.25" customHeight="1" thickBot="1">
      <c r="A24" s="947"/>
      <c r="B24" s="911"/>
      <c r="C24" s="897"/>
      <c r="D24" s="886"/>
      <c r="E24" s="920"/>
      <c r="F24" s="890"/>
      <c r="G24" s="894"/>
      <c r="H24" s="821"/>
      <c r="I24" s="809"/>
      <c r="J24" s="809"/>
      <c r="K24" s="865"/>
      <c r="L24" s="865"/>
      <c r="M24" s="185" t="s">
        <v>420</v>
      </c>
      <c r="N24" s="188">
        <f>SUM(N20:N23)*0.07</f>
        <v>700.0000000000001</v>
      </c>
    </row>
    <row r="25" spans="1:14" ht="18" customHeight="1" thickBot="1">
      <c r="A25" s="947"/>
      <c r="B25" s="911"/>
      <c r="C25" s="897"/>
      <c r="D25" s="270" t="s">
        <v>310</v>
      </c>
      <c r="E25" s="271"/>
      <c r="F25" s="406"/>
      <c r="G25" s="271"/>
      <c r="H25" s="271"/>
      <c r="I25" s="410"/>
      <c r="J25" s="407"/>
      <c r="K25" s="86"/>
      <c r="L25" s="142"/>
      <c r="M25" s="142"/>
      <c r="N25" s="189">
        <f>SUM(N20:N24)</f>
        <v>10700</v>
      </c>
    </row>
    <row r="26" spans="1:14" ht="22.5" customHeight="1" thickBot="1">
      <c r="A26" s="947"/>
      <c r="B26" s="178" t="s">
        <v>311</v>
      </c>
      <c r="C26" s="414"/>
      <c r="D26" s="412"/>
      <c r="E26" s="412"/>
      <c r="F26" s="415"/>
      <c r="G26" s="411"/>
      <c r="H26" s="412"/>
      <c r="I26" s="408"/>
      <c r="J26" s="409"/>
      <c r="K26" s="431"/>
      <c r="L26" s="432"/>
      <c r="M26" s="431"/>
      <c r="N26" s="179">
        <f>N14+N19+N25</f>
        <v>167882.7325</v>
      </c>
    </row>
    <row r="27" spans="1:14" ht="36.75" customHeight="1">
      <c r="A27" s="947"/>
      <c r="B27" s="844" t="s">
        <v>279</v>
      </c>
      <c r="C27" s="850" t="s">
        <v>281</v>
      </c>
      <c r="D27" s="917" t="s">
        <v>280</v>
      </c>
      <c r="E27" s="413" t="s">
        <v>112</v>
      </c>
      <c r="F27" s="954" t="s">
        <v>76</v>
      </c>
      <c r="G27" s="477" t="s">
        <v>238</v>
      </c>
      <c r="H27" s="477" t="s">
        <v>238</v>
      </c>
      <c r="I27" s="80"/>
      <c r="J27" s="80"/>
      <c r="K27" s="856" t="s">
        <v>533</v>
      </c>
      <c r="L27" s="856" t="s">
        <v>498</v>
      </c>
      <c r="M27" s="353" t="s">
        <v>559</v>
      </c>
      <c r="N27" s="159">
        <v>26400</v>
      </c>
    </row>
    <row r="28" spans="1:14" ht="39" customHeight="1">
      <c r="A28" s="947"/>
      <c r="B28" s="845"/>
      <c r="C28" s="850"/>
      <c r="D28" s="917"/>
      <c r="E28" s="118" t="s">
        <v>82</v>
      </c>
      <c r="F28" s="955"/>
      <c r="G28" s="478" t="s">
        <v>238</v>
      </c>
      <c r="H28" s="478" t="s">
        <v>238</v>
      </c>
      <c r="I28" s="88"/>
      <c r="J28" s="88"/>
      <c r="K28" s="857"/>
      <c r="L28" s="857"/>
      <c r="M28" s="251" t="s">
        <v>560</v>
      </c>
      <c r="N28" s="266">
        <v>4000</v>
      </c>
    </row>
    <row r="29" spans="1:14" ht="56.25" customHeight="1">
      <c r="A29" s="947"/>
      <c r="B29" s="845"/>
      <c r="C29" s="850"/>
      <c r="D29" s="917"/>
      <c r="E29" s="118" t="s">
        <v>83</v>
      </c>
      <c r="F29" s="954" t="s">
        <v>77</v>
      </c>
      <c r="G29" s="479" t="s">
        <v>238</v>
      </c>
      <c r="H29" s="481" t="s">
        <v>238</v>
      </c>
      <c r="I29" s="81"/>
      <c r="J29" s="99"/>
      <c r="K29" s="857"/>
      <c r="L29" s="862"/>
      <c r="M29" s="252" t="s">
        <v>460</v>
      </c>
      <c r="N29" s="157">
        <v>2500</v>
      </c>
    </row>
    <row r="30" spans="1:14" ht="60" customHeight="1" thickBot="1">
      <c r="A30" s="947"/>
      <c r="B30" s="845"/>
      <c r="C30" s="850"/>
      <c r="D30" s="917"/>
      <c r="E30" s="118" t="s">
        <v>352</v>
      </c>
      <c r="F30" s="955"/>
      <c r="G30" s="480"/>
      <c r="H30" s="481" t="s">
        <v>238</v>
      </c>
      <c r="I30" s="113" t="s">
        <v>238</v>
      </c>
      <c r="J30" s="99"/>
      <c r="K30" s="858"/>
      <c r="L30" s="294" t="s">
        <v>10</v>
      </c>
      <c r="M30" s="245" t="s">
        <v>237</v>
      </c>
      <c r="N30" s="157">
        <f>SUM(N27:N29)*0.07</f>
        <v>2303</v>
      </c>
    </row>
    <row r="31" spans="1:14" ht="24.75" customHeight="1" thickBot="1">
      <c r="A31" s="947"/>
      <c r="B31" s="845"/>
      <c r="C31" s="850"/>
      <c r="D31" s="654" t="s">
        <v>312</v>
      </c>
      <c r="E31" s="654"/>
      <c r="F31" s="654"/>
      <c r="G31" s="654"/>
      <c r="H31" s="654"/>
      <c r="I31" s="410"/>
      <c r="J31" s="407"/>
      <c r="K31" s="86"/>
      <c r="L31" s="142"/>
      <c r="M31" s="142"/>
      <c r="N31" s="179">
        <f>SUM(N27:N30)</f>
        <v>35203</v>
      </c>
    </row>
    <row r="32" spans="1:14" ht="24.75" customHeight="1">
      <c r="A32" s="947"/>
      <c r="B32" s="845"/>
      <c r="C32" s="850"/>
      <c r="D32" s="936" t="s">
        <v>282</v>
      </c>
      <c r="E32" s="537" t="s">
        <v>457</v>
      </c>
      <c r="F32" s="828" t="s">
        <v>78</v>
      </c>
      <c r="G32" s="938"/>
      <c r="H32" s="810" t="s">
        <v>238</v>
      </c>
      <c r="I32" s="856" t="s">
        <v>238</v>
      </c>
      <c r="J32" s="923"/>
      <c r="K32" s="856" t="s">
        <v>528</v>
      </c>
      <c r="L32" s="112" t="s">
        <v>10</v>
      </c>
      <c r="M32" s="243" t="s">
        <v>412</v>
      </c>
      <c r="N32" s="159">
        <v>2210</v>
      </c>
    </row>
    <row r="33" spans="1:14" ht="24.75" customHeight="1">
      <c r="A33" s="947"/>
      <c r="B33" s="845"/>
      <c r="C33" s="850"/>
      <c r="D33" s="917"/>
      <c r="E33" s="866"/>
      <c r="F33" s="829"/>
      <c r="G33" s="939"/>
      <c r="H33" s="811"/>
      <c r="I33" s="862"/>
      <c r="J33" s="860"/>
      <c r="K33" s="857"/>
      <c r="L33" s="861" t="s">
        <v>498</v>
      </c>
      <c r="M33" s="245" t="s">
        <v>559</v>
      </c>
      <c r="N33" s="157">
        <v>10000</v>
      </c>
    </row>
    <row r="34" spans="1:14" ht="24.75" customHeight="1">
      <c r="A34" s="947"/>
      <c r="B34" s="845"/>
      <c r="C34" s="850"/>
      <c r="D34" s="917"/>
      <c r="E34" s="1028" t="s">
        <v>458</v>
      </c>
      <c r="F34" s="829"/>
      <c r="G34" s="952"/>
      <c r="H34" s="878" t="s">
        <v>238</v>
      </c>
      <c r="I34" s="861" t="s">
        <v>238</v>
      </c>
      <c r="J34" s="861" t="s">
        <v>238</v>
      </c>
      <c r="K34" s="857"/>
      <c r="L34" s="857"/>
      <c r="M34" s="244" t="s">
        <v>413</v>
      </c>
      <c r="N34" s="160">
        <v>2300</v>
      </c>
    </row>
    <row r="35" spans="1:14" ht="24.75" customHeight="1">
      <c r="A35" s="947"/>
      <c r="B35" s="845"/>
      <c r="C35" s="850"/>
      <c r="D35" s="917"/>
      <c r="E35" s="540"/>
      <c r="F35" s="829"/>
      <c r="G35" s="953"/>
      <c r="H35" s="820"/>
      <c r="I35" s="857"/>
      <c r="J35" s="857"/>
      <c r="K35" s="857"/>
      <c r="L35" s="857"/>
      <c r="M35" s="244" t="s">
        <v>414</v>
      </c>
      <c r="N35" s="160">
        <v>1000</v>
      </c>
    </row>
    <row r="36" spans="1:14" ht="24.75" customHeight="1">
      <c r="A36" s="947"/>
      <c r="B36" s="845"/>
      <c r="C36" s="850"/>
      <c r="D36" s="917"/>
      <c r="E36" s="540"/>
      <c r="F36" s="829"/>
      <c r="G36" s="953"/>
      <c r="H36" s="820"/>
      <c r="I36" s="857"/>
      <c r="J36" s="857"/>
      <c r="K36" s="857"/>
      <c r="L36" s="862"/>
      <c r="M36" s="244" t="s">
        <v>335</v>
      </c>
      <c r="N36" s="160">
        <v>2090</v>
      </c>
    </row>
    <row r="37" spans="1:14" ht="24.75" customHeight="1" thickBot="1">
      <c r="A37" s="947"/>
      <c r="B37" s="845"/>
      <c r="C37" s="850"/>
      <c r="D37" s="917"/>
      <c r="E37" s="866"/>
      <c r="F37" s="895"/>
      <c r="G37" s="939"/>
      <c r="H37" s="811"/>
      <c r="I37" s="862"/>
      <c r="J37" s="862"/>
      <c r="K37" s="858"/>
      <c r="L37" s="294" t="s">
        <v>10</v>
      </c>
      <c r="M37" s="267" t="s">
        <v>237</v>
      </c>
      <c r="N37" s="158">
        <f>SUM(N32:N36)*0.07</f>
        <v>1232.0000000000002</v>
      </c>
    </row>
    <row r="38" spans="1:14" ht="24.75" customHeight="1" thickBot="1">
      <c r="A38" s="947"/>
      <c r="B38" s="845"/>
      <c r="C38" s="850"/>
      <c r="D38" s="654" t="s">
        <v>313</v>
      </c>
      <c r="E38" s="654"/>
      <c r="F38" s="654"/>
      <c r="G38" s="654"/>
      <c r="H38" s="654"/>
      <c r="I38" s="410"/>
      <c r="J38" s="407"/>
      <c r="K38" s="86"/>
      <c r="L38" s="142"/>
      <c r="M38" s="142"/>
      <c r="N38" s="179">
        <f>SUM(N32:N37)</f>
        <v>18832</v>
      </c>
    </row>
    <row r="39" spans="1:14" ht="51" customHeight="1">
      <c r="A39" s="947"/>
      <c r="B39" s="845"/>
      <c r="C39" s="850"/>
      <c r="D39" s="936" t="s">
        <v>353</v>
      </c>
      <c r="E39" s="676" t="s">
        <v>79</v>
      </c>
      <c r="F39" s="828" t="s">
        <v>80</v>
      </c>
      <c r="G39" s="872"/>
      <c r="H39" s="810"/>
      <c r="I39" s="856" t="s">
        <v>238</v>
      </c>
      <c r="J39" s="856" t="s">
        <v>238</v>
      </c>
      <c r="K39" s="856" t="s">
        <v>276</v>
      </c>
      <c r="L39" s="112" t="s">
        <v>498</v>
      </c>
      <c r="M39" s="245" t="s">
        <v>439</v>
      </c>
      <c r="N39" s="161">
        <v>15000</v>
      </c>
    </row>
    <row r="40" spans="1:14" ht="50.25" customHeight="1" thickBot="1">
      <c r="A40" s="947"/>
      <c r="B40" s="845"/>
      <c r="C40" s="850"/>
      <c r="D40" s="937"/>
      <c r="E40" s="587"/>
      <c r="F40" s="895"/>
      <c r="G40" s="873"/>
      <c r="H40" s="821"/>
      <c r="I40" s="858"/>
      <c r="J40" s="858"/>
      <c r="K40" s="858"/>
      <c r="L40" s="294" t="s">
        <v>10</v>
      </c>
      <c r="M40" s="267" t="s">
        <v>237</v>
      </c>
      <c r="N40" s="115">
        <f>N39*0.07</f>
        <v>1050</v>
      </c>
    </row>
    <row r="41" spans="1:14" ht="24.75" customHeight="1" thickBot="1">
      <c r="A41" s="947"/>
      <c r="B41" s="845"/>
      <c r="C41" s="850"/>
      <c r="D41" s="654" t="s">
        <v>354</v>
      </c>
      <c r="E41" s="654"/>
      <c r="F41" s="654"/>
      <c r="G41" s="654"/>
      <c r="H41" s="654"/>
      <c r="I41" s="410"/>
      <c r="J41" s="407"/>
      <c r="K41" s="86"/>
      <c r="L41" s="142"/>
      <c r="M41" s="142"/>
      <c r="N41" s="179">
        <f>SUM(N39:N40)</f>
        <v>16050</v>
      </c>
    </row>
    <row r="42" spans="1:14" ht="39" customHeight="1">
      <c r="A42" s="947"/>
      <c r="B42" s="845"/>
      <c r="C42" s="850"/>
      <c r="D42" s="900" t="s">
        <v>283</v>
      </c>
      <c r="E42" s="676" t="s">
        <v>459</v>
      </c>
      <c r="F42" s="828" t="s">
        <v>81</v>
      </c>
      <c r="G42" s="810" t="s">
        <v>238</v>
      </c>
      <c r="H42" s="810" t="s">
        <v>238</v>
      </c>
      <c r="I42" s="856"/>
      <c r="J42" s="856"/>
      <c r="K42" s="856" t="s">
        <v>525</v>
      </c>
      <c r="L42" s="112" t="s">
        <v>498</v>
      </c>
      <c r="M42" s="243" t="s">
        <v>336</v>
      </c>
      <c r="N42" s="269">
        <v>1000</v>
      </c>
    </row>
    <row r="43" spans="1:14" ht="24.75" customHeight="1" thickBot="1">
      <c r="A43" s="947"/>
      <c r="B43" s="845"/>
      <c r="C43" s="850"/>
      <c r="D43" s="901"/>
      <c r="E43" s="675"/>
      <c r="F43" s="895"/>
      <c r="G43" s="821"/>
      <c r="H43" s="821"/>
      <c r="I43" s="858"/>
      <c r="J43" s="858"/>
      <c r="K43" s="858"/>
      <c r="L43" s="294" t="s">
        <v>10</v>
      </c>
      <c r="M43" s="340" t="s">
        <v>237</v>
      </c>
      <c r="N43" s="268">
        <f>N42*0.07</f>
        <v>70</v>
      </c>
    </row>
    <row r="44" spans="1:14" ht="24.75" customHeight="1" thickBot="1">
      <c r="A44" s="947"/>
      <c r="B44" s="846"/>
      <c r="C44" s="851"/>
      <c r="D44" s="654" t="s">
        <v>314</v>
      </c>
      <c r="E44" s="654"/>
      <c r="F44" s="654"/>
      <c r="G44" s="654"/>
      <c r="H44" s="654"/>
      <c r="I44" s="410"/>
      <c r="J44" s="407"/>
      <c r="K44" s="86"/>
      <c r="L44" s="142"/>
      <c r="M44" s="142"/>
      <c r="N44" s="189">
        <f>SUM(N42:N43)</f>
        <v>1070</v>
      </c>
    </row>
    <row r="45" spans="1:14" ht="22.5" customHeight="1" thickBot="1">
      <c r="A45" s="947"/>
      <c r="B45" s="162" t="s">
        <v>315</v>
      </c>
      <c r="C45" s="140"/>
      <c r="D45" s="230"/>
      <c r="E45" s="231"/>
      <c r="F45" s="231"/>
      <c r="G45" s="231"/>
      <c r="H45" s="231"/>
      <c r="I45" s="410"/>
      <c r="J45" s="407"/>
      <c r="K45" s="86"/>
      <c r="L45" s="142"/>
      <c r="M45" s="142"/>
      <c r="N45" s="189">
        <f>N44+N41+N38+N31</f>
        <v>71155</v>
      </c>
    </row>
    <row r="46" spans="1:14" ht="24.75" customHeight="1">
      <c r="A46" s="947"/>
      <c r="B46" s="844" t="s">
        <v>284</v>
      </c>
      <c r="C46" s="849" t="s">
        <v>150</v>
      </c>
      <c r="D46" s="901" t="s">
        <v>355</v>
      </c>
      <c r="E46" s="803" t="s">
        <v>64</v>
      </c>
      <c r="F46" s="904" t="s">
        <v>65</v>
      </c>
      <c r="G46" s="810" t="s">
        <v>238</v>
      </c>
      <c r="H46" s="810" t="s">
        <v>238</v>
      </c>
      <c r="I46" s="856" t="s">
        <v>238</v>
      </c>
      <c r="J46" s="856" t="s">
        <v>238</v>
      </c>
      <c r="K46" s="856" t="s">
        <v>518</v>
      </c>
      <c r="L46" s="856" t="s">
        <v>498</v>
      </c>
      <c r="M46" s="244" t="s">
        <v>335</v>
      </c>
      <c r="N46" s="354">
        <v>2220</v>
      </c>
    </row>
    <row r="47" spans="1:14" ht="24.75" customHeight="1">
      <c r="A47" s="947"/>
      <c r="B47" s="845"/>
      <c r="C47" s="850"/>
      <c r="D47" s="901"/>
      <c r="E47" s="804"/>
      <c r="F47" s="905"/>
      <c r="G47" s="820"/>
      <c r="H47" s="820"/>
      <c r="I47" s="857"/>
      <c r="J47" s="857"/>
      <c r="K47" s="857"/>
      <c r="L47" s="857"/>
      <c r="M47" s="244" t="s">
        <v>336</v>
      </c>
      <c r="N47" s="354">
        <v>10000</v>
      </c>
    </row>
    <row r="48" spans="1:14" ht="24.75" customHeight="1">
      <c r="A48" s="947"/>
      <c r="B48" s="845"/>
      <c r="C48" s="850"/>
      <c r="D48" s="901"/>
      <c r="E48" s="804"/>
      <c r="F48" s="905"/>
      <c r="G48" s="820"/>
      <c r="H48" s="820"/>
      <c r="I48" s="857"/>
      <c r="J48" s="857"/>
      <c r="K48" s="857"/>
      <c r="L48" s="857"/>
      <c r="M48" s="244" t="s">
        <v>236</v>
      </c>
      <c r="N48" s="354">
        <v>30000</v>
      </c>
    </row>
    <row r="49" spans="1:14" ht="24.75" customHeight="1">
      <c r="A49" s="947"/>
      <c r="B49" s="845"/>
      <c r="C49" s="850"/>
      <c r="D49" s="901"/>
      <c r="E49" s="804"/>
      <c r="F49" s="905"/>
      <c r="G49" s="820"/>
      <c r="H49" s="820"/>
      <c r="I49" s="857"/>
      <c r="J49" s="857"/>
      <c r="K49" s="857"/>
      <c r="L49" s="857"/>
      <c r="M49" s="244" t="s">
        <v>412</v>
      </c>
      <c r="N49" s="354">
        <v>5000</v>
      </c>
    </row>
    <row r="50" spans="1:14" ht="24.75" customHeight="1">
      <c r="A50" s="947"/>
      <c r="B50" s="845"/>
      <c r="C50" s="850"/>
      <c r="D50" s="901"/>
      <c r="E50" s="804"/>
      <c r="F50" s="905"/>
      <c r="G50" s="820"/>
      <c r="H50" s="820"/>
      <c r="I50" s="857"/>
      <c r="J50" s="857"/>
      <c r="K50" s="857"/>
      <c r="L50" s="857"/>
      <c r="M50" s="244" t="s">
        <v>439</v>
      </c>
      <c r="N50" s="355">
        <v>6000</v>
      </c>
    </row>
    <row r="51" spans="1:14" ht="27" customHeight="1" thickBot="1">
      <c r="A51" s="947"/>
      <c r="B51" s="845"/>
      <c r="C51" s="850"/>
      <c r="D51" s="901"/>
      <c r="E51" s="836"/>
      <c r="F51" s="906"/>
      <c r="G51" s="821"/>
      <c r="H51" s="821"/>
      <c r="I51" s="858"/>
      <c r="J51" s="858"/>
      <c r="K51" s="858"/>
      <c r="L51" s="858"/>
      <c r="M51" s="281" t="s">
        <v>237</v>
      </c>
      <c r="N51" s="356">
        <f>SUM(N46:N50)*0.07</f>
        <v>3725.4000000000005</v>
      </c>
    </row>
    <row r="52" spans="1:14" ht="21" customHeight="1" thickBot="1">
      <c r="A52" s="947"/>
      <c r="B52" s="845"/>
      <c r="C52" s="850"/>
      <c r="D52" s="654" t="s">
        <v>317</v>
      </c>
      <c r="E52" s="654"/>
      <c r="F52" s="654"/>
      <c r="G52" s="654"/>
      <c r="H52" s="654"/>
      <c r="I52" s="410"/>
      <c r="J52" s="407"/>
      <c r="K52" s="86"/>
      <c r="L52" s="142"/>
      <c r="M52" s="142"/>
      <c r="N52" s="189">
        <f>SUM(N46:N51)</f>
        <v>56945.4</v>
      </c>
    </row>
    <row r="53" spans="1:14" ht="24.75" customHeight="1">
      <c r="A53" s="947"/>
      <c r="B53" s="845"/>
      <c r="C53" s="850"/>
      <c r="D53" s="901" t="s">
        <v>356</v>
      </c>
      <c r="E53" s="676" t="s">
        <v>114</v>
      </c>
      <c r="F53" s="904" t="s">
        <v>66</v>
      </c>
      <c r="G53" s="810" t="s">
        <v>338</v>
      </c>
      <c r="H53" s="810" t="s">
        <v>338</v>
      </c>
      <c r="I53" s="856" t="s">
        <v>338</v>
      </c>
      <c r="J53" s="856" t="s">
        <v>338</v>
      </c>
      <c r="K53" s="856" t="s">
        <v>276</v>
      </c>
      <c r="L53" s="856" t="s">
        <v>498</v>
      </c>
      <c r="M53" s="243" t="s">
        <v>236</v>
      </c>
      <c r="N53" s="269">
        <v>1800</v>
      </c>
    </row>
    <row r="54" spans="1:14" ht="24.75" customHeight="1">
      <c r="A54" s="947"/>
      <c r="B54" s="845"/>
      <c r="C54" s="850"/>
      <c r="D54" s="901"/>
      <c r="E54" s="675"/>
      <c r="F54" s="905"/>
      <c r="G54" s="820"/>
      <c r="H54" s="820"/>
      <c r="I54" s="857"/>
      <c r="J54" s="857"/>
      <c r="K54" s="857"/>
      <c r="L54" s="857"/>
      <c r="M54" s="245" t="s">
        <v>554</v>
      </c>
      <c r="N54" s="366">
        <v>15714</v>
      </c>
    </row>
    <row r="55" spans="1:14" ht="24.75" customHeight="1">
      <c r="A55" s="947"/>
      <c r="B55" s="845"/>
      <c r="C55" s="850"/>
      <c r="D55" s="901"/>
      <c r="E55" s="675"/>
      <c r="F55" s="905"/>
      <c r="G55" s="820"/>
      <c r="H55" s="820"/>
      <c r="I55" s="857"/>
      <c r="J55" s="857"/>
      <c r="K55" s="857"/>
      <c r="L55" s="857"/>
      <c r="M55" s="244" t="s">
        <v>411</v>
      </c>
      <c r="N55" s="365">
        <v>15000</v>
      </c>
    </row>
    <row r="56" spans="1:14" ht="24.75" customHeight="1">
      <c r="A56" s="947"/>
      <c r="B56" s="845"/>
      <c r="C56" s="850"/>
      <c r="D56" s="901"/>
      <c r="E56" s="812" t="s">
        <v>534</v>
      </c>
      <c r="F56" s="905"/>
      <c r="G56" s="820"/>
      <c r="H56" s="820"/>
      <c r="I56" s="857"/>
      <c r="J56" s="857"/>
      <c r="K56" s="857"/>
      <c r="L56" s="857"/>
      <c r="M56" s="244" t="s">
        <v>440</v>
      </c>
      <c r="N56" s="365">
        <v>60000</v>
      </c>
    </row>
    <row r="57" spans="1:14" ht="24.75" customHeight="1">
      <c r="A57" s="947"/>
      <c r="B57" s="845"/>
      <c r="C57" s="850"/>
      <c r="D57" s="901"/>
      <c r="E57" s="812"/>
      <c r="F57" s="905"/>
      <c r="G57" s="820"/>
      <c r="H57" s="820"/>
      <c r="I57" s="857"/>
      <c r="J57" s="857"/>
      <c r="K57" s="857"/>
      <c r="L57" s="857"/>
      <c r="M57" s="244" t="s">
        <v>412</v>
      </c>
      <c r="N57" s="366">
        <v>5000</v>
      </c>
    </row>
    <row r="58" spans="1:14" ht="25.5" customHeight="1" thickBot="1">
      <c r="A58" s="947"/>
      <c r="B58" s="845"/>
      <c r="C58" s="850"/>
      <c r="D58" s="927"/>
      <c r="E58" s="848"/>
      <c r="F58" s="906"/>
      <c r="G58" s="821"/>
      <c r="H58" s="821"/>
      <c r="I58" s="858"/>
      <c r="J58" s="858"/>
      <c r="K58" s="858"/>
      <c r="L58" s="858"/>
      <c r="M58" s="280" t="s">
        <v>237</v>
      </c>
      <c r="N58" s="356">
        <f>SUM(N53:N57)*0.07</f>
        <v>6825.9800000000005</v>
      </c>
    </row>
    <row r="59" spans="1:14" ht="18" customHeight="1" thickBot="1">
      <c r="A59" s="947"/>
      <c r="B59" s="846"/>
      <c r="C59" s="851"/>
      <c r="D59" s="654" t="s">
        <v>318</v>
      </c>
      <c r="E59" s="654"/>
      <c r="F59" s="654"/>
      <c r="G59" s="654"/>
      <c r="H59" s="654"/>
      <c r="I59" s="410"/>
      <c r="J59" s="407"/>
      <c r="K59" s="86"/>
      <c r="L59" s="142"/>
      <c r="M59" s="142"/>
      <c r="N59" s="189">
        <f>SUM(N53:N58)</f>
        <v>104339.98</v>
      </c>
    </row>
    <row r="60" spans="1:14" ht="17.25" customHeight="1" thickBot="1">
      <c r="A60" s="947"/>
      <c r="B60" s="162" t="s">
        <v>316</v>
      </c>
      <c r="C60" s="138"/>
      <c r="D60" s="93"/>
      <c r="E60" s="93"/>
      <c r="F60" s="93"/>
      <c r="G60" s="93"/>
      <c r="H60" s="93"/>
      <c r="I60" s="410"/>
      <c r="J60" s="407"/>
      <c r="K60" s="96"/>
      <c r="L60" s="145"/>
      <c r="M60" s="145"/>
      <c r="N60" s="163">
        <f>N59+N52</f>
        <v>161285.38</v>
      </c>
    </row>
    <row r="61" spans="1:14" ht="51" customHeight="1">
      <c r="A61" s="947"/>
      <c r="B61" s="928" t="s">
        <v>332</v>
      </c>
      <c r="C61" s="941" t="s">
        <v>152</v>
      </c>
      <c r="D61" s="959" t="s">
        <v>333</v>
      </c>
      <c r="E61" s="940" t="s">
        <v>115</v>
      </c>
      <c r="F61" s="902" t="s">
        <v>13</v>
      </c>
      <c r="G61" s="748"/>
      <c r="H61" s="748"/>
      <c r="I61" s="1022" t="s">
        <v>238</v>
      </c>
      <c r="J61" s="1026" t="s">
        <v>238</v>
      </c>
      <c r="K61" s="863" t="s">
        <v>118</v>
      </c>
      <c r="L61" s="863" t="s">
        <v>498</v>
      </c>
      <c r="M61" s="190" t="s">
        <v>549</v>
      </c>
      <c r="N61" s="193">
        <v>10000</v>
      </c>
    </row>
    <row r="62" spans="1:14" ht="39" customHeight="1">
      <c r="A62" s="947"/>
      <c r="B62" s="929"/>
      <c r="C62" s="942"/>
      <c r="D62" s="960"/>
      <c r="E62" s="758"/>
      <c r="F62" s="903"/>
      <c r="G62" s="749"/>
      <c r="H62" s="749"/>
      <c r="I62" s="1023"/>
      <c r="J62" s="1027"/>
      <c r="K62" s="864"/>
      <c r="L62" s="864"/>
      <c r="M62" s="191" t="s">
        <v>560</v>
      </c>
      <c r="N62" s="194">
        <v>10000</v>
      </c>
    </row>
    <row r="63" spans="1:14" ht="39.75" customHeight="1">
      <c r="A63" s="947"/>
      <c r="B63" s="929"/>
      <c r="C63" s="942"/>
      <c r="D63" s="960"/>
      <c r="E63" s="758"/>
      <c r="F63" s="903"/>
      <c r="G63" s="749"/>
      <c r="H63" s="749"/>
      <c r="I63" s="1023"/>
      <c r="J63" s="1027"/>
      <c r="K63" s="864"/>
      <c r="L63" s="864"/>
      <c r="M63" s="184" t="s">
        <v>460</v>
      </c>
      <c r="N63" s="194">
        <v>2000</v>
      </c>
    </row>
    <row r="64" spans="1:14" ht="48.75" customHeight="1" thickBot="1">
      <c r="A64" s="947"/>
      <c r="B64" s="929"/>
      <c r="C64" s="942"/>
      <c r="D64" s="960"/>
      <c r="E64" s="448" t="s">
        <v>116</v>
      </c>
      <c r="F64" s="903"/>
      <c r="G64" s="749"/>
      <c r="H64" s="749"/>
      <c r="I64" s="1023"/>
      <c r="J64" s="1027"/>
      <c r="K64" s="864"/>
      <c r="L64" s="864"/>
      <c r="M64" s="184" t="s">
        <v>236</v>
      </c>
      <c r="N64" s="194">
        <v>8000</v>
      </c>
    </row>
    <row r="65" spans="1:14" ht="43.5" customHeight="1" thickBot="1">
      <c r="A65" s="947"/>
      <c r="B65" s="929"/>
      <c r="C65" s="942"/>
      <c r="D65" s="960"/>
      <c r="E65" s="449"/>
      <c r="F65" s="903"/>
      <c r="G65" s="749"/>
      <c r="H65" s="749"/>
      <c r="I65" s="1023"/>
      <c r="J65" s="1027"/>
      <c r="K65" s="864"/>
      <c r="L65" s="864"/>
      <c r="M65" s="192" t="s">
        <v>420</v>
      </c>
      <c r="N65" s="195">
        <f>SUM(N61:N64)*0.07</f>
        <v>2100</v>
      </c>
    </row>
    <row r="66" spans="1:14" ht="17.25" customHeight="1" thickBot="1">
      <c r="A66" s="947"/>
      <c r="B66" s="930"/>
      <c r="C66" s="942"/>
      <c r="D66" s="653" t="s">
        <v>370</v>
      </c>
      <c r="E66" s="654"/>
      <c r="F66" s="654"/>
      <c r="G66" s="654"/>
      <c r="H66" s="654"/>
      <c r="I66" s="416"/>
      <c r="J66" s="417"/>
      <c r="K66" s="96"/>
      <c r="L66" s="145"/>
      <c r="M66" s="145"/>
      <c r="N66" s="163">
        <f>SUM(N61:N65)</f>
        <v>32100</v>
      </c>
    </row>
    <row r="67" spans="1:14" ht="18" customHeight="1" thickBot="1">
      <c r="A67" s="947"/>
      <c r="B67" s="162" t="s">
        <v>371</v>
      </c>
      <c r="C67" s="138"/>
      <c r="D67" s="93"/>
      <c r="E67" s="93"/>
      <c r="F67" s="93"/>
      <c r="G67" s="93"/>
      <c r="H67" s="93"/>
      <c r="I67" s="410"/>
      <c r="J67" s="407"/>
      <c r="K67" s="96"/>
      <c r="L67" s="145"/>
      <c r="M67" s="145"/>
      <c r="N67" s="163">
        <f>N66</f>
        <v>32100</v>
      </c>
    </row>
    <row r="68" spans="1:14" ht="38.25" customHeight="1">
      <c r="A68" s="947"/>
      <c r="B68" s="966" t="s">
        <v>319</v>
      </c>
      <c r="C68" s="969" t="s">
        <v>152</v>
      </c>
      <c r="D68" s="847" t="s">
        <v>494</v>
      </c>
      <c r="E68" s="918" t="s">
        <v>24</v>
      </c>
      <c r="F68" s="956" t="s">
        <v>14</v>
      </c>
      <c r="G68" s="938"/>
      <c r="H68" s="810" t="s">
        <v>238</v>
      </c>
      <c r="I68" s="923"/>
      <c r="J68" s="923"/>
      <c r="K68" s="856" t="s">
        <v>117</v>
      </c>
      <c r="L68" s="856" t="s">
        <v>498</v>
      </c>
      <c r="M68" s="176" t="s">
        <v>562</v>
      </c>
      <c r="N68" s="359">
        <v>4000</v>
      </c>
    </row>
    <row r="69" spans="1:14" ht="30" customHeight="1">
      <c r="A69" s="947"/>
      <c r="B69" s="967"/>
      <c r="C69" s="970"/>
      <c r="D69" s="812"/>
      <c r="E69" s="919"/>
      <c r="F69" s="957"/>
      <c r="G69" s="953"/>
      <c r="H69" s="820"/>
      <c r="I69" s="975"/>
      <c r="J69" s="975"/>
      <c r="K69" s="857"/>
      <c r="L69" s="857"/>
      <c r="M69" s="123" t="s">
        <v>560</v>
      </c>
      <c r="N69" s="355">
        <v>5000</v>
      </c>
    </row>
    <row r="70" spans="1:14" ht="25.5" customHeight="1">
      <c r="A70" s="947"/>
      <c r="B70" s="967"/>
      <c r="C70" s="970"/>
      <c r="D70" s="812"/>
      <c r="E70" s="919"/>
      <c r="F70" s="957"/>
      <c r="G70" s="953"/>
      <c r="H70" s="820"/>
      <c r="I70" s="975"/>
      <c r="J70" s="975"/>
      <c r="K70" s="857"/>
      <c r="L70" s="857"/>
      <c r="M70" s="196" t="s">
        <v>460</v>
      </c>
      <c r="N70" s="355">
        <v>3000</v>
      </c>
    </row>
    <row r="71" spans="1:14" ht="26.25" customHeight="1">
      <c r="A71" s="947"/>
      <c r="B71" s="967"/>
      <c r="C71" s="970"/>
      <c r="D71" s="812"/>
      <c r="E71" s="919"/>
      <c r="F71" s="957"/>
      <c r="G71" s="953"/>
      <c r="H71" s="820"/>
      <c r="I71" s="975"/>
      <c r="J71" s="975"/>
      <c r="K71" s="857"/>
      <c r="L71" s="857"/>
      <c r="M71" s="196" t="s">
        <v>410</v>
      </c>
      <c r="N71" s="355">
        <v>4000</v>
      </c>
    </row>
    <row r="72" spans="1:14" ht="26.25" customHeight="1" thickBot="1">
      <c r="A72" s="947"/>
      <c r="B72" s="967"/>
      <c r="C72" s="970"/>
      <c r="D72" s="848"/>
      <c r="E72" s="920"/>
      <c r="F72" s="958"/>
      <c r="G72" s="953"/>
      <c r="H72" s="820"/>
      <c r="I72" s="975"/>
      <c r="J72" s="975"/>
      <c r="K72" s="857"/>
      <c r="L72" s="858"/>
      <c r="M72" s="177" t="s">
        <v>420</v>
      </c>
      <c r="N72" s="364">
        <f>SUM(N68:N71)*0.07</f>
        <v>1120</v>
      </c>
    </row>
    <row r="73" spans="1:14" ht="18.75" customHeight="1" thickBot="1">
      <c r="A73" s="947"/>
      <c r="B73" s="967"/>
      <c r="C73" s="970"/>
      <c r="D73" s="653" t="s">
        <v>321</v>
      </c>
      <c r="E73" s="654"/>
      <c r="F73" s="654"/>
      <c r="G73" s="654"/>
      <c r="H73" s="654"/>
      <c r="I73" s="410"/>
      <c r="J73" s="407"/>
      <c r="K73" s="86"/>
      <c r="L73" s="142"/>
      <c r="M73" s="142"/>
      <c r="N73" s="189">
        <f>SUM(N68:N72)</f>
        <v>17120</v>
      </c>
    </row>
    <row r="74" spans="1:14" s="282" customFormat="1" ht="27" customHeight="1">
      <c r="A74" s="947"/>
      <c r="B74" s="967"/>
      <c r="C74" s="970"/>
      <c r="D74" s="924" t="s">
        <v>495</v>
      </c>
      <c r="E74" s="601" t="s">
        <v>25</v>
      </c>
      <c r="F74" s="976" t="s">
        <v>15</v>
      </c>
      <c r="G74" s="822"/>
      <c r="H74" s="822"/>
      <c r="I74" s="807" t="s">
        <v>338</v>
      </c>
      <c r="J74" s="807" t="s">
        <v>338</v>
      </c>
      <c r="K74" s="863" t="s">
        <v>119</v>
      </c>
      <c r="L74" s="863" t="s">
        <v>498</v>
      </c>
      <c r="M74" s="283" t="s">
        <v>556</v>
      </c>
      <c r="N74" s="361">
        <v>10000</v>
      </c>
    </row>
    <row r="75" spans="1:14" s="282" customFormat="1" ht="25.5" customHeight="1">
      <c r="A75" s="947"/>
      <c r="B75" s="967"/>
      <c r="C75" s="970"/>
      <c r="D75" s="925"/>
      <c r="E75" s="602"/>
      <c r="F75" s="921"/>
      <c r="G75" s="823"/>
      <c r="H75" s="823"/>
      <c r="I75" s="808"/>
      <c r="J75" s="808"/>
      <c r="K75" s="864"/>
      <c r="L75" s="864"/>
      <c r="M75" s="285" t="s">
        <v>556</v>
      </c>
      <c r="N75" s="362">
        <v>5000</v>
      </c>
    </row>
    <row r="76" spans="1:14" s="282" customFormat="1" ht="28.5" customHeight="1" thickBot="1">
      <c r="A76" s="947"/>
      <c r="B76" s="967"/>
      <c r="C76" s="970"/>
      <c r="D76" s="926"/>
      <c r="E76" s="603"/>
      <c r="F76" s="922"/>
      <c r="G76" s="824"/>
      <c r="H76" s="824"/>
      <c r="I76" s="809"/>
      <c r="J76" s="809"/>
      <c r="K76" s="865"/>
      <c r="L76" s="865"/>
      <c r="M76" s="284" t="s">
        <v>237</v>
      </c>
      <c r="N76" s="363">
        <f>SUM(N74:N75)*0.07</f>
        <v>1050</v>
      </c>
    </row>
    <row r="77" spans="1:14" ht="18.75" customHeight="1" thickBot="1">
      <c r="A77" s="947"/>
      <c r="B77" s="967"/>
      <c r="C77" s="970"/>
      <c r="D77" s="653" t="s">
        <v>496</v>
      </c>
      <c r="E77" s="654"/>
      <c r="F77" s="654"/>
      <c r="G77" s="654"/>
      <c r="H77" s="654"/>
      <c r="I77" s="410"/>
      <c r="J77" s="407"/>
      <c r="K77" s="86"/>
      <c r="L77" s="142"/>
      <c r="M77" s="142"/>
      <c r="N77" s="189">
        <f>SUM(N74:N76)</f>
        <v>16050</v>
      </c>
    </row>
    <row r="78" spans="1:14" s="282" customFormat="1" ht="33.75" customHeight="1">
      <c r="A78" s="947"/>
      <c r="B78" s="967"/>
      <c r="C78" s="970"/>
      <c r="D78" s="924" t="s">
        <v>16</v>
      </c>
      <c r="E78" s="601" t="s">
        <v>17</v>
      </c>
      <c r="F78" s="527" t="s">
        <v>589</v>
      </c>
      <c r="G78" s="825"/>
      <c r="H78" s="822"/>
      <c r="I78" s="807" t="s">
        <v>338</v>
      </c>
      <c r="J78" s="807" t="s">
        <v>338</v>
      </c>
      <c r="K78" s="863" t="s">
        <v>119</v>
      </c>
      <c r="L78" s="863" t="s">
        <v>498</v>
      </c>
      <c r="M78" s="283" t="s">
        <v>556</v>
      </c>
      <c r="N78" s="361">
        <v>10000</v>
      </c>
    </row>
    <row r="79" spans="1:14" s="282" customFormat="1" ht="30" customHeight="1">
      <c r="A79" s="947"/>
      <c r="B79" s="967"/>
      <c r="C79" s="970"/>
      <c r="D79" s="925"/>
      <c r="E79" s="602"/>
      <c r="F79" s="921"/>
      <c r="G79" s="826"/>
      <c r="H79" s="823"/>
      <c r="I79" s="808"/>
      <c r="J79" s="808"/>
      <c r="K79" s="864"/>
      <c r="L79" s="864"/>
      <c r="M79" s="265" t="s">
        <v>410</v>
      </c>
      <c r="N79" s="362">
        <v>517000</v>
      </c>
    </row>
    <row r="80" spans="1:14" s="282" customFormat="1" ht="36" customHeight="1" thickBot="1">
      <c r="A80" s="947"/>
      <c r="B80" s="967"/>
      <c r="C80" s="970"/>
      <c r="D80" s="926"/>
      <c r="E80" s="603"/>
      <c r="F80" s="922"/>
      <c r="G80" s="827"/>
      <c r="H80" s="824"/>
      <c r="I80" s="809"/>
      <c r="J80" s="809"/>
      <c r="K80" s="865"/>
      <c r="L80" s="865"/>
      <c r="M80" s="284" t="s">
        <v>237</v>
      </c>
      <c r="N80" s="363">
        <f>SUM(N78:N79)*0.07</f>
        <v>36890</v>
      </c>
    </row>
    <row r="81" spans="1:14" ht="18.75" customHeight="1" thickBot="1">
      <c r="A81" s="947"/>
      <c r="B81" s="968"/>
      <c r="C81" s="971"/>
      <c r="D81" s="653" t="s">
        <v>18</v>
      </c>
      <c r="E81" s="654"/>
      <c r="F81" s="654"/>
      <c r="G81" s="654"/>
      <c r="H81" s="654"/>
      <c r="I81" s="410"/>
      <c r="J81" s="407"/>
      <c r="K81" s="86"/>
      <c r="L81" s="142"/>
      <c r="M81" s="142"/>
      <c r="N81" s="189">
        <f>SUM(N78:N80)</f>
        <v>563890</v>
      </c>
    </row>
    <row r="82" spans="1:14" ht="19.5" customHeight="1" thickBot="1">
      <c r="A82" s="947"/>
      <c r="B82" s="162" t="s">
        <v>320</v>
      </c>
      <c r="C82" s="138"/>
      <c r="D82" s="93"/>
      <c r="E82" s="93"/>
      <c r="F82" s="93"/>
      <c r="G82" s="93"/>
      <c r="H82" s="93"/>
      <c r="I82" s="410"/>
      <c r="J82" s="407"/>
      <c r="K82" s="96"/>
      <c r="L82" s="145"/>
      <c r="M82" s="145"/>
      <c r="N82" s="163">
        <f>N73+N77+N81</f>
        <v>597060</v>
      </c>
    </row>
    <row r="83" spans="1:14" ht="24" customHeight="1">
      <c r="A83" s="947"/>
      <c r="B83" s="912" t="s">
        <v>285</v>
      </c>
      <c r="C83" s="990" t="s">
        <v>149</v>
      </c>
      <c r="D83" s="931" t="s">
        <v>286</v>
      </c>
      <c r="E83" s="891" t="s">
        <v>437</v>
      </c>
      <c r="F83" s="751" t="s">
        <v>47</v>
      </c>
      <c r="G83" s="810" t="s">
        <v>338</v>
      </c>
      <c r="H83" s="810"/>
      <c r="I83" s="856"/>
      <c r="J83" s="856"/>
      <c r="K83" s="856" t="s">
        <v>535</v>
      </c>
      <c r="L83" s="856" t="s">
        <v>498</v>
      </c>
      <c r="M83" s="243" t="s">
        <v>335</v>
      </c>
      <c r="N83" s="359">
        <v>1000</v>
      </c>
    </row>
    <row r="84" spans="1:14" ht="33" customHeight="1">
      <c r="A84" s="947"/>
      <c r="B84" s="913"/>
      <c r="C84" s="991"/>
      <c r="D84" s="932"/>
      <c r="E84" s="761"/>
      <c r="F84" s="752"/>
      <c r="G84" s="811"/>
      <c r="H84" s="811"/>
      <c r="I84" s="862"/>
      <c r="J84" s="862"/>
      <c r="K84" s="857"/>
      <c r="L84" s="857"/>
      <c r="M84" s="244" t="s">
        <v>556</v>
      </c>
      <c r="N84" s="360">
        <v>9000</v>
      </c>
    </row>
    <row r="85" spans="1:14" ht="21.75" customHeight="1">
      <c r="A85" s="947"/>
      <c r="B85" s="913"/>
      <c r="C85" s="991"/>
      <c r="D85" s="932"/>
      <c r="E85" s="241" t="s">
        <v>470</v>
      </c>
      <c r="F85" s="752"/>
      <c r="G85" s="479"/>
      <c r="H85" s="481" t="s">
        <v>338</v>
      </c>
      <c r="I85" s="113"/>
      <c r="J85" s="117"/>
      <c r="K85" s="857"/>
      <c r="L85" s="857"/>
      <c r="M85" s="244" t="s">
        <v>412</v>
      </c>
      <c r="N85" s="360">
        <v>8000</v>
      </c>
    </row>
    <row r="86" spans="1:14" ht="28.5" customHeight="1">
      <c r="A86" s="947"/>
      <c r="B86" s="913"/>
      <c r="C86" s="991"/>
      <c r="D86" s="932"/>
      <c r="E86" s="242" t="s">
        <v>471</v>
      </c>
      <c r="F86" s="752"/>
      <c r="G86" s="479"/>
      <c r="H86" s="481" t="s">
        <v>338</v>
      </c>
      <c r="I86" s="113" t="s">
        <v>338</v>
      </c>
      <c r="J86" s="117" t="s">
        <v>338</v>
      </c>
      <c r="K86" s="857"/>
      <c r="L86" s="857"/>
      <c r="M86" s="244" t="s">
        <v>336</v>
      </c>
      <c r="N86" s="360">
        <v>2000</v>
      </c>
    </row>
    <row r="87" spans="1:14" ht="26.25" customHeight="1" thickBot="1">
      <c r="A87" s="947"/>
      <c r="B87" s="913"/>
      <c r="C87" s="991"/>
      <c r="D87" s="932"/>
      <c r="E87" s="305" t="s">
        <v>357</v>
      </c>
      <c r="F87" s="753"/>
      <c r="G87" s="479"/>
      <c r="H87" s="481"/>
      <c r="I87" s="113" t="s">
        <v>338</v>
      </c>
      <c r="J87" s="117" t="s">
        <v>338</v>
      </c>
      <c r="K87" s="857"/>
      <c r="L87" s="858"/>
      <c r="M87" s="244" t="s">
        <v>237</v>
      </c>
      <c r="N87" s="360">
        <f>SUM(N83:N86)*0.07</f>
        <v>1400.0000000000002</v>
      </c>
    </row>
    <row r="88" spans="1:14" ht="18" customHeight="1" thickBot="1">
      <c r="A88" s="947"/>
      <c r="B88" s="913"/>
      <c r="C88" s="992"/>
      <c r="D88" s="654" t="s">
        <v>322</v>
      </c>
      <c r="E88" s="654"/>
      <c r="F88" s="654"/>
      <c r="G88" s="654"/>
      <c r="H88" s="654"/>
      <c r="I88" s="410"/>
      <c r="J88" s="407"/>
      <c r="K88" s="86"/>
      <c r="L88" s="142"/>
      <c r="M88" s="142"/>
      <c r="N88" s="87">
        <f>SUM(N83:N87)</f>
        <v>21400</v>
      </c>
    </row>
    <row r="89" spans="1:14" ht="18" customHeight="1" hidden="1">
      <c r="A89" s="947"/>
      <c r="B89" s="913"/>
      <c r="C89" s="134"/>
      <c r="D89" s="853" t="s">
        <v>287</v>
      </c>
      <c r="E89" s="103"/>
      <c r="F89" s="103"/>
      <c r="G89" s="88"/>
      <c r="H89" s="88" t="s">
        <v>238</v>
      </c>
      <c r="I89" s="88" t="s">
        <v>238</v>
      </c>
      <c r="J89" s="100" t="s">
        <v>238</v>
      </c>
      <c r="K89" s="88" t="s">
        <v>276</v>
      </c>
      <c r="L89" s="146"/>
      <c r="M89" s="146"/>
      <c r="N89" s="104"/>
    </row>
    <row r="90" spans="1:14" ht="18" customHeight="1" hidden="1">
      <c r="A90" s="947"/>
      <c r="B90" s="913"/>
      <c r="C90" s="134"/>
      <c r="D90" s="854"/>
      <c r="E90" s="103"/>
      <c r="F90" s="103"/>
      <c r="G90" s="88"/>
      <c r="H90" s="88"/>
      <c r="I90" s="88"/>
      <c r="J90" s="100"/>
      <c r="K90" s="88"/>
      <c r="L90" s="146"/>
      <c r="M90" s="146"/>
      <c r="N90" s="104"/>
    </row>
    <row r="91" spans="1:14" ht="18" customHeight="1" hidden="1">
      <c r="A91" s="947"/>
      <c r="B91" s="913"/>
      <c r="C91" s="134"/>
      <c r="D91" s="854"/>
      <c r="E91" s="103"/>
      <c r="F91" s="103"/>
      <c r="G91" s="88"/>
      <c r="H91" s="88"/>
      <c r="I91" s="88"/>
      <c r="J91" s="100"/>
      <c r="K91" s="88"/>
      <c r="L91" s="146"/>
      <c r="M91" s="146"/>
      <c r="N91" s="104"/>
    </row>
    <row r="92" spans="1:14" ht="18" customHeight="1" hidden="1">
      <c r="A92" s="947"/>
      <c r="B92" s="913"/>
      <c r="C92" s="134"/>
      <c r="D92" s="854"/>
      <c r="E92" s="103"/>
      <c r="F92" s="103"/>
      <c r="G92" s="88"/>
      <c r="H92" s="88"/>
      <c r="I92" s="88"/>
      <c r="J92" s="100"/>
      <c r="K92" s="88"/>
      <c r="L92" s="146"/>
      <c r="M92" s="146"/>
      <c r="N92" s="104"/>
    </row>
    <row r="93" spans="1:14" ht="18" customHeight="1" hidden="1">
      <c r="A93" s="947"/>
      <c r="B93" s="913"/>
      <c r="C93" s="134"/>
      <c r="D93" s="854"/>
      <c r="E93" s="103"/>
      <c r="F93" s="103"/>
      <c r="G93" s="88"/>
      <c r="H93" s="88"/>
      <c r="I93" s="88"/>
      <c r="J93" s="100"/>
      <c r="K93" s="88"/>
      <c r="L93" s="146"/>
      <c r="M93" s="146"/>
      <c r="N93" s="104"/>
    </row>
    <row r="94" spans="1:14" ht="18" customHeight="1" hidden="1" thickBot="1">
      <c r="A94" s="947"/>
      <c r="B94" s="913"/>
      <c r="C94" s="134"/>
      <c r="D94" s="1020"/>
      <c r="E94" s="103"/>
      <c r="F94" s="103"/>
      <c r="G94" s="88"/>
      <c r="H94" s="88"/>
      <c r="I94" s="88"/>
      <c r="J94" s="100"/>
      <c r="K94" s="88"/>
      <c r="L94" s="146"/>
      <c r="M94" s="146"/>
      <c r="N94" s="104"/>
    </row>
    <row r="95" spans="1:14" ht="18" customHeight="1" hidden="1" thickBot="1">
      <c r="A95" s="947"/>
      <c r="B95" s="913"/>
      <c r="C95" s="141"/>
      <c r="D95" s="654" t="s">
        <v>323</v>
      </c>
      <c r="E95" s="654"/>
      <c r="F95" s="654"/>
      <c r="G95" s="654"/>
      <c r="H95" s="654"/>
      <c r="I95" s="84"/>
      <c r="J95" s="85"/>
      <c r="K95" s="86"/>
      <c r="L95" s="142"/>
      <c r="M95" s="142"/>
      <c r="N95" s="87"/>
    </row>
    <row r="96" spans="1:14" ht="18" customHeight="1" hidden="1">
      <c r="A96" s="947"/>
      <c r="B96" s="913"/>
      <c r="C96" s="134"/>
      <c r="D96" s="853" t="s">
        <v>288</v>
      </c>
      <c r="E96" s="103"/>
      <c r="F96" s="103"/>
      <c r="G96" s="88"/>
      <c r="H96" s="88"/>
      <c r="I96" s="88" t="s">
        <v>238</v>
      </c>
      <c r="J96" s="100" t="s">
        <v>238</v>
      </c>
      <c r="K96" s="88" t="s">
        <v>276</v>
      </c>
      <c r="L96" s="146"/>
      <c r="M96" s="146"/>
      <c r="N96" s="104" t="s">
        <v>289</v>
      </c>
    </row>
    <row r="97" spans="1:14" ht="18" customHeight="1" hidden="1">
      <c r="A97" s="947"/>
      <c r="B97" s="913"/>
      <c r="C97" s="134"/>
      <c r="D97" s="854"/>
      <c r="E97" s="105"/>
      <c r="F97" s="105"/>
      <c r="G97" s="89"/>
      <c r="H97" s="89"/>
      <c r="I97" s="89"/>
      <c r="J97" s="101"/>
      <c r="K97" s="89"/>
      <c r="L97" s="147"/>
      <c r="M97" s="147"/>
      <c r="N97" s="106"/>
    </row>
    <row r="98" spans="1:14" ht="18" customHeight="1" hidden="1">
      <c r="A98" s="947"/>
      <c r="B98" s="913"/>
      <c r="C98" s="134"/>
      <c r="D98" s="854"/>
      <c r="E98" s="105"/>
      <c r="F98" s="105"/>
      <c r="G98" s="89"/>
      <c r="H98" s="89"/>
      <c r="I98" s="89"/>
      <c r="J98" s="101"/>
      <c r="K98" s="89"/>
      <c r="L98" s="147"/>
      <c r="M98" s="147"/>
      <c r="N98" s="106"/>
    </row>
    <row r="99" spans="1:14" ht="18" customHeight="1" hidden="1">
      <c r="A99" s="947"/>
      <c r="B99" s="913"/>
      <c r="C99" s="134"/>
      <c r="D99" s="854"/>
      <c r="E99" s="105"/>
      <c r="F99" s="105"/>
      <c r="G99" s="89"/>
      <c r="H99" s="89"/>
      <c r="I99" s="89"/>
      <c r="J99" s="101"/>
      <c r="K99" s="89"/>
      <c r="L99" s="147"/>
      <c r="M99" s="147"/>
      <c r="N99" s="106"/>
    </row>
    <row r="100" spans="1:14" ht="18" customHeight="1" hidden="1">
      <c r="A100" s="947"/>
      <c r="B100" s="913"/>
      <c r="C100" s="134"/>
      <c r="D100" s="854"/>
      <c r="E100" s="105"/>
      <c r="F100" s="105"/>
      <c r="G100" s="89"/>
      <c r="H100" s="89"/>
      <c r="I100" s="89"/>
      <c r="J100" s="101"/>
      <c r="K100" s="89"/>
      <c r="L100" s="147"/>
      <c r="M100" s="147"/>
      <c r="N100" s="106"/>
    </row>
    <row r="101" spans="1:14" ht="18" customHeight="1" hidden="1" thickBot="1">
      <c r="A101" s="947"/>
      <c r="B101" s="913"/>
      <c r="C101" s="134"/>
      <c r="D101" s="1020"/>
      <c r="E101" s="105"/>
      <c r="F101" s="105"/>
      <c r="G101" s="89"/>
      <c r="H101" s="89"/>
      <c r="I101" s="89"/>
      <c r="J101" s="101"/>
      <c r="K101" s="89"/>
      <c r="L101" s="147"/>
      <c r="M101" s="147"/>
      <c r="N101" s="106"/>
    </row>
    <row r="102" spans="1:14" ht="18" customHeight="1" hidden="1" thickBot="1">
      <c r="A102" s="947"/>
      <c r="B102" s="913"/>
      <c r="C102" s="141"/>
      <c r="D102" s="654" t="s">
        <v>324</v>
      </c>
      <c r="E102" s="654"/>
      <c r="F102" s="654"/>
      <c r="G102" s="654"/>
      <c r="H102" s="654"/>
      <c r="I102" s="84"/>
      <c r="J102" s="85"/>
      <c r="K102" s="86"/>
      <c r="L102" s="142"/>
      <c r="M102" s="142"/>
      <c r="N102" s="87"/>
    </row>
    <row r="103" spans="1:14" ht="18" customHeight="1" hidden="1" thickBot="1">
      <c r="A103" s="948"/>
      <c r="B103" s="913"/>
      <c r="C103" s="134"/>
      <c r="D103" s="853" t="s">
        <v>290</v>
      </c>
      <c r="E103" s="107"/>
      <c r="F103" s="107"/>
      <c r="G103" s="90"/>
      <c r="H103" s="90"/>
      <c r="I103" s="90" t="s">
        <v>238</v>
      </c>
      <c r="J103" s="102" t="s">
        <v>238</v>
      </c>
      <c r="K103" s="90" t="s">
        <v>276</v>
      </c>
      <c r="L103" s="144"/>
      <c r="M103" s="144"/>
      <c r="N103" s="91" t="s">
        <v>291</v>
      </c>
    </row>
    <row r="104" spans="1:14" ht="18" customHeight="1" hidden="1">
      <c r="A104" s="108"/>
      <c r="B104" s="913"/>
      <c r="C104" s="134"/>
      <c r="D104" s="854"/>
      <c r="E104" s="109"/>
      <c r="F104" s="109"/>
      <c r="G104" s="82"/>
      <c r="H104" s="82"/>
      <c r="I104" s="82"/>
      <c r="J104" s="110"/>
      <c r="K104" s="82"/>
      <c r="L104" s="143"/>
      <c r="M104" s="143"/>
      <c r="N104" s="83"/>
    </row>
    <row r="105" spans="1:14" ht="18" customHeight="1" hidden="1">
      <c r="A105" s="108"/>
      <c r="B105" s="913"/>
      <c r="C105" s="134"/>
      <c r="D105" s="854"/>
      <c r="E105" s="109"/>
      <c r="F105" s="109"/>
      <c r="G105" s="82"/>
      <c r="H105" s="82"/>
      <c r="I105" s="82"/>
      <c r="J105" s="110"/>
      <c r="K105" s="82"/>
      <c r="L105" s="143"/>
      <c r="M105" s="143"/>
      <c r="N105" s="83"/>
    </row>
    <row r="106" spans="1:14" ht="18" customHeight="1" hidden="1">
      <c r="A106" s="108"/>
      <c r="B106" s="913"/>
      <c r="C106" s="134"/>
      <c r="D106" s="854"/>
      <c r="E106" s="109"/>
      <c r="F106" s="109"/>
      <c r="G106" s="82"/>
      <c r="H106" s="82"/>
      <c r="I106" s="82"/>
      <c r="J106" s="110"/>
      <c r="K106" s="82"/>
      <c r="L106" s="143"/>
      <c r="M106" s="143"/>
      <c r="N106" s="83"/>
    </row>
    <row r="107" spans="1:14" ht="18" customHeight="1" hidden="1">
      <c r="A107" s="108"/>
      <c r="B107" s="913"/>
      <c r="C107" s="134"/>
      <c r="D107" s="854"/>
      <c r="E107" s="109"/>
      <c r="F107" s="109"/>
      <c r="G107" s="82"/>
      <c r="H107" s="82"/>
      <c r="I107" s="82"/>
      <c r="J107" s="110"/>
      <c r="K107" s="82"/>
      <c r="L107" s="143"/>
      <c r="M107" s="143"/>
      <c r="N107" s="83"/>
    </row>
    <row r="108" spans="1:14" ht="18" customHeight="1" hidden="1">
      <c r="A108" s="108"/>
      <c r="B108" s="913"/>
      <c r="C108" s="134"/>
      <c r="D108" s="854"/>
      <c r="E108" s="109"/>
      <c r="F108" s="109"/>
      <c r="G108" s="82"/>
      <c r="H108" s="82"/>
      <c r="I108" s="82"/>
      <c r="J108" s="110"/>
      <c r="K108" s="82"/>
      <c r="L108" s="143"/>
      <c r="M108" s="143"/>
      <c r="N108" s="83"/>
    </row>
    <row r="109" spans="1:14" ht="18" customHeight="1" hidden="1" thickBot="1">
      <c r="A109" s="108"/>
      <c r="B109" s="913"/>
      <c r="C109" s="134"/>
      <c r="D109" s="855"/>
      <c r="E109" s="109"/>
      <c r="F109" s="109"/>
      <c r="G109" s="82"/>
      <c r="H109" s="82"/>
      <c r="I109" s="82"/>
      <c r="J109" s="110"/>
      <c r="K109" s="82"/>
      <c r="L109" s="143"/>
      <c r="M109" s="143"/>
      <c r="N109" s="83"/>
    </row>
    <row r="110" spans="1:14" ht="18" customHeight="1" hidden="1" thickBot="1">
      <c r="A110" s="108"/>
      <c r="B110" s="913"/>
      <c r="C110" s="141"/>
      <c r="D110" s="654" t="s">
        <v>325</v>
      </c>
      <c r="E110" s="654"/>
      <c r="F110" s="654"/>
      <c r="G110" s="654"/>
      <c r="H110" s="654"/>
      <c r="I110" s="84"/>
      <c r="J110" s="85"/>
      <c r="K110" s="86"/>
      <c r="L110" s="142"/>
      <c r="M110" s="142"/>
      <c r="N110" s="87"/>
    </row>
    <row r="111" spans="1:14" ht="18" customHeight="1" thickBot="1">
      <c r="A111" s="70"/>
      <c r="B111" s="92" t="s">
        <v>326</v>
      </c>
      <c r="C111" s="378"/>
      <c r="D111" s="231"/>
      <c r="E111" s="231"/>
      <c r="F111" s="231"/>
      <c r="G111" s="231"/>
      <c r="H111" s="231"/>
      <c r="I111" s="410"/>
      <c r="J111" s="407"/>
      <c r="K111" s="86"/>
      <c r="L111" s="142"/>
      <c r="M111" s="142"/>
      <c r="N111" s="87">
        <f>N88</f>
        <v>21400</v>
      </c>
    </row>
    <row r="112" spans="1:14" s="120" customFormat="1" ht="26.25" customHeight="1">
      <c r="A112" s="844" t="s">
        <v>292</v>
      </c>
      <c r="B112" s="844" t="s">
        <v>293</v>
      </c>
      <c r="C112" s="849" t="s">
        <v>149</v>
      </c>
      <c r="D112" s="931" t="s">
        <v>294</v>
      </c>
      <c r="E112" s="676" t="s">
        <v>120</v>
      </c>
      <c r="F112" s="751" t="s">
        <v>48</v>
      </c>
      <c r="G112" s="810" t="s">
        <v>338</v>
      </c>
      <c r="H112" s="810" t="s">
        <v>338</v>
      </c>
      <c r="I112" s="856" t="s">
        <v>338</v>
      </c>
      <c r="J112" s="856" t="s">
        <v>338</v>
      </c>
      <c r="K112" s="856" t="s">
        <v>535</v>
      </c>
      <c r="L112" s="856" t="s">
        <v>498</v>
      </c>
      <c r="M112" s="243" t="s">
        <v>335</v>
      </c>
      <c r="N112" s="359">
        <v>2000</v>
      </c>
    </row>
    <row r="113" spans="1:14" s="120" customFormat="1" ht="27" customHeight="1">
      <c r="A113" s="845"/>
      <c r="B113" s="845"/>
      <c r="C113" s="850"/>
      <c r="D113" s="932"/>
      <c r="E113" s="675"/>
      <c r="F113" s="752"/>
      <c r="G113" s="820"/>
      <c r="H113" s="820"/>
      <c r="I113" s="857"/>
      <c r="J113" s="857"/>
      <c r="K113" s="857"/>
      <c r="L113" s="857"/>
      <c r="M113" s="244" t="s">
        <v>556</v>
      </c>
      <c r="N113" s="354">
        <v>9000</v>
      </c>
    </row>
    <row r="114" spans="1:14" s="120" customFormat="1" ht="20.25" customHeight="1">
      <c r="A114" s="845"/>
      <c r="B114" s="845"/>
      <c r="C114" s="850"/>
      <c r="D114" s="932"/>
      <c r="E114" s="675"/>
      <c r="F114" s="752"/>
      <c r="G114" s="820"/>
      <c r="H114" s="820"/>
      <c r="I114" s="857"/>
      <c r="J114" s="857"/>
      <c r="K114" s="857"/>
      <c r="L114" s="857"/>
      <c r="M114" s="244" t="s">
        <v>412</v>
      </c>
      <c r="N114" s="354">
        <v>6000</v>
      </c>
    </row>
    <row r="115" spans="1:14" s="120" customFormat="1" ht="20.25" customHeight="1">
      <c r="A115" s="845"/>
      <c r="B115" s="845"/>
      <c r="C115" s="850"/>
      <c r="D115" s="932"/>
      <c r="E115" s="675"/>
      <c r="F115" s="752"/>
      <c r="G115" s="820"/>
      <c r="H115" s="820"/>
      <c r="I115" s="857"/>
      <c r="J115" s="857"/>
      <c r="K115" s="857"/>
      <c r="L115" s="857"/>
      <c r="M115" s="244" t="s">
        <v>336</v>
      </c>
      <c r="N115" s="354">
        <v>1000</v>
      </c>
    </row>
    <row r="116" spans="1:14" s="120" customFormat="1" ht="24.75" customHeight="1" thickBot="1">
      <c r="A116" s="845"/>
      <c r="B116" s="845"/>
      <c r="C116" s="850"/>
      <c r="D116" s="932"/>
      <c r="E116" s="587"/>
      <c r="F116" s="753"/>
      <c r="G116" s="821"/>
      <c r="H116" s="821"/>
      <c r="I116" s="858"/>
      <c r="J116" s="858"/>
      <c r="K116" s="857"/>
      <c r="L116" s="858"/>
      <c r="M116" s="244" t="s">
        <v>237</v>
      </c>
      <c r="N116" s="354">
        <f>SUM(N112:N115)*0.07</f>
        <v>1260.0000000000002</v>
      </c>
    </row>
    <row r="117" spans="1:14" s="120" customFormat="1" ht="17.25" customHeight="1" thickBot="1">
      <c r="A117" s="845"/>
      <c r="B117" s="845"/>
      <c r="C117" s="851"/>
      <c r="D117" s="654" t="s">
        <v>327</v>
      </c>
      <c r="E117" s="654"/>
      <c r="F117" s="654"/>
      <c r="G117" s="654"/>
      <c r="H117" s="654"/>
      <c r="I117" s="410"/>
      <c r="J117" s="407"/>
      <c r="K117" s="86"/>
      <c r="L117" s="142"/>
      <c r="M117" s="142"/>
      <c r="N117" s="87">
        <f>SUM(N112:N116)</f>
        <v>19260</v>
      </c>
    </row>
    <row r="118" spans="1:14" s="120" customFormat="1" ht="24.75" customHeight="1" hidden="1" thickBot="1">
      <c r="A118" s="845"/>
      <c r="B118" s="845"/>
      <c r="C118" s="133"/>
      <c r="D118" s="853" t="s">
        <v>295</v>
      </c>
      <c r="E118" s="107"/>
      <c r="F118" s="107"/>
      <c r="G118" s="90"/>
      <c r="H118" s="90"/>
      <c r="I118" s="90" t="s">
        <v>238</v>
      </c>
      <c r="J118" s="102" t="s">
        <v>238</v>
      </c>
      <c r="K118" s="90" t="s">
        <v>276</v>
      </c>
      <c r="L118" s="144"/>
      <c r="M118" s="144"/>
      <c r="N118" s="91" t="s">
        <v>296</v>
      </c>
    </row>
    <row r="119" spans="1:14" s="120" customFormat="1" ht="24.75" customHeight="1" hidden="1">
      <c r="A119" s="845"/>
      <c r="B119" s="845"/>
      <c r="C119" s="133"/>
      <c r="D119" s="854"/>
      <c r="E119" s="109"/>
      <c r="F119" s="109"/>
      <c r="G119" s="82"/>
      <c r="H119" s="82"/>
      <c r="I119" s="82"/>
      <c r="J119" s="110"/>
      <c r="K119" s="82"/>
      <c r="L119" s="143"/>
      <c r="M119" s="143"/>
      <c r="N119" s="83"/>
    </row>
    <row r="120" spans="1:14" s="120" customFormat="1" ht="24.75" customHeight="1" hidden="1">
      <c r="A120" s="845"/>
      <c r="B120" s="845"/>
      <c r="C120" s="133"/>
      <c r="D120" s="854"/>
      <c r="E120" s="109"/>
      <c r="F120" s="109"/>
      <c r="G120" s="82"/>
      <c r="H120" s="82"/>
      <c r="I120" s="82"/>
      <c r="J120" s="110"/>
      <c r="K120" s="82"/>
      <c r="L120" s="143"/>
      <c r="M120" s="143"/>
      <c r="N120" s="83"/>
    </row>
    <row r="121" spans="1:14" s="120" customFormat="1" ht="24.75" customHeight="1" hidden="1">
      <c r="A121" s="845"/>
      <c r="B121" s="845"/>
      <c r="C121" s="133"/>
      <c r="D121" s="854"/>
      <c r="E121" s="109"/>
      <c r="F121" s="109"/>
      <c r="G121" s="82"/>
      <c r="H121" s="82"/>
      <c r="I121" s="82"/>
      <c r="J121" s="110"/>
      <c r="K121" s="82"/>
      <c r="L121" s="143"/>
      <c r="M121" s="143"/>
      <c r="N121" s="83"/>
    </row>
    <row r="122" spans="1:14" s="120" customFormat="1" ht="24.75" customHeight="1" hidden="1" thickBot="1">
      <c r="A122" s="845"/>
      <c r="B122" s="845"/>
      <c r="C122" s="133"/>
      <c r="D122" s="855"/>
      <c r="E122" s="109"/>
      <c r="F122" s="109"/>
      <c r="G122" s="82"/>
      <c r="H122" s="82"/>
      <c r="I122" s="82"/>
      <c r="J122" s="110"/>
      <c r="K122" s="82"/>
      <c r="L122" s="143"/>
      <c r="M122" s="143"/>
      <c r="N122" s="83"/>
    </row>
    <row r="123" spans="1:14" s="120" customFormat="1" ht="24.75" customHeight="1" hidden="1" thickBot="1">
      <c r="A123" s="845"/>
      <c r="B123" s="846"/>
      <c r="C123" s="139"/>
      <c r="D123" s="654" t="s">
        <v>328</v>
      </c>
      <c r="E123" s="654"/>
      <c r="F123" s="654"/>
      <c r="G123" s="654"/>
      <c r="H123" s="654"/>
      <c r="I123" s="84"/>
      <c r="J123" s="85"/>
      <c r="K123" s="86"/>
      <c r="L123" s="142"/>
      <c r="M123" s="142"/>
      <c r="N123" s="87"/>
    </row>
    <row r="124" spans="1:14" s="120" customFormat="1" ht="18.75" customHeight="1" thickBot="1">
      <c r="A124" s="845"/>
      <c r="B124" s="92" t="s">
        <v>329</v>
      </c>
      <c r="C124" s="378"/>
      <c r="D124" s="231"/>
      <c r="E124" s="231"/>
      <c r="F124" s="231"/>
      <c r="G124" s="231"/>
      <c r="H124" s="231"/>
      <c r="I124" s="410"/>
      <c r="J124" s="407"/>
      <c r="K124" s="86"/>
      <c r="L124" s="142"/>
      <c r="M124" s="142"/>
      <c r="N124" s="87">
        <f>N117</f>
        <v>19260</v>
      </c>
    </row>
    <row r="125" spans="1:14" s="120" customFormat="1" ht="36.75" customHeight="1">
      <c r="A125" s="845"/>
      <c r="B125" s="847" t="s">
        <v>297</v>
      </c>
      <c r="C125" s="849" t="s">
        <v>149</v>
      </c>
      <c r="D125" s="949" t="s">
        <v>298</v>
      </c>
      <c r="E125" s="676" t="s">
        <v>469</v>
      </c>
      <c r="F125" s="751" t="s">
        <v>49</v>
      </c>
      <c r="G125" s="1021" t="s">
        <v>338</v>
      </c>
      <c r="H125" s="1021"/>
      <c r="I125" s="923"/>
      <c r="J125" s="923"/>
      <c r="K125" s="856" t="s">
        <v>536</v>
      </c>
      <c r="L125" s="856" t="s">
        <v>498</v>
      </c>
      <c r="M125" s="243" t="s">
        <v>555</v>
      </c>
      <c r="N125" s="357">
        <v>8000</v>
      </c>
    </row>
    <row r="126" spans="1:14" s="120" customFormat="1" ht="21" customHeight="1">
      <c r="A126" s="845"/>
      <c r="B126" s="812"/>
      <c r="C126" s="850"/>
      <c r="D126" s="950"/>
      <c r="E126" s="951"/>
      <c r="F126" s="752"/>
      <c r="G126" s="1019"/>
      <c r="H126" s="1019"/>
      <c r="I126" s="860"/>
      <c r="J126" s="860"/>
      <c r="K126" s="857"/>
      <c r="L126" s="857"/>
      <c r="M126" s="245" t="s">
        <v>335</v>
      </c>
      <c r="N126" s="358">
        <v>6000</v>
      </c>
    </row>
    <row r="127" spans="1:14" s="120" customFormat="1" ht="27.75" customHeight="1">
      <c r="A127" s="845"/>
      <c r="B127" s="812"/>
      <c r="C127" s="850"/>
      <c r="D127" s="950"/>
      <c r="E127" s="586" t="s">
        <v>568</v>
      </c>
      <c r="F127" s="752"/>
      <c r="G127" s="818" t="s">
        <v>338</v>
      </c>
      <c r="H127" s="818"/>
      <c r="I127" s="859"/>
      <c r="J127" s="859"/>
      <c r="K127" s="857"/>
      <c r="L127" s="857"/>
      <c r="M127" s="244" t="s">
        <v>556</v>
      </c>
      <c r="N127" s="358">
        <v>16000</v>
      </c>
    </row>
    <row r="128" spans="1:14" s="120" customFormat="1" ht="23.25" customHeight="1">
      <c r="A128" s="845"/>
      <c r="B128" s="812"/>
      <c r="C128" s="850"/>
      <c r="D128" s="950"/>
      <c r="E128" s="951"/>
      <c r="F128" s="752"/>
      <c r="G128" s="1019"/>
      <c r="H128" s="1019"/>
      <c r="I128" s="860"/>
      <c r="J128" s="860"/>
      <c r="K128" s="857"/>
      <c r="L128" s="857"/>
      <c r="M128" s="244" t="s">
        <v>412</v>
      </c>
      <c r="N128" s="358">
        <v>44000</v>
      </c>
    </row>
    <row r="129" spans="1:14" s="120" customFormat="1" ht="26.25" customHeight="1">
      <c r="A129" s="845"/>
      <c r="B129" s="812"/>
      <c r="C129" s="850"/>
      <c r="D129" s="950"/>
      <c r="E129" s="675" t="s">
        <v>569</v>
      </c>
      <c r="F129" s="752"/>
      <c r="G129" s="818" t="s">
        <v>338</v>
      </c>
      <c r="H129" s="818" t="s">
        <v>338</v>
      </c>
      <c r="I129" s="859" t="s">
        <v>338</v>
      </c>
      <c r="J129" s="859" t="s">
        <v>338</v>
      </c>
      <c r="K129" s="857"/>
      <c r="L129" s="857"/>
      <c r="M129" s="244" t="s">
        <v>336</v>
      </c>
      <c r="N129" s="358">
        <v>6000</v>
      </c>
    </row>
    <row r="130" spans="1:14" s="120" customFormat="1" ht="24.75" customHeight="1" thickBot="1">
      <c r="A130" s="845"/>
      <c r="B130" s="812"/>
      <c r="C130" s="850"/>
      <c r="D130" s="950"/>
      <c r="E130" s="587"/>
      <c r="F130" s="753"/>
      <c r="G130" s="819"/>
      <c r="H130" s="819"/>
      <c r="I130" s="963"/>
      <c r="J130" s="963"/>
      <c r="K130" s="857"/>
      <c r="L130" s="858"/>
      <c r="M130" s="244" t="s">
        <v>237</v>
      </c>
      <c r="N130" s="358">
        <f>SUM(N125:N129)*0.07</f>
        <v>5600.000000000001</v>
      </c>
    </row>
    <row r="131" spans="1:14" s="120" customFormat="1" ht="18" customHeight="1" thickBot="1">
      <c r="A131" s="845"/>
      <c r="B131" s="812"/>
      <c r="C131" s="851"/>
      <c r="D131" s="654" t="s">
        <v>337</v>
      </c>
      <c r="E131" s="654"/>
      <c r="F131" s="654"/>
      <c r="G131" s="654"/>
      <c r="H131" s="654"/>
      <c r="I131" s="410"/>
      <c r="J131" s="407"/>
      <c r="K131" s="86"/>
      <c r="L131" s="142"/>
      <c r="M131" s="142"/>
      <c r="N131" s="87">
        <f>SUM(N125:N130)</f>
        <v>85600</v>
      </c>
    </row>
    <row r="132" spans="1:14" s="120" customFormat="1" ht="18.75" customHeight="1" thickBot="1">
      <c r="A132" s="845"/>
      <c r="B132" s="92" t="s">
        <v>358</v>
      </c>
      <c r="C132" s="138"/>
      <c r="D132" s="93"/>
      <c r="E132" s="93"/>
      <c r="F132" s="93"/>
      <c r="G132" s="93"/>
      <c r="H132" s="93"/>
      <c r="I132" s="410"/>
      <c r="J132" s="407"/>
      <c r="K132" s="96"/>
      <c r="L132" s="145"/>
      <c r="M132" s="145"/>
      <c r="N132" s="97">
        <f>N131</f>
        <v>85600</v>
      </c>
    </row>
    <row r="133" spans="1:14" s="120" customFormat="1" ht="28.5" customHeight="1">
      <c r="A133" s="845"/>
      <c r="B133" s="847" t="s">
        <v>299</v>
      </c>
      <c r="C133" s="849" t="s">
        <v>281</v>
      </c>
      <c r="D133" s="853" t="s">
        <v>300</v>
      </c>
      <c r="E133" s="676" t="s">
        <v>7</v>
      </c>
      <c r="F133" s="1024" t="s">
        <v>88</v>
      </c>
      <c r="G133" s="892" t="s">
        <v>338</v>
      </c>
      <c r="H133" s="972" t="s">
        <v>338</v>
      </c>
      <c r="I133" s="856" t="s">
        <v>338</v>
      </c>
      <c r="J133" s="856" t="s">
        <v>338</v>
      </c>
      <c r="K133" s="856" t="s">
        <v>517</v>
      </c>
      <c r="L133" s="112" t="s">
        <v>10</v>
      </c>
      <c r="M133" s="165" t="s">
        <v>561</v>
      </c>
      <c r="N133" s="161">
        <v>40000</v>
      </c>
    </row>
    <row r="134" spans="1:14" s="120" customFormat="1" ht="28.5" customHeight="1">
      <c r="A134" s="845"/>
      <c r="B134" s="812"/>
      <c r="C134" s="850"/>
      <c r="D134" s="854"/>
      <c r="E134" s="675"/>
      <c r="F134" s="1025"/>
      <c r="G134" s="893"/>
      <c r="H134" s="973"/>
      <c r="I134" s="857"/>
      <c r="J134" s="857"/>
      <c r="K134" s="857"/>
      <c r="L134" s="861" t="s">
        <v>498</v>
      </c>
      <c r="M134" s="253" t="s">
        <v>556</v>
      </c>
      <c r="N134" s="175">
        <v>52800</v>
      </c>
    </row>
    <row r="135" spans="1:14" s="120" customFormat="1" ht="38.25" customHeight="1">
      <c r="A135" s="845"/>
      <c r="B135" s="812"/>
      <c r="C135" s="850"/>
      <c r="D135" s="854"/>
      <c r="E135" s="675"/>
      <c r="F135" s="1024" t="s">
        <v>89</v>
      </c>
      <c r="G135" s="893"/>
      <c r="H135" s="973"/>
      <c r="I135" s="857"/>
      <c r="J135" s="857"/>
      <c r="K135" s="857"/>
      <c r="L135" s="857"/>
      <c r="M135" s="253" t="s">
        <v>549</v>
      </c>
      <c r="N135" s="175">
        <v>20000</v>
      </c>
    </row>
    <row r="136" spans="1:14" s="120" customFormat="1" ht="24.75" customHeight="1">
      <c r="A136" s="845"/>
      <c r="B136" s="812"/>
      <c r="C136" s="850"/>
      <c r="D136" s="854"/>
      <c r="E136" s="675"/>
      <c r="F136" s="829"/>
      <c r="G136" s="893"/>
      <c r="H136" s="973"/>
      <c r="I136" s="857"/>
      <c r="J136" s="857"/>
      <c r="K136" s="857"/>
      <c r="L136" s="857"/>
      <c r="M136" s="166" t="s">
        <v>414</v>
      </c>
      <c r="N136" s="168">
        <v>2000</v>
      </c>
    </row>
    <row r="137" spans="1:14" s="120" customFormat="1" ht="32.25" customHeight="1">
      <c r="A137" s="845"/>
      <c r="B137" s="812"/>
      <c r="C137" s="850"/>
      <c r="D137" s="854"/>
      <c r="E137" s="675"/>
      <c r="F137" s="829"/>
      <c r="G137" s="893"/>
      <c r="H137" s="973"/>
      <c r="I137" s="857"/>
      <c r="J137" s="857"/>
      <c r="K137" s="857"/>
      <c r="L137" s="862"/>
      <c r="M137" s="166" t="s">
        <v>460</v>
      </c>
      <c r="N137" s="121">
        <v>21000</v>
      </c>
    </row>
    <row r="138" spans="1:14" s="120" customFormat="1" ht="29.25" customHeight="1" thickBot="1">
      <c r="A138" s="845"/>
      <c r="B138" s="812"/>
      <c r="C138" s="850"/>
      <c r="D138" s="855"/>
      <c r="E138" s="587"/>
      <c r="F138" s="895"/>
      <c r="G138" s="894"/>
      <c r="H138" s="974"/>
      <c r="I138" s="858"/>
      <c r="J138" s="858"/>
      <c r="K138" s="858"/>
      <c r="L138" s="294" t="s">
        <v>10</v>
      </c>
      <c r="M138" s="164" t="s">
        <v>237</v>
      </c>
      <c r="N138" s="167">
        <f>SUM(N133:N137)*0.07</f>
        <v>9506</v>
      </c>
    </row>
    <row r="139" spans="1:14" s="120" customFormat="1" ht="18" customHeight="1" thickBot="1">
      <c r="A139" s="845"/>
      <c r="B139" s="812"/>
      <c r="C139" s="850"/>
      <c r="D139" s="654" t="s">
        <v>361</v>
      </c>
      <c r="E139" s="654"/>
      <c r="F139" s="654"/>
      <c r="G139" s="654"/>
      <c r="H139" s="654"/>
      <c r="I139" s="410"/>
      <c r="J139" s="407"/>
      <c r="K139" s="86"/>
      <c r="L139" s="142"/>
      <c r="M139" s="142"/>
      <c r="N139" s="87">
        <f>SUM(N133:N138)</f>
        <v>145306</v>
      </c>
    </row>
    <row r="140" spans="1:14" s="120" customFormat="1" ht="18" customHeight="1">
      <c r="A140" s="845"/>
      <c r="B140" s="812"/>
      <c r="C140" s="850"/>
      <c r="D140" s="982" t="s">
        <v>301</v>
      </c>
      <c r="E140" s="676" t="s">
        <v>8</v>
      </c>
      <c r="F140" s="828" t="s">
        <v>86</v>
      </c>
      <c r="G140" s="892"/>
      <c r="H140" s="979" t="s">
        <v>338</v>
      </c>
      <c r="I140" s="856" t="s">
        <v>338</v>
      </c>
      <c r="J140" s="856" t="s">
        <v>338</v>
      </c>
      <c r="K140" s="856" t="s">
        <v>276</v>
      </c>
      <c r="L140" s="856" t="s">
        <v>498</v>
      </c>
      <c r="M140" s="964" t="s">
        <v>461</v>
      </c>
      <c r="N140" s="961">
        <v>103858</v>
      </c>
    </row>
    <row r="141" spans="1:14" s="120" customFormat="1" ht="18" customHeight="1">
      <c r="A141" s="845"/>
      <c r="B141" s="812"/>
      <c r="C141" s="850"/>
      <c r="D141" s="983"/>
      <c r="E141" s="675"/>
      <c r="F141" s="829"/>
      <c r="G141" s="893"/>
      <c r="H141" s="980"/>
      <c r="I141" s="857"/>
      <c r="J141" s="857"/>
      <c r="K141" s="857"/>
      <c r="L141" s="857"/>
      <c r="M141" s="965"/>
      <c r="N141" s="962"/>
    </row>
    <row r="142" spans="1:14" s="120" customFormat="1" ht="18" customHeight="1">
      <c r="A142" s="845"/>
      <c r="B142" s="812"/>
      <c r="C142" s="850"/>
      <c r="D142" s="983"/>
      <c r="E142" s="675"/>
      <c r="F142" s="829"/>
      <c r="G142" s="893"/>
      <c r="H142" s="980"/>
      <c r="I142" s="857"/>
      <c r="J142" s="857"/>
      <c r="K142" s="857"/>
      <c r="L142" s="857"/>
      <c r="M142" s="166" t="s">
        <v>413</v>
      </c>
      <c r="N142" s="160">
        <v>45548</v>
      </c>
    </row>
    <row r="143" spans="1:14" s="120" customFormat="1" ht="18" customHeight="1">
      <c r="A143" s="845"/>
      <c r="B143" s="812"/>
      <c r="C143" s="850"/>
      <c r="D143" s="983"/>
      <c r="E143" s="675"/>
      <c r="F143" s="829"/>
      <c r="G143" s="893"/>
      <c r="H143" s="980"/>
      <c r="I143" s="857"/>
      <c r="J143" s="857"/>
      <c r="K143" s="857"/>
      <c r="L143" s="857"/>
      <c r="M143" s="166" t="s">
        <v>439</v>
      </c>
      <c r="N143" s="160">
        <v>10000</v>
      </c>
    </row>
    <row r="144" spans="1:14" s="120" customFormat="1" ht="18" customHeight="1">
      <c r="A144" s="845"/>
      <c r="B144" s="812"/>
      <c r="C144" s="850"/>
      <c r="D144" s="983"/>
      <c r="E144" s="675"/>
      <c r="F144" s="1024" t="s">
        <v>87</v>
      </c>
      <c r="G144" s="893"/>
      <c r="H144" s="980"/>
      <c r="I144" s="857"/>
      <c r="J144" s="857"/>
      <c r="K144" s="857"/>
      <c r="L144" s="862"/>
      <c r="M144" s="253" t="s">
        <v>335</v>
      </c>
      <c r="N144" s="157">
        <f>10000+15548</f>
        <v>25548</v>
      </c>
    </row>
    <row r="145" spans="1:14" s="120" customFormat="1" ht="18" customHeight="1">
      <c r="A145" s="845"/>
      <c r="B145" s="812"/>
      <c r="C145" s="850"/>
      <c r="D145" s="983"/>
      <c r="E145" s="675"/>
      <c r="F145" s="829"/>
      <c r="G145" s="893"/>
      <c r="H145" s="980"/>
      <c r="I145" s="857"/>
      <c r="J145" s="857"/>
      <c r="K145" s="857"/>
      <c r="L145" s="857" t="s">
        <v>10</v>
      </c>
      <c r="M145" s="166" t="s">
        <v>554</v>
      </c>
      <c r="N145" s="377">
        <v>7000</v>
      </c>
    </row>
    <row r="146" spans="1:14" s="120" customFormat="1" ht="24.75" customHeight="1">
      <c r="A146" s="845"/>
      <c r="B146" s="812"/>
      <c r="C146" s="850"/>
      <c r="D146" s="983"/>
      <c r="E146" s="675"/>
      <c r="F146" s="829"/>
      <c r="G146" s="893"/>
      <c r="H146" s="980"/>
      <c r="I146" s="857"/>
      <c r="J146" s="857"/>
      <c r="K146" s="857"/>
      <c r="L146" s="857"/>
      <c r="M146" s="166" t="s">
        <v>9</v>
      </c>
      <c r="N146" s="377">
        <v>10000</v>
      </c>
    </row>
    <row r="147" spans="1:14" s="120" customFormat="1" ht="27" customHeight="1" thickBot="1">
      <c r="A147" s="845"/>
      <c r="B147" s="812"/>
      <c r="C147" s="850"/>
      <c r="D147" s="984"/>
      <c r="E147" s="587"/>
      <c r="F147" s="895"/>
      <c r="G147" s="894"/>
      <c r="H147" s="981"/>
      <c r="I147" s="858"/>
      <c r="J147" s="858"/>
      <c r="K147" s="858"/>
      <c r="L147" s="858"/>
      <c r="M147" s="169" t="s">
        <v>237</v>
      </c>
      <c r="N147" s="167">
        <f>SUM(N140:N146)*0.07</f>
        <v>14136.78</v>
      </c>
    </row>
    <row r="148" spans="1:14" s="120" customFormat="1" ht="18" customHeight="1" thickBot="1">
      <c r="A148" s="845"/>
      <c r="B148" s="812"/>
      <c r="C148" s="850"/>
      <c r="D148" s="654" t="s">
        <v>362</v>
      </c>
      <c r="E148" s="654"/>
      <c r="F148" s="654"/>
      <c r="G148" s="654"/>
      <c r="H148" s="654"/>
      <c r="I148" s="410"/>
      <c r="J148" s="407"/>
      <c r="K148" s="86"/>
      <c r="L148" s="142"/>
      <c r="M148" s="142"/>
      <c r="N148" s="87">
        <f>SUM(N140:N147)</f>
        <v>216090.78</v>
      </c>
    </row>
    <row r="149" spans="1:14" s="120" customFormat="1" ht="56.25" customHeight="1">
      <c r="A149" s="845"/>
      <c r="B149" s="812"/>
      <c r="C149" s="850"/>
      <c r="D149" s="1012" t="s">
        <v>302</v>
      </c>
      <c r="E149" s="676" t="s">
        <v>462</v>
      </c>
      <c r="F149" s="446" t="s">
        <v>86</v>
      </c>
      <c r="G149" s="892" t="s">
        <v>338</v>
      </c>
      <c r="H149" s="892" t="s">
        <v>338</v>
      </c>
      <c r="I149" s="856" t="s">
        <v>338</v>
      </c>
      <c r="J149" s="856" t="s">
        <v>338</v>
      </c>
      <c r="K149" s="856" t="s">
        <v>537</v>
      </c>
      <c r="L149" s="856" t="s">
        <v>10</v>
      </c>
      <c r="M149" s="376" t="s">
        <v>561</v>
      </c>
      <c r="N149" s="98">
        <v>7000</v>
      </c>
    </row>
    <row r="150" spans="1:14" s="120" customFormat="1" ht="60.75" customHeight="1" thickBot="1">
      <c r="A150" s="845"/>
      <c r="B150" s="812"/>
      <c r="C150" s="850"/>
      <c r="D150" s="1013"/>
      <c r="E150" s="587"/>
      <c r="F150" s="446" t="s">
        <v>87</v>
      </c>
      <c r="G150" s="894"/>
      <c r="H150" s="894"/>
      <c r="I150" s="858"/>
      <c r="J150" s="858"/>
      <c r="K150" s="858"/>
      <c r="L150" s="858"/>
      <c r="M150" s="280" t="s">
        <v>237</v>
      </c>
      <c r="N150" s="122">
        <f>N149*0.07</f>
        <v>490.00000000000006</v>
      </c>
    </row>
    <row r="151" spans="1:14" s="120" customFormat="1" ht="18" customHeight="1" thickBot="1">
      <c r="A151" s="845"/>
      <c r="B151" s="812"/>
      <c r="C151" s="850"/>
      <c r="D151" s="654" t="s">
        <v>363</v>
      </c>
      <c r="E151" s="654"/>
      <c r="F151" s="654"/>
      <c r="G151" s="654"/>
      <c r="H151" s="654"/>
      <c r="I151" s="410"/>
      <c r="J151" s="407"/>
      <c r="K151" s="86"/>
      <c r="L151" s="142"/>
      <c r="M151" s="142"/>
      <c r="N151" s="87">
        <f>SUM(N149:N150)</f>
        <v>7490</v>
      </c>
    </row>
    <row r="152" spans="1:14" s="120" customFormat="1" ht="36.75" customHeight="1">
      <c r="A152" s="845"/>
      <c r="B152" s="812"/>
      <c r="C152" s="850"/>
      <c r="D152" s="537" t="s">
        <v>359</v>
      </c>
      <c r="E152" s="676" t="s">
        <v>463</v>
      </c>
      <c r="F152" s="828" t="s">
        <v>84</v>
      </c>
      <c r="G152" s="938"/>
      <c r="H152" s="938"/>
      <c r="I152" s="923"/>
      <c r="J152" s="923"/>
      <c r="K152" s="856" t="s">
        <v>537</v>
      </c>
      <c r="L152" s="112" t="s">
        <v>10</v>
      </c>
      <c r="M152" s="243" t="s">
        <v>561</v>
      </c>
      <c r="N152" s="357">
        <v>4000</v>
      </c>
    </row>
    <row r="153" spans="1:14" s="120" customFormat="1" ht="42" customHeight="1">
      <c r="A153" s="845"/>
      <c r="B153" s="812"/>
      <c r="C153" s="850"/>
      <c r="D153" s="540"/>
      <c r="E153" s="675"/>
      <c r="F153" s="829"/>
      <c r="G153" s="953"/>
      <c r="H153" s="953"/>
      <c r="I153" s="975"/>
      <c r="J153" s="975"/>
      <c r="K153" s="857"/>
      <c r="L153" s="114" t="s">
        <v>498</v>
      </c>
      <c r="M153" s="245" t="s">
        <v>439</v>
      </c>
      <c r="N153" s="358">
        <v>10000</v>
      </c>
    </row>
    <row r="154" spans="1:14" s="120" customFormat="1" ht="58.5" customHeight="1" thickBot="1">
      <c r="A154" s="845"/>
      <c r="B154" s="812"/>
      <c r="C154" s="850"/>
      <c r="D154" s="543"/>
      <c r="E154" s="587"/>
      <c r="F154" s="444" t="s">
        <v>85</v>
      </c>
      <c r="G154" s="1014"/>
      <c r="H154" s="1014"/>
      <c r="I154" s="963"/>
      <c r="J154" s="963"/>
      <c r="K154" s="858"/>
      <c r="L154" s="294" t="s">
        <v>10</v>
      </c>
      <c r="M154" s="281" t="s">
        <v>237</v>
      </c>
      <c r="N154" s="445">
        <f>SUM(N152:N153)*0.07</f>
        <v>980.0000000000001</v>
      </c>
    </row>
    <row r="155" spans="1:14" s="120" customFormat="1" ht="18" customHeight="1" thickBot="1">
      <c r="A155" s="845"/>
      <c r="B155" s="848"/>
      <c r="C155" s="851"/>
      <c r="D155" s="654" t="s">
        <v>364</v>
      </c>
      <c r="E155" s="654"/>
      <c r="F155" s="654"/>
      <c r="G155" s="654"/>
      <c r="H155" s="654"/>
      <c r="I155" s="410"/>
      <c r="J155" s="407"/>
      <c r="K155" s="86"/>
      <c r="L155" s="142"/>
      <c r="M155" s="142"/>
      <c r="N155" s="189">
        <f>SUM(N152:N154)</f>
        <v>14980</v>
      </c>
    </row>
    <row r="156" spans="1:14" s="120" customFormat="1" ht="18.75" customHeight="1" thickBot="1">
      <c r="A156" s="845"/>
      <c r="B156" s="162" t="s">
        <v>365</v>
      </c>
      <c r="C156" s="378"/>
      <c r="D156" s="231"/>
      <c r="E156" s="231"/>
      <c r="F156" s="231"/>
      <c r="G156" s="231"/>
      <c r="H156" s="231"/>
      <c r="I156" s="410"/>
      <c r="J156" s="407"/>
      <c r="K156" s="86"/>
      <c r="L156" s="142"/>
      <c r="M156" s="142"/>
      <c r="N156" s="189">
        <f>N155+N151+N148+N139</f>
        <v>383866.78</v>
      </c>
    </row>
    <row r="157" spans="1:14" s="120" customFormat="1" ht="31.5" customHeight="1">
      <c r="A157" s="845"/>
      <c r="B157" s="847" t="s">
        <v>303</v>
      </c>
      <c r="C157" s="849" t="s">
        <v>151</v>
      </c>
      <c r="D157" s="847" t="s">
        <v>304</v>
      </c>
      <c r="E157" s="803" t="s">
        <v>1</v>
      </c>
      <c r="F157" s="803" t="s">
        <v>67</v>
      </c>
      <c r="G157" s="805" t="s">
        <v>338</v>
      </c>
      <c r="H157" s="979" t="s">
        <v>338</v>
      </c>
      <c r="I157" s="856" t="s">
        <v>338</v>
      </c>
      <c r="J157" s="856" t="s">
        <v>338</v>
      </c>
      <c r="K157" s="800" t="s">
        <v>538</v>
      </c>
      <c r="L157" s="800" t="s">
        <v>498</v>
      </c>
      <c r="M157" s="816" t="s">
        <v>561</v>
      </c>
      <c r="N157" s="832">
        <v>55000</v>
      </c>
    </row>
    <row r="158" spans="1:14" s="120" customFormat="1" ht="26.25" customHeight="1">
      <c r="A158" s="845"/>
      <c r="B158" s="812"/>
      <c r="C158" s="850"/>
      <c r="D158" s="812"/>
      <c r="E158" s="804"/>
      <c r="F158" s="804"/>
      <c r="G158" s="806"/>
      <c r="H158" s="980"/>
      <c r="I158" s="857"/>
      <c r="J158" s="857"/>
      <c r="K158" s="801"/>
      <c r="L158" s="801"/>
      <c r="M158" s="817"/>
      <c r="N158" s="831"/>
    </row>
    <row r="159" spans="1:14" s="120" customFormat="1" ht="32.25" customHeight="1">
      <c r="A159" s="845"/>
      <c r="B159" s="812"/>
      <c r="C159" s="850"/>
      <c r="D159" s="812"/>
      <c r="E159" s="804"/>
      <c r="F159" s="675" t="s">
        <v>68</v>
      </c>
      <c r="G159" s="806"/>
      <c r="H159" s="980"/>
      <c r="I159" s="857"/>
      <c r="J159" s="857"/>
      <c r="K159" s="801"/>
      <c r="L159" s="801"/>
      <c r="M159" s="814" t="s">
        <v>549</v>
      </c>
      <c r="N159" s="830">
        <v>2000</v>
      </c>
    </row>
    <row r="160" spans="1:14" s="120" customFormat="1" ht="28.5" customHeight="1">
      <c r="A160" s="845"/>
      <c r="B160" s="812"/>
      <c r="C160" s="850"/>
      <c r="D160" s="812"/>
      <c r="E160" s="804"/>
      <c r="F160" s="804"/>
      <c r="G160" s="806"/>
      <c r="H160" s="980"/>
      <c r="I160" s="857"/>
      <c r="J160" s="857"/>
      <c r="K160" s="801"/>
      <c r="L160" s="801"/>
      <c r="M160" s="817"/>
      <c r="N160" s="831"/>
    </row>
    <row r="161" spans="1:14" s="120" customFormat="1" ht="37.5" customHeight="1">
      <c r="A161" s="845"/>
      <c r="B161" s="812"/>
      <c r="C161" s="850"/>
      <c r="D161" s="812"/>
      <c r="E161" s="804"/>
      <c r="F161" s="675" t="s">
        <v>591</v>
      </c>
      <c r="G161" s="806"/>
      <c r="H161" s="980"/>
      <c r="I161" s="857"/>
      <c r="J161" s="857"/>
      <c r="K161" s="801"/>
      <c r="L161" s="801"/>
      <c r="M161" s="814" t="s">
        <v>412</v>
      </c>
      <c r="N161" s="830">
        <v>18000</v>
      </c>
    </row>
    <row r="162" spans="1:14" s="120" customFormat="1" ht="18.75" customHeight="1">
      <c r="A162" s="845"/>
      <c r="B162" s="812"/>
      <c r="C162" s="850"/>
      <c r="D162" s="812"/>
      <c r="E162" s="804"/>
      <c r="F162" s="804"/>
      <c r="G162" s="806"/>
      <c r="H162" s="980"/>
      <c r="I162" s="857"/>
      <c r="J162" s="857"/>
      <c r="K162" s="801"/>
      <c r="L162" s="801"/>
      <c r="M162" s="817"/>
      <c r="N162" s="831"/>
    </row>
    <row r="163" spans="1:14" s="120" customFormat="1" ht="25.5" customHeight="1">
      <c r="A163" s="845"/>
      <c r="B163" s="812"/>
      <c r="C163" s="850"/>
      <c r="D163" s="812"/>
      <c r="E163" s="804" t="s">
        <v>2</v>
      </c>
      <c r="F163" s="804" t="s">
        <v>69</v>
      </c>
      <c r="G163" s="806"/>
      <c r="H163" s="980"/>
      <c r="I163" s="857"/>
      <c r="J163" s="857"/>
      <c r="K163" s="801"/>
      <c r="L163" s="801"/>
      <c r="M163" s="814" t="s">
        <v>236</v>
      </c>
      <c r="N163" s="830">
        <v>33000</v>
      </c>
    </row>
    <row r="164" spans="1:14" s="120" customFormat="1" ht="22.5" customHeight="1">
      <c r="A164" s="845"/>
      <c r="B164" s="812"/>
      <c r="C164" s="850"/>
      <c r="D164" s="812"/>
      <c r="E164" s="804"/>
      <c r="F164" s="804"/>
      <c r="G164" s="806"/>
      <c r="H164" s="980"/>
      <c r="I164" s="857"/>
      <c r="J164" s="857"/>
      <c r="K164" s="801"/>
      <c r="L164" s="801"/>
      <c r="M164" s="817"/>
      <c r="N164" s="831"/>
    </row>
    <row r="165" spans="1:14" s="120" customFormat="1" ht="14.25" customHeight="1">
      <c r="A165" s="845"/>
      <c r="B165" s="812"/>
      <c r="C165" s="850"/>
      <c r="D165" s="812"/>
      <c r="E165" s="804"/>
      <c r="F165" s="804"/>
      <c r="G165" s="806"/>
      <c r="H165" s="980"/>
      <c r="I165" s="857"/>
      <c r="J165" s="857"/>
      <c r="K165" s="801"/>
      <c r="L165" s="801"/>
      <c r="M165" s="814" t="s">
        <v>336</v>
      </c>
      <c r="N165" s="830">
        <v>12000</v>
      </c>
    </row>
    <row r="166" spans="1:14" s="120" customFormat="1" ht="33" customHeight="1">
      <c r="A166" s="845"/>
      <c r="B166" s="812"/>
      <c r="C166" s="850"/>
      <c r="D166" s="812"/>
      <c r="E166" s="758" t="s">
        <v>3</v>
      </c>
      <c r="F166" s="804" t="s">
        <v>70</v>
      </c>
      <c r="G166" s="806"/>
      <c r="H166" s="980"/>
      <c r="I166" s="857"/>
      <c r="J166" s="857"/>
      <c r="K166" s="801"/>
      <c r="L166" s="801"/>
      <c r="M166" s="817"/>
      <c r="N166" s="831"/>
    </row>
    <row r="167" spans="1:14" s="120" customFormat="1" ht="28.5" customHeight="1">
      <c r="A167" s="845"/>
      <c r="B167" s="812"/>
      <c r="C167" s="850"/>
      <c r="D167" s="812"/>
      <c r="E167" s="758"/>
      <c r="F167" s="804"/>
      <c r="G167" s="806"/>
      <c r="H167" s="980"/>
      <c r="I167" s="857"/>
      <c r="J167" s="857"/>
      <c r="K167" s="801"/>
      <c r="L167" s="801"/>
      <c r="M167" s="814" t="s">
        <v>335</v>
      </c>
      <c r="N167" s="830">
        <v>33000</v>
      </c>
    </row>
    <row r="168" spans="1:14" s="120" customFormat="1" ht="18" customHeight="1">
      <c r="A168" s="845"/>
      <c r="B168" s="812"/>
      <c r="C168" s="850"/>
      <c r="D168" s="812"/>
      <c r="E168" s="758"/>
      <c r="F168" s="804"/>
      <c r="G168" s="806"/>
      <c r="H168" s="980"/>
      <c r="I168" s="857"/>
      <c r="J168" s="857"/>
      <c r="K168" s="801"/>
      <c r="L168" s="801"/>
      <c r="M168" s="817"/>
      <c r="N168" s="831"/>
    </row>
    <row r="169" spans="1:14" s="120" customFormat="1" ht="22.5" customHeight="1">
      <c r="A169" s="845"/>
      <c r="B169" s="812"/>
      <c r="C169" s="850"/>
      <c r="D169" s="812"/>
      <c r="E169" s="758"/>
      <c r="F169" s="804"/>
      <c r="G169" s="806"/>
      <c r="H169" s="980"/>
      <c r="I169" s="857"/>
      <c r="J169" s="857"/>
      <c r="K169" s="801"/>
      <c r="L169" s="801"/>
      <c r="M169" s="814" t="s">
        <v>439</v>
      </c>
      <c r="N169" s="830">
        <v>30000</v>
      </c>
    </row>
    <row r="170" spans="1:14" s="120" customFormat="1" ht="22.5" customHeight="1">
      <c r="A170" s="845"/>
      <c r="B170" s="812"/>
      <c r="C170" s="850"/>
      <c r="D170" s="812"/>
      <c r="E170" s="758" t="s">
        <v>4</v>
      </c>
      <c r="F170" s="804"/>
      <c r="G170" s="806"/>
      <c r="H170" s="980"/>
      <c r="I170" s="857"/>
      <c r="J170" s="857"/>
      <c r="K170" s="801"/>
      <c r="L170" s="801"/>
      <c r="M170" s="843"/>
      <c r="N170" s="842"/>
    </row>
    <row r="171" spans="1:14" s="120" customFormat="1" ht="27.75" customHeight="1">
      <c r="A171" s="845"/>
      <c r="B171" s="812"/>
      <c r="C171" s="850"/>
      <c r="D171" s="812"/>
      <c r="E171" s="758"/>
      <c r="F171" s="804" t="s">
        <v>71</v>
      </c>
      <c r="G171" s="806"/>
      <c r="H171" s="980"/>
      <c r="I171" s="857"/>
      <c r="J171" s="857"/>
      <c r="K171" s="801"/>
      <c r="L171" s="801"/>
      <c r="M171" s="817"/>
      <c r="N171" s="831"/>
    </row>
    <row r="172" spans="1:15" s="120" customFormat="1" ht="67.5" customHeight="1">
      <c r="A172" s="845"/>
      <c r="B172" s="812"/>
      <c r="C172" s="850"/>
      <c r="D172" s="812"/>
      <c r="E172" s="758"/>
      <c r="F172" s="804"/>
      <c r="G172" s="806"/>
      <c r="H172" s="980"/>
      <c r="I172" s="857"/>
      <c r="J172" s="857"/>
      <c r="K172" s="801"/>
      <c r="L172" s="801"/>
      <c r="M172" s="374" t="s">
        <v>414</v>
      </c>
      <c r="N172" s="375">
        <v>34500</v>
      </c>
      <c r="O172" s="421">
        <f>SUM(N157:N172)</f>
        <v>217500</v>
      </c>
    </row>
    <row r="173" spans="1:14" s="120" customFormat="1" ht="34.5" customHeight="1">
      <c r="A173" s="845"/>
      <c r="B173" s="812"/>
      <c r="C173" s="850"/>
      <c r="D173" s="812"/>
      <c r="E173" s="758"/>
      <c r="F173" s="812" t="s">
        <v>612</v>
      </c>
      <c r="G173" s="806"/>
      <c r="H173" s="980"/>
      <c r="I173" s="857"/>
      <c r="J173" s="857"/>
      <c r="K173" s="801"/>
      <c r="L173" s="801"/>
      <c r="M173" s="814" t="s">
        <v>420</v>
      </c>
      <c r="N173" s="830">
        <f>SUM(N157:N172)*0.07</f>
        <v>15225.000000000002</v>
      </c>
    </row>
    <row r="174" spans="1:14" s="120" customFormat="1" ht="40.5" customHeight="1" thickBot="1">
      <c r="A174" s="845"/>
      <c r="B174" s="812"/>
      <c r="C174" s="850"/>
      <c r="D174" s="812"/>
      <c r="E174" s="989"/>
      <c r="F174" s="813"/>
      <c r="G174" s="806"/>
      <c r="H174" s="980"/>
      <c r="I174" s="857"/>
      <c r="J174" s="857"/>
      <c r="K174" s="802"/>
      <c r="L174" s="801"/>
      <c r="M174" s="815"/>
      <c r="N174" s="833"/>
    </row>
    <row r="175" spans="1:14" s="120" customFormat="1" ht="18" customHeight="1" thickBot="1">
      <c r="A175" s="845"/>
      <c r="B175" s="812"/>
      <c r="C175" s="850"/>
      <c r="D175" s="654" t="s">
        <v>369</v>
      </c>
      <c r="E175" s="987"/>
      <c r="F175" s="987"/>
      <c r="G175" s="654"/>
      <c r="H175" s="654"/>
      <c r="I175" s="410"/>
      <c r="J175" s="407"/>
      <c r="K175" s="86"/>
      <c r="L175" s="142"/>
      <c r="M175" s="142"/>
      <c r="N175" s="87">
        <f>SUM(N157:N174)</f>
        <v>232725</v>
      </c>
    </row>
    <row r="176" spans="1:14" s="120" customFormat="1" ht="21" customHeight="1">
      <c r="A176" s="845"/>
      <c r="B176" s="812"/>
      <c r="C176" s="850"/>
      <c r="D176" s="847" t="s">
        <v>539</v>
      </c>
      <c r="E176" s="940" t="s">
        <v>0</v>
      </c>
      <c r="F176" s="676" t="s">
        <v>592</v>
      </c>
      <c r="G176" s="805" t="s">
        <v>338</v>
      </c>
      <c r="H176" s="810" t="s">
        <v>338</v>
      </c>
      <c r="I176" s="856" t="s">
        <v>338</v>
      </c>
      <c r="J176" s="856" t="s">
        <v>338</v>
      </c>
      <c r="K176" s="800" t="s">
        <v>540</v>
      </c>
      <c r="L176" s="800" t="s">
        <v>498</v>
      </c>
      <c r="M176" s="816" t="s">
        <v>561</v>
      </c>
      <c r="N176" s="832">
        <v>47000</v>
      </c>
    </row>
    <row r="177" spans="1:14" s="120" customFormat="1" ht="25.5" customHeight="1">
      <c r="A177" s="845"/>
      <c r="B177" s="812"/>
      <c r="C177" s="850"/>
      <c r="D177" s="812"/>
      <c r="E177" s="758"/>
      <c r="F177" s="804"/>
      <c r="G177" s="806"/>
      <c r="H177" s="820"/>
      <c r="I177" s="857"/>
      <c r="J177" s="857"/>
      <c r="K177" s="801"/>
      <c r="L177" s="801"/>
      <c r="M177" s="817"/>
      <c r="N177" s="831"/>
    </row>
    <row r="178" spans="1:14" s="120" customFormat="1" ht="35.25" customHeight="1">
      <c r="A178" s="845"/>
      <c r="B178" s="812"/>
      <c r="C178" s="850"/>
      <c r="D178" s="812"/>
      <c r="E178" s="758"/>
      <c r="F178" s="804"/>
      <c r="G178" s="806"/>
      <c r="H178" s="820"/>
      <c r="I178" s="857"/>
      <c r="J178" s="857"/>
      <c r="K178" s="801"/>
      <c r="L178" s="801"/>
      <c r="M178" s="814" t="s">
        <v>549</v>
      </c>
      <c r="N178" s="830">
        <v>2000</v>
      </c>
    </row>
    <row r="179" spans="1:14" s="120" customFormat="1" ht="18" customHeight="1">
      <c r="A179" s="845"/>
      <c r="B179" s="812"/>
      <c r="C179" s="850"/>
      <c r="D179" s="812"/>
      <c r="E179" s="758"/>
      <c r="F179" s="804" t="s">
        <v>72</v>
      </c>
      <c r="G179" s="806"/>
      <c r="H179" s="820"/>
      <c r="I179" s="857"/>
      <c r="J179" s="857"/>
      <c r="K179" s="801"/>
      <c r="L179" s="801"/>
      <c r="M179" s="817"/>
      <c r="N179" s="831"/>
    </row>
    <row r="180" spans="1:14" s="120" customFormat="1" ht="23.25" customHeight="1">
      <c r="A180" s="845"/>
      <c r="B180" s="812"/>
      <c r="C180" s="850"/>
      <c r="D180" s="812"/>
      <c r="E180" s="758"/>
      <c r="F180" s="804"/>
      <c r="G180" s="806"/>
      <c r="H180" s="820"/>
      <c r="I180" s="857"/>
      <c r="J180" s="857"/>
      <c r="K180" s="801"/>
      <c r="L180" s="801"/>
      <c r="M180" s="814" t="s">
        <v>412</v>
      </c>
      <c r="N180" s="830">
        <v>7000</v>
      </c>
    </row>
    <row r="181" spans="1:14" s="120" customFormat="1" ht="24.75" customHeight="1">
      <c r="A181" s="845"/>
      <c r="B181" s="812"/>
      <c r="C181" s="850"/>
      <c r="D181" s="812"/>
      <c r="E181" s="758"/>
      <c r="F181" s="804"/>
      <c r="G181" s="806"/>
      <c r="H181" s="820"/>
      <c r="I181" s="857"/>
      <c r="J181" s="857"/>
      <c r="K181" s="801"/>
      <c r="L181" s="801"/>
      <c r="M181" s="817"/>
      <c r="N181" s="831"/>
    </row>
    <row r="182" spans="1:14" s="120" customFormat="1" ht="28.5" customHeight="1">
      <c r="A182" s="845"/>
      <c r="B182" s="812"/>
      <c r="C182" s="850"/>
      <c r="D182" s="812"/>
      <c r="E182" s="758"/>
      <c r="F182" s="804" t="s">
        <v>121</v>
      </c>
      <c r="G182" s="806"/>
      <c r="H182" s="820"/>
      <c r="I182" s="857"/>
      <c r="J182" s="857"/>
      <c r="K182" s="801"/>
      <c r="L182" s="801"/>
      <c r="M182" s="814" t="s">
        <v>236</v>
      </c>
      <c r="N182" s="830">
        <v>18500</v>
      </c>
    </row>
    <row r="183" spans="1:14" s="120" customFormat="1" ht="16.5" customHeight="1">
      <c r="A183" s="845"/>
      <c r="B183" s="812"/>
      <c r="C183" s="850"/>
      <c r="D183" s="812"/>
      <c r="E183" s="758"/>
      <c r="F183" s="804"/>
      <c r="G183" s="806"/>
      <c r="H183" s="820"/>
      <c r="I183" s="857"/>
      <c r="J183" s="857"/>
      <c r="K183" s="801"/>
      <c r="L183" s="801"/>
      <c r="M183" s="817"/>
      <c r="N183" s="831"/>
    </row>
    <row r="184" spans="1:14" s="120" customFormat="1" ht="24.75" customHeight="1">
      <c r="A184" s="845"/>
      <c r="B184" s="812"/>
      <c r="C184" s="850"/>
      <c r="D184" s="812"/>
      <c r="E184" s="758"/>
      <c r="F184" s="852" t="s">
        <v>73</v>
      </c>
      <c r="G184" s="806"/>
      <c r="H184" s="820"/>
      <c r="I184" s="857"/>
      <c r="J184" s="857"/>
      <c r="K184" s="801"/>
      <c r="L184" s="801"/>
      <c r="M184" s="814" t="s">
        <v>336</v>
      </c>
      <c r="N184" s="830">
        <v>2500</v>
      </c>
    </row>
    <row r="185" spans="1:14" s="120" customFormat="1" ht="19.5" customHeight="1">
      <c r="A185" s="845"/>
      <c r="B185" s="812"/>
      <c r="C185" s="850"/>
      <c r="D185" s="812"/>
      <c r="E185" s="758"/>
      <c r="F185" s="852"/>
      <c r="G185" s="806"/>
      <c r="H185" s="820"/>
      <c r="I185" s="857"/>
      <c r="J185" s="857"/>
      <c r="K185" s="801"/>
      <c r="L185" s="801"/>
      <c r="M185" s="817"/>
      <c r="N185" s="831"/>
    </row>
    <row r="186" spans="1:14" s="120" customFormat="1" ht="15" customHeight="1">
      <c r="A186" s="845"/>
      <c r="B186" s="812"/>
      <c r="C186" s="850"/>
      <c r="D186" s="812"/>
      <c r="E186" s="758"/>
      <c r="F186" s="812" t="s">
        <v>593</v>
      </c>
      <c r="G186" s="806"/>
      <c r="H186" s="820"/>
      <c r="I186" s="857"/>
      <c r="J186" s="857"/>
      <c r="K186" s="801"/>
      <c r="L186" s="801"/>
      <c r="M186" s="814" t="s">
        <v>335</v>
      </c>
      <c r="N186" s="830">
        <v>25500</v>
      </c>
    </row>
    <row r="187" spans="1:14" s="120" customFormat="1" ht="28.5" customHeight="1">
      <c r="A187" s="845"/>
      <c r="B187" s="812"/>
      <c r="C187" s="850"/>
      <c r="D187" s="812"/>
      <c r="E187" s="758"/>
      <c r="F187" s="852"/>
      <c r="G187" s="806"/>
      <c r="H187" s="820"/>
      <c r="I187" s="857"/>
      <c r="J187" s="857"/>
      <c r="K187" s="801"/>
      <c r="L187" s="801"/>
      <c r="M187" s="817"/>
      <c r="N187" s="831"/>
    </row>
    <row r="188" spans="1:14" s="120" customFormat="1" ht="21.75" customHeight="1">
      <c r="A188" s="845"/>
      <c r="B188" s="812"/>
      <c r="C188" s="850"/>
      <c r="D188" s="812"/>
      <c r="E188" s="758"/>
      <c r="F188" s="804" t="s">
        <v>122</v>
      </c>
      <c r="G188" s="806"/>
      <c r="H188" s="820"/>
      <c r="I188" s="857"/>
      <c r="J188" s="857"/>
      <c r="K188" s="801"/>
      <c r="L188" s="801"/>
      <c r="M188" s="814" t="s">
        <v>439</v>
      </c>
      <c r="N188" s="830">
        <v>6800</v>
      </c>
    </row>
    <row r="189" spans="1:14" s="120" customFormat="1" ht="48.75" customHeight="1">
      <c r="A189" s="845"/>
      <c r="B189" s="812"/>
      <c r="C189" s="850"/>
      <c r="D189" s="812"/>
      <c r="E189" s="758"/>
      <c r="F189" s="804"/>
      <c r="G189" s="806"/>
      <c r="H189" s="820"/>
      <c r="I189" s="857"/>
      <c r="J189" s="857"/>
      <c r="K189" s="801"/>
      <c r="L189" s="801"/>
      <c r="M189" s="817"/>
      <c r="N189" s="831"/>
    </row>
    <row r="190" spans="1:14" s="120" customFormat="1" ht="36" customHeight="1">
      <c r="A190" s="845"/>
      <c r="B190" s="812"/>
      <c r="C190" s="850"/>
      <c r="D190" s="812"/>
      <c r="E190" s="758"/>
      <c r="F190" s="804" t="s">
        <v>74</v>
      </c>
      <c r="G190" s="806"/>
      <c r="H190" s="820"/>
      <c r="I190" s="857"/>
      <c r="J190" s="857"/>
      <c r="K190" s="801"/>
      <c r="L190" s="801"/>
      <c r="M190" s="814" t="s">
        <v>420</v>
      </c>
      <c r="N190" s="830">
        <f>SUM(N176:N189)*0.07</f>
        <v>7651.000000000001</v>
      </c>
    </row>
    <row r="191" spans="1:14" s="120" customFormat="1" ht="51.75" customHeight="1" thickBot="1">
      <c r="A191" s="845"/>
      <c r="B191" s="812"/>
      <c r="C191" s="850"/>
      <c r="D191" s="848"/>
      <c r="E191" s="989"/>
      <c r="F191" s="836"/>
      <c r="G191" s="988"/>
      <c r="H191" s="821"/>
      <c r="I191" s="858"/>
      <c r="J191" s="858"/>
      <c r="K191" s="802"/>
      <c r="L191" s="802"/>
      <c r="M191" s="815"/>
      <c r="N191" s="833"/>
    </row>
    <row r="192" spans="1:14" s="120" customFormat="1" ht="18" customHeight="1" thickBot="1">
      <c r="A192" s="845"/>
      <c r="B192" s="812"/>
      <c r="C192" s="850"/>
      <c r="D192" s="654" t="s">
        <v>368</v>
      </c>
      <c r="E192" s="654"/>
      <c r="F192" s="654"/>
      <c r="G192" s="654"/>
      <c r="H192" s="654"/>
      <c r="I192" s="410"/>
      <c r="J192" s="407"/>
      <c r="K192" s="86"/>
      <c r="L192" s="142"/>
      <c r="M192" s="142"/>
      <c r="N192" s="87">
        <f>SUM(N176:N191)</f>
        <v>116951</v>
      </c>
    </row>
    <row r="193" spans="1:14" s="120" customFormat="1" ht="27.75" customHeight="1">
      <c r="A193" s="845"/>
      <c r="B193" s="812"/>
      <c r="C193" s="850"/>
      <c r="D193" s="847" t="s">
        <v>305</v>
      </c>
      <c r="E193" s="803" t="s">
        <v>5</v>
      </c>
      <c r="F193" s="676" t="s">
        <v>596</v>
      </c>
      <c r="G193" s="996" t="s">
        <v>338</v>
      </c>
      <c r="H193" s="810" t="s">
        <v>338</v>
      </c>
      <c r="I193" s="856" t="s">
        <v>338</v>
      </c>
      <c r="J193" s="856" t="s">
        <v>338</v>
      </c>
      <c r="K193" s="800" t="s">
        <v>540</v>
      </c>
      <c r="L193" s="800" t="s">
        <v>498</v>
      </c>
      <c r="M193" s="237" t="s">
        <v>561</v>
      </c>
      <c r="N193" s="198">
        <v>33000</v>
      </c>
    </row>
    <row r="194" spans="1:14" s="120" customFormat="1" ht="34.5" customHeight="1">
      <c r="A194" s="845"/>
      <c r="B194" s="812"/>
      <c r="C194" s="850"/>
      <c r="D194" s="812"/>
      <c r="E194" s="804"/>
      <c r="F194" s="804"/>
      <c r="G194" s="997"/>
      <c r="H194" s="820"/>
      <c r="I194" s="857"/>
      <c r="J194" s="857"/>
      <c r="K194" s="801"/>
      <c r="L194" s="801"/>
      <c r="M194" s="238" t="s">
        <v>565</v>
      </c>
      <c r="N194" s="199">
        <v>2000</v>
      </c>
    </row>
    <row r="195" spans="1:14" s="120" customFormat="1" ht="27.75" customHeight="1">
      <c r="A195" s="845"/>
      <c r="B195" s="812"/>
      <c r="C195" s="850"/>
      <c r="D195" s="812"/>
      <c r="E195" s="804"/>
      <c r="F195" s="804" t="s">
        <v>75</v>
      </c>
      <c r="G195" s="997"/>
      <c r="H195" s="820"/>
      <c r="I195" s="857"/>
      <c r="J195" s="857"/>
      <c r="K195" s="801"/>
      <c r="L195" s="801"/>
      <c r="M195" s="238" t="s">
        <v>236</v>
      </c>
      <c r="N195" s="199">
        <v>8500</v>
      </c>
    </row>
    <row r="196" spans="1:14" s="120" customFormat="1" ht="27.75" customHeight="1">
      <c r="A196" s="845"/>
      <c r="B196" s="812"/>
      <c r="C196" s="850"/>
      <c r="D196" s="812"/>
      <c r="E196" s="804"/>
      <c r="F196" s="804"/>
      <c r="G196" s="997"/>
      <c r="H196" s="820"/>
      <c r="I196" s="857"/>
      <c r="J196" s="857"/>
      <c r="K196" s="801"/>
      <c r="L196" s="801"/>
      <c r="M196" s="238" t="s">
        <v>412</v>
      </c>
      <c r="N196" s="199">
        <v>8000</v>
      </c>
    </row>
    <row r="197" spans="1:14" s="120" customFormat="1" ht="33.75" customHeight="1">
      <c r="A197" s="845"/>
      <c r="B197" s="812"/>
      <c r="C197" s="850"/>
      <c r="D197" s="812"/>
      <c r="E197" s="804"/>
      <c r="F197" s="675" t="s">
        <v>597</v>
      </c>
      <c r="G197" s="997"/>
      <c r="H197" s="820"/>
      <c r="I197" s="857"/>
      <c r="J197" s="857"/>
      <c r="K197" s="801"/>
      <c r="L197" s="801"/>
      <c r="M197" s="238" t="s">
        <v>336</v>
      </c>
      <c r="N197" s="199">
        <v>600</v>
      </c>
    </row>
    <row r="198" spans="1:14" s="120" customFormat="1" ht="32.25" customHeight="1">
      <c r="A198" s="845"/>
      <c r="B198" s="812"/>
      <c r="C198" s="850"/>
      <c r="D198" s="812"/>
      <c r="E198" s="804"/>
      <c r="F198" s="804"/>
      <c r="G198" s="997"/>
      <c r="H198" s="820"/>
      <c r="I198" s="857"/>
      <c r="J198" s="857"/>
      <c r="K198" s="801"/>
      <c r="L198" s="801"/>
      <c r="M198" s="238" t="s">
        <v>335</v>
      </c>
      <c r="N198" s="199">
        <v>9500</v>
      </c>
    </row>
    <row r="199" spans="1:14" s="120" customFormat="1" ht="32.25" customHeight="1">
      <c r="A199" s="845"/>
      <c r="B199" s="812"/>
      <c r="C199" s="850"/>
      <c r="D199" s="812"/>
      <c r="E199" s="804"/>
      <c r="F199" s="804"/>
      <c r="G199" s="997"/>
      <c r="H199" s="820"/>
      <c r="I199" s="857"/>
      <c r="J199" s="857"/>
      <c r="K199" s="801"/>
      <c r="L199" s="801"/>
      <c r="M199" s="238" t="s">
        <v>411</v>
      </c>
      <c r="N199" s="199">
        <v>2500</v>
      </c>
    </row>
    <row r="200" spans="1:14" s="120" customFormat="1" ht="36.75" customHeight="1" thickBot="1">
      <c r="A200" s="845"/>
      <c r="B200" s="812"/>
      <c r="C200" s="850"/>
      <c r="D200" s="848"/>
      <c r="E200" s="836"/>
      <c r="F200" s="836"/>
      <c r="G200" s="998"/>
      <c r="H200" s="821"/>
      <c r="I200" s="858"/>
      <c r="J200" s="858"/>
      <c r="K200" s="802"/>
      <c r="L200" s="802"/>
      <c r="M200" s="240" t="s">
        <v>237</v>
      </c>
      <c r="N200" s="239">
        <f>SUM(N193:N199)*0.07</f>
        <v>4487</v>
      </c>
    </row>
    <row r="201" spans="1:14" s="120" customFormat="1" ht="18" customHeight="1" thickBot="1">
      <c r="A201" s="845"/>
      <c r="B201" s="848"/>
      <c r="C201" s="851"/>
      <c r="D201" s="270" t="s">
        <v>367</v>
      </c>
      <c r="E201" s="271"/>
      <c r="F201" s="406"/>
      <c r="G201" s="271"/>
      <c r="H201" s="271"/>
      <c r="I201" s="410"/>
      <c r="J201" s="407"/>
      <c r="K201" s="86"/>
      <c r="L201" s="142"/>
      <c r="M201" s="142"/>
      <c r="N201" s="87">
        <f>SUM(N193:N200)</f>
        <v>68587</v>
      </c>
    </row>
    <row r="202" spans="1:14" s="120" customFormat="1" ht="18.75" customHeight="1" thickBot="1">
      <c r="A202" s="845"/>
      <c r="B202" s="162" t="s">
        <v>421</v>
      </c>
      <c r="C202" s="140"/>
      <c r="D202" s="231"/>
      <c r="E202" s="231"/>
      <c r="F202" s="232"/>
      <c r="G202" s="231"/>
      <c r="H202" s="231"/>
      <c r="I202" s="410"/>
      <c r="J202" s="407"/>
      <c r="K202" s="86"/>
      <c r="L202" s="142"/>
      <c r="M202" s="142"/>
      <c r="N202" s="87">
        <f>N201+N192+N175</f>
        <v>418263</v>
      </c>
    </row>
    <row r="203" spans="1:14" s="197" customFormat="1" ht="31.5" customHeight="1">
      <c r="A203" s="845"/>
      <c r="B203" s="803" t="s">
        <v>497</v>
      </c>
      <c r="C203" s="834" t="s">
        <v>152</v>
      </c>
      <c r="D203" s="804" t="s">
        <v>423</v>
      </c>
      <c r="E203" s="840" t="s">
        <v>26</v>
      </c>
      <c r="F203" s="889" t="s">
        <v>123</v>
      </c>
      <c r="G203" s="825"/>
      <c r="H203" s="825"/>
      <c r="I203" s="807" t="s">
        <v>338</v>
      </c>
      <c r="J203" s="807" t="s">
        <v>338</v>
      </c>
      <c r="K203" s="863" t="s">
        <v>525</v>
      </c>
      <c r="L203" s="863" t="s">
        <v>498</v>
      </c>
      <c r="M203" s="200" t="s">
        <v>562</v>
      </c>
      <c r="N203" s="286">
        <v>6000</v>
      </c>
    </row>
    <row r="204" spans="1:14" s="197" customFormat="1" ht="16.5" customHeight="1">
      <c r="A204" s="845"/>
      <c r="B204" s="804"/>
      <c r="C204" s="834"/>
      <c r="D204" s="804"/>
      <c r="E204" s="841"/>
      <c r="F204" s="762"/>
      <c r="G204" s="826"/>
      <c r="H204" s="826"/>
      <c r="I204" s="808"/>
      <c r="J204" s="808"/>
      <c r="K204" s="864"/>
      <c r="L204" s="864"/>
      <c r="M204" s="876" t="s">
        <v>399</v>
      </c>
      <c r="N204" s="1009">
        <v>24000</v>
      </c>
    </row>
    <row r="205" spans="1:14" s="197" customFormat="1" ht="20.25" customHeight="1">
      <c r="A205" s="845"/>
      <c r="B205" s="804"/>
      <c r="C205" s="834"/>
      <c r="D205" s="804"/>
      <c r="E205" s="841"/>
      <c r="F205" s="762"/>
      <c r="G205" s="826"/>
      <c r="H205" s="826"/>
      <c r="I205" s="808"/>
      <c r="J205" s="808"/>
      <c r="K205" s="864"/>
      <c r="L205" s="864"/>
      <c r="M205" s="875"/>
      <c r="N205" s="1010"/>
    </row>
    <row r="206" spans="1:14" s="197" customFormat="1" ht="36" customHeight="1">
      <c r="A206" s="845"/>
      <c r="B206" s="804"/>
      <c r="C206" s="834"/>
      <c r="D206" s="804"/>
      <c r="E206" s="885" t="s">
        <v>27</v>
      </c>
      <c r="F206" s="762"/>
      <c r="G206" s="826"/>
      <c r="H206" s="826"/>
      <c r="I206" s="808"/>
      <c r="J206" s="808"/>
      <c r="K206" s="864"/>
      <c r="L206" s="864"/>
      <c r="M206" s="191" t="s">
        <v>414</v>
      </c>
      <c r="N206" s="287">
        <v>3745</v>
      </c>
    </row>
    <row r="207" spans="1:14" s="197" customFormat="1" ht="22.5" customHeight="1">
      <c r="A207" s="845"/>
      <c r="B207" s="804"/>
      <c r="C207" s="834"/>
      <c r="D207" s="804"/>
      <c r="E207" s="885"/>
      <c r="F207" s="762"/>
      <c r="G207" s="826"/>
      <c r="H207" s="826"/>
      <c r="I207" s="808"/>
      <c r="J207" s="808"/>
      <c r="K207" s="864"/>
      <c r="L207" s="864"/>
      <c r="M207" s="876" t="s">
        <v>336</v>
      </c>
      <c r="N207" s="1009">
        <v>24000</v>
      </c>
    </row>
    <row r="208" spans="1:14" s="197" customFormat="1" ht="14.25" customHeight="1">
      <c r="A208" s="845"/>
      <c r="B208" s="804"/>
      <c r="C208" s="834"/>
      <c r="D208" s="804"/>
      <c r="E208" s="885"/>
      <c r="F208" s="762"/>
      <c r="G208" s="826"/>
      <c r="H208" s="826"/>
      <c r="I208" s="808"/>
      <c r="J208" s="808"/>
      <c r="K208" s="864"/>
      <c r="L208" s="864"/>
      <c r="M208" s="875"/>
      <c r="N208" s="1010"/>
    </row>
    <row r="209" spans="1:14" s="197" customFormat="1" ht="34.5" customHeight="1" thickBot="1">
      <c r="A209" s="845"/>
      <c r="B209" s="804"/>
      <c r="C209" s="834"/>
      <c r="D209" s="836"/>
      <c r="E209" s="886"/>
      <c r="F209" s="890"/>
      <c r="G209" s="827"/>
      <c r="H209" s="827"/>
      <c r="I209" s="809"/>
      <c r="J209" s="809"/>
      <c r="K209" s="865"/>
      <c r="L209" s="865"/>
      <c r="M209" s="201" t="s">
        <v>420</v>
      </c>
      <c r="N209" s="433">
        <f>SUM(N203:N207)*0.07</f>
        <v>4042.1500000000005</v>
      </c>
    </row>
    <row r="210" spans="1:14" s="120" customFormat="1" ht="18" customHeight="1" thickBot="1">
      <c r="A210" s="845"/>
      <c r="B210" s="804"/>
      <c r="C210" s="834"/>
      <c r="D210" s="653" t="s">
        <v>425</v>
      </c>
      <c r="E210" s="654"/>
      <c r="F210" s="654"/>
      <c r="G210" s="654"/>
      <c r="H210" s="663"/>
      <c r="I210" s="84"/>
      <c r="J210" s="85"/>
      <c r="K210" s="86"/>
      <c r="L210" s="142"/>
      <c r="M210" s="86"/>
      <c r="N210" s="87">
        <f>SUM(N203:N209)</f>
        <v>61787.15</v>
      </c>
    </row>
    <row r="211" spans="1:14" s="197" customFormat="1" ht="30" customHeight="1">
      <c r="A211" s="845"/>
      <c r="B211" s="804"/>
      <c r="C211" s="834"/>
      <c r="D211" s="803" t="s">
        <v>424</v>
      </c>
      <c r="E211" s="837" t="s">
        <v>28</v>
      </c>
      <c r="F211" s="601" t="s">
        <v>29</v>
      </c>
      <c r="G211" s="825"/>
      <c r="H211" s="825"/>
      <c r="I211" s="807" t="s">
        <v>338</v>
      </c>
      <c r="J211" s="807" t="s">
        <v>338</v>
      </c>
      <c r="K211" s="863" t="s">
        <v>521</v>
      </c>
      <c r="L211" s="863" t="s">
        <v>498</v>
      </c>
      <c r="M211" s="200" t="s">
        <v>399</v>
      </c>
      <c r="N211" s="198">
        <v>33734.85</v>
      </c>
    </row>
    <row r="212" spans="1:14" s="197" customFormat="1" ht="30" customHeight="1">
      <c r="A212" s="845"/>
      <c r="B212" s="804"/>
      <c r="C212" s="834"/>
      <c r="D212" s="804"/>
      <c r="E212" s="838"/>
      <c r="F212" s="602"/>
      <c r="G212" s="826"/>
      <c r="H212" s="826"/>
      <c r="I212" s="808"/>
      <c r="J212" s="808"/>
      <c r="K212" s="864"/>
      <c r="L212" s="864"/>
      <c r="M212" s="124" t="s">
        <v>460</v>
      </c>
      <c r="N212" s="199">
        <v>8765</v>
      </c>
    </row>
    <row r="213" spans="1:14" s="197" customFormat="1" ht="30.75" customHeight="1" thickBot="1">
      <c r="A213" s="845"/>
      <c r="B213" s="804"/>
      <c r="C213" s="834"/>
      <c r="D213" s="836"/>
      <c r="E213" s="839"/>
      <c r="F213" s="603"/>
      <c r="G213" s="827"/>
      <c r="H213" s="827"/>
      <c r="I213" s="809"/>
      <c r="J213" s="809"/>
      <c r="K213" s="865"/>
      <c r="L213" s="865"/>
      <c r="M213" s="201" t="s">
        <v>420</v>
      </c>
      <c r="N213" s="434">
        <f>SUM(N211:N212)*0.07</f>
        <v>2974.9895</v>
      </c>
    </row>
    <row r="214" spans="1:14" s="120" customFormat="1" ht="18" customHeight="1" thickBot="1">
      <c r="A214" s="845"/>
      <c r="B214" s="836"/>
      <c r="C214" s="835"/>
      <c r="D214" s="653" t="s">
        <v>426</v>
      </c>
      <c r="E214" s="654"/>
      <c r="F214" s="654"/>
      <c r="G214" s="654"/>
      <c r="H214" s="663"/>
      <c r="I214" s="84"/>
      <c r="J214" s="85"/>
      <c r="K214" s="86"/>
      <c r="L214" s="142"/>
      <c r="M214" s="142"/>
      <c r="N214" s="87">
        <f>SUM(N211:N213)</f>
        <v>45474.8395</v>
      </c>
    </row>
    <row r="215" spans="1:14" s="120" customFormat="1" ht="18.75" customHeight="1" thickBot="1">
      <c r="A215" s="845"/>
      <c r="B215" s="162" t="s">
        <v>422</v>
      </c>
      <c r="C215" s="138"/>
      <c r="D215" s="93"/>
      <c r="E215" s="93"/>
      <c r="F215" s="93"/>
      <c r="G215" s="93"/>
      <c r="H215" s="93"/>
      <c r="I215" s="94"/>
      <c r="J215" s="95"/>
      <c r="K215" s="96"/>
      <c r="L215" s="145"/>
      <c r="M215" s="145"/>
      <c r="N215" s="97">
        <f>N210+N214</f>
        <v>107261.9895</v>
      </c>
    </row>
    <row r="216" spans="1:14" s="120" customFormat="1" ht="18.75" customHeight="1">
      <c r="A216" s="845"/>
      <c r="B216" s="1002" t="s">
        <v>427</v>
      </c>
      <c r="C216" s="1008" t="s">
        <v>152</v>
      </c>
      <c r="D216" s="828" t="s">
        <v>428</v>
      </c>
      <c r="E216" s="601" t="s">
        <v>30</v>
      </c>
      <c r="F216" s="601" t="s">
        <v>31</v>
      </c>
      <c r="G216" s="825"/>
      <c r="H216" s="825"/>
      <c r="I216" s="807" t="s">
        <v>238</v>
      </c>
      <c r="J216" s="993"/>
      <c r="K216" s="863" t="s">
        <v>529</v>
      </c>
      <c r="L216" s="863" t="s">
        <v>498</v>
      </c>
      <c r="M216" s="200" t="s">
        <v>399</v>
      </c>
      <c r="N216" s="254">
        <v>5000</v>
      </c>
    </row>
    <row r="217" spans="1:14" s="120" customFormat="1" ht="18.75" customHeight="1">
      <c r="A217" s="845"/>
      <c r="B217" s="1003"/>
      <c r="C217" s="834"/>
      <c r="D217" s="829"/>
      <c r="E217" s="602"/>
      <c r="F217" s="602"/>
      <c r="G217" s="826"/>
      <c r="H217" s="826"/>
      <c r="I217" s="808"/>
      <c r="J217" s="995"/>
      <c r="K217" s="864"/>
      <c r="L217" s="864"/>
      <c r="M217" s="124" t="s">
        <v>336</v>
      </c>
      <c r="N217" s="256">
        <v>7500</v>
      </c>
    </row>
    <row r="218" spans="1:14" s="120" customFormat="1" ht="27" customHeight="1" thickBot="1">
      <c r="A218" s="845"/>
      <c r="B218" s="1003"/>
      <c r="C218" s="834"/>
      <c r="D218" s="895"/>
      <c r="E218" s="603"/>
      <c r="F218" s="603"/>
      <c r="G218" s="827"/>
      <c r="H218" s="827"/>
      <c r="I218" s="809"/>
      <c r="J218" s="994"/>
      <c r="K218" s="865"/>
      <c r="L218" s="865"/>
      <c r="M218" s="255" t="s">
        <v>420</v>
      </c>
      <c r="N218" s="188">
        <f>SUM(N216:N217)*0.07</f>
        <v>875.0000000000001</v>
      </c>
    </row>
    <row r="219" spans="1:14" s="120" customFormat="1" ht="18.75" customHeight="1" thickBot="1">
      <c r="A219" s="845"/>
      <c r="B219" s="1003"/>
      <c r="C219" s="834"/>
      <c r="D219" s="653" t="s">
        <v>429</v>
      </c>
      <c r="E219" s="654"/>
      <c r="F219" s="654"/>
      <c r="G219" s="654"/>
      <c r="H219" s="663"/>
      <c r="I219" s="84"/>
      <c r="J219" s="85"/>
      <c r="K219" s="86"/>
      <c r="L219" s="142"/>
      <c r="M219" s="142"/>
      <c r="N219" s="87">
        <f>SUM(N216:N218)</f>
        <v>13375</v>
      </c>
    </row>
    <row r="220" spans="1:14" s="120" customFormat="1" ht="32.25" customHeight="1">
      <c r="A220" s="845"/>
      <c r="B220" s="1003"/>
      <c r="C220" s="834"/>
      <c r="D220" s="1015" t="s">
        <v>430</v>
      </c>
      <c r="E220" s="977" t="s">
        <v>124</v>
      </c>
      <c r="F220" s="601" t="s">
        <v>125</v>
      </c>
      <c r="G220" s="825"/>
      <c r="H220" s="825"/>
      <c r="I220" s="993"/>
      <c r="J220" s="807" t="s">
        <v>238</v>
      </c>
      <c r="K220" s="985" t="s">
        <v>530</v>
      </c>
      <c r="L220" s="863" t="s">
        <v>498</v>
      </c>
      <c r="M220" s="200" t="s">
        <v>410</v>
      </c>
      <c r="N220" s="258">
        <v>12500</v>
      </c>
    </row>
    <row r="221" spans="1:14" s="120" customFormat="1" ht="36" customHeight="1" thickBot="1">
      <c r="A221" s="845"/>
      <c r="B221" s="1003"/>
      <c r="C221" s="834"/>
      <c r="D221" s="1016"/>
      <c r="E221" s="978"/>
      <c r="F221" s="603"/>
      <c r="G221" s="827"/>
      <c r="H221" s="827"/>
      <c r="I221" s="994"/>
      <c r="J221" s="809"/>
      <c r="K221" s="986"/>
      <c r="L221" s="865"/>
      <c r="M221" s="255" t="s">
        <v>420</v>
      </c>
      <c r="N221" s="257">
        <f>N220*0.07</f>
        <v>875.0000000000001</v>
      </c>
    </row>
    <row r="222" spans="1:14" s="120" customFormat="1" ht="18.75" customHeight="1" thickBot="1">
      <c r="A222" s="845"/>
      <c r="B222" s="1004"/>
      <c r="C222" s="835"/>
      <c r="D222" s="653" t="s">
        <v>431</v>
      </c>
      <c r="E222" s="654"/>
      <c r="F222" s="654"/>
      <c r="G222" s="654"/>
      <c r="H222" s="663"/>
      <c r="I222" s="84"/>
      <c r="J222" s="85"/>
      <c r="K222" s="86"/>
      <c r="L222" s="142"/>
      <c r="M222" s="142"/>
      <c r="N222" s="87">
        <f>SUM(N219:N221)</f>
        <v>26750</v>
      </c>
    </row>
    <row r="223" spans="1:14" s="120" customFormat="1" ht="18.75" customHeight="1" thickBot="1">
      <c r="A223" s="845"/>
      <c r="B223" s="162" t="s">
        <v>432</v>
      </c>
      <c r="C223" s="138"/>
      <c r="D223" s="93"/>
      <c r="E223" s="93"/>
      <c r="F223" s="93"/>
      <c r="G223" s="93"/>
      <c r="H223" s="93"/>
      <c r="I223" s="94"/>
      <c r="J223" s="95"/>
      <c r="K223" s="96"/>
      <c r="L223" s="145"/>
      <c r="M223" s="145"/>
      <c r="N223" s="97">
        <f>N219+N222</f>
        <v>40125</v>
      </c>
    </row>
    <row r="224" spans="1:14" s="120" customFormat="1" ht="18" customHeight="1">
      <c r="A224" s="845"/>
      <c r="B224" s="847" t="s">
        <v>200</v>
      </c>
      <c r="C224" s="849" t="s">
        <v>148</v>
      </c>
      <c r="D224" s="847" t="s">
        <v>306</v>
      </c>
      <c r="E224" s="634" t="s">
        <v>373</v>
      </c>
      <c r="F224" s="634" t="s">
        <v>56</v>
      </c>
      <c r="G224" s="999" t="s">
        <v>338</v>
      </c>
      <c r="H224" s="475"/>
      <c r="I224" s="292"/>
      <c r="J224" s="292"/>
      <c r="K224" s="800" t="s">
        <v>528</v>
      </c>
      <c r="L224" s="800" t="s">
        <v>498</v>
      </c>
      <c r="M224" s="816" t="s">
        <v>565</v>
      </c>
      <c r="N224" s="1005">
        <v>12000</v>
      </c>
    </row>
    <row r="225" spans="1:14" s="120" customFormat="1" ht="18" customHeight="1">
      <c r="A225" s="845"/>
      <c r="B225" s="812"/>
      <c r="C225" s="850"/>
      <c r="D225" s="812"/>
      <c r="E225" s="1017"/>
      <c r="F225" s="556"/>
      <c r="G225" s="1000"/>
      <c r="H225" s="481"/>
      <c r="I225" s="113"/>
      <c r="J225" s="113"/>
      <c r="K225" s="801"/>
      <c r="L225" s="801"/>
      <c r="M225" s="817"/>
      <c r="N225" s="1006"/>
    </row>
    <row r="226" spans="1:14" s="120" customFormat="1" ht="18" customHeight="1">
      <c r="A226" s="845"/>
      <c r="B226" s="812"/>
      <c r="C226" s="850"/>
      <c r="D226" s="812"/>
      <c r="E226" s="556" t="s">
        <v>374</v>
      </c>
      <c r="F226" s="556"/>
      <c r="G226" s="483"/>
      <c r="H226" s="893" t="s">
        <v>338</v>
      </c>
      <c r="I226" s="293"/>
      <c r="J226" s="293"/>
      <c r="K226" s="801"/>
      <c r="L226" s="801"/>
      <c r="M226" s="814" t="s">
        <v>439</v>
      </c>
      <c r="N226" s="1007">
        <v>5000</v>
      </c>
    </row>
    <row r="227" spans="1:14" s="120" customFormat="1" ht="15" customHeight="1">
      <c r="A227" s="845"/>
      <c r="B227" s="812"/>
      <c r="C227" s="850"/>
      <c r="D227" s="812"/>
      <c r="E227" s="556"/>
      <c r="F227" s="556"/>
      <c r="G227" s="482"/>
      <c r="H227" s="1001"/>
      <c r="I227" s="113"/>
      <c r="J227" s="113"/>
      <c r="K227" s="801"/>
      <c r="L227" s="801"/>
      <c r="M227" s="817"/>
      <c r="N227" s="1006"/>
    </row>
    <row r="228" spans="1:14" s="120" customFormat="1" ht="31.5" customHeight="1" thickBot="1">
      <c r="A228" s="845"/>
      <c r="B228" s="812"/>
      <c r="C228" s="850"/>
      <c r="D228" s="848"/>
      <c r="E228" s="296" t="s">
        <v>531</v>
      </c>
      <c r="F228" s="788"/>
      <c r="G228" s="484"/>
      <c r="H228" s="476" t="s">
        <v>338</v>
      </c>
      <c r="I228" s="294" t="s">
        <v>338</v>
      </c>
      <c r="J228" s="294"/>
      <c r="K228" s="802"/>
      <c r="L228" s="802"/>
      <c r="M228" s="261" t="s">
        <v>237</v>
      </c>
      <c r="N228" s="122">
        <f>SUM(N224:N227)*0.07</f>
        <v>1190</v>
      </c>
    </row>
    <row r="229" spans="1:14" s="120" customFormat="1" ht="18" customHeight="1" thickBot="1">
      <c r="A229" s="845"/>
      <c r="B229" s="812"/>
      <c r="C229" s="850"/>
      <c r="D229" s="653" t="s">
        <v>366</v>
      </c>
      <c r="E229" s="654"/>
      <c r="F229" s="654"/>
      <c r="G229" s="654"/>
      <c r="H229" s="663"/>
      <c r="I229" s="84"/>
      <c r="J229" s="85"/>
      <c r="K229" s="86"/>
      <c r="L229" s="142"/>
      <c r="M229" s="142"/>
      <c r="N229" s="87">
        <f>SUM(N224:N228)</f>
        <v>18190</v>
      </c>
    </row>
    <row r="230" spans="1:14" s="120" customFormat="1" ht="33.75" customHeight="1">
      <c r="A230" s="845"/>
      <c r="B230" s="812"/>
      <c r="C230" s="850"/>
      <c r="D230" s="924" t="s">
        <v>450</v>
      </c>
      <c r="E230" s="371" t="s">
        <v>372</v>
      </c>
      <c r="F230" s="634" t="s">
        <v>57</v>
      </c>
      <c r="G230" s="485"/>
      <c r="H230" s="501" t="s">
        <v>338</v>
      </c>
      <c r="I230" s="345"/>
      <c r="J230" s="345"/>
      <c r="K230" s="863" t="s">
        <v>276</v>
      </c>
      <c r="L230" s="863" t="s">
        <v>498</v>
      </c>
      <c r="M230" s="262" t="s">
        <v>556</v>
      </c>
      <c r="N230" s="258">
        <v>12000</v>
      </c>
    </row>
    <row r="231" spans="1:14" s="120" customFormat="1" ht="29.25" customHeight="1">
      <c r="A231" s="845"/>
      <c r="B231" s="812"/>
      <c r="C231" s="850"/>
      <c r="D231" s="925"/>
      <c r="E231" s="1018" t="s">
        <v>448</v>
      </c>
      <c r="F231" s="556"/>
      <c r="G231" s="486"/>
      <c r="H231" s="502"/>
      <c r="I231" s="367" t="s">
        <v>338</v>
      </c>
      <c r="J231" s="367"/>
      <c r="K231" s="864"/>
      <c r="L231" s="864"/>
      <c r="M231" s="263" t="s">
        <v>439</v>
      </c>
      <c r="N231" s="264">
        <v>5000</v>
      </c>
    </row>
    <row r="232" spans="1:14" s="120" customFormat="1" ht="27" customHeight="1">
      <c r="A232" s="845"/>
      <c r="B232" s="812"/>
      <c r="C232" s="850"/>
      <c r="D232" s="925"/>
      <c r="E232" s="724"/>
      <c r="F232" s="556"/>
      <c r="G232" s="486"/>
      <c r="H232" s="502"/>
      <c r="I232" s="367"/>
      <c r="J232" s="367"/>
      <c r="K232" s="864"/>
      <c r="L232" s="864"/>
      <c r="M232" s="263" t="s">
        <v>594</v>
      </c>
      <c r="N232" s="264">
        <v>3000</v>
      </c>
    </row>
    <row r="233" spans="1:14" s="120" customFormat="1" ht="36.75" customHeight="1">
      <c r="A233" s="845"/>
      <c r="B233" s="812"/>
      <c r="C233" s="850"/>
      <c r="D233" s="925"/>
      <c r="E233" s="57" t="s">
        <v>449</v>
      </c>
      <c r="F233" s="556"/>
      <c r="G233" s="487"/>
      <c r="H233" s="503"/>
      <c r="I233" s="346" t="s">
        <v>338</v>
      </c>
      <c r="J233" s="346"/>
      <c r="K233" s="864"/>
      <c r="L233" s="864"/>
      <c r="M233" s="265" t="s">
        <v>564</v>
      </c>
      <c r="N233" s="264">
        <v>35000</v>
      </c>
    </row>
    <row r="234" spans="1:14" s="120" customFormat="1" ht="30" customHeight="1">
      <c r="A234" s="845"/>
      <c r="B234" s="812"/>
      <c r="C234" s="850"/>
      <c r="D234" s="925"/>
      <c r="E234" s="57" t="s">
        <v>532</v>
      </c>
      <c r="F234" s="556"/>
      <c r="G234" s="487"/>
      <c r="H234" s="503"/>
      <c r="I234" s="346"/>
      <c r="J234" s="346" t="s">
        <v>338</v>
      </c>
      <c r="K234" s="864"/>
      <c r="L234" s="864"/>
      <c r="M234" s="265" t="s">
        <v>595</v>
      </c>
      <c r="N234" s="264">
        <v>100000</v>
      </c>
    </row>
    <row r="235" spans="1:14" s="120" customFormat="1" ht="27.75" customHeight="1" thickBot="1">
      <c r="A235" s="845"/>
      <c r="B235" s="812"/>
      <c r="C235" s="850"/>
      <c r="D235" s="926"/>
      <c r="E235" s="395" t="s">
        <v>375</v>
      </c>
      <c r="F235" s="788"/>
      <c r="G235" s="488"/>
      <c r="H235" s="504"/>
      <c r="I235" s="295"/>
      <c r="J235" s="295" t="s">
        <v>338</v>
      </c>
      <c r="K235" s="865"/>
      <c r="L235" s="865"/>
      <c r="M235" s="265" t="s">
        <v>237</v>
      </c>
      <c r="N235" s="264">
        <f>SUM(N230:N234)*0.07</f>
        <v>10850.000000000002</v>
      </c>
    </row>
    <row r="236" spans="1:14" s="120" customFormat="1" ht="18" customHeight="1" thickBot="1">
      <c r="A236" s="845"/>
      <c r="B236" s="848"/>
      <c r="C236" s="851"/>
      <c r="D236" s="882" t="s">
        <v>451</v>
      </c>
      <c r="E236" s="883"/>
      <c r="F236" s="883"/>
      <c r="G236" s="883"/>
      <c r="H236" s="1011"/>
      <c r="I236" s="84"/>
      <c r="J236" s="85"/>
      <c r="K236" s="86"/>
      <c r="L236" s="142"/>
      <c r="M236" s="142"/>
      <c r="N236" s="87">
        <f>SUM(N230:N235)</f>
        <v>165850</v>
      </c>
    </row>
    <row r="237" spans="1:14" s="120" customFormat="1" ht="18.75" customHeight="1" thickBot="1">
      <c r="A237" s="846"/>
      <c r="B237" s="92" t="s">
        <v>207</v>
      </c>
      <c r="C237" s="138"/>
      <c r="D237" s="93"/>
      <c r="E237" s="93"/>
      <c r="F237" s="93"/>
      <c r="G237" s="93"/>
      <c r="H237" s="93"/>
      <c r="I237" s="94"/>
      <c r="J237" s="95"/>
      <c r="K237" s="96"/>
      <c r="L237" s="145"/>
      <c r="M237" s="145"/>
      <c r="N237" s="97">
        <f>N229+N236</f>
        <v>184040</v>
      </c>
    </row>
    <row r="238" spans="1:14" s="1" customFormat="1" ht="18" customHeight="1" thickBot="1">
      <c r="A238" s="125" t="s">
        <v>404</v>
      </c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8">
        <f>N237+N202+N156+N132+N124+N111+N82+N67+N60+N45+N26+N223+N215</f>
        <v>2289299.882</v>
      </c>
    </row>
    <row r="239" spans="1:14" s="1" customFormat="1" ht="18" customHeight="1" thickBot="1">
      <c r="A239" s="125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</row>
    <row r="240" spans="1:14" s="1" customFormat="1" ht="18" customHeight="1" thickBot="1">
      <c r="A240" s="125" t="s">
        <v>192</v>
      </c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7">
        <f>N237</f>
        <v>184040</v>
      </c>
    </row>
    <row r="241" spans="1:14" s="1" customFormat="1" ht="18" customHeight="1" thickBot="1">
      <c r="A241" s="125" t="s">
        <v>344</v>
      </c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7">
        <f>N82+N67+N26+N223+N215</f>
        <v>944429.7220000001</v>
      </c>
    </row>
    <row r="242" spans="1:14" s="1" customFormat="1" ht="18" customHeight="1" thickBot="1">
      <c r="A242" s="125" t="s">
        <v>345</v>
      </c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7">
        <f>N132+N124+N111</f>
        <v>126260</v>
      </c>
    </row>
    <row r="243" spans="1:14" s="1" customFormat="1" ht="18" customHeight="1" thickBot="1">
      <c r="A243" s="125" t="s">
        <v>346</v>
      </c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7">
        <f>N60</f>
        <v>161285.38</v>
      </c>
    </row>
    <row r="244" spans="1:14" s="1" customFormat="1" ht="18" customHeight="1" thickBot="1">
      <c r="A244" s="125" t="s">
        <v>376</v>
      </c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7">
        <f>N156+N45</f>
        <v>455021.78</v>
      </c>
    </row>
    <row r="245" spans="1:14" s="1" customFormat="1" ht="18" customHeight="1" thickBot="1">
      <c r="A245" s="125" t="s">
        <v>377</v>
      </c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7">
        <f>N202</f>
        <v>418263</v>
      </c>
    </row>
    <row r="248" ht="12.75">
      <c r="N248" s="71"/>
    </row>
    <row r="250" ht="12.75">
      <c r="N250" s="71"/>
    </row>
  </sheetData>
  <sheetProtection/>
  <mergeCells count="411">
    <mergeCell ref="K74:K76"/>
    <mergeCell ref="L74:L76"/>
    <mergeCell ref="K83:K87"/>
    <mergeCell ref="K112:K116"/>
    <mergeCell ref="K53:K58"/>
    <mergeCell ref="L53:L58"/>
    <mergeCell ref="J46:J51"/>
    <mergeCell ref="F144:F147"/>
    <mergeCell ref="F133:F134"/>
    <mergeCell ref="F135:F138"/>
    <mergeCell ref="D139:H139"/>
    <mergeCell ref="D95:H95"/>
    <mergeCell ref="D96:D101"/>
    <mergeCell ref="K61:K65"/>
    <mergeCell ref="L61:L65"/>
    <mergeCell ref="J78:J80"/>
    <mergeCell ref="K78:K80"/>
    <mergeCell ref="L78:L80"/>
    <mergeCell ref="D78:D80"/>
    <mergeCell ref="E78:E80"/>
    <mergeCell ref="J61:J65"/>
    <mergeCell ref="I83:I84"/>
    <mergeCell ref="I53:I58"/>
    <mergeCell ref="F46:F51"/>
    <mergeCell ref="L46:L51"/>
    <mergeCell ref="D118:D122"/>
    <mergeCell ref="F83:F87"/>
    <mergeCell ref="E125:E126"/>
    <mergeCell ref="G129:G130"/>
    <mergeCell ref="G127:G128"/>
    <mergeCell ref="H127:H128"/>
    <mergeCell ref="D110:H110"/>
    <mergeCell ref="E83:E84"/>
    <mergeCell ref="D89:D94"/>
    <mergeCell ref="D112:D116"/>
    <mergeCell ref="G125:G126"/>
    <mergeCell ref="H125:H126"/>
    <mergeCell ref="E68:E72"/>
    <mergeCell ref="L68:L72"/>
    <mergeCell ref="I112:I116"/>
    <mergeCell ref="L112:L116"/>
    <mergeCell ref="I129:I130"/>
    <mergeCell ref="J112:J116"/>
    <mergeCell ref="J68:J72"/>
    <mergeCell ref="I61:I65"/>
    <mergeCell ref="L125:L130"/>
    <mergeCell ref="J83:J84"/>
    <mergeCell ref="I125:I126"/>
    <mergeCell ref="D155:H155"/>
    <mergeCell ref="F157:F158"/>
    <mergeCell ref="H149:H150"/>
    <mergeCell ref="E231:E232"/>
    <mergeCell ref="D230:D235"/>
    <mergeCell ref="G149:G150"/>
    <mergeCell ref="E226:E227"/>
    <mergeCell ref="F182:F183"/>
    <mergeCell ref="J53:J58"/>
    <mergeCell ref="I78:I80"/>
    <mergeCell ref="D151:H151"/>
    <mergeCell ref="D148:H148"/>
    <mergeCell ref="N207:N208"/>
    <mergeCell ref="N204:N205"/>
    <mergeCell ref="M190:M191"/>
    <mergeCell ref="M176:M177"/>
    <mergeCell ref="M178:M179"/>
    <mergeCell ref="M180:M181"/>
    <mergeCell ref="M207:M208"/>
    <mergeCell ref="M204:M205"/>
    <mergeCell ref="F190:F191"/>
    <mergeCell ref="N176:N177"/>
    <mergeCell ref="N178:N179"/>
    <mergeCell ref="N180:N181"/>
    <mergeCell ref="N182:N183"/>
    <mergeCell ref="N184:N185"/>
    <mergeCell ref="N186:N187"/>
    <mergeCell ref="N188:N189"/>
    <mergeCell ref="K176:K191"/>
    <mergeCell ref="D192:H192"/>
    <mergeCell ref="B224:B236"/>
    <mergeCell ref="C224:C236"/>
    <mergeCell ref="B216:B222"/>
    <mergeCell ref="F211:F213"/>
    <mergeCell ref="N224:N225"/>
    <mergeCell ref="N226:N227"/>
    <mergeCell ref="M224:M225"/>
    <mergeCell ref="M226:M227"/>
    <mergeCell ref="L224:L228"/>
    <mergeCell ref="D229:H229"/>
    <mergeCell ref="F230:F235"/>
    <mergeCell ref="G220:G221"/>
    <mergeCell ref="H220:H221"/>
    <mergeCell ref="F216:F218"/>
    <mergeCell ref="C216:C222"/>
    <mergeCell ref="D224:D228"/>
    <mergeCell ref="D236:H236"/>
    <mergeCell ref="F220:F221"/>
    <mergeCell ref="F224:F228"/>
    <mergeCell ref="D220:D221"/>
    <mergeCell ref="E224:E225"/>
    <mergeCell ref="D216:D218"/>
    <mergeCell ref="G216:G218"/>
    <mergeCell ref="H216:H218"/>
    <mergeCell ref="K193:K200"/>
    <mergeCell ref="L230:L235"/>
    <mergeCell ref="G193:G200"/>
    <mergeCell ref="H193:H200"/>
    <mergeCell ref="I193:I200"/>
    <mergeCell ref="J193:J200"/>
    <mergeCell ref="L193:L200"/>
    <mergeCell ref="K230:K235"/>
    <mergeCell ref="G224:G225"/>
    <mergeCell ref="H226:H227"/>
    <mergeCell ref="L203:L209"/>
    <mergeCell ref="K211:K213"/>
    <mergeCell ref="D219:H219"/>
    <mergeCell ref="L211:L213"/>
    <mergeCell ref="K216:K218"/>
    <mergeCell ref="D222:H222"/>
    <mergeCell ref="L220:L221"/>
    <mergeCell ref="C83:C88"/>
    <mergeCell ref="B112:B123"/>
    <mergeCell ref="C125:C131"/>
    <mergeCell ref="B125:B131"/>
    <mergeCell ref="I220:I221"/>
    <mergeCell ref="J220:J221"/>
    <mergeCell ref="E216:E218"/>
    <mergeCell ref="I216:I218"/>
    <mergeCell ref="J216:J218"/>
    <mergeCell ref="J152:J154"/>
    <mergeCell ref="H176:H191"/>
    <mergeCell ref="E170:E174"/>
    <mergeCell ref="E163:E165"/>
    <mergeCell ref="E166:E169"/>
    <mergeCell ref="D157:D174"/>
    <mergeCell ref="F159:F160"/>
    <mergeCell ref="F163:F165"/>
    <mergeCell ref="D149:D150"/>
    <mergeCell ref="E152:E154"/>
    <mergeCell ref="D152:D154"/>
    <mergeCell ref="G152:G154"/>
    <mergeCell ref="H152:H154"/>
    <mergeCell ref="F161:F162"/>
    <mergeCell ref="F152:F153"/>
    <mergeCell ref="K152:K154"/>
    <mergeCell ref="J176:J191"/>
    <mergeCell ref="E220:E221"/>
    <mergeCell ref="F184:F185"/>
    <mergeCell ref="H157:H174"/>
    <mergeCell ref="H140:H147"/>
    <mergeCell ref="D117:H117"/>
    <mergeCell ref="D123:H123"/>
    <mergeCell ref="D140:D147"/>
    <mergeCell ref="K220:K221"/>
    <mergeCell ref="I211:I213"/>
    <mergeCell ref="J211:J213"/>
    <mergeCell ref="F203:F209"/>
    <mergeCell ref="F179:F181"/>
    <mergeCell ref="F176:F178"/>
    <mergeCell ref="H211:H213"/>
    <mergeCell ref="I157:I174"/>
    <mergeCell ref="J157:J174"/>
    <mergeCell ref="D175:H175"/>
    <mergeCell ref="G176:G191"/>
    <mergeCell ref="E176:E191"/>
    <mergeCell ref="F193:F194"/>
    <mergeCell ref="F195:F196"/>
    <mergeCell ref="F197:F200"/>
    <mergeCell ref="B68:B81"/>
    <mergeCell ref="C68:C81"/>
    <mergeCell ref="C112:C117"/>
    <mergeCell ref="B133:B155"/>
    <mergeCell ref="K203:K209"/>
    <mergeCell ref="D176:D191"/>
    <mergeCell ref="C133:C155"/>
    <mergeCell ref="D133:D138"/>
    <mergeCell ref="G133:G138"/>
    <mergeCell ref="H133:H138"/>
    <mergeCell ref="E140:E147"/>
    <mergeCell ref="G140:G147"/>
    <mergeCell ref="D77:H77"/>
    <mergeCell ref="F166:F170"/>
    <mergeCell ref="F188:F189"/>
    <mergeCell ref="E149:E150"/>
    <mergeCell ref="I176:I191"/>
    <mergeCell ref="I152:I154"/>
    <mergeCell ref="E74:E76"/>
    <mergeCell ref="F74:F76"/>
    <mergeCell ref="I68:I72"/>
    <mergeCell ref="I203:I209"/>
    <mergeCell ref="J203:J209"/>
    <mergeCell ref="E206:E209"/>
    <mergeCell ref="N140:N141"/>
    <mergeCell ref="K133:K138"/>
    <mergeCell ref="J125:J126"/>
    <mergeCell ref="J127:J128"/>
    <mergeCell ref="J129:J130"/>
    <mergeCell ref="K125:K130"/>
    <mergeCell ref="J140:J147"/>
    <mergeCell ref="K140:K147"/>
    <mergeCell ref="M140:M141"/>
    <mergeCell ref="J133:J138"/>
    <mergeCell ref="L145:L147"/>
    <mergeCell ref="L140:L144"/>
    <mergeCell ref="A1:N1"/>
    <mergeCell ref="A4:N4"/>
    <mergeCell ref="A5:N5"/>
    <mergeCell ref="A6:N6"/>
    <mergeCell ref="K7:K8"/>
    <mergeCell ref="A9:A103"/>
    <mergeCell ref="D31:H31"/>
    <mergeCell ref="D32:D37"/>
    <mergeCell ref="D125:D130"/>
    <mergeCell ref="E127:E128"/>
    <mergeCell ref="G34:G37"/>
    <mergeCell ref="E46:E51"/>
    <mergeCell ref="G46:G51"/>
    <mergeCell ref="H46:H51"/>
    <mergeCell ref="H53:H58"/>
    <mergeCell ref="F27:F28"/>
    <mergeCell ref="F29:F30"/>
    <mergeCell ref="H42:H43"/>
    <mergeCell ref="D73:H73"/>
    <mergeCell ref="C46:C59"/>
    <mergeCell ref="G68:G72"/>
    <mergeCell ref="F68:F72"/>
    <mergeCell ref="D61:D65"/>
    <mergeCell ref="G61:G65"/>
    <mergeCell ref="A2:N2"/>
    <mergeCell ref="L83:L87"/>
    <mergeCell ref="D46:D51"/>
    <mergeCell ref="D53:D58"/>
    <mergeCell ref="B27:B44"/>
    <mergeCell ref="B61:B66"/>
    <mergeCell ref="I46:I51"/>
    <mergeCell ref="E11:E13"/>
    <mergeCell ref="D83:D87"/>
    <mergeCell ref="A7:A8"/>
    <mergeCell ref="B7:B8"/>
    <mergeCell ref="D7:D8"/>
    <mergeCell ref="G7:J7"/>
    <mergeCell ref="D39:D40"/>
    <mergeCell ref="G32:G33"/>
    <mergeCell ref="H32:H33"/>
    <mergeCell ref="I32:I33"/>
    <mergeCell ref="H61:H65"/>
    <mergeCell ref="E61:E63"/>
    <mergeCell ref="C61:C66"/>
    <mergeCell ref="E53:E55"/>
    <mergeCell ref="E56:E58"/>
    <mergeCell ref="G53:G58"/>
    <mergeCell ref="J9:J13"/>
    <mergeCell ref="B9:B25"/>
    <mergeCell ref="B83:B110"/>
    <mergeCell ref="K9:K13"/>
    <mergeCell ref="I9:I13"/>
    <mergeCell ref="J20:J24"/>
    <mergeCell ref="K20:K24"/>
    <mergeCell ref="K27:K30"/>
    <mergeCell ref="I74:I76"/>
    <mergeCell ref="B46:B59"/>
    <mergeCell ref="D27:D30"/>
    <mergeCell ref="E9:E10"/>
    <mergeCell ref="D88:H88"/>
    <mergeCell ref="G9:G13"/>
    <mergeCell ref="E20:E24"/>
    <mergeCell ref="G20:G24"/>
    <mergeCell ref="H20:H24"/>
    <mergeCell ref="I20:I24"/>
    <mergeCell ref="F78:F80"/>
    <mergeCell ref="D81:H81"/>
    <mergeCell ref="H83:H84"/>
    <mergeCell ref="K32:K37"/>
    <mergeCell ref="J32:J33"/>
    <mergeCell ref="D74:D76"/>
    <mergeCell ref="G74:G76"/>
    <mergeCell ref="K68:K72"/>
    <mergeCell ref="I39:I40"/>
    <mergeCell ref="J39:J40"/>
    <mergeCell ref="K39:K40"/>
    <mergeCell ref="D44:H44"/>
    <mergeCell ref="D59:H59"/>
    <mergeCell ref="H68:H72"/>
    <mergeCell ref="D20:D24"/>
    <mergeCell ref="E17:E18"/>
    <mergeCell ref="D38:H38"/>
    <mergeCell ref="D42:D43"/>
    <mergeCell ref="D66:H66"/>
    <mergeCell ref="D68:D72"/>
    <mergeCell ref="E42:E43"/>
    <mergeCell ref="G42:G43"/>
    <mergeCell ref="D52:H52"/>
    <mergeCell ref="F61:F65"/>
    <mergeCell ref="F53:F58"/>
    <mergeCell ref="F39:F40"/>
    <mergeCell ref="F42:F43"/>
    <mergeCell ref="K42:K43"/>
    <mergeCell ref="J42:J43"/>
    <mergeCell ref="I42:I43"/>
    <mergeCell ref="E34:E37"/>
    <mergeCell ref="H15:H18"/>
    <mergeCell ref="I15:I18"/>
    <mergeCell ref="H9:H13"/>
    <mergeCell ref="J15:J18"/>
    <mergeCell ref="L9:L13"/>
    <mergeCell ref="F32:F37"/>
    <mergeCell ref="C7:C8"/>
    <mergeCell ref="C27:C44"/>
    <mergeCell ref="C9:C25"/>
    <mergeCell ref="E15:E16"/>
    <mergeCell ref="F7:F8"/>
    <mergeCell ref="F9:F13"/>
    <mergeCell ref="L27:L29"/>
    <mergeCell ref="L33:L36"/>
    <mergeCell ref="I34:I37"/>
    <mergeCell ref="J34:J37"/>
    <mergeCell ref="E32:E33"/>
    <mergeCell ref="A3:N3"/>
    <mergeCell ref="K46:K51"/>
    <mergeCell ref="N15:N16"/>
    <mergeCell ref="E39:E40"/>
    <mergeCell ref="G39:G40"/>
    <mergeCell ref="H39:H40"/>
    <mergeCell ref="M15:M16"/>
    <mergeCell ref="M17:M18"/>
    <mergeCell ref="L15:L18"/>
    <mergeCell ref="K15:K18"/>
    <mergeCell ref="L20:L24"/>
    <mergeCell ref="H34:H37"/>
    <mergeCell ref="L7:N7"/>
    <mergeCell ref="D41:H41"/>
    <mergeCell ref="E7:E8"/>
    <mergeCell ref="D9:D13"/>
    <mergeCell ref="D14:H14"/>
    <mergeCell ref="D15:D18"/>
    <mergeCell ref="D19:H19"/>
    <mergeCell ref="N17:N18"/>
    <mergeCell ref="F15:F18"/>
    <mergeCell ref="F20:F24"/>
    <mergeCell ref="G15:G18"/>
    <mergeCell ref="M188:M189"/>
    <mergeCell ref="D102:H102"/>
    <mergeCell ref="A112:A237"/>
    <mergeCell ref="K224:K228"/>
    <mergeCell ref="B157:B201"/>
    <mergeCell ref="D193:D200"/>
    <mergeCell ref="C157:C201"/>
    <mergeCell ref="E193:E200"/>
    <mergeCell ref="F186:F187"/>
    <mergeCell ref="D103:D109"/>
    <mergeCell ref="F125:F130"/>
    <mergeCell ref="E129:E130"/>
    <mergeCell ref="I133:I138"/>
    <mergeCell ref="I127:I128"/>
    <mergeCell ref="E133:E138"/>
    <mergeCell ref="D131:H131"/>
    <mergeCell ref="L134:L137"/>
    <mergeCell ref="L149:L150"/>
    <mergeCell ref="K149:K150"/>
    <mergeCell ref="I149:I150"/>
    <mergeCell ref="J149:J150"/>
    <mergeCell ref="I140:I147"/>
    <mergeCell ref="L216:L218"/>
    <mergeCell ref="B203:B214"/>
    <mergeCell ref="N163:N164"/>
    <mergeCell ref="N159:N160"/>
    <mergeCell ref="N161:N162"/>
    <mergeCell ref="N165:N166"/>
    <mergeCell ref="N157:N158"/>
    <mergeCell ref="N173:N174"/>
    <mergeCell ref="C203:C214"/>
    <mergeCell ref="D203:D209"/>
    <mergeCell ref="D210:H210"/>
    <mergeCell ref="D214:H214"/>
    <mergeCell ref="D211:D213"/>
    <mergeCell ref="E211:E213"/>
    <mergeCell ref="G203:G209"/>
    <mergeCell ref="H203:H209"/>
    <mergeCell ref="E203:E205"/>
    <mergeCell ref="G211:G213"/>
    <mergeCell ref="N167:N168"/>
    <mergeCell ref="N169:N171"/>
    <mergeCell ref="M182:M183"/>
    <mergeCell ref="M184:M185"/>
    <mergeCell ref="M186:M187"/>
    <mergeCell ref="L176:L191"/>
    <mergeCell ref="M169:M171"/>
    <mergeCell ref="N190:N191"/>
    <mergeCell ref="K157:K174"/>
    <mergeCell ref="E157:E162"/>
    <mergeCell ref="L157:L174"/>
    <mergeCell ref="G157:G174"/>
    <mergeCell ref="J74:J76"/>
    <mergeCell ref="G83:G84"/>
    <mergeCell ref="F173:F174"/>
    <mergeCell ref="F171:F172"/>
    <mergeCell ref="M173:M174"/>
    <mergeCell ref="M157:M158"/>
    <mergeCell ref="M159:M160"/>
    <mergeCell ref="M163:M164"/>
    <mergeCell ref="M165:M166"/>
    <mergeCell ref="M167:M168"/>
    <mergeCell ref="M161:M162"/>
    <mergeCell ref="H129:H130"/>
    <mergeCell ref="E112:E116"/>
    <mergeCell ref="G112:G116"/>
    <mergeCell ref="H112:H116"/>
    <mergeCell ref="F112:F116"/>
    <mergeCell ref="H74:H76"/>
    <mergeCell ref="G78:G80"/>
    <mergeCell ref="H78:H80"/>
    <mergeCell ref="F140:F143"/>
  </mergeCells>
  <printOptions/>
  <pageMargins left="0.6299212598425197" right="0.5905511811023623" top="0.984251968503937" bottom="0.8267716535433072" header="0" footer="0"/>
  <pageSetup horizontalDpi="600" verticalDpi="600" orientation="landscape" paperSize="127" scale="63" r:id="rId3"/>
  <headerFooter alignWithMargins="0">
    <oddFooter>&amp;CPágina &amp;P</oddFooter>
  </headerFooter>
  <rowBreaks count="9" manualBreakCount="9">
    <brk id="26" max="13" man="1"/>
    <brk id="45" max="13" man="1"/>
    <brk id="73" max="13" man="1"/>
    <brk id="124" max="13" man="1"/>
    <brk id="147" max="13" man="1"/>
    <brk id="165" max="13" man="1"/>
    <brk id="186" max="13" man="1"/>
    <brk id="202" max="13" man="1"/>
    <brk id="223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8"/>
  <sheetViews>
    <sheetView view="pageBreakPreview" zoomScaleSheetLayoutView="100" zoomScalePageLayoutView="0" workbookViewId="0" topLeftCell="A1">
      <selection activeCell="Q83" sqref="Q83:Q86"/>
    </sheetView>
  </sheetViews>
  <sheetFormatPr defaultColWidth="9.140625" defaultRowHeight="12.75"/>
  <cols>
    <col min="1" max="1" width="22.140625" style="1" customWidth="1"/>
    <col min="2" max="3" width="9.140625" style="1" customWidth="1"/>
    <col min="4" max="4" width="10.140625" style="1" customWidth="1"/>
    <col min="5" max="5" width="11.8515625" style="1" customWidth="1"/>
    <col min="6" max="8" width="9.140625" style="1" customWidth="1"/>
    <col min="9" max="9" width="11.28125" style="1" hidden="1" customWidth="1"/>
    <col min="10" max="10" width="12.140625" style="1" hidden="1" customWidth="1"/>
    <col min="11" max="12" width="11.00390625" style="1" hidden="1" customWidth="1"/>
    <col min="13" max="13" width="12.421875" style="1" hidden="1" customWidth="1"/>
    <col min="14" max="14" width="26.8515625" style="1" customWidth="1"/>
    <col min="15" max="15" width="19.140625" style="1" customWidth="1"/>
    <col min="16" max="19" width="4.7109375" style="1" customWidth="1"/>
    <col min="20" max="20" width="12.421875" style="1" customWidth="1"/>
    <col min="21" max="22" width="13.8515625" style="1" customWidth="1"/>
    <col min="23" max="23" width="11.57421875" style="1" customWidth="1"/>
    <col min="24" max="16384" width="9.140625" style="1" customWidth="1"/>
  </cols>
  <sheetData>
    <row r="1" spans="1:23" s="119" customFormat="1" ht="21" customHeight="1">
      <c r="A1" s="869" t="s">
        <v>270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  <c r="U1" s="869"/>
      <c r="V1" s="869"/>
      <c r="W1" s="869"/>
    </row>
    <row r="2" spans="1:23" ht="15.75" customHeight="1">
      <c r="A2" s="546" t="s">
        <v>349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</row>
    <row r="3" spans="1:23" ht="15.75" customHeight="1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111"/>
      <c r="N3" s="451" t="s">
        <v>614</v>
      </c>
      <c r="O3" s="111"/>
      <c r="P3" s="111"/>
      <c r="Q3" s="111"/>
      <c r="R3" s="111"/>
      <c r="S3" s="111"/>
      <c r="T3" s="111"/>
      <c r="U3" s="111"/>
      <c r="V3" s="111"/>
      <c r="W3" s="111"/>
    </row>
    <row r="4" spans="1:23" s="119" customFormat="1" ht="40.5" customHeight="1">
      <c r="A4" s="1066" t="s">
        <v>389</v>
      </c>
      <c r="B4" s="1066"/>
      <c r="C4" s="1066"/>
      <c r="D4" s="1066"/>
      <c r="E4" s="1066"/>
      <c r="F4" s="1066"/>
      <c r="G4" s="1066"/>
      <c r="H4" s="1066"/>
      <c r="I4" s="1066"/>
      <c r="J4" s="1066"/>
      <c r="K4" s="1066"/>
      <c r="L4" s="1066"/>
      <c r="M4" s="1066"/>
      <c r="N4" s="1066"/>
      <c r="O4" s="1066"/>
      <c r="P4" s="1066"/>
      <c r="Q4" s="1066"/>
      <c r="R4" s="1066"/>
      <c r="S4" s="1066"/>
      <c r="T4" s="1066"/>
      <c r="U4" s="1066"/>
      <c r="V4" s="1066"/>
      <c r="W4" s="1066"/>
    </row>
    <row r="5" spans="1:23" s="119" customFormat="1" ht="40.5" customHeight="1">
      <c r="A5" s="944" t="s">
        <v>390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</row>
    <row r="6" spans="1:23" ht="13.5" thickBot="1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</row>
    <row r="7" spans="1:23" ht="12.75" customHeight="1">
      <c r="A7" s="506" t="s">
        <v>271</v>
      </c>
      <c r="B7" s="619" t="s">
        <v>203</v>
      </c>
      <c r="C7" s="620"/>
      <c r="D7" s="621"/>
      <c r="E7" s="506" t="s">
        <v>217</v>
      </c>
      <c r="F7" s="619" t="s">
        <v>141</v>
      </c>
      <c r="G7" s="620"/>
      <c r="H7" s="621"/>
      <c r="I7" s="506">
        <v>2008</v>
      </c>
      <c r="J7" s="208">
        <v>2009</v>
      </c>
      <c r="K7" s="208">
        <v>2010</v>
      </c>
      <c r="L7" s="208">
        <v>2011</v>
      </c>
      <c r="M7" s="209" t="s">
        <v>142</v>
      </c>
      <c r="N7" s="209"/>
      <c r="O7" s="506" t="s">
        <v>90</v>
      </c>
      <c r="P7" s="619" t="s">
        <v>11</v>
      </c>
      <c r="Q7" s="620"/>
      <c r="R7" s="620"/>
      <c r="S7" s="621"/>
      <c r="T7" s="506" t="s">
        <v>272</v>
      </c>
      <c r="U7" s="619" t="s">
        <v>406</v>
      </c>
      <c r="V7" s="620"/>
      <c r="W7" s="621"/>
    </row>
    <row r="8" spans="1:23" ht="13.5" thickBot="1">
      <c r="A8" s="507"/>
      <c r="B8" s="622"/>
      <c r="C8" s="623"/>
      <c r="D8" s="624"/>
      <c r="E8" s="507"/>
      <c r="F8" s="622"/>
      <c r="G8" s="623"/>
      <c r="H8" s="624"/>
      <c r="I8" s="507"/>
      <c r="J8" s="221"/>
      <c r="K8" s="221"/>
      <c r="L8" s="221"/>
      <c r="M8" s="210"/>
      <c r="N8" s="210" t="s">
        <v>601</v>
      </c>
      <c r="O8" s="507"/>
      <c r="P8" s="625"/>
      <c r="Q8" s="626"/>
      <c r="R8" s="626"/>
      <c r="S8" s="627"/>
      <c r="T8" s="507"/>
      <c r="U8" s="625"/>
      <c r="V8" s="626"/>
      <c r="W8" s="627"/>
    </row>
    <row r="9" spans="1:23" ht="26.25" customHeight="1" thickBot="1">
      <c r="A9" s="508"/>
      <c r="B9" s="625"/>
      <c r="C9" s="626"/>
      <c r="D9" s="627"/>
      <c r="E9" s="508"/>
      <c r="F9" s="625"/>
      <c r="G9" s="626"/>
      <c r="H9" s="627"/>
      <c r="I9" s="507"/>
      <c r="J9" s="42"/>
      <c r="K9" s="42"/>
      <c r="L9" s="42"/>
      <c r="M9" s="43"/>
      <c r="N9" s="43"/>
      <c r="O9" s="508"/>
      <c r="P9" s="54" t="s">
        <v>214</v>
      </c>
      <c r="Q9" s="54" t="s">
        <v>578</v>
      </c>
      <c r="R9" s="54" t="s">
        <v>215</v>
      </c>
      <c r="S9" s="54" t="s">
        <v>216</v>
      </c>
      <c r="T9" s="508"/>
      <c r="U9" s="132" t="s">
        <v>407</v>
      </c>
      <c r="V9" s="132" t="s">
        <v>408</v>
      </c>
      <c r="W9" s="132" t="s">
        <v>409</v>
      </c>
    </row>
    <row r="10" spans="1:23" ht="27" customHeight="1">
      <c r="A10" s="509" t="s">
        <v>378</v>
      </c>
      <c r="B10" s="628" t="s">
        <v>201</v>
      </c>
      <c r="C10" s="629"/>
      <c r="D10" s="630"/>
      <c r="E10" s="607" t="s">
        <v>148</v>
      </c>
      <c r="F10" s="661" t="s">
        <v>379</v>
      </c>
      <c r="G10" s="662"/>
      <c r="H10" s="662"/>
      <c r="I10" s="527">
        <v>48150</v>
      </c>
      <c r="J10" s="527">
        <v>25000</v>
      </c>
      <c r="K10" s="527">
        <v>0</v>
      </c>
      <c r="L10" s="527">
        <v>0</v>
      </c>
      <c r="M10" s="527">
        <f>SUM(I10:L10)</f>
        <v>73150</v>
      </c>
      <c r="N10" s="634" t="s">
        <v>441</v>
      </c>
      <c r="O10" s="634" t="s">
        <v>58</v>
      </c>
      <c r="P10" s="637" t="s">
        <v>338</v>
      </c>
      <c r="Q10" s="637" t="s">
        <v>338</v>
      </c>
      <c r="R10" s="561"/>
      <c r="S10" s="561"/>
      <c r="T10" s="561" t="s">
        <v>541</v>
      </c>
      <c r="U10" s="548" t="s">
        <v>498</v>
      </c>
      <c r="V10" s="634" t="s">
        <v>410</v>
      </c>
      <c r="W10" s="564">
        <v>5000</v>
      </c>
    </row>
    <row r="11" spans="1:23" ht="22.5" customHeight="1">
      <c r="A11" s="510"/>
      <c r="B11" s="631"/>
      <c r="C11" s="632"/>
      <c r="D11" s="633"/>
      <c r="E11" s="608"/>
      <c r="F11" s="558"/>
      <c r="G11" s="559"/>
      <c r="H11" s="559"/>
      <c r="I11" s="524"/>
      <c r="J11" s="524"/>
      <c r="K11" s="524"/>
      <c r="L11" s="524"/>
      <c r="M11" s="524"/>
      <c r="N11" s="556"/>
      <c r="O11" s="556"/>
      <c r="P11" s="638"/>
      <c r="Q11" s="638"/>
      <c r="R11" s="562"/>
      <c r="S11" s="562"/>
      <c r="T11" s="562"/>
      <c r="U11" s="549"/>
      <c r="V11" s="557"/>
      <c r="W11" s="575"/>
    </row>
    <row r="12" spans="1:23" ht="21.75" customHeight="1">
      <c r="A12" s="510"/>
      <c r="B12" s="631"/>
      <c r="C12" s="632"/>
      <c r="D12" s="633"/>
      <c r="E12" s="608"/>
      <c r="F12" s="558"/>
      <c r="G12" s="559"/>
      <c r="H12" s="559"/>
      <c r="I12" s="524"/>
      <c r="J12" s="524"/>
      <c r="K12" s="524"/>
      <c r="L12" s="524"/>
      <c r="M12" s="524"/>
      <c r="N12" s="556"/>
      <c r="O12" s="556"/>
      <c r="P12" s="638"/>
      <c r="Q12" s="638"/>
      <c r="R12" s="562"/>
      <c r="S12" s="562"/>
      <c r="T12" s="562"/>
      <c r="U12" s="549"/>
      <c r="V12" s="570" t="s">
        <v>237</v>
      </c>
      <c r="W12" s="574">
        <f>SUM(W10:W10)*0.07</f>
        <v>350.00000000000006</v>
      </c>
    </row>
    <row r="13" spans="1:23" ht="21" customHeight="1" thickBot="1">
      <c r="A13" s="510"/>
      <c r="B13" s="631"/>
      <c r="C13" s="632"/>
      <c r="D13" s="633"/>
      <c r="E13" s="608"/>
      <c r="F13" s="558"/>
      <c r="G13" s="559"/>
      <c r="H13" s="559"/>
      <c r="I13" s="10"/>
      <c r="J13" s="217"/>
      <c r="K13" s="217"/>
      <c r="L13" s="217"/>
      <c r="M13" s="217"/>
      <c r="N13" s="556"/>
      <c r="O13" s="788"/>
      <c r="P13" s="639"/>
      <c r="Q13" s="639"/>
      <c r="R13" s="563"/>
      <c r="S13" s="563"/>
      <c r="T13" s="562"/>
      <c r="U13" s="560"/>
      <c r="V13" s="788"/>
      <c r="W13" s="566"/>
    </row>
    <row r="14" spans="1:23" ht="18" customHeight="1" thickBot="1">
      <c r="A14" s="510"/>
      <c r="B14" s="631"/>
      <c r="C14" s="632"/>
      <c r="D14" s="633"/>
      <c r="E14" s="608"/>
      <c r="F14" s="567" t="s">
        <v>391</v>
      </c>
      <c r="G14" s="568"/>
      <c r="H14" s="568"/>
      <c r="I14" s="568"/>
      <c r="J14" s="218"/>
      <c r="K14" s="218"/>
      <c r="L14" s="218"/>
      <c r="M14" s="218"/>
      <c r="N14" s="14"/>
      <c r="O14" s="423"/>
      <c r="P14" s="14"/>
      <c r="Q14" s="14"/>
      <c r="R14" s="14"/>
      <c r="S14" s="14"/>
      <c r="T14" s="14"/>
      <c r="U14" s="14"/>
      <c r="V14" s="14"/>
      <c r="W14" s="21">
        <f>SUM(W10:W12)</f>
        <v>5350</v>
      </c>
    </row>
    <row r="15" spans="1:23" ht="36.75" customHeight="1">
      <c r="A15" s="510"/>
      <c r="B15" s="631"/>
      <c r="C15" s="632"/>
      <c r="D15" s="633"/>
      <c r="E15" s="608"/>
      <c r="F15" s="661" t="s">
        <v>380</v>
      </c>
      <c r="G15" s="662"/>
      <c r="H15" s="689"/>
      <c r="I15" s="527">
        <v>99938</v>
      </c>
      <c r="J15" s="527">
        <f>57312-J10</f>
        <v>32312</v>
      </c>
      <c r="K15" s="527">
        <v>57312</v>
      </c>
      <c r="L15" s="527">
        <f>43656-7500</f>
        <v>36156</v>
      </c>
      <c r="M15" s="527">
        <f>SUM(I15:L15)</f>
        <v>225718</v>
      </c>
      <c r="N15" s="828" t="s">
        <v>59</v>
      </c>
      <c r="O15" s="1071" t="s">
        <v>127</v>
      </c>
      <c r="P15" s="707"/>
      <c r="Q15" s="526" t="s">
        <v>338</v>
      </c>
      <c r="R15" s="561" t="s">
        <v>338</v>
      </c>
      <c r="S15" s="561" t="s">
        <v>338</v>
      </c>
      <c r="T15" s="561" t="s">
        <v>276</v>
      </c>
      <c r="U15" s="548" t="s">
        <v>498</v>
      </c>
      <c r="V15" s="259" t="s">
        <v>410</v>
      </c>
      <c r="W15" s="260">
        <f>40000+12000+5000+28000</f>
        <v>85000</v>
      </c>
    </row>
    <row r="16" spans="1:23" ht="36" customHeight="1">
      <c r="A16" s="510"/>
      <c r="B16" s="631"/>
      <c r="C16" s="632"/>
      <c r="D16" s="633"/>
      <c r="E16" s="608"/>
      <c r="F16" s="558"/>
      <c r="G16" s="559"/>
      <c r="H16" s="690"/>
      <c r="I16" s="524"/>
      <c r="J16" s="524"/>
      <c r="K16" s="524"/>
      <c r="L16" s="524"/>
      <c r="M16" s="524"/>
      <c r="N16" s="829"/>
      <c r="O16" s="829"/>
      <c r="P16" s="708"/>
      <c r="Q16" s="596"/>
      <c r="R16" s="562"/>
      <c r="S16" s="562"/>
      <c r="T16" s="562"/>
      <c r="U16" s="549"/>
      <c r="V16" s="58" t="s">
        <v>564</v>
      </c>
      <c r="W16" s="216">
        <f>50840.83+10000+1150+4560+4500+500-35000</f>
        <v>36550.83</v>
      </c>
    </row>
    <row r="17" spans="1:23" ht="30" customHeight="1">
      <c r="A17" s="510"/>
      <c r="B17" s="631"/>
      <c r="C17" s="632"/>
      <c r="D17" s="633"/>
      <c r="E17" s="608"/>
      <c r="F17" s="558"/>
      <c r="G17" s="559"/>
      <c r="H17" s="690"/>
      <c r="I17" s="524"/>
      <c r="J17" s="524"/>
      <c r="K17" s="524"/>
      <c r="L17" s="524"/>
      <c r="M17" s="524"/>
      <c r="N17" s="829"/>
      <c r="O17" s="1041" t="s">
        <v>128</v>
      </c>
      <c r="P17" s="708"/>
      <c r="Q17" s="596"/>
      <c r="R17" s="562"/>
      <c r="S17" s="562"/>
      <c r="T17" s="562"/>
      <c r="U17" s="549"/>
      <c r="V17" s="333" t="s">
        <v>439</v>
      </c>
      <c r="W17" s="215">
        <v>10000</v>
      </c>
    </row>
    <row r="18" spans="1:23" ht="33" customHeight="1" thickBot="1">
      <c r="A18" s="510"/>
      <c r="B18" s="631"/>
      <c r="C18" s="632"/>
      <c r="D18" s="633"/>
      <c r="E18" s="608"/>
      <c r="F18" s="558"/>
      <c r="G18" s="559"/>
      <c r="H18" s="690"/>
      <c r="I18" s="524"/>
      <c r="J18" s="524"/>
      <c r="K18" s="524"/>
      <c r="L18" s="524"/>
      <c r="M18" s="524"/>
      <c r="N18" s="895"/>
      <c r="O18" s="895"/>
      <c r="P18" s="1070"/>
      <c r="Q18" s="597"/>
      <c r="R18" s="563"/>
      <c r="S18" s="563"/>
      <c r="T18" s="562"/>
      <c r="U18" s="560"/>
      <c r="V18" s="333" t="s">
        <v>237</v>
      </c>
      <c r="W18" s="215">
        <f>SUM(W15:W17)*0.07</f>
        <v>9208.558100000002</v>
      </c>
    </row>
    <row r="19" spans="1:23" ht="13.5" thickBot="1">
      <c r="A19" s="510"/>
      <c r="B19" s="702"/>
      <c r="C19" s="703"/>
      <c r="D19" s="704"/>
      <c r="E19" s="609"/>
      <c r="F19" s="567" t="s">
        <v>392</v>
      </c>
      <c r="G19" s="568"/>
      <c r="H19" s="568"/>
      <c r="I19" s="569"/>
      <c r="J19" s="217"/>
      <c r="K19" s="217"/>
      <c r="L19" s="217"/>
      <c r="M19" s="217"/>
      <c r="N19" s="20"/>
      <c r="O19" s="20"/>
      <c r="P19" s="20"/>
      <c r="Q19" s="20"/>
      <c r="R19" s="20"/>
      <c r="S19" s="20"/>
      <c r="T19" s="20"/>
      <c r="U19" s="20"/>
      <c r="V19" s="20"/>
      <c r="W19" s="24">
        <f>SUM(W15:W18)</f>
        <v>140759.3881</v>
      </c>
    </row>
    <row r="20" spans="1:23" ht="15" customHeight="1" thickBot="1">
      <c r="A20" s="510"/>
      <c r="B20" s="665" t="s">
        <v>208</v>
      </c>
      <c r="C20" s="666"/>
      <c r="D20" s="667"/>
      <c r="E20" s="211"/>
      <c r="F20" s="220"/>
      <c r="G20" s="220"/>
      <c r="H20" s="220"/>
      <c r="I20" s="45"/>
      <c r="J20" s="217"/>
      <c r="K20" s="217"/>
      <c r="L20" s="217"/>
      <c r="M20" s="217"/>
      <c r="N20" s="49"/>
      <c r="O20" s="49"/>
      <c r="P20" s="49"/>
      <c r="Q20" s="49"/>
      <c r="R20" s="49"/>
      <c r="S20" s="49"/>
      <c r="T20" s="49"/>
      <c r="U20" s="49"/>
      <c r="V20" s="49"/>
      <c r="W20" s="50">
        <f>W19+W14</f>
        <v>146109.3881</v>
      </c>
    </row>
    <row r="21" spans="1:25" ht="32.25" customHeight="1">
      <c r="A21" s="510"/>
      <c r="B21" s="628" t="s">
        <v>397</v>
      </c>
      <c r="C21" s="629"/>
      <c r="D21" s="630"/>
      <c r="E21" s="607" t="s">
        <v>152</v>
      </c>
      <c r="F21" s="661" t="s">
        <v>398</v>
      </c>
      <c r="G21" s="662"/>
      <c r="H21" s="662"/>
      <c r="I21" s="527">
        <v>48150</v>
      </c>
      <c r="J21" s="527">
        <v>25000</v>
      </c>
      <c r="K21" s="527">
        <v>0</v>
      </c>
      <c r="L21" s="527">
        <v>0</v>
      </c>
      <c r="M21" s="527">
        <f>SUM(I21:L21)</f>
        <v>73150</v>
      </c>
      <c r="N21" s="601" t="s">
        <v>130</v>
      </c>
      <c r="O21" s="601" t="s">
        <v>129</v>
      </c>
      <c r="P21" s="1060"/>
      <c r="Q21" s="526" t="s">
        <v>338</v>
      </c>
      <c r="R21" s="561" t="s">
        <v>338</v>
      </c>
      <c r="S21" s="561" t="s">
        <v>338</v>
      </c>
      <c r="T21" s="1067" t="s">
        <v>579</v>
      </c>
      <c r="U21" s="1063" t="s">
        <v>498</v>
      </c>
      <c r="V21" s="149" t="s">
        <v>549</v>
      </c>
      <c r="W21" s="150">
        <v>7000</v>
      </c>
      <c r="Y21" s="1095" t="s">
        <v>37</v>
      </c>
    </row>
    <row r="22" spans="1:25" ht="34.5" customHeight="1">
      <c r="A22" s="510"/>
      <c r="B22" s="631"/>
      <c r="C22" s="632"/>
      <c r="D22" s="633"/>
      <c r="E22" s="608"/>
      <c r="F22" s="558"/>
      <c r="G22" s="559"/>
      <c r="H22" s="559"/>
      <c r="I22" s="524"/>
      <c r="J22" s="524"/>
      <c r="K22" s="524"/>
      <c r="L22" s="524"/>
      <c r="M22" s="524"/>
      <c r="N22" s="602"/>
      <c r="O22" s="602"/>
      <c r="P22" s="1061"/>
      <c r="Q22" s="596"/>
      <c r="R22" s="562"/>
      <c r="S22" s="562"/>
      <c r="T22" s="1068"/>
      <c r="U22" s="1064"/>
      <c r="V22" s="151" t="s">
        <v>563</v>
      </c>
      <c r="W22" s="152">
        <v>5000</v>
      </c>
      <c r="Y22" s="1096"/>
    </row>
    <row r="23" spans="1:25" ht="18" customHeight="1">
      <c r="A23" s="510"/>
      <c r="B23" s="631"/>
      <c r="C23" s="632"/>
      <c r="D23" s="633"/>
      <c r="E23" s="608"/>
      <c r="F23" s="558"/>
      <c r="G23" s="559"/>
      <c r="H23" s="559"/>
      <c r="I23" s="524"/>
      <c r="J23" s="524"/>
      <c r="K23" s="524"/>
      <c r="L23" s="524"/>
      <c r="M23" s="524"/>
      <c r="N23" s="602"/>
      <c r="O23" s="602"/>
      <c r="P23" s="1061"/>
      <c r="Q23" s="596"/>
      <c r="R23" s="562"/>
      <c r="S23" s="562"/>
      <c r="T23" s="1068"/>
      <c r="U23" s="1064"/>
      <c r="V23" s="153" t="s">
        <v>399</v>
      </c>
      <c r="W23" s="152">
        <v>18000</v>
      </c>
      <c r="Y23" s="1096"/>
    </row>
    <row r="24" spans="1:25" ht="22.5" customHeight="1">
      <c r="A24" s="510"/>
      <c r="B24" s="631"/>
      <c r="C24" s="632"/>
      <c r="D24" s="633"/>
      <c r="E24" s="608"/>
      <c r="F24" s="558"/>
      <c r="G24" s="559"/>
      <c r="H24" s="559"/>
      <c r="I24" s="524"/>
      <c r="J24" s="524"/>
      <c r="K24" s="524"/>
      <c r="L24" s="524"/>
      <c r="M24" s="524"/>
      <c r="N24" s="675" t="s">
        <v>580</v>
      </c>
      <c r="O24" s="602"/>
      <c r="P24" s="1061"/>
      <c r="Q24" s="596"/>
      <c r="R24" s="562"/>
      <c r="S24" s="562"/>
      <c r="T24" s="1068"/>
      <c r="U24" s="1064"/>
      <c r="V24" s="154" t="s">
        <v>410</v>
      </c>
      <c r="W24" s="152">
        <v>7500</v>
      </c>
      <c r="Y24" s="1096"/>
    </row>
    <row r="25" spans="1:25" ht="18.75" customHeight="1">
      <c r="A25" s="510"/>
      <c r="B25" s="631"/>
      <c r="C25" s="632"/>
      <c r="D25" s="633"/>
      <c r="E25" s="608"/>
      <c r="F25" s="558"/>
      <c r="G25" s="559"/>
      <c r="H25" s="559"/>
      <c r="I25" s="524"/>
      <c r="J25" s="524"/>
      <c r="K25" s="524"/>
      <c r="L25" s="524"/>
      <c r="M25" s="524"/>
      <c r="N25" s="675"/>
      <c r="O25" s="602"/>
      <c r="P25" s="1061"/>
      <c r="Q25" s="596"/>
      <c r="R25" s="562"/>
      <c r="S25" s="562"/>
      <c r="T25" s="1068"/>
      <c r="U25" s="1064"/>
      <c r="V25" s="154" t="s">
        <v>331</v>
      </c>
      <c r="W25" s="152">
        <v>15000</v>
      </c>
      <c r="Y25" s="1096"/>
    </row>
    <row r="26" spans="1:25" ht="21" customHeight="1">
      <c r="A26" s="510"/>
      <c r="B26" s="631"/>
      <c r="C26" s="632"/>
      <c r="D26" s="633"/>
      <c r="E26" s="608"/>
      <c r="F26" s="558"/>
      <c r="G26" s="559"/>
      <c r="H26" s="559"/>
      <c r="I26" s="524"/>
      <c r="J26" s="524"/>
      <c r="K26" s="524"/>
      <c r="L26" s="524"/>
      <c r="M26" s="524"/>
      <c r="N26" s="675"/>
      <c r="O26" s="602"/>
      <c r="P26" s="1061"/>
      <c r="Q26" s="596"/>
      <c r="R26" s="562"/>
      <c r="S26" s="562"/>
      <c r="T26" s="1068"/>
      <c r="U26" s="1064"/>
      <c r="V26" s="154" t="s">
        <v>335</v>
      </c>
      <c r="W26" s="155">
        <v>3000</v>
      </c>
      <c r="Y26" s="1096"/>
    </row>
    <row r="27" spans="1:25" ht="18" customHeight="1">
      <c r="A27" s="510"/>
      <c r="B27" s="631"/>
      <c r="C27" s="632"/>
      <c r="D27" s="633"/>
      <c r="E27" s="608"/>
      <c r="F27" s="558"/>
      <c r="G27" s="559"/>
      <c r="H27" s="559"/>
      <c r="I27" s="10"/>
      <c r="J27" s="217"/>
      <c r="K27" s="217"/>
      <c r="L27" s="217"/>
      <c r="M27" s="217"/>
      <c r="N27" s="288"/>
      <c r="O27" s="602"/>
      <c r="P27" s="1061"/>
      <c r="Q27" s="596"/>
      <c r="R27" s="562"/>
      <c r="S27" s="562"/>
      <c r="T27" s="1068"/>
      <c r="U27" s="1064"/>
      <c r="V27" s="154" t="s">
        <v>336</v>
      </c>
      <c r="W27" s="156">
        <v>3500</v>
      </c>
      <c r="Y27" s="1096"/>
    </row>
    <row r="28" spans="1:25" ht="18" customHeight="1">
      <c r="A28" s="510"/>
      <c r="B28" s="631"/>
      <c r="C28" s="632"/>
      <c r="D28" s="633"/>
      <c r="E28" s="608"/>
      <c r="F28" s="558"/>
      <c r="G28" s="559"/>
      <c r="H28" s="559"/>
      <c r="I28" s="10"/>
      <c r="J28" s="217"/>
      <c r="K28" s="217"/>
      <c r="L28" s="217"/>
      <c r="M28" s="217"/>
      <c r="N28" s="288"/>
      <c r="O28" s="602"/>
      <c r="P28" s="1061"/>
      <c r="Q28" s="596"/>
      <c r="R28" s="562"/>
      <c r="S28" s="562"/>
      <c r="T28" s="1068"/>
      <c r="U28" s="1064"/>
      <c r="V28" s="154" t="s">
        <v>439</v>
      </c>
      <c r="W28" s="152">
        <v>1000</v>
      </c>
      <c r="Y28" s="1096"/>
    </row>
    <row r="29" spans="1:25" ht="18" customHeight="1">
      <c r="A29" s="510"/>
      <c r="B29" s="631"/>
      <c r="C29" s="632"/>
      <c r="D29" s="633"/>
      <c r="E29" s="608"/>
      <c r="F29" s="558"/>
      <c r="G29" s="559"/>
      <c r="H29" s="559"/>
      <c r="I29" s="10"/>
      <c r="J29" s="217"/>
      <c r="K29" s="217"/>
      <c r="L29" s="217"/>
      <c r="M29" s="217"/>
      <c r="N29" s="288"/>
      <c r="O29" s="602"/>
      <c r="P29" s="1061"/>
      <c r="Q29" s="596"/>
      <c r="R29" s="562"/>
      <c r="S29" s="562"/>
      <c r="T29" s="1068"/>
      <c r="U29" s="1064"/>
      <c r="V29" s="1042" t="s">
        <v>237</v>
      </c>
      <c r="W29" s="1104">
        <f>SUM(W21:W28)*0.07</f>
        <v>4200</v>
      </c>
      <c r="Y29" s="1096"/>
    </row>
    <row r="30" spans="1:25" ht="11.25" customHeight="1" thickBot="1">
      <c r="A30" s="510"/>
      <c r="B30" s="631"/>
      <c r="C30" s="632"/>
      <c r="D30" s="633"/>
      <c r="E30" s="608"/>
      <c r="F30" s="691"/>
      <c r="G30" s="692"/>
      <c r="H30" s="692"/>
      <c r="I30" s="10"/>
      <c r="J30" s="217"/>
      <c r="K30" s="217"/>
      <c r="L30" s="217"/>
      <c r="M30" s="217"/>
      <c r="N30" s="289"/>
      <c r="O30" s="603"/>
      <c r="P30" s="1062"/>
      <c r="Q30" s="597"/>
      <c r="R30" s="563"/>
      <c r="S30" s="563"/>
      <c r="T30" s="1069"/>
      <c r="U30" s="1065"/>
      <c r="V30" s="1043"/>
      <c r="W30" s="1105"/>
      <c r="Y30" s="1097"/>
    </row>
    <row r="31" spans="1:23" ht="13.5" customHeight="1" thickBot="1">
      <c r="A31" s="510"/>
      <c r="B31" s="631"/>
      <c r="C31" s="632"/>
      <c r="D31" s="633"/>
      <c r="E31" s="609"/>
      <c r="F31" s="567" t="s">
        <v>400</v>
      </c>
      <c r="G31" s="568"/>
      <c r="H31" s="568"/>
      <c r="I31" s="568"/>
      <c r="J31" s="218"/>
      <c r="K31" s="218"/>
      <c r="L31" s="218"/>
      <c r="M31" s="218"/>
      <c r="N31" s="129"/>
      <c r="O31" s="129"/>
      <c r="P31" s="129"/>
      <c r="Q31" s="129"/>
      <c r="R31" s="129"/>
      <c r="S31" s="129"/>
      <c r="T31" s="129"/>
      <c r="U31" s="129"/>
      <c r="V31" s="129"/>
      <c r="W31" s="21">
        <f>SUM(W21:W30)</f>
        <v>64200</v>
      </c>
    </row>
    <row r="32" spans="1:23" ht="15" customHeight="1" thickBot="1">
      <c r="A32" s="511"/>
      <c r="B32" s="665" t="s">
        <v>401</v>
      </c>
      <c r="C32" s="666"/>
      <c r="D32" s="667"/>
      <c r="E32" s="211"/>
      <c r="F32" s="220"/>
      <c r="G32" s="220"/>
      <c r="H32" s="220"/>
      <c r="I32" s="45"/>
      <c r="J32" s="217"/>
      <c r="K32" s="217"/>
      <c r="L32" s="217"/>
      <c r="M32" s="217"/>
      <c r="N32" s="20"/>
      <c r="O32" s="20"/>
      <c r="P32" s="20"/>
      <c r="Q32" s="20"/>
      <c r="R32" s="20"/>
      <c r="S32" s="20"/>
      <c r="T32" s="20"/>
      <c r="U32" s="20"/>
      <c r="V32" s="20"/>
      <c r="W32" s="24">
        <f>W31</f>
        <v>64200</v>
      </c>
    </row>
    <row r="33" spans="1:23" ht="24.75" customHeight="1">
      <c r="A33" s="509" t="s">
        <v>381</v>
      </c>
      <c r="B33" s="528" t="s">
        <v>202</v>
      </c>
      <c r="C33" s="529"/>
      <c r="D33" s="530"/>
      <c r="E33" s="598" t="s">
        <v>148</v>
      </c>
      <c r="F33" s="662" t="s">
        <v>382</v>
      </c>
      <c r="G33" s="662"/>
      <c r="H33" s="662"/>
      <c r="I33" s="524"/>
      <c r="J33" s="524"/>
      <c r="K33" s="524"/>
      <c r="L33" s="524"/>
      <c r="M33" s="524"/>
      <c r="N33" s="1034" t="s">
        <v>453</v>
      </c>
      <c r="O33" s="1034" t="s">
        <v>60</v>
      </c>
      <c r="P33" s="581" t="s">
        <v>338</v>
      </c>
      <c r="Q33" s="490"/>
      <c r="R33" s="343"/>
      <c r="S33" s="343"/>
      <c r="T33" s="1044" t="s">
        <v>598</v>
      </c>
      <c r="U33" s="1044" t="s">
        <v>498</v>
      </c>
      <c r="V33" s="370" t="s">
        <v>335</v>
      </c>
      <c r="W33" s="250">
        <v>8000</v>
      </c>
    </row>
    <row r="34" spans="1:23" ht="25.5" customHeight="1">
      <c r="A34" s="510"/>
      <c r="B34" s="531"/>
      <c r="C34" s="532"/>
      <c r="D34" s="533"/>
      <c r="E34" s="599"/>
      <c r="F34" s="559"/>
      <c r="G34" s="559"/>
      <c r="H34" s="559"/>
      <c r="I34" s="524"/>
      <c r="J34" s="524"/>
      <c r="K34" s="524"/>
      <c r="L34" s="524"/>
      <c r="M34" s="524"/>
      <c r="N34" s="1035"/>
      <c r="O34" s="1035"/>
      <c r="P34" s="1078"/>
      <c r="Q34" s="490"/>
      <c r="R34" s="343"/>
      <c r="S34" s="343"/>
      <c r="T34" s="1044"/>
      <c r="U34" s="1044"/>
      <c r="V34" s="369" t="s">
        <v>560</v>
      </c>
      <c r="W34" s="250">
        <v>2000</v>
      </c>
    </row>
    <row r="35" spans="1:23" ht="36.75" customHeight="1">
      <c r="A35" s="510"/>
      <c r="B35" s="531"/>
      <c r="C35" s="532"/>
      <c r="D35" s="533"/>
      <c r="E35" s="599"/>
      <c r="F35" s="559"/>
      <c r="G35" s="559"/>
      <c r="H35" s="559"/>
      <c r="I35" s="524"/>
      <c r="J35" s="524"/>
      <c r="K35" s="524"/>
      <c r="L35" s="524"/>
      <c r="M35" s="524"/>
      <c r="N35" s="570" t="s">
        <v>452</v>
      </c>
      <c r="O35" s="1036" t="s">
        <v>131</v>
      </c>
      <c r="P35" s="489"/>
      <c r="Q35" s="1079" t="s">
        <v>338</v>
      </c>
      <c r="R35" s="342"/>
      <c r="S35" s="342"/>
      <c r="T35" s="1044"/>
      <c r="U35" s="1044"/>
      <c r="V35" s="370" t="s">
        <v>439</v>
      </c>
      <c r="W35" s="19">
        <v>2000</v>
      </c>
    </row>
    <row r="36" spans="1:23" ht="12.75" customHeight="1">
      <c r="A36" s="510"/>
      <c r="B36" s="531"/>
      <c r="C36" s="532"/>
      <c r="D36" s="533"/>
      <c r="E36" s="599"/>
      <c r="F36" s="559"/>
      <c r="G36" s="559"/>
      <c r="H36" s="559"/>
      <c r="I36" s="524"/>
      <c r="J36" s="524"/>
      <c r="K36" s="524"/>
      <c r="L36" s="524"/>
      <c r="M36" s="524"/>
      <c r="N36" s="557"/>
      <c r="O36" s="557"/>
      <c r="P36" s="491"/>
      <c r="Q36" s="1080"/>
      <c r="R36" s="368"/>
      <c r="S36" s="368"/>
      <c r="T36" s="1044"/>
      <c r="U36" s="1044"/>
      <c r="V36" s="1100" t="s">
        <v>556</v>
      </c>
      <c r="W36" s="574">
        <v>8000</v>
      </c>
    </row>
    <row r="37" spans="1:23" ht="21.75" customHeight="1">
      <c r="A37" s="510"/>
      <c r="B37" s="531"/>
      <c r="C37" s="532"/>
      <c r="D37" s="533"/>
      <c r="E37" s="599"/>
      <c r="F37" s="559"/>
      <c r="G37" s="559"/>
      <c r="H37" s="559"/>
      <c r="I37" s="524"/>
      <c r="J37" s="524"/>
      <c r="K37" s="524"/>
      <c r="L37" s="524"/>
      <c r="M37" s="524"/>
      <c r="N37" s="570" t="s">
        <v>454</v>
      </c>
      <c r="O37" s="1036" t="s">
        <v>61</v>
      </c>
      <c r="P37" s="490"/>
      <c r="Q37" s="581" t="s">
        <v>338</v>
      </c>
      <c r="R37" s="343"/>
      <c r="S37" s="343"/>
      <c r="T37" s="1044"/>
      <c r="U37" s="1044"/>
      <c r="V37" s="1035"/>
      <c r="W37" s="575"/>
    </row>
    <row r="38" spans="1:23" ht="13.5" customHeight="1" thickBot="1">
      <c r="A38" s="510"/>
      <c r="B38" s="531"/>
      <c r="C38" s="532"/>
      <c r="D38" s="533"/>
      <c r="E38" s="599"/>
      <c r="F38" s="559"/>
      <c r="G38" s="559"/>
      <c r="H38" s="559"/>
      <c r="I38" s="525"/>
      <c r="J38" s="525"/>
      <c r="K38" s="525"/>
      <c r="L38" s="525"/>
      <c r="M38" s="525"/>
      <c r="N38" s="556"/>
      <c r="O38" s="556"/>
      <c r="P38" s="490"/>
      <c r="Q38" s="1078"/>
      <c r="R38" s="343"/>
      <c r="S38" s="343"/>
      <c r="T38" s="1044"/>
      <c r="U38" s="1044"/>
      <c r="V38" s="1034" t="s">
        <v>237</v>
      </c>
      <c r="W38" s="1102">
        <f>SUM(W33:W36)*0.07</f>
        <v>1400.0000000000002</v>
      </c>
    </row>
    <row r="39" spans="1:23" ht="15.75" customHeight="1" thickBot="1">
      <c r="A39" s="510"/>
      <c r="B39" s="531"/>
      <c r="C39" s="532"/>
      <c r="D39" s="533"/>
      <c r="E39" s="599"/>
      <c r="F39" s="692"/>
      <c r="G39" s="692"/>
      <c r="H39" s="692"/>
      <c r="I39" s="8"/>
      <c r="J39" s="217"/>
      <c r="K39" s="217"/>
      <c r="L39" s="217"/>
      <c r="M39" s="217"/>
      <c r="N39" s="788"/>
      <c r="O39" s="788"/>
      <c r="P39" s="492"/>
      <c r="Q39" s="1081"/>
      <c r="R39" s="344"/>
      <c r="S39" s="344"/>
      <c r="T39" s="1045"/>
      <c r="U39" s="1045"/>
      <c r="V39" s="1101"/>
      <c r="W39" s="1103"/>
    </row>
    <row r="40" spans="1:23" ht="13.5" customHeight="1" thickBot="1">
      <c r="A40" s="510"/>
      <c r="B40" s="531"/>
      <c r="C40" s="532"/>
      <c r="D40" s="533"/>
      <c r="E40" s="599"/>
      <c r="F40" s="568" t="s">
        <v>393</v>
      </c>
      <c r="G40" s="568"/>
      <c r="H40" s="568"/>
      <c r="I40" s="568"/>
      <c r="J40" s="217"/>
      <c r="K40" s="217"/>
      <c r="L40" s="217"/>
      <c r="M40" s="217"/>
      <c r="N40" s="13"/>
      <c r="O40" s="13"/>
      <c r="P40" s="13"/>
      <c r="Q40" s="13"/>
      <c r="R40" s="13"/>
      <c r="S40" s="13"/>
      <c r="T40" s="13"/>
      <c r="U40" s="13"/>
      <c r="V40" s="13"/>
      <c r="W40" s="12">
        <f>SUM(W33:W39)</f>
        <v>21400</v>
      </c>
    </row>
    <row r="41" spans="1:23" ht="26.25" customHeight="1">
      <c r="A41" s="510"/>
      <c r="B41" s="531"/>
      <c r="C41" s="532"/>
      <c r="D41" s="533"/>
      <c r="E41" s="599"/>
      <c r="F41" s="662" t="s">
        <v>383</v>
      </c>
      <c r="G41" s="662"/>
      <c r="H41" s="662"/>
      <c r="I41" s="527">
        <v>11770</v>
      </c>
      <c r="J41" s="527">
        <v>25323</v>
      </c>
      <c r="K41" s="527">
        <v>25323</v>
      </c>
      <c r="L41" s="527">
        <v>25324</v>
      </c>
      <c r="M41" s="527">
        <f>SUM(I41:L41)</f>
        <v>87740</v>
      </c>
      <c r="N41" s="371" t="s">
        <v>133</v>
      </c>
      <c r="O41" s="424" t="s">
        <v>132</v>
      </c>
      <c r="P41" s="493" t="s">
        <v>338</v>
      </c>
      <c r="Q41" s="493" t="s">
        <v>338</v>
      </c>
      <c r="R41" s="372"/>
      <c r="S41" s="372"/>
      <c r="T41" s="548" t="s">
        <v>581</v>
      </c>
      <c r="U41" s="548" t="s">
        <v>498</v>
      </c>
      <c r="V41" s="259" t="s">
        <v>236</v>
      </c>
      <c r="W41" s="260">
        <v>16000</v>
      </c>
    </row>
    <row r="42" spans="1:23" ht="46.5" customHeight="1">
      <c r="A42" s="510"/>
      <c r="B42" s="531"/>
      <c r="C42" s="532"/>
      <c r="D42" s="533"/>
      <c r="E42" s="599"/>
      <c r="F42" s="559"/>
      <c r="G42" s="559"/>
      <c r="H42" s="559"/>
      <c r="I42" s="524"/>
      <c r="J42" s="524"/>
      <c r="K42" s="524"/>
      <c r="L42" s="524"/>
      <c r="M42" s="524"/>
      <c r="N42" s="57" t="s">
        <v>542</v>
      </c>
      <c r="O42" s="425" t="s">
        <v>62</v>
      </c>
      <c r="P42" s="494"/>
      <c r="Q42" s="505" t="s">
        <v>338</v>
      </c>
      <c r="R42" s="116" t="s">
        <v>338</v>
      </c>
      <c r="S42" s="116"/>
      <c r="T42" s="549"/>
      <c r="U42" s="549"/>
      <c r="V42" s="58" t="s">
        <v>331</v>
      </c>
      <c r="W42" s="15">
        <v>4000</v>
      </c>
    </row>
    <row r="43" spans="1:23" ht="33" customHeight="1">
      <c r="A43" s="510"/>
      <c r="B43" s="531"/>
      <c r="C43" s="532"/>
      <c r="D43" s="533"/>
      <c r="E43" s="599"/>
      <c r="F43" s="559"/>
      <c r="G43" s="559"/>
      <c r="H43" s="559"/>
      <c r="I43" s="524"/>
      <c r="J43" s="524"/>
      <c r="K43" s="524"/>
      <c r="L43" s="524"/>
      <c r="M43" s="524"/>
      <c r="N43" s="57" t="s">
        <v>543</v>
      </c>
      <c r="O43" s="57"/>
      <c r="P43" s="494"/>
      <c r="Q43" s="505"/>
      <c r="R43" s="116" t="s">
        <v>338</v>
      </c>
      <c r="S43" s="116"/>
      <c r="T43" s="549"/>
      <c r="U43" s="549"/>
      <c r="V43" s="224" t="s">
        <v>237</v>
      </c>
      <c r="W43" s="223">
        <f>SUM(W41:W42)*0.07</f>
        <v>1400.0000000000002</v>
      </c>
    </row>
    <row r="44" spans="1:23" ht="37.5" customHeight="1" thickBot="1">
      <c r="A44" s="510"/>
      <c r="B44" s="531"/>
      <c r="C44" s="532"/>
      <c r="D44" s="533"/>
      <c r="E44" s="599"/>
      <c r="F44" s="559"/>
      <c r="G44" s="559"/>
      <c r="H44" s="559"/>
      <c r="I44" s="10"/>
      <c r="J44" s="217"/>
      <c r="K44" s="217"/>
      <c r="L44" s="217"/>
      <c r="M44" s="217"/>
      <c r="N44" s="338" t="s">
        <v>544</v>
      </c>
      <c r="O44" s="426" t="s">
        <v>134</v>
      </c>
      <c r="P44" s="495"/>
      <c r="Q44" s="495"/>
      <c r="R44" s="330"/>
      <c r="S44" s="330" t="s">
        <v>338</v>
      </c>
      <c r="T44" s="549"/>
      <c r="U44" s="560"/>
      <c r="V44" s="338"/>
      <c r="W44" s="223"/>
    </row>
    <row r="45" spans="1:23" ht="16.5" customHeight="1" thickBot="1">
      <c r="A45" s="510"/>
      <c r="B45" s="534"/>
      <c r="C45" s="535"/>
      <c r="D45" s="536"/>
      <c r="E45" s="600"/>
      <c r="F45" s="568" t="s">
        <v>394</v>
      </c>
      <c r="G45" s="568"/>
      <c r="H45" s="568"/>
      <c r="I45" s="568"/>
      <c r="J45" s="217"/>
      <c r="K45" s="217"/>
      <c r="L45" s="217"/>
      <c r="M45" s="217"/>
      <c r="N45" s="14"/>
      <c r="O45" s="14"/>
      <c r="P45" s="14"/>
      <c r="Q45" s="14"/>
      <c r="R45" s="14"/>
      <c r="S45" s="14"/>
      <c r="T45" s="14"/>
      <c r="U45" s="14"/>
      <c r="V45" s="14"/>
      <c r="W45" s="21">
        <f>SUM(W41:W44)</f>
        <v>21400</v>
      </c>
    </row>
    <row r="46" spans="1:23" ht="18.75" customHeight="1" thickBot="1">
      <c r="A46" s="510"/>
      <c r="B46" s="665" t="s">
        <v>209</v>
      </c>
      <c r="C46" s="666"/>
      <c r="D46" s="667"/>
      <c r="E46" s="211"/>
      <c r="F46" s="220"/>
      <c r="G46" s="220"/>
      <c r="H46" s="220"/>
      <c r="I46" s="220"/>
      <c r="J46" s="217"/>
      <c r="K46" s="217"/>
      <c r="L46" s="217"/>
      <c r="M46" s="217"/>
      <c r="N46" s="14"/>
      <c r="O46" s="14"/>
      <c r="P46" s="51"/>
      <c r="Q46" s="51"/>
      <c r="R46" s="51"/>
      <c r="S46" s="51"/>
      <c r="T46" s="51"/>
      <c r="U46" s="51"/>
      <c r="V46" s="51"/>
      <c r="W46" s="48">
        <f>W45+W40</f>
        <v>42800</v>
      </c>
    </row>
    <row r="47" spans="1:23" ht="36.75" customHeight="1">
      <c r="A47" s="510"/>
      <c r="B47" s="528" t="s">
        <v>384</v>
      </c>
      <c r="C47" s="529"/>
      <c r="D47" s="530"/>
      <c r="E47" s="598" t="s">
        <v>149</v>
      </c>
      <c r="F47" s="662" t="s">
        <v>385</v>
      </c>
      <c r="G47" s="662"/>
      <c r="H47" s="689"/>
      <c r="I47" s="527" t="e">
        <f>+#REF!</f>
        <v>#REF!</v>
      </c>
      <c r="J47" s="527">
        <v>147240.5</v>
      </c>
      <c r="K47" s="527">
        <v>162961</v>
      </c>
      <c r="L47" s="527">
        <v>70145</v>
      </c>
      <c r="M47" s="527" t="e">
        <f>SUM(I47:L47)</f>
        <v>#REF!</v>
      </c>
      <c r="N47" s="675" t="s">
        <v>50</v>
      </c>
      <c r="O47" s="770" t="s">
        <v>135</v>
      </c>
      <c r="P47" s="725" t="s">
        <v>338</v>
      </c>
      <c r="Q47" s="697" t="s">
        <v>338</v>
      </c>
      <c r="R47" s="564" t="s">
        <v>338</v>
      </c>
      <c r="S47" s="564" t="s">
        <v>338</v>
      </c>
      <c r="T47" s="564" t="s">
        <v>603</v>
      </c>
      <c r="U47" s="564" t="s">
        <v>498</v>
      </c>
      <c r="V47" s="246" t="s">
        <v>565</v>
      </c>
      <c r="W47" s="18">
        <v>8000</v>
      </c>
    </row>
    <row r="48" spans="1:23" ht="21" customHeight="1">
      <c r="A48" s="510"/>
      <c r="B48" s="531"/>
      <c r="C48" s="532"/>
      <c r="D48" s="533"/>
      <c r="E48" s="599"/>
      <c r="F48" s="559"/>
      <c r="G48" s="559"/>
      <c r="H48" s="690"/>
      <c r="I48" s="524"/>
      <c r="J48" s="524"/>
      <c r="K48" s="524"/>
      <c r="L48" s="524"/>
      <c r="M48" s="524"/>
      <c r="N48" s="675"/>
      <c r="O48" s="771"/>
      <c r="P48" s="642"/>
      <c r="Q48" s="705"/>
      <c r="R48" s="565"/>
      <c r="S48" s="565"/>
      <c r="T48" s="565"/>
      <c r="U48" s="565"/>
      <c r="V48" s="39" t="s">
        <v>335</v>
      </c>
      <c r="W48" s="19">
        <v>2000</v>
      </c>
    </row>
    <row r="49" spans="1:23" ht="27.75" customHeight="1" thickBot="1">
      <c r="A49" s="510"/>
      <c r="B49" s="531"/>
      <c r="C49" s="532"/>
      <c r="D49" s="533"/>
      <c r="E49" s="599"/>
      <c r="F49" s="559"/>
      <c r="G49" s="559"/>
      <c r="H49" s="690"/>
      <c r="I49" s="524"/>
      <c r="J49" s="524"/>
      <c r="K49" s="524"/>
      <c r="L49" s="524"/>
      <c r="M49" s="524"/>
      <c r="N49" s="951"/>
      <c r="O49" s="1037"/>
      <c r="P49" s="726"/>
      <c r="Q49" s="698"/>
      <c r="R49" s="575"/>
      <c r="S49" s="575"/>
      <c r="T49" s="565"/>
      <c r="U49" s="566"/>
      <c r="V49" s="235" t="s">
        <v>237</v>
      </c>
      <c r="W49" s="11">
        <f>SUM(W47:W48)*0.07</f>
        <v>700.0000000000001</v>
      </c>
    </row>
    <row r="50" spans="1:23" ht="16.5" customHeight="1" thickBot="1">
      <c r="A50" s="510"/>
      <c r="B50" s="531"/>
      <c r="C50" s="532"/>
      <c r="D50" s="533"/>
      <c r="E50" s="599"/>
      <c r="F50" s="687" t="s">
        <v>396</v>
      </c>
      <c r="G50" s="687"/>
      <c r="H50" s="687"/>
      <c r="I50" s="687"/>
      <c r="J50" s="217"/>
      <c r="K50" s="217"/>
      <c r="L50" s="217"/>
      <c r="M50" s="217"/>
      <c r="N50" s="51"/>
      <c r="O50" s="51"/>
      <c r="P50" s="51"/>
      <c r="Q50" s="51"/>
      <c r="R50" s="51"/>
      <c r="S50" s="51"/>
      <c r="T50" s="51"/>
      <c r="U50" s="51"/>
      <c r="V50" s="51"/>
      <c r="W50" s="48">
        <f>SUM(W47:W49)</f>
        <v>10700</v>
      </c>
    </row>
    <row r="51" spans="1:23" ht="21.75" customHeight="1" thickBot="1">
      <c r="A51" s="510"/>
      <c r="B51" s="665" t="s">
        <v>395</v>
      </c>
      <c r="C51" s="666"/>
      <c r="D51" s="667"/>
      <c r="E51" s="225"/>
      <c r="F51" s="227"/>
      <c r="G51" s="227"/>
      <c r="H51" s="227"/>
      <c r="I51" s="227"/>
      <c r="J51" s="68"/>
      <c r="K51" s="68"/>
      <c r="L51" s="68"/>
      <c r="M51" s="68"/>
      <c r="N51" s="14"/>
      <c r="O51" s="14"/>
      <c r="P51" s="14"/>
      <c r="Q51" s="14"/>
      <c r="R51" s="14"/>
      <c r="S51" s="14"/>
      <c r="T51" s="14"/>
      <c r="U51" s="14"/>
      <c r="V51" s="14"/>
      <c r="W51" s="21">
        <f>W50</f>
        <v>10700</v>
      </c>
    </row>
    <row r="52" spans="1:23" ht="37.5" customHeight="1" thickBot="1">
      <c r="A52" s="510"/>
      <c r="B52" s="1046" t="s">
        <v>415</v>
      </c>
      <c r="C52" s="1047"/>
      <c r="D52" s="1048"/>
      <c r="E52" s="1052" t="s">
        <v>152</v>
      </c>
      <c r="F52" s="1054" t="s">
        <v>417</v>
      </c>
      <c r="G52" s="1055"/>
      <c r="H52" s="1056"/>
      <c r="I52" s="304"/>
      <c r="J52" s="174"/>
      <c r="K52" s="174"/>
      <c r="L52" s="174"/>
      <c r="M52" s="174"/>
      <c r="N52" s="1029" t="s">
        <v>38</v>
      </c>
      <c r="O52" s="1098" t="s">
        <v>136</v>
      </c>
      <c r="P52" s="642" t="s">
        <v>338</v>
      </c>
      <c r="Q52" s="642" t="s">
        <v>338</v>
      </c>
      <c r="R52" s="174"/>
      <c r="S52" s="174"/>
      <c r="T52" s="174"/>
      <c r="U52" s="1076" t="s">
        <v>498</v>
      </c>
      <c r="V52" s="396" t="s">
        <v>549</v>
      </c>
      <c r="W52" s="439">
        <v>5000</v>
      </c>
    </row>
    <row r="53" spans="1:23" ht="36.75" customHeight="1" thickBot="1">
      <c r="A53" s="510"/>
      <c r="B53" s="1046"/>
      <c r="C53" s="1047"/>
      <c r="D53" s="1048"/>
      <c r="E53" s="1052"/>
      <c r="F53" s="1054"/>
      <c r="G53" s="1055"/>
      <c r="H53" s="1056"/>
      <c r="I53" s="173"/>
      <c r="J53" s="174"/>
      <c r="K53" s="174"/>
      <c r="L53" s="174"/>
      <c r="M53" s="174"/>
      <c r="N53" s="1030"/>
      <c r="O53" s="1099"/>
      <c r="P53" s="642"/>
      <c r="Q53" s="642"/>
      <c r="R53" s="174"/>
      <c r="S53" s="174"/>
      <c r="T53" s="174"/>
      <c r="U53" s="1076"/>
      <c r="V53" s="123" t="s">
        <v>550</v>
      </c>
      <c r="W53" s="440">
        <v>6000</v>
      </c>
    </row>
    <row r="54" spans="1:23" ht="23.25" customHeight="1" thickBot="1">
      <c r="A54" s="510"/>
      <c r="B54" s="1046"/>
      <c r="C54" s="1047"/>
      <c r="D54" s="1048"/>
      <c r="E54" s="1052"/>
      <c r="F54" s="1054"/>
      <c r="G54" s="1055"/>
      <c r="H54" s="1056"/>
      <c r="I54" s="173"/>
      <c r="J54" s="174"/>
      <c r="K54" s="174"/>
      <c r="L54" s="174"/>
      <c r="M54" s="174"/>
      <c r="N54" s="1030"/>
      <c r="O54" s="1099"/>
      <c r="P54" s="642"/>
      <c r="Q54" s="642"/>
      <c r="R54" s="174"/>
      <c r="S54" s="174"/>
      <c r="T54" s="174" t="s">
        <v>599</v>
      </c>
      <c r="U54" s="1076"/>
      <c r="V54" s="123" t="s">
        <v>460</v>
      </c>
      <c r="W54" s="441">
        <v>2000</v>
      </c>
    </row>
    <row r="55" spans="1:23" ht="21.75" customHeight="1" thickBot="1">
      <c r="A55" s="510"/>
      <c r="B55" s="1046"/>
      <c r="C55" s="1047"/>
      <c r="D55" s="1048"/>
      <c r="E55" s="1052"/>
      <c r="F55" s="1054"/>
      <c r="G55" s="1055"/>
      <c r="H55" s="1056"/>
      <c r="I55" s="173"/>
      <c r="J55" s="174"/>
      <c r="K55" s="174"/>
      <c r="L55" s="174"/>
      <c r="M55" s="174"/>
      <c r="N55" s="1030"/>
      <c r="O55" s="1099"/>
      <c r="P55" s="642"/>
      <c r="Q55" s="642"/>
      <c r="R55" s="174"/>
      <c r="S55" s="174"/>
      <c r="T55" s="174"/>
      <c r="U55" s="1076"/>
      <c r="V55" s="443" t="s">
        <v>336</v>
      </c>
      <c r="W55" s="441">
        <v>2000</v>
      </c>
    </row>
    <row r="56" spans="1:23" ht="23.25" customHeight="1" thickBot="1">
      <c r="A56" s="510"/>
      <c r="B56" s="1046"/>
      <c r="C56" s="1047"/>
      <c r="D56" s="1048"/>
      <c r="E56" s="1052"/>
      <c r="F56" s="1057"/>
      <c r="G56" s="1058"/>
      <c r="H56" s="1059"/>
      <c r="I56" s="173"/>
      <c r="J56" s="174"/>
      <c r="K56" s="174"/>
      <c r="L56" s="174"/>
      <c r="M56" s="174"/>
      <c r="N56" s="1031"/>
      <c r="O56" s="877"/>
      <c r="P56" s="643"/>
      <c r="Q56" s="643"/>
      <c r="R56" s="174"/>
      <c r="S56" s="174"/>
      <c r="T56" s="174"/>
      <c r="U56" s="1077"/>
      <c r="V56" s="177" t="s">
        <v>237</v>
      </c>
      <c r="W56" s="442">
        <f>SUM(W52:W55)*0.07</f>
        <v>1050</v>
      </c>
    </row>
    <row r="57" spans="1:23" ht="16.5" customHeight="1" thickBot="1">
      <c r="A57" s="510"/>
      <c r="B57" s="1049"/>
      <c r="C57" s="1050"/>
      <c r="D57" s="1051"/>
      <c r="E57" s="1053"/>
      <c r="F57" s="567" t="s">
        <v>418</v>
      </c>
      <c r="G57" s="568"/>
      <c r="H57" s="568"/>
      <c r="I57" s="569"/>
      <c r="J57" s="217"/>
      <c r="K57" s="217"/>
      <c r="L57" s="217"/>
      <c r="M57" s="217"/>
      <c r="N57" s="14"/>
      <c r="O57" s="14"/>
      <c r="P57" s="14"/>
      <c r="Q57" s="14"/>
      <c r="R57" s="14"/>
      <c r="S57" s="14"/>
      <c r="T57" s="14"/>
      <c r="U57" s="14"/>
      <c r="V57" s="14"/>
      <c r="W57" s="21">
        <f>SUM(W52:W56)</f>
        <v>16050</v>
      </c>
    </row>
    <row r="58" spans="1:23" ht="21.75" customHeight="1" thickBot="1">
      <c r="A58" s="510"/>
      <c r="B58" s="665" t="s">
        <v>416</v>
      </c>
      <c r="C58" s="666"/>
      <c r="D58" s="667"/>
      <c r="E58" s="211"/>
      <c r="F58" s="220"/>
      <c r="G58" s="220"/>
      <c r="H58" s="220"/>
      <c r="I58" s="220"/>
      <c r="J58" s="217"/>
      <c r="K58" s="217"/>
      <c r="L58" s="217"/>
      <c r="M58" s="217"/>
      <c r="N58" s="13"/>
      <c r="O58" s="13"/>
      <c r="P58" s="13"/>
      <c r="Q58" s="13"/>
      <c r="R58" s="13"/>
      <c r="S58" s="13"/>
      <c r="T58" s="13"/>
      <c r="U58" s="13"/>
      <c r="V58" s="13"/>
      <c r="W58" s="12">
        <f>W57</f>
        <v>16050</v>
      </c>
    </row>
    <row r="59" spans="1:25" ht="28.5" customHeight="1">
      <c r="A59" s="510"/>
      <c r="B59" s="537" t="s">
        <v>386</v>
      </c>
      <c r="C59" s="538"/>
      <c r="D59" s="539"/>
      <c r="E59" s="1085" t="s">
        <v>152</v>
      </c>
      <c r="F59" s="661" t="s">
        <v>387</v>
      </c>
      <c r="G59" s="662"/>
      <c r="H59" s="689"/>
      <c r="I59" s="527">
        <v>47722</v>
      </c>
      <c r="J59" s="527">
        <v>60000</v>
      </c>
      <c r="K59" s="527">
        <v>60000</v>
      </c>
      <c r="L59" s="527">
        <v>15000</v>
      </c>
      <c r="M59" s="527">
        <f>SUM(I59:L59)</f>
        <v>182722</v>
      </c>
      <c r="N59" s="1029" t="s">
        <v>583</v>
      </c>
      <c r="O59" s="1092" t="s">
        <v>137</v>
      </c>
      <c r="P59" s="697" t="s">
        <v>338</v>
      </c>
      <c r="Q59" s="711" t="s">
        <v>338</v>
      </c>
      <c r="R59" s="527" t="s">
        <v>338</v>
      </c>
      <c r="S59" s="527" t="s">
        <v>338</v>
      </c>
      <c r="T59" s="564" t="s">
        <v>582</v>
      </c>
      <c r="U59" s="564" t="s">
        <v>498</v>
      </c>
      <c r="V59" s="130" t="s">
        <v>410</v>
      </c>
      <c r="W59" s="18">
        <v>43740</v>
      </c>
      <c r="Y59" s="418" t="s">
        <v>39</v>
      </c>
    </row>
    <row r="60" spans="1:25" ht="28.5" customHeight="1">
      <c r="A60" s="510"/>
      <c r="B60" s="540"/>
      <c r="C60" s="541"/>
      <c r="D60" s="542"/>
      <c r="E60" s="1086"/>
      <c r="F60" s="558"/>
      <c r="G60" s="559"/>
      <c r="H60" s="690"/>
      <c r="I60" s="524"/>
      <c r="J60" s="524"/>
      <c r="K60" s="524"/>
      <c r="L60" s="524"/>
      <c r="M60" s="524"/>
      <c r="N60" s="602"/>
      <c r="O60" s="1093"/>
      <c r="P60" s="705"/>
      <c r="Q60" s="716"/>
      <c r="R60" s="524"/>
      <c r="S60" s="524"/>
      <c r="T60" s="565"/>
      <c r="U60" s="565"/>
      <c r="V60" s="131" t="s">
        <v>460</v>
      </c>
      <c r="W60" s="19">
        <v>500</v>
      </c>
      <c r="Y60" s="419"/>
    </row>
    <row r="61" spans="1:25" ht="23.25" customHeight="1">
      <c r="A61" s="510"/>
      <c r="B61" s="540"/>
      <c r="C61" s="541"/>
      <c r="D61" s="542"/>
      <c r="E61" s="1086"/>
      <c r="F61" s="558"/>
      <c r="G61" s="559"/>
      <c r="H61" s="690"/>
      <c r="I61" s="524"/>
      <c r="J61" s="524"/>
      <c r="K61" s="524"/>
      <c r="L61" s="524"/>
      <c r="M61" s="524"/>
      <c r="N61" s="602"/>
      <c r="O61" s="1093"/>
      <c r="P61" s="705"/>
      <c r="Q61" s="716"/>
      <c r="R61" s="524"/>
      <c r="S61" s="524"/>
      <c r="T61" s="565"/>
      <c r="U61" s="565"/>
      <c r="V61" s="1073" t="s">
        <v>237</v>
      </c>
      <c r="W61" s="574">
        <f>SUM(W59:W60)*0.07</f>
        <v>3096.8</v>
      </c>
      <c r="Y61" s="419"/>
    </row>
    <row r="62" spans="1:25" ht="26.25" customHeight="1" thickBot="1">
      <c r="A62" s="510"/>
      <c r="B62" s="540"/>
      <c r="C62" s="541"/>
      <c r="D62" s="542"/>
      <c r="E62" s="1086"/>
      <c r="F62" s="691"/>
      <c r="G62" s="692"/>
      <c r="H62" s="693"/>
      <c r="I62" s="525"/>
      <c r="J62" s="525"/>
      <c r="K62" s="525"/>
      <c r="L62" s="525"/>
      <c r="M62" s="525"/>
      <c r="N62" s="334" t="s">
        <v>40</v>
      </c>
      <c r="O62" s="1094"/>
      <c r="P62" s="710"/>
      <c r="Q62" s="1075"/>
      <c r="R62" s="525"/>
      <c r="S62" s="525"/>
      <c r="T62" s="566"/>
      <c r="U62" s="566"/>
      <c r="V62" s="1031"/>
      <c r="W62" s="566"/>
      <c r="Y62" s="419"/>
    </row>
    <row r="63" spans="1:25" ht="18" customHeight="1" thickBot="1">
      <c r="A63" s="510"/>
      <c r="B63" s="540"/>
      <c r="C63" s="541"/>
      <c r="D63" s="542"/>
      <c r="E63" s="1086"/>
      <c r="F63" s="567" t="s">
        <v>403</v>
      </c>
      <c r="G63" s="568"/>
      <c r="H63" s="568"/>
      <c r="I63" s="569"/>
      <c r="J63" s="8"/>
      <c r="K63" s="8"/>
      <c r="L63" s="8"/>
      <c r="M63" s="8"/>
      <c r="N63" s="14"/>
      <c r="O63" s="14"/>
      <c r="P63" s="14"/>
      <c r="Q63" s="14"/>
      <c r="R63" s="14"/>
      <c r="S63" s="14"/>
      <c r="T63" s="14"/>
      <c r="U63" s="14"/>
      <c r="V63" s="14"/>
      <c r="W63" s="21">
        <f>SUM(W59:W62)</f>
        <v>47336.8</v>
      </c>
      <c r="Y63" s="419"/>
    </row>
    <row r="64" spans="1:25" ht="26.25" customHeight="1" thickBot="1">
      <c r="A64" s="510"/>
      <c r="B64" s="540"/>
      <c r="C64" s="541"/>
      <c r="D64" s="542"/>
      <c r="E64" s="1086"/>
      <c r="F64" s="661" t="s">
        <v>584</v>
      </c>
      <c r="G64" s="662"/>
      <c r="H64" s="689"/>
      <c r="I64" s="220"/>
      <c r="J64" s="10"/>
      <c r="K64" s="10"/>
      <c r="L64" s="10"/>
      <c r="M64" s="10"/>
      <c r="N64" s="1029" t="s">
        <v>586</v>
      </c>
      <c r="O64" s="1091" t="s">
        <v>585</v>
      </c>
      <c r="P64" s="496"/>
      <c r="Q64" s="470"/>
      <c r="R64" s="1032" t="s">
        <v>338</v>
      </c>
      <c r="S64" s="1032" t="s">
        <v>338</v>
      </c>
      <c r="T64" s="174"/>
      <c r="U64" s="174"/>
      <c r="V64" s="180" t="s">
        <v>566</v>
      </c>
      <c r="W64" s="435">
        <v>6500</v>
      </c>
      <c r="Y64" s="420"/>
    </row>
    <row r="65" spans="1:23" ht="18" customHeight="1" thickBot="1">
      <c r="A65" s="510"/>
      <c r="B65" s="540"/>
      <c r="C65" s="541"/>
      <c r="D65" s="542"/>
      <c r="E65" s="1086"/>
      <c r="F65" s="558"/>
      <c r="G65" s="559"/>
      <c r="H65" s="690"/>
      <c r="I65" s="220"/>
      <c r="J65" s="10"/>
      <c r="K65" s="10"/>
      <c r="L65" s="10"/>
      <c r="M65" s="10"/>
      <c r="N65" s="602"/>
      <c r="O65" s="602"/>
      <c r="P65" s="496"/>
      <c r="Q65" s="470"/>
      <c r="R65" s="755"/>
      <c r="S65" s="755"/>
      <c r="T65" s="174"/>
      <c r="U65" s="174"/>
      <c r="V65" s="291" t="s">
        <v>560</v>
      </c>
      <c r="W65" s="436">
        <v>2000</v>
      </c>
    </row>
    <row r="66" spans="1:23" ht="27.75" customHeight="1" thickBot="1">
      <c r="A66" s="510"/>
      <c r="B66" s="540"/>
      <c r="C66" s="541"/>
      <c r="D66" s="542"/>
      <c r="E66" s="1086"/>
      <c r="F66" s="558"/>
      <c r="G66" s="559"/>
      <c r="H66" s="690"/>
      <c r="I66" s="220"/>
      <c r="J66" s="10"/>
      <c r="K66" s="10"/>
      <c r="L66" s="10"/>
      <c r="M66" s="10"/>
      <c r="N66" s="602"/>
      <c r="O66" s="602"/>
      <c r="P66" s="496"/>
      <c r="Q66" s="470"/>
      <c r="R66" s="755"/>
      <c r="S66" s="755"/>
      <c r="T66" s="174"/>
      <c r="U66" s="174" t="s">
        <v>498</v>
      </c>
      <c r="V66" s="181" t="s">
        <v>419</v>
      </c>
      <c r="W66" s="437">
        <v>24500</v>
      </c>
    </row>
    <row r="67" spans="1:23" ht="18" customHeight="1" thickBot="1">
      <c r="A67" s="510"/>
      <c r="B67" s="540"/>
      <c r="C67" s="541"/>
      <c r="D67" s="542"/>
      <c r="E67" s="1086"/>
      <c r="F67" s="558"/>
      <c r="G67" s="559"/>
      <c r="H67" s="690"/>
      <c r="I67" s="173"/>
      <c r="J67" s="290"/>
      <c r="K67" s="290"/>
      <c r="L67" s="290"/>
      <c r="M67" s="290"/>
      <c r="N67" s="602"/>
      <c r="O67" s="602"/>
      <c r="P67" s="496"/>
      <c r="Q67" s="470"/>
      <c r="R67" s="755"/>
      <c r="S67" s="755"/>
      <c r="T67" s="174" t="s">
        <v>516</v>
      </c>
      <c r="U67" s="174"/>
      <c r="V67" s="181" t="s">
        <v>331</v>
      </c>
      <c r="W67" s="437">
        <v>17000</v>
      </c>
    </row>
    <row r="68" spans="1:23" ht="18" customHeight="1" thickBot="1">
      <c r="A68" s="510"/>
      <c r="B68" s="540"/>
      <c r="C68" s="541"/>
      <c r="D68" s="542"/>
      <c r="E68" s="1086"/>
      <c r="F68" s="558"/>
      <c r="G68" s="559"/>
      <c r="H68" s="690"/>
      <c r="I68" s="173"/>
      <c r="J68" s="290"/>
      <c r="K68" s="290"/>
      <c r="L68" s="290"/>
      <c r="M68" s="290"/>
      <c r="N68" s="602"/>
      <c r="O68" s="602"/>
      <c r="P68" s="496"/>
      <c r="Q68" s="470"/>
      <c r="R68" s="755"/>
      <c r="S68" s="755"/>
      <c r="T68" s="174"/>
      <c r="U68" s="174"/>
      <c r="V68" s="182" t="s">
        <v>336</v>
      </c>
      <c r="W68" s="437">
        <v>6343.2</v>
      </c>
    </row>
    <row r="69" spans="1:23" ht="18" customHeight="1" thickBot="1">
      <c r="A69" s="510"/>
      <c r="B69" s="540"/>
      <c r="C69" s="541"/>
      <c r="D69" s="542"/>
      <c r="E69" s="1086"/>
      <c r="F69" s="558"/>
      <c r="G69" s="559"/>
      <c r="H69" s="690"/>
      <c r="I69" s="173"/>
      <c r="J69" s="290"/>
      <c r="K69" s="290"/>
      <c r="L69" s="290"/>
      <c r="M69" s="290"/>
      <c r="N69" s="602"/>
      <c r="O69" s="602"/>
      <c r="P69" s="496"/>
      <c r="Q69" s="470"/>
      <c r="R69" s="755"/>
      <c r="S69" s="755"/>
      <c r="T69" s="174"/>
      <c r="U69" s="174"/>
      <c r="V69" s="182" t="s">
        <v>439</v>
      </c>
      <c r="W69" s="437">
        <v>500</v>
      </c>
    </row>
    <row r="70" spans="1:23" ht="28.5" customHeight="1" thickBot="1">
      <c r="A70" s="510"/>
      <c r="B70" s="540"/>
      <c r="C70" s="541"/>
      <c r="D70" s="542"/>
      <c r="E70" s="1086"/>
      <c r="F70" s="691"/>
      <c r="G70" s="692"/>
      <c r="H70" s="693"/>
      <c r="I70" s="173"/>
      <c r="J70" s="290"/>
      <c r="K70" s="290"/>
      <c r="L70" s="290"/>
      <c r="M70" s="290"/>
      <c r="N70" s="603"/>
      <c r="O70" s="603"/>
      <c r="P70" s="496"/>
      <c r="Q70" s="470"/>
      <c r="R70" s="1033"/>
      <c r="S70" s="1033"/>
      <c r="T70" s="174"/>
      <c r="U70" s="174"/>
      <c r="V70" s="181" t="s">
        <v>360</v>
      </c>
      <c r="W70" s="438">
        <f>SUM(W64:W69)*0.07</f>
        <v>3979.0240000000003</v>
      </c>
    </row>
    <row r="71" spans="1:23" ht="18" customHeight="1" thickBot="1">
      <c r="A71" s="510"/>
      <c r="B71" s="543"/>
      <c r="C71" s="544"/>
      <c r="D71" s="545"/>
      <c r="E71" s="1087"/>
      <c r="F71" s="567" t="s">
        <v>501</v>
      </c>
      <c r="G71" s="568"/>
      <c r="H71" s="568"/>
      <c r="I71" s="569"/>
      <c r="J71" s="8"/>
      <c r="K71" s="8"/>
      <c r="L71" s="8"/>
      <c r="M71" s="8"/>
      <c r="N71" s="14"/>
      <c r="O71" s="14"/>
      <c r="P71" s="14"/>
      <c r="Q71" s="14"/>
      <c r="R71" s="14"/>
      <c r="S71" s="14"/>
      <c r="T71" s="14"/>
      <c r="U71" s="14"/>
      <c r="V71" s="14"/>
      <c r="W71" s="21">
        <f>SUM(W64:W70)</f>
        <v>60822.223999999995</v>
      </c>
    </row>
    <row r="72" spans="1:23" ht="21.75" customHeight="1" thickBot="1">
      <c r="A72" s="510"/>
      <c r="B72" s="665" t="s">
        <v>402</v>
      </c>
      <c r="C72" s="666"/>
      <c r="D72" s="667"/>
      <c r="E72" s="211"/>
      <c r="F72" s="220"/>
      <c r="G72" s="220"/>
      <c r="H72" s="220"/>
      <c r="I72" s="220"/>
      <c r="J72" s="217"/>
      <c r="K72" s="217"/>
      <c r="L72" s="217"/>
      <c r="M72" s="217"/>
      <c r="N72" s="13"/>
      <c r="O72" s="13"/>
      <c r="P72" s="13"/>
      <c r="Q72" s="13"/>
      <c r="R72" s="13"/>
      <c r="S72" s="13"/>
      <c r="T72" s="13"/>
      <c r="U72" s="13"/>
      <c r="V72" s="13"/>
      <c r="W72" s="12">
        <f>W63+W71</f>
        <v>108159.024</v>
      </c>
    </row>
    <row r="73" spans="1:23" ht="36" customHeight="1">
      <c r="A73" s="510"/>
      <c r="B73" s="537" t="s">
        <v>388</v>
      </c>
      <c r="C73" s="538"/>
      <c r="D73" s="539"/>
      <c r="E73" s="598" t="s">
        <v>281</v>
      </c>
      <c r="F73" s="662" t="s">
        <v>587</v>
      </c>
      <c r="G73" s="662"/>
      <c r="H73" s="689"/>
      <c r="I73" s="527">
        <v>47722</v>
      </c>
      <c r="J73" s="527">
        <v>60000</v>
      </c>
      <c r="K73" s="527">
        <v>60000</v>
      </c>
      <c r="L73" s="527">
        <v>15000</v>
      </c>
      <c r="M73" s="527">
        <f>SUM(I73:L73)</f>
        <v>182722</v>
      </c>
      <c r="N73" s="1088" t="s">
        <v>574</v>
      </c>
      <c r="O73" s="1082" t="s">
        <v>138</v>
      </c>
      <c r="P73" s="725"/>
      <c r="Q73" s="697" t="s">
        <v>338</v>
      </c>
      <c r="R73" s="564" t="s">
        <v>338</v>
      </c>
      <c r="S73" s="564" t="s">
        <v>338</v>
      </c>
      <c r="T73" s="564" t="s">
        <v>588</v>
      </c>
      <c r="U73" s="447" t="s">
        <v>10</v>
      </c>
      <c r="V73" s="170" t="s">
        <v>563</v>
      </c>
      <c r="W73" s="18">
        <v>5000</v>
      </c>
    </row>
    <row r="74" spans="1:23" ht="36" customHeight="1">
      <c r="A74" s="510"/>
      <c r="B74" s="540"/>
      <c r="C74" s="541"/>
      <c r="D74" s="542"/>
      <c r="E74" s="599"/>
      <c r="F74" s="559"/>
      <c r="G74" s="559"/>
      <c r="H74" s="690"/>
      <c r="I74" s="524"/>
      <c r="J74" s="524"/>
      <c r="K74" s="524"/>
      <c r="L74" s="524"/>
      <c r="M74" s="524"/>
      <c r="N74" s="1089"/>
      <c r="O74" s="1083"/>
      <c r="P74" s="642"/>
      <c r="Q74" s="705"/>
      <c r="R74" s="565"/>
      <c r="S74" s="565"/>
      <c r="T74" s="565"/>
      <c r="U74" s="565" t="s">
        <v>498</v>
      </c>
      <c r="V74" s="171" t="s">
        <v>549</v>
      </c>
      <c r="W74" s="19">
        <v>5000</v>
      </c>
    </row>
    <row r="75" spans="1:23" ht="18" customHeight="1">
      <c r="A75" s="510"/>
      <c r="B75" s="540"/>
      <c r="C75" s="541"/>
      <c r="D75" s="542"/>
      <c r="E75" s="599"/>
      <c r="F75" s="559"/>
      <c r="G75" s="559"/>
      <c r="H75" s="690"/>
      <c r="I75" s="524"/>
      <c r="J75" s="524"/>
      <c r="K75" s="524"/>
      <c r="L75" s="524"/>
      <c r="M75" s="524"/>
      <c r="N75" s="1089"/>
      <c r="O75" s="1083"/>
      <c r="P75" s="642"/>
      <c r="Q75" s="705"/>
      <c r="R75" s="565"/>
      <c r="S75" s="565"/>
      <c r="T75" s="565"/>
      <c r="U75" s="565"/>
      <c r="V75" s="577" t="s">
        <v>410</v>
      </c>
      <c r="W75" s="574">
        <v>71800</v>
      </c>
    </row>
    <row r="76" spans="1:23" ht="12.75" customHeight="1">
      <c r="A76" s="510"/>
      <c r="B76" s="540"/>
      <c r="C76" s="541"/>
      <c r="D76" s="542"/>
      <c r="E76" s="599"/>
      <c r="F76" s="559"/>
      <c r="G76" s="559"/>
      <c r="H76" s="690"/>
      <c r="I76" s="524"/>
      <c r="J76" s="524"/>
      <c r="K76" s="524"/>
      <c r="L76" s="524"/>
      <c r="M76" s="524"/>
      <c r="N76" s="1089"/>
      <c r="O76" s="1083"/>
      <c r="P76" s="642"/>
      <c r="Q76" s="705"/>
      <c r="R76" s="565"/>
      <c r="S76" s="565"/>
      <c r="T76" s="565"/>
      <c r="U76" s="565"/>
      <c r="V76" s="1074"/>
      <c r="W76" s="575"/>
    </row>
    <row r="77" spans="1:23" ht="25.5" customHeight="1">
      <c r="A77" s="510"/>
      <c r="B77" s="540"/>
      <c r="C77" s="541"/>
      <c r="D77" s="542"/>
      <c r="E77" s="599"/>
      <c r="F77" s="559"/>
      <c r="G77" s="559"/>
      <c r="H77" s="690"/>
      <c r="I77" s="524"/>
      <c r="J77" s="524"/>
      <c r="K77" s="524"/>
      <c r="L77" s="524"/>
      <c r="M77" s="524"/>
      <c r="N77" s="1089"/>
      <c r="O77" s="1083"/>
      <c r="P77" s="642"/>
      <c r="Q77" s="705"/>
      <c r="R77" s="565"/>
      <c r="S77" s="565"/>
      <c r="T77" s="565"/>
      <c r="U77" s="565"/>
      <c r="V77" s="171" t="s">
        <v>6</v>
      </c>
      <c r="W77" s="15">
        <v>1000</v>
      </c>
    </row>
    <row r="78" spans="1:23" ht="25.5" customHeight="1">
      <c r="A78" s="510"/>
      <c r="B78" s="540"/>
      <c r="C78" s="541"/>
      <c r="D78" s="542"/>
      <c r="E78" s="599"/>
      <c r="F78" s="559"/>
      <c r="G78" s="559"/>
      <c r="H78" s="690"/>
      <c r="I78" s="524"/>
      <c r="J78" s="524"/>
      <c r="K78" s="524"/>
      <c r="L78" s="524"/>
      <c r="M78" s="524"/>
      <c r="N78" s="1089"/>
      <c r="O78" s="1083"/>
      <c r="P78" s="642"/>
      <c r="Q78" s="705"/>
      <c r="R78" s="565"/>
      <c r="S78" s="565"/>
      <c r="T78" s="565"/>
      <c r="U78" s="565"/>
      <c r="V78" s="171" t="s">
        <v>335</v>
      </c>
      <c r="W78" s="15">
        <v>600</v>
      </c>
    </row>
    <row r="79" spans="1:23" ht="17.25" customHeight="1">
      <c r="A79" s="510"/>
      <c r="B79" s="540"/>
      <c r="C79" s="541"/>
      <c r="D79" s="542"/>
      <c r="E79" s="599"/>
      <c r="F79" s="559"/>
      <c r="G79" s="559"/>
      <c r="H79" s="690"/>
      <c r="I79" s="524"/>
      <c r="J79" s="524"/>
      <c r="K79" s="524"/>
      <c r="L79" s="524"/>
      <c r="M79" s="524"/>
      <c r="N79" s="1089"/>
      <c r="O79" s="1083"/>
      <c r="P79" s="642"/>
      <c r="Q79" s="705"/>
      <c r="R79" s="565"/>
      <c r="S79" s="565"/>
      <c r="T79" s="565"/>
      <c r="U79" s="565" t="s">
        <v>10</v>
      </c>
      <c r="V79" s="763" t="s">
        <v>237</v>
      </c>
      <c r="W79" s="565">
        <f>SUM(W73:W78)*0.07</f>
        <v>5838.000000000001</v>
      </c>
    </row>
    <row r="80" spans="1:23" ht="15.75" customHeight="1" thickBot="1">
      <c r="A80" s="510"/>
      <c r="B80" s="540"/>
      <c r="C80" s="541"/>
      <c r="D80" s="542"/>
      <c r="E80" s="599"/>
      <c r="F80" s="559"/>
      <c r="G80" s="559"/>
      <c r="H80" s="690"/>
      <c r="I80" s="525"/>
      <c r="J80" s="525"/>
      <c r="K80" s="525"/>
      <c r="L80" s="525"/>
      <c r="M80" s="525"/>
      <c r="N80" s="1090"/>
      <c r="O80" s="1084"/>
      <c r="P80" s="643"/>
      <c r="Q80" s="710"/>
      <c r="R80" s="566"/>
      <c r="S80" s="566"/>
      <c r="T80" s="566"/>
      <c r="U80" s="566"/>
      <c r="V80" s="578"/>
      <c r="W80" s="566"/>
    </row>
    <row r="81" spans="1:23" ht="18" customHeight="1" thickBot="1">
      <c r="A81" s="510"/>
      <c r="B81" s="543"/>
      <c r="C81" s="544"/>
      <c r="D81" s="545"/>
      <c r="E81" s="600"/>
      <c r="F81" s="568" t="s">
        <v>500</v>
      </c>
      <c r="G81" s="568"/>
      <c r="H81" s="568"/>
      <c r="I81" s="568"/>
      <c r="J81" s="8"/>
      <c r="K81" s="8"/>
      <c r="L81" s="8"/>
      <c r="M81" s="8"/>
      <c r="N81" s="14"/>
      <c r="O81" s="14"/>
      <c r="P81" s="14"/>
      <c r="Q81" s="14"/>
      <c r="R81" s="14"/>
      <c r="S81" s="14"/>
      <c r="T81" s="14"/>
      <c r="U81" s="14"/>
      <c r="V81" s="14"/>
      <c r="W81" s="21">
        <f>SUM(W73:W80)</f>
        <v>89238</v>
      </c>
    </row>
    <row r="82" spans="1:23" ht="21.75" customHeight="1" thickBot="1">
      <c r="A82" s="510"/>
      <c r="B82" s="665" t="s">
        <v>12</v>
      </c>
      <c r="C82" s="666"/>
      <c r="D82" s="667"/>
      <c r="E82" s="211"/>
      <c r="F82" s="220"/>
      <c r="G82" s="220"/>
      <c r="H82" s="220"/>
      <c r="I82" s="220"/>
      <c r="J82" s="217"/>
      <c r="K82" s="217"/>
      <c r="L82" s="217"/>
      <c r="M82" s="217"/>
      <c r="N82" s="13"/>
      <c r="O82" s="13"/>
      <c r="P82" s="13"/>
      <c r="Q82" s="13"/>
      <c r="R82" s="13"/>
      <c r="S82" s="13"/>
      <c r="T82" s="13"/>
      <c r="U82" s="13"/>
      <c r="V82" s="13"/>
      <c r="W82" s="12">
        <f>W81</f>
        <v>89238</v>
      </c>
    </row>
    <row r="83" spans="1:23" ht="16.5" customHeight="1">
      <c r="A83" s="510"/>
      <c r="B83" s="537" t="s">
        <v>602</v>
      </c>
      <c r="C83" s="538"/>
      <c r="D83" s="539"/>
      <c r="E83" s="598" t="s">
        <v>148</v>
      </c>
      <c r="F83" s="662" t="s">
        <v>455</v>
      </c>
      <c r="G83" s="662"/>
      <c r="H83" s="689"/>
      <c r="I83" s="527">
        <v>47722</v>
      </c>
      <c r="J83" s="527">
        <v>60000</v>
      </c>
      <c r="K83" s="527">
        <v>60000</v>
      </c>
      <c r="L83" s="527">
        <v>15000</v>
      </c>
      <c r="M83" s="527">
        <f>SUM(I83:L83)</f>
        <v>182722</v>
      </c>
      <c r="N83" s="1029" t="s">
        <v>567</v>
      </c>
      <c r="O83" s="1029" t="s">
        <v>63</v>
      </c>
      <c r="P83" s="1038"/>
      <c r="Q83" s="1038"/>
      <c r="R83" s="527"/>
      <c r="S83" s="527"/>
      <c r="T83" s="564" t="s">
        <v>600</v>
      </c>
      <c r="U83" s="564" t="s">
        <v>498</v>
      </c>
      <c r="V83" s="1029" t="s">
        <v>563</v>
      </c>
      <c r="W83" s="564">
        <v>4000</v>
      </c>
    </row>
    <row r="84" spans="1:23" ht="18" customHeight="1">
      <c r="A84" s="510"/>
      <c r="B84" s="540"/>
      <c r="C84" s="541"/>
      <c r="D84" s="542"/>
      <c r="E84" s="599"/>
      <c r="F84" s="559"/>
      <c r="G84" s="559"/>
      <c r="H84" s="690"/>
      <c r="I84" s="524"/>
      <c r="J84" s="524"/>
      <c r="K84" s="524"/>
      <c r="L84" s="524"/>
      <c r="M84" s="524"/>
      <c r="N84" s="1030"/>
      <c r="O84" s="1030"/>
      <c r="P84" s="1039"/>
      <c r="Q84" s="1039"/>
      <c r="R84" s="524"/>
      <c r="S84" s="524"/>
      <c r="T84" s="565"/>
      <c r="U84" s="565"/>
      <c r="V84" s="1072"/>
      <c r="W84" s="575"/>
    </row>
    <row r="85" spans="1:23" ht="19.5" customHeight="1">
      <c r="A85" s="510"/>
      <c r="B85" s="540"/>
      <c r="C85" s="541"/>
      <c r="D85" s="542"/>
      <c r="E85" s="599"/>
      <c r="F85" s="559"/>
      <c r="G85" s="559"/>
      <c r="H85" s="690"/>
      <c r="I85" s="524"/>
      <c r="J85" s="524"/>
      <c r="K85" s="524"/>
      <c r="L85" s="524"/>
      <c r="M85" s="524"/>
      <c r="N85" s="1030"/>
      <c r="O85" s="1030"/>
      <c r="P85" s="1039"/>
      <c r="Q85" s="1039"/>
      <c r="R85" s="524"/>
      <c r="S85" s="524"/>
      <c r="T85" s="565"/>
      <c r="U85" s="565"/>
      <c r="V85" s="172" t="s">
        <v>439</v>
      </c>
      <c r="W85" s="19">
        <v>1000</v>
      </c>
    </row>
    <row r="86" spans="1:23" ht="23.25" customHeight="1" thickBot="1">
      <c r="A86" s="510"/>
      <c r="B86" s="540"/>
      <c r="C86" s="541"/>
      <c r="D86" s="542"/>
      <c r="E86" s="599"/>
      <c r="F86" s="692"/>
      <c r="G86" s="692"/>
      <c r="H86" s="693"/>
      <c r="I86" s="525"/>
      <c r="J86" s="525"/>
      <c r="K86" s="525"/>
      <c r="L86" s="525"/>
      <c r="M86" s="525"/>
      <c r="N86" s="1031"/>
      <c r="O86" s="1031"/>
      <c r="P86" s="1040"/>
      <c r="Q86" s="1040"/>
      <c r="R86" s="525"/>
      <c r="S86" s="525"/>
      <c r="T86" s="566"/>
      <c r="U86" s="566"/>
      <c r="V86" s="341" t="s">
        <v>237</v>
      </c>
      <c r="W86" s="11">
        <f>SUM(W83:W85)*0.07</f>
        <v>350.00000000000006</v>
      </c>
    </row>
    <row r="87" spans="1:23" ht="16.5" customHeight="1" thickBot="1">
      <c r="A87" s="510"/>
      <c r="B87" s="543"/>
      <c r="C87" s="544"/>
      <c r="D87" s="545"/>
      <c r="E87" s="600"/>
      <c r="F87" s="568" t="s">
        <v>456</v>
      </c>
      <c r="G87" s="568"/>
      <c r="H87" s="568"/>
      <c r="I87" s="568"/>
      <c r="J87" s="217"/>
      <c r="K87" s="217"/>
      <c r="L87" s="217"/>
      <c r="M87" s="217"/>
      <c r="N87" s="14"/>
      <c r="O87" s="14"/>
      <c r="P87" s="14"/>
      <c r="Q87" s="14"/>
      <c r="R87" s="14"/>
      <c r="S87" s="14"/>
      <c r="T87" s="14"/>
      <c r="U87" s="14"/>
      <c r="V87" s="14"/>
      <c r="W87" s="21">
        <f>SUM(W83:W86)</f>
        <v>5350</v>
      </c>
    </row>
    <row r="88" spans="1:23" ht="18.75" customHeight="1" thickBot="1">
      <c r="A88" s="511"/>
      <c r="B88" s="550" t="s">
        <v>210</v>
      </c>
      <c r="C88" s="551"/>
      <c r="D88" s="552"/>
      <c r="E88" s="211"/>
      <c r="F88" s="220"/>
      <c r="G88" s="220"/>
      <c r="H88" s="220"/>
      <c r="I88" s="220"/>
      <c r="J88" s="10"/>
      <c r="K88" s="10"/>
      <c r="L88" s="10"/>
      <c r="M88" s="10"/>
      <c r="N88" s="47"/>
      <c r="O88" s="47"/>
      <c r="P88" s="47"/>
      <c r="Q88" s="47"/>
      <c r="R88" s="47"/>
      <c r="S88" s="47"/>
      <c r="T88" s="47"/>
      <c r="U88" s="47"/>
      <c r="V88" s="47"/>
      <c r="W88" s="12">
        <f>W87</f>
        <v>5350</v>
      </c>
    </row>
    <row r="89" spans="1:23" ht="18" customHeight="1" thickBot="1">
      <c r="A89" s="512" t="s">
        <v>405</v>
      </c>
      <c r="B89" s="513"/>
      <c r="C89" s="513"/>
      <c r="D89" s="513"/>
      <c r="E89" s="513"/>
      <c r="F89" s="513"/>
      <c r="G89" s="513"/>
      <c r="H89" s="513"/>
      <c r="I89" s="513"/>
      <c r="J89" s="513"/>
      <c r="K89" s="513"/>
      <c r="L89" s="513"/>
      <c r="M89" s="513"/>
      <c r="N89" s="513"/>
      <c r="O89" s="513"/>
      <c r="P89" s="513"/>
      <c r="Q89" s="513"/>
      <c r="R89" s="513"/>
      <c r="S89" s="513"/>
      <c r="T89" s="513"/>
      <c r="U89" s="513"/>
      <c r="V89" s="328"/>
      <c r="W89" s="77">
        <f>W88+W82+W72+W51+W46+W32+W20+W58</f>
        <v>482606.41209999996</v>
      </c>
    </row>
    <row r="90" spans="1:23" ht="18" customHeight="1" thickBot="1">
      <c r="A90" s="512"/>
      <c r="B90" s="513"/>
      <c r="C90" s="513"/>
      <c r="D90" s="513"/>
      <c r="E90" s="513"/>
      <c r="F90" s="513"/>
      <c r="G90" s="513"/>
      <c r="H90" s="513"/>
      <c r="I90" s="513"/>
      <c r="J90" s="513"/>
      <c r="K90" s="513"/>
      <c r="L90" s="513"/>
      <c r="M90" s="513"/>
      <c r="N90" s="513"/>
      <c r="O90" s="513"/>
      <c r="P90" s="513"/>
      <c r="Q90" s="513"/>
      <c r="R90" s="513"/>
      <c r="S90" s="513"/>
      <c r="T90" s="513"/>
      <c r="U90" s="513"/>
      <c r="V90" s="328"/>
      <c r="W90" s="76"/>
    </row>
    <row r="91" spans="1:23" ht="18" customHeight="1" thickBot="1">
      <c r="A91" s="512" t="s">
        <v>192</v>
      </c>
      <c r="B91" s="513"/>
      <c r="C91" s="513"/>
      <c r="D91" s="513"/>
      <c r="E91" s="513"/>
      <c r="F91" s="513"/>
      <c r="G91" s="513"/>
      <c r="H91" s="513"/>
      <c r="I91" s="513"/>
      <c r="J91" s="513"/>
      <c r="K91" s="513"/>
      <c r="L91" s="513"/>
      <c r="M91" s="513"/>
      <c r="N91" s="513"/>
      <c r="O91" s="513"/>
      <c r="P91" s="513"/>
      <c r="Q91" s="513"/>
      <c r="R91" s="513"/>
      <c r="S91" s="513"/>
      <c r="T91" s="513"/>
      <c r="U91" s="513"/>
      <c r="V91" s="328"/>
      <c r="W91" s="77">
        <f>W88+W46+W20</f>
        <v>194259.3881</v>
      </c>
    </row>
    <row r="92" spans="1:23" ht="18" customHeight="1" thickBot="1">
      <c r="A92" s="512" t="s">
        <v>344</v>
      </c>
      <c r="B92" s="513"/>
      <c r="C92" s="513"/>
      <c r="D92" s="513"/>
      <c r="E92" s="513"/>
      <c r="F92" s="513"/>
      <c r="G92" s="513"/>
      <c r="H92" s="513"/>
      <c r="I92" s="513"/>
      <c r="J92" s="513"/>
      <c r="K92" s="513"/>
      <c r="L92" s="513"/>
      <c r="M92" s="513"/>
      <c r="N92" s="513"/>
      <c r="O92" s="513"/>
      <c r="P92" s="513"/>
      <c r="Q92" s="513"/>
      <c r="R92" s="513"/>
      <c r="S92" s="513"/>
      <c r="T92" s="513"/>
      <c r="U92" s="513"/>
      <c r="V92" s="328"/>
      <c r="W92" s="77">
        <f>W72+W32+W58</f>
        <v>188409.024</v>
      </c>
    </row>
    <row r="93" spans="1:23" ht="18" customHeight="1" thickBot="1">
      <c r="A93" s="512" t="s">
        <v>345</v>
      </c>
      <c r="B93" s="513"/>
      <c r="C93" s="513"/>
      <c r="D93" s="513"/>
      <c r="E93" s="513"/>
      <c r="F93" s="513"/>
      <c r="G93" s="513"/>
      <c r="H93" s="513"/>
      <c r="I93" s="513"/>
      <c r="J93" s="513"/>
      <c r="K93" s="513"/>
      <c r="L93" s="513"/>
      <c r="M93" s="513"/>
      <c r="N93" s="513"/>
      <c r="O93" s="513"/>
      <c r="P93" s="513"/>
      <c r="Q93" s="513"/>
      <c r="R93" s="513"/>
      <c r="S93" s="513"/>
      <c r="T93" s="513"/>
      <c r="U93" s="513"/>
      <c r="V93" s="328"/>
      <c r="W93" s="77">
        <f>W51</f>
        <v>10700</v>
      </c>
    </row>
    <row r="94" spans="1:23" ht="18" customHeight="1" thickBot="1">
      <c r="A94" s="512" t="s">
        <v>376</v>
      </c>
      <c r="B94" s="513"/>
      <c r="C94" s="513"/>
      <c r="D94" s="513"/>
      <c r="E94" s="513"/>
      <c r="F94" s="513"/>
      <c r="G94" s="513"/>
      <c r="H94" s="513"/>
      <c r="I94" s="513"/>
      <c r="J94" s="513"/>
      <c r="K94" s="513"/>
      <c r="L94" s="513"/>
      <c r="M94" s="513"/>
      <c r="N94" s="513"/>
      <c r="O94" s="513"/>
      <c r="P94" s="513"/>
      <c r="Q94" s="513"/>
      <c r="R94" s="513"/>
      <c r="S94" s="513"/>
      <c r="T94" s="513"/>
      <c r="U94" s="513"/>
      <c r="V94" s="328"/>
      <c r="W94" s="77">
        <f>W82</f>
        <v>89238</v>
      </c>
    </row>
    <row r="96" ht="12.75">
      <c r="W96" s="78"/>
    </row>
    <row r="97" ht="12.75">
      <c r="W97" s="78"/>
    </row>
    <row r="98" ht="12.75">
      <c r="W98" s="78"/>
    </row>
  </sheetData>
  <sheetProtection/>
  <mergeCells count="212">
    <mergeCell ref="Y21:Y30"/>
    <mergeCell ref="N52:N56"/>
    <mergeCell ref="O52:O56"/>
    <mergeCell ref="N59:N61"/>
    <mergeCell ref="N37:N39"/>
    <mergeCell ref="V36:V37"/>
    <mergeCell ref="V38:V39"/>
    <mergeCell ref="W38:W39"/>
    <mergeCell ref="W36:W37"/>
    <mergeCell ref="W61:W62"/>
    <mergeCell ref="W29:W30"/>
    <mergeCell ref="W83:W84"/>
    <mergeCell ref="W79:W80"/>
    <mergeCell ref="W75:W76"/>
    <mergeCell ref="B83:D87"/>
    <mergeCell ref="F87:I87"/>
    <mergeCell ref="K83:K86"/>
    <mergeCell ref="O73:O80"/>
    <mergeCell ref="Q73:Q80"/>
    <mergeCell ref="R64:R70"/>
    <mergeCell ref="E59:E71"/>
    <mergeCell ref="F71:I71"/>
    <mergeCell ref="F64:H70"/>
    <mergeCell ref="B59:D71"/>
    <mergeCell ref="U59:U62"/>
    <mergeCell ref="B72:D72"/>
    <mergeCell ref="S83:S86"/>
    <mergeCell ref="N73:N80"/>
    <mergeCell ref="P73:P80"/>
    <mergeCell ref="R73:R80"/>
    <mergeCell ref="S73:S80"/>
    <mergeCell ref="O64:O70"/>
    <mergeCell ref="N83:N86"/>
    <mergeCell ref="O59:O62"/>
    <mergeCell ref="P59:P62"/>
    <mergeCell ref="V83:V84"/>
    <mergeCell ref="F57:I57"/>
    <mergeCell ref="V61:V62"/>
    <mergeCell ref="L83:L86"/>
    <mergeCell ref="V75:V76"/>
    <mergeCell ref="R47:R49"/>
    <mergeCell ref="Q21:Q30"/>
    <mergeCell ref="R21:R30"/>
    <mergeCell ref="S59:S62"/>
    <mergeCell ref="R59:R62"/>
    <mergeCell ref="U74:U78"/>
    <mergeCell ref="U79:U80"/>
    <mergeCell ref="T59:T62"/>
    <mergeCell ref="Q59:Q62"/>
    <mergeCell ref="P47:P49"/>
    <mergeCell ref="U52:U56"/>
    <mergeCell ref="U33:U39"/>
    <mergeCell ref="P33:P34"/>
    <mergeCell ref="Q35:Q36"/>
    <mergeCell ref="Q37:Q39"/>
    <mergeCell ref="T41:T44"/>
    <mergeCell ref="U47:U49"/>
    <mergeCell ref="U41:U44"/>
    <mergeCell ref="Q47:Q49"/>
    <mergeCell ref="E7:E9"/>
    <mergeCell ref="B10:D19"/>
    <mergeCell ref="J59:J62"/>
    <mergeCell ref="S21:S30"/>
    <mergeCell ref="T21:T30"/>
    <mergeCell ref="J73:J80"/>
    <mergeCell ref="N64:N70"/>
    <mergeCell ref="K59:K62"/>
    <mergeCell ref="L59:L62"/>
    <mergeCell ref="P52:P56"/>
    <mergeCell ref="N47:N49"/>
    <mergeCell ref="T47:T49"/>
    <mergeCell ref="M33:M38"/>
    <mergeCell ref="S10:S13"/>
    <mergeCell ref="N10:N13"/>
    <mergeCell ref="P10:P13"/>
    <mergeCell ref="Q10:Q13"/>
    <mergeCell ref="P15:P18"/>
    <mergeCell ref="Q15:Q18"/>
    <mergeCell ref="R15:R18"/>
    <mergeCell ref="S15:S18"/>
    <mergeCell ref="R10:R13"/>
    <mergeCell ref="Q52:Q56"/>
    <mergeCell ref="O15:O16"/>
    <mergeCell ref="A5:W5"/>
    <mergeCell ref="S47:S49"/>
    <mergeCell ref="O7:O9"/>
    <mergeCell ref="F33:H39"/>
    <mergeCell ref="P7:S8"/>
    <mergeCell ref="K15:K18"/>
    <mergeCell ref="L15:L18"/>
    <mergeCell ref="M15:M18"/>
    <mergeCell ref="K33:K38"/>
    <mergeCell ref="L33:L38"/>
    <mergeCell ref="J33:J38"/>
    <mergeCell ref="F40:I40"/>
    <mergeCell ref="F45:I45"/>
    <mergeCell ref="F47:H49"/>
    <mergeCell ref="I47:I49"/>
    <mergeCell ref="F41:H44"/>
    <mergeCell ref="I41:I43"/>
    <mergeCell ref="B46:D46"/>
    <mergeCell ref="E33:E45"/>
    <mergeCell ref="E47:E50"/>
    <mergeCell ref="F50:I50"/>
    <mergeCell ref="I33:I38"/>
    <mergeCell ref="N35:N36"/>
    <mergeCell ref="B7:D9"/>
    <mergeCell ref="A1:W1"/>
    <mergeCell ref="A2:W2"/>
    <mergeCell ref="L10:L12"/>
    <mergeCell ref="M10:M12"/>
    <mergeCell ref="K10:K12"/>
    <mergeCell ref="A4:W4"/>
    <mergeCell ref="T10:T13"/>
    <mergeCell ref="A10:A32"/>
    <mergeCell ref="F19:I19"/>
    <mergeCell ref="B20:D20"/>
    <mergeCell ref="U7:W8"/>
    <mergeCell ref="F10:H13"/>
    <mergeCell ref="I10:I12"/>
    <mergeCell ref="N21:N23"/>
    <mergeCell ref="N15:N18"/>
    <mergeCell ref="I21:I26"/>
    <mergeCell ref="J21:J26"/>
    <mergeCell ref="N24:N26"/>
    <mergeCell ref="T15:T18"/>
    <mergeCell ref="B32:D32"/>
    <mergeCell ref="T7:T9"/>
    <mergeCell ref="J10:J12"/>
    <mergeCell ref="F14:I14"/>
    <mergeCell ref="I15:I18"/>
    <mergeCell ref="F21:H30"/>
    <mergeCell ref="P21:P30"/>
    <mergeCell ref="O10:O13"/>
    <mergeCell ref="O21:O30"/>
    <mergeCell ref="U21:U30"/>
    <mergeCell ref="F15:H18"/>
    <mergeCell ref="K21:K26"/>
    <mergeCell ref="L21:L26"/>
    <mergeCell ref="J15:J18"/>
    <mergeCell ref="U15:U18"/>
    <mergeCell ref="U10:U13"/>
    <mergeCell ref="V10:V11"/>
    <mergeCell ref="W10:W11"/>
    <mergeCell ref="V12:V13"/>
    <mergeCell ref="W12:W13"/>
    <mergeCell ref="O17:O18"/>
    <mergeCell ref="V29:V30"/>
    <mergeCell ref="T33:T39"/>
    <mergeCell ref="K73:K80"/>
    <mergeCell ref="A7:A9"/>
    <mergeCell ref="L47:L49"/>
    <mergeCell ref="M47:M49"/>
    <mergeCell ref="K41:K43"/>
    <mergeCell ref="L41:L43"/>
    <mergeCell ref="M41:M43"/>
    <mergeCell ref="M21:M26"/>
    <mergeCell ref="A33:A88"/>
    <mergeCell ref="E10:E19"/>
    <mergeCell ref="E21:E31"/>
    <mergeCell ref="B21:D31"/>
    <mergeCell ref="F31:I31"/>
    <mergeCell ref="B52:D57"/>
    <mergeCell ref="E52:E57"/>
    <mergeCell ref="F52:H56"/>
    <mergeCell ref="B58:D58"/>
    <mergeCell ref="V79:V80"/>
    <mergeCell ref="Q83:Q86"/>
    <mergeCell ref="R83:R86"/>
    <mergeCell ref="F7:H9"/>
    <mergeCell ref="I7:I9"/>
    <mergeCell ref="K47:K49"/>
    <mergeCell ref="N33:N34"/>
    <mergeCell ref="M59:M62"/>
    <mergeCell ref="A94:U94"/>
    <mergeCell ref="T83:T86"/>
    <mergeCell ref="U83:U86"/>
    <mergeCell ref="A89:U89"/>
    <mergeCell ref="A90:U90"/>
    <mergeCell ref="A91:U91"/>
    <mergeCell ref="A93:U93"/>
    <mergeCell ref="J41:J43"/>
    <mergeCell ref="B47:D50"/>
    <mergeCell ref="B51:D51"/>
    <mergeCell ref="B33:D45"/>
    <mergeCell ref="F63:I63"/>
    <mergeCell ref="J47:J49"/>
    <mergeCell ref="F59:H62"/>
    <mergeCell ref="I59:I62"/>
    <mergeCell ref="P83:P86"/>
    <mergeCell ref="S64:S70"/>
    <mergeCell ref="O33:O34"/>
    <mergeCell ref="O35:O36"/>
    <mergeCell ref="O37:O39"/>
    <mergeCell ref="O47:O49"/>
    <mergeCell ref="J83:J86"/>
    <mergeCell ref="B88:D88"/>
    <mergeCell ref="B73:D81"/>
    <mergeCell ref="F73:H80"/>
    <mergeCell ref="I73:I80"/>
    <mergeCell ref="E83:E87"/>
    <mergeCell ref="I83:I86"/>
    <mergeCell ref="A92:U92"/>
    <mergeCell ref="T73:T80"/>
    <mergeCell ref="F81:I81"/>
    <mergeCell ref="B82:D82"/>
    <mergeCell ref="M83:M86"/>
    <mergeCell ref="F83:H86"/>
    <mergeCell ref="E73:E81"/>
    <mergeCell ref="O83:O86"/>
    <mergeCell ref="L73:L80"/>
    <mergeCell ref="M73:M80"/>
  </mergeCells>
  <printOptions/>
  <pageMargins left="0.6299212598425197" right="0.5905511811023623" top="0.984251968503937" bottom="0.5905511811023623" header="0.5118110236220472" footer="0.4330708661417323"/>
  <pageSetup fitToHeight="4" horizontalDpi="300" verticalDpi="300" orientation="landscape" paperSize="127" scale="61" r:id="rId3"/>
  <headerFooter alignWithMargins="0">
    <oddFooter>&amp;CPágina &amp;P</oddFooter>
  </headerFooter>
  <rowBreaks count="3" manualBreakCount="3">
    <brk id="31" max="21" man="1"/>
    <brk id="51" max="22" man="1"/>
    <brk id="71" max="2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J21" sqref="J21"/>
    </sheetView>
  </sheetViews>
  <sheetFormatPr defaultColWidth="11.421875" defaultRowHeight="12.75"/>
  <cols>
    <col min="1" max="2" width="11.421875" style="1" customWidth="1"/>
    <col min="3" max="3" width="30.421875" style="1" customWidth="1"/>
    <col min="4" max="4" width="11.421875" style="3" customWidth="1"/>
    <col min="5" max="6" width="11.421875" style="1" customWidth="1"/>
    <col min="7" max="7" width="11.421875" style="7" customWidth="1"/>
    <col min="8" max="16384" width="11.421875" style="1" customWidth="1"/>
  </cols>
  <sheetData>
    <row r="1" ht="12.75">
      <c r="A1" s="25">
        <v>39791</v>
      </c>
    </row>
    <row r="2" ht="12.75"/>
    <row r="3" spans="1:5" ht="15">
      <c r="A3" s="1108" t="s">
        <v>153</v>
      </c>
      <c r="B3" s="1108"/>
      <c r="C3" s="1108"/>
      <c r="D3" s="1108"/>
      <c r="E3" s="1108"/>
    </row>
    <row r="4" spans="1:5" ht="15">
      <c r="A4" s="1108" t="s">
        <v>154</v>
      </c>
      <c r="B4" s="1108"/>
      <c r="C4" s="1108"/>
      <c r="D4" s="1108"/>
      <c r="E4" s="1108"/>
    </row>
    <row r="5" spans="1:5" ht="15.75" thickBot="1">
      <c r="A5" s="40"/>
      <c r="B5" s="40"/>
      <c r="C5" s="40"/>
      <c r="D5" s="40"/>
      <c r="E5" s="40"/>
    </row>
    <row r="6" spans="4:7" ht="15" customHeight="1" thickBot="1">
      <c r="D6" s="33">
        <v>2009</v>
      </c>
      <c r="E6" s="22">
        <v>2010</v>
      </c>
      <c r="F6" s="35">
        <v>2011</v>
      </c>
      <c r="G6" s="35" t="s">
        <v>142</v>
      </c>
    </row>
    <row r="7" spans="2:7" ht="15">
      <c r="B7" s="1106" t="s">
        <v>155</v>
      </c>
      <c r="C7" s="1107"/>
      <c r="D7" s="29">
        <f>SUM(D8:D10)</f>
        <v>62423.68518518519</v>
      </c>
      <c r="E7" s="29">
        <f>SUM(E8:E10)</f>
        <v>66793.34314814815</v>
      </c>
      <c r="F7" s="29">
        <f>SUM(F8:F10)</f>
        <v>71468.8682962963</v>
      </c>
      <c r="G7" s="29">
        <f>SUM(D7:F7)</f>
        <v>200685.89662962966</v>
      </c>
    </row>
    <row r="8" spans="2:7" ht="12.75">
      <c r="B8" s="2"/>
      <c r="C8" s="2" t="s">
        <v>156</v>
      </c>
      <c r="D8" s="28">
        <f>(73875*9)/18.9+(73875*1.07*3/18.9)+(73875/18.9*0.015*12)</f>
        <v>48429.16666666667</v>
      </c>
      <c r="E8" s="28">
        <f>(79046.25*9)/18.9+(79046.25*1.07*3/18.9)+(79046.25/18.9*0.015*12)</f>
        <v>51819.20833333334</v>
      </c>
      <c r="F8" s="28">
        <f>(84579.48*9)/18.9+(84579.48*1.07*3/18.9)+(84579.48/18.9*0.015*12)</f>
        <v>55446.54800000001</v>
      </c>
      <c r="G8" s="38">
        <f aca="true" t="shared" si="0" ref="G8:G43">SUM(D8:F8)</f>
        <v>155694.923</v>
      </c>
    </row>
    <row r="9" spans="2:7" ht="12.75">
      <c r="B9" s="2"/>
      <c r="C9" s="2" t="s">
        <v>157</v>
      </c>
      <c r="D9" s="28">
        <f>(11340*8/18.9)+(11340*4*1.07/18.9)+(11340/18.9*0.015*12)</f>
        <v>7476</v>
      </c>
      <c r="E9" s="28">
        <f>(12133.8*8/18.9)+(12133.8*4*1.07/18.9)+(12133.8/18.9*0.015*12)</f>
        <v>7999.320000000001</v>
      </c>
      <c r="F9" s="28">
        <f>(12983.16*8/18.9)+(12983.16*4*1.07/18.9)+(12983.16/18.9*0.015*12)</f>
        <v>8559.268444444446</v>
      </c>
      <c r="G9" s="38">
        <f t="shared" si="0"/>
        <v>24034.588444444445</v>
      </c>
    </row>
    <row r="10" spans="2:7" ht="12.75">
      <c r="B10" s="2"/>
      <c r="C10" s="2" t="s">
        <v>158</v>
      </c>
      <c r="D10" s="28">
        <f>10000/18.9*10+(10000*1.07*2/18.9)+(10000/18.9*0.015*12)</f>
        <v>6518.518518518518</v>
      </c>
      <c r="E10" s="28">
        <f>10700/18.9*10+(10700*1.07*2/18.9)+(10700/18.9*0.015*12)</f>
        <v>6974.814814814815</v>
      </c>
      <c r="F10" s="28">
        <f>11449/18.9*10+(11449*1.07*2/18.9)+(11449/18.9*0.015*12)</f>
        <v>7463.051851851854</v>
      </c>
      <c r="G10" s="38">
        <f t="shared" si="0"/>
        <v>20956.385185185187</v>
      </c>
    </row>
    <row r="11" spans="2:7" ht="15">
      <c r="B11" s="1106" t="s">
        <v>159</v>
      </c>
      <c r="C11" s="1107"/>
      <c r="D11" s="26">
        <f>SUM(D12:D12)</f>
        <v>7500</v>
      </c>
      <c r="E11" s="26">
        <f>SUM(E12:E12)</f>
        <v>7500</v>
      </c>
      <c r="F11" s="26">
        <f>SUM(F12:F12)</f>
        <v>3000</v>
      </c>
      <c r="G11" s="29">
        <f t="shared" si="0"/>
        <v>18000</v>
      </c>
    </row>
    <row r="12" spans="3:7" ht="12.75">
      <c r="C12" s="1" t="s">
        <v>160</v>
      </c>
      <c r="D12" s="3">
        <v>7500</v>
      </c>
      <c r="E12" s="3">
        <v>7500</v>
      </c>
      <c r="F12" s="3">
        <v>3000</v>
      </c>
      <c r="G12" s="38">
        <f t="shared" si="0"/>
        <v>18000</v>
      </c>
    </row>
    <row r="13" spans="2:7" ht="15">
      <c r="B13" s="1106" t="s">
        <v>161</v>
      </c>
      <c r="C13" s="1107"/>
      <c r="D13" s="26">
        <f>SUM(D14:D15)</f>
        <v>21000</v>
      </c>
      <c r="E13" s="26">
        <f>SUM(E14:E15)</f>
        <v>0</v>
      </c>
      <c r="F13" s="26">
        <f>SUM(F14:F15)</f>
        <v>0</v>
      </c>
      <c r="G13" s="29">
        <f t="shared" si="0"/>
        <v>21000</v>
      </c>
    </row>
    <row r="14" spans="3:7" ht="12.75">
      <c r="C14" s="1" t="s">
        <v>162</v>
      </c>
      <c r="D14" s="3">
        <v>20000</v>
      </c>
      <c r="E14" s="3">
        <v>0</v>
      </c>
      <c r="F14" s="3">
        <v>0</v>
      </c>
      <c r="G14" s="38">
        <f t="shared" si="0"/>
        <v>20000</v>
      </c>
    </row>
    <row r="15" spans="3:7" ht="12.75">
      <c r="C15" s="1" t="s">
        <v>191</v>
      </c>
      <c r="D15" s="3">
        <v>1000</v>
      </c>
      <c r="E15" s="3">
        <v>0</v>
      </c>
      <c r="F15" s="3">
        <v>0</v>
      </c>
      <c r="G15" s="38">
        <f t="shared" si="0"/>
        <v>1000</v>
      </c>
    </row>
    <row r="16" spans="2:7" ht="15">
      <c r="B16" s="30" t="s">
        <v>163</v>
      </c>
      <c r="C16" s="31"/>
      <c r="D16" s="26" t="e">
        <f>SUM(D17:D18)</f>
        <v>#REF!</v>
      </c>
      <c r="E16" s="26" t="e">
        <f>SUM(E17:E18)</f>
        <v>#REF!</v>
      </c>
      <c r="F16" s="26" t="e">
        <f>SUM(F17:F18)</f>
        <v>#REF!</v>
      </c>
      <c r="G16" s="29" t="e">
        <f t="shared" si="0"/>
        <v>#REF!</v>
      </c>
    </row>
    <row r="17" spans="3:7" ht="12.75">
      <c r="C17" s="1" t="s">
        <v>145</v>
      </c>
      <c r="D17" s="3">
        <f>30*12</f>
        <v>360</v>
      </c>
      <c r="E17" s="3">
        <f>30*12</f>
        <v>360</v>
      </c>
      <c r="F17" s="3">
        <f>30*12</f>
        <v>360</v>
      </c>
      <c r="G17" s="38">
        <f t="shared" si="0"/>
        <v>1080</v>
      </c>
    </row>
    <row r="18" spans="3:7" ht="12.75">
      <c r="C18" s="1" t="s">
        <v>147</v>
      </c>
      <c r="D18" s="3" t="e">
        <f>330*10+(330*1.1*12)-#REF!</f>
        <v>#REF!</v>
      </c>
      <c r="E18" s="3" t="e">
        <f>(380*1.1*12)-#REF!</f>
        <v>#REF!</v>
      </c>
      <c r="F18" s="3" t="e">
        <f>420*1.1*12-#REF!</f>
        <v>#REF!</v>
      </c>
      <c r="G18" s="38" t="e">
        <f t="shared" si="0"/>
        <v>#REF!</v>
      </c>
    </row>
    <row r="19" spans="2:9" ht="15">
      <c r="B19" s="32" t="s">
        <v>164</v>
      </c>
      <c r="C19" s="32"/>
      <c r="D19" s="26">
        <f>SUM(D20)</f>
        <v>400</v>
      </c>
      <c r="E19" s="26">
        <f>SUM(E20)</f>
        <v>500</v>
      </c>
      <c r="F19" s="26">
        <f>SUM(F20)</f>
        <v>100</v>
      </c>
      <c r="G19" s="29">
        <f t="shared" si="0"/>
        <v>1000</v>
      </c>
      <c r="I19" s="3"/>
    </row>
    <row r="20" spans="3:9" ht="12.75">
      <c r="C20" s="1" t="s">
        <v>165</v>
      </c>
      <c r="D20" s="3">
        <v>400</v>
      </c>
      <c r="E20" s="3">
        <v>500</v>
      </c>
      <c r="F20" s="3">
        <v>100</v>
      </c>
      <c r="G20" s="37">
        <f t="shared" si="0"/>
        <v>1000</v>
      </c>
      <c r="I20" s="3"/>
    </row>
    <row r="21" spans="2:9" ht="15">
      <c r="B21" s="1109" t="s">
        <v>166</v>
      </c>
      <c r="C21" s="1109"/>
      <c r="D21" s="26">
        <f>SUM(D22:D23)</f>
        <v>1000</v>
      </c>
      <c r="E21" s="26">
        <f>SUM(E22:E23)</f>
        <v>500</v>
      </c>
      <c r="F21" s="26">
        <f>SUM(F22:F23)</f>
        <v>500</v>
      </c>
      <c r="G21" s="26">
        <f t="shared" si="0"/>
        <v>2000</v>
      </c>
      <c r="I21" s="3"/>
    </row>
    <row r="22" spans="3:9" ht="12.75">
      <c r="C22" s="1" t="s">
        <v>167</v>
      </c>
      <c r="D22" s="3">
        <v>500</v>
      </c>
      <c r="E22" s="3">
        <v>500</v>
      </c>
      <c r="F22" s="3">
        <v>500</v>
      </c>
      <c r="G22" s="37">
        <f t="shared" si="0"/>
        <v>1500</v>
      </c>
      <c r="I22" s="3"/>
    </row>
    <row r="23" spans="3:9" ht="12.75">
      <c r="C23" s="1" t="s">
        <v>168</v>
      </c>
      <c r="D23" s="3">
        <v>500</v>
      </c>
      <c r="E23" s="3">
        <v>0</v>
      </c>
      <c r="F23" s="3">
        <v>0</v>
      </c>
      <c r="G23" s="37">
        <f t="shared" si="0"/>
        <v>500</v>
      </c>
      <c r="I23" s="3"/>
    </row>
    <row r="24" spans="2:9" ht="15">
      <c r="B24" s="30" t="s">
        <v>169</v>
      </c>
      <c r="C24" s="31"/>
      <c r="D24" s="26" t="e">
        <f>SUM(D25:D28)</f>
        <v>#REF!</v>
      </c>
      <c r="E24" s="26" t="e">
        <f>SUM(E25:E28)</f>
        <v>#REF!</v>
      </c>
      <c r="F24" s="26" t="e">
        <f>SUM(F25:F28)</f>
        <v>#REF!</v>
      </c>
      <c r="G24" s="26" t="e">
        <f t="shared" si="0"/>
        <v>#REF!</v>
      </c>
      <c r="I24" s="3"/>
    </row>
    <row r="25" spans="3:9" ht="12.75">
      <c r="C25" s="1" t="s">
        <v>170</v>
      </c>
      <c r="D25" s="3" t="e">
        <f>1500*9+1500*12-#REF!</f>
        <v>#REF!</v>
      </c>
      <c r="E25" s="3" t="e">
        <f>1500*12-#REF!</f>
        <v>#REF!</v>
      </c>
      <c r="F25" s="3" t="e">
        <f>1500*12-#REF!</f>
        <v>#REF!</v>
      </c>
      <c r="G25" s="37" t="e">
        <f t="shared" si="0"/>
        <v>#REF!</v>
      </c>
      <c r="I25" s="3"/>
    </row>
    <row r="26" spans="3:9" ht="12.75">
      <c r="C26" s="1" t="s">
        <v>171</v>
      </c>
      <c r="D26" s="3" t="e">
        <f>6600/18.9*10+6600*1.15*12/18.9-#REF!</f>
        <v>#REF!</v>
      </c>
      <c r="E26" s="3" t="e">
        <f>7590*1.15*12/18.9-#REF!</f>
        <v>#REF!</v>
      </c>
      <c r="F26" s="3" t="e">
        <f>8728*1.15/18.9*12-#REF!</f>
        <v>#REF!</v>
      </c>
      <c r="G26" s="37" t="e">
        <f t="shared" si="0"/>
        <v>#REF!</v>
      </c>
      <c r="I26" s="3"/>
    </row>
    <row r="27" spans="3:7" ht="12.75">
      <c r="C27" s="1" t="s">
        <v>172</v>
      </c>
      <c r="D27" s="3" t="e">
        <f>15000/18.9*10+(15000*1.1/18.9*2)-#REF!</f>
        <v>#REF!</v>
      </c>
      <c r="E27" s="3" t="e">
        <f>16500/18.9*10+(16500*1.1/18.9*2)-#REF!</f>
        <v>#REF!</v>
      </c>
      <c r="F27" s="3" t="e">
        <f>18200/18.9*12-#REF!</f>
        <v>#REF!</v>
      </c>
      <c r="G27" s="37" t="e">
        <f t="shared" si="0"/>
        <v>#REF!</v>
      </c>
    </row>
    <row r="28" spans="3:9" ht="12.75">
      <c r="C28" s="1" t="s">
        <v>173</v>
      </c>
      <c r="D28" s="3">
        <v>2500</v>
      </c>
      <c r="E28" s="3">
        <v>3000</v>
      </c>
      <c r="F28" s="3">
        <v>3500</v>
      </c>
      <c r="G28" s="37">
        <f t="shared" si="0"/>
        <v>9000</v>
      </c>
      <c r="I28" s="37"/>
    </row>
    <row r="29" spans="2:7" ht="15">
      <c r="B29" s="1106" t="s">
        <v>174</v>
      </c>
      <c r="C29" s="1107"/>
      <c r="D29" s="26">
        <f>D30</f>
        <v>800</v>
      </c>
      <c r="E29" s="26">
        <f>E30</f>
        <v>0</v>
      </c>
      <c r="F29" s="26">
        <f>F30</f>
        <v>0</v>
      </c>
      <c r="G29" s="26">
        <f t="shared" si="0"/>
        <v>800</v>
      </c>
    </row>
    <row r="30" spans="3:7" ht="14.25" customHeight="1">
      <c r="C30" s="1" t="s">
        <v>175</v>
      </c>
      <c r="D30" s="3">
        <v>800</v>
      </c>
      <c r="E30" s="3">
        <v>0</v>
      </c>
      <c r="F30" s="3">
        <v>0</v>
      </c>
      <c r="G30" s="37">
        <f t="shared" si="0"/>
        <v>800</v>
      </c>
    </row>
    <row r="31" spans="2:7" ht="15">
      <c r="B31" s="30" t="s">
        <v>176</v>
      </c>
      <c r="C31" s="31"/>
      <c r="D31" s="26">
        <f>SUM(D32:D35)</f>
        <v>7394.264867724868</v>
      </c>
      <c r="E31" s="26">
        <f>SUM(E32:E35)</f>
        <v>7567.724867724868</v>
      </c>
      <c r="F31" s="26">
        <f>SUM(F32:F35)</f>
        <v>7967.724867724868</v>
      </c>
      <c r="G31" s="26">
        <f t="shared" si="0"/>
        <v>22929.714603174605</v>
      </c>
    </row>
    <row r="32" spans="3:7" ht="12.75">
      <c r="C32" s="1" t="s">
        <v>177</v>
      </c>
      <c r="D32" s="3">
        <v>500</v>
      </c>
      <c r="E32" s="3">
        <v>600</v>
      </c>
      <c r="F32" s="3">
        <v>700</v>
      </c>
      <c r="G32" s="37">
        <f t="shared" si="0"/>
        <v>1800</v>
      </c>
    </row>
    <row r="33" spans="3:7" ht="12.75">
      <c r="C33" s="1" t="s">
        <v>178</v>
      </c>
      <c r="D33" s="3">
        <v>1000</v>
      </c>
      <c r="E33" s="3">
        <v>1100</v>
      </c>
      <c r="F33" s="3">
        <v>1200</v>
      </c>
      <c r="G33" s="37">
        <f t="shared" si="0"/>
        <v>3300</v>
      </c>
    </row>
    <row r="34" spans="3:7" ht="12.75">
      <c r="C34" s="1" t="s">
        <v>146</v>
      </c>
      <c r="D34" s="3">
        <f>5000/18.9*12+4000/18.9*8+26.54</f>
        <v>4894.264867724868</v>
      </c>
      <c r="E34" s="3">
        <f>5000/18.9*12+4000/18.9*8</f>
        <v>4867.724867724868</v>
      </c>
      <c r="F34" s="3">
        <f>5000/18.9*12+4000/18.9*8</f>
        <v>4867.724867724868</v>
      </c>
      <c r="G34" s="37">
        <f t="shared" si="0"/>
        <v>14629.714603174605</v>
      </c>
    </row>
    <row r="35" spans="3:7" ht="12.75">
      <c r="C35" s="1" t="s">
        <v>179</v>
      </c>
      <c r="D35" s="3">
        <v>1000</v>
      </c>
      <c r="E35" s="3">
        <v>1000</v>
      </c>
      <c r="F35" s="3">
        <v>1200</v>
      </c>
      <c r="G35" s="37">
        <f t="shared" si="0"/>
        <v>3200</v>
      </c>
    </row>
    <row r="36" spans="2:7" ht="15">
      <c r="B36" s="30" t="s">
        <v>180</v>
      </c>
      <c r="C36" s="31"/>
      <c r="D36" s="26">
        <f>D37</f>
        <v>1500</v>
      </c>
      <c r="E36" s="26">
        <f>E37</f>
        <v>1500</v>
      </c>
      <c r="F36" s="26">
        <f>F37</f>
        <v>500</v>
      </c>
      <c r="G36" s="26">
        <f t="shared" si="0"/>
        <v>3500</v>
      </c>
    </row>
    <row r="37" spans="3:7" ht="12.75">
      <c r="C37" s="1" t="s">
        <v>181</v>
      </c>
      <c r="D37" s="3">
        <v>1500</v>
      </c>
      <c r="E37" s="3">
        <v>1500</v>
      </c>
      <c r="F37" s="3">
        <v>500</v>
      </c>
      <c r="G37" s="37">
        <f t="shared" si="0"/>
        <v>3500</v>
      </c>
    </row>
    <row r="38" spans="2:7" ht="15">
      <c r="B38" s="32" t="s">
        <v>182</v>
      </c>
      <c r="C38" s="32"/>
      <c r="D38" s="26">
        <f>SUM(D39:D42)</f>
        <v>4900</v>
      </c>
      <c r="E38" s="26">
        <f>SUM(E39:E42)</f>
        <v>5000</v>
      </c>
      <c r="F38" s="26">
        <f>SUM(F39:F42)</f>
        <v>4000</v>
      </c>
      <c r="G38" s="26">
        <f t="shared" si="0"/>
        <v>13900</v>
      </c>
    </row>
    <row r="39" spans="3:7" ht="12.75">
      <c r="C39" s="1" t="s">
        <v>183</v>
      </c>
      <c r="D39" s="3">
        <v>1200</v>
      </c>
      <c r="E39" s="3">
        <v>1250</v>
      </c>
      <c r="F39" s="3">
        <v>1300</v>
      </c>
      <c r="G39" s="37">
        <f t="shared" si="0"/>
        <v>3750</v>
      </c>
    </row>
    <row r="40" spans="3:7" ht="12.75">
      <c r="C40" s="1" t="s">
        <v>184</v>
      </c>
      <c r="D40" s="3">
        <v>400</v>
      </c>
      <c r="E40" s="3">
        <v>450</v>
      </c>
      <c r="F40" s="3">
        <v>500</v>
      </c>
      <c r="G40" s="37">
        <f t="shared" si="0"/>
        <v>1350</v>
      </c>
    </row>
    <row r="41" spans="3:7" ht="12.75">
      <c r="C41" s="1" t="s">
        <v>185</v>
      </c>
      <c r="D41" s="3">
        <f>300*6</f>
        <v>1800</v>
      </c>
      <c r="E41" s="3">
        <f>300*6</f>
        <v>1800</v>
      </c>
      <c r="F41" s="3">
        <v>1200</v>
      </c>
      <c r="G41" s="37">
        <f t="shared" si="0"/>
        <v>4800</v>
      </c>
    </row>
    <row r="42" spans="3:7" ht="12.75">
      <c r="C42" s="1" t="s">
        <v>186</v>
      </c>
      <c r="D42" s="3">
        <v>1500</v>
      </c>
      <c r="E42" s="3">
        <v>1500</v>
      </c>
      <c r="F42" s="3">
        <v>1000</v>
      </c>
      <c r="G42" s="37">
        <f t="shared" si="0"/>
        <v>4000</v>
      </c>
    </row>
    <row r="43" spans="2:7" ht="15">
      <c r="B43" s="30" t="s">
        <v>187</v>
      </c>
      <c r="C43" s="31"/>
      <c r="D43" s="26">
        <v>26000</v>
      </c>
      <c r="E43" s="26">
        <v>27000</v>
      </c>
      <c r="F43" s="26">
        <v>27000</v>
      </c>
      <c r="G43" s="26">
        <f t="shared" si="0"/>
        <v>80000</v>
      </c>
    </row>
    <row r="44" spans="5:6" ht="12.75">
      <c r="E44" s="3"/>
      <c r="F44" s="3"/>
    </row>
    <row r="45" spans="2:7" ht="15">
      <c r="B45" s="32" t="s">
        <v>188</v>
      </c>
      <c r="C45" s="32"/>
      <c r="D45" s="26" t="e">
        <f>D43+D38+D36+D31+D29+D24+D21+D19+D16+D13+D11+D7</f>
        <v>#REF!</v>
      </c>
      <c r="E45" s="26" t="e">
        <f>E43+E38+E36+E31+E29+E24+E21+E19+E16+E13+E11+E7</f>
        <v>#REF!</v>
      </c>
      <c r="F45" s="26" t="e">
        <f>F43+F38+F36+F31+F29+F24+F21+F19+F16+F13+F11+F7</f>
        <v>#REF!</v>
      </c>
      <c r="G45" s="26" t="e">
        <f>G43+G38+G36+G31+G29+G24+G21+G19+G16+G13+G11+G7</f>
        <v>#REF!</v>
      </c>
    </row>
    <row r="46" spans="2:7" ht="15">
      <c r="B46" s="32" t="s">
        <v>189</v>
      </c>
      <c r="C46" s="32"/>
      <c r="D46" s="26" t="e">
        <f>D45*0.07</f>
        <v>#REF!</v>
      </c>
      <c r="E46" s="26" t="e">
        <f>E45*0.07</f>
        <v>#REF!</v>
      </c>
      <c r="F46" s="26" t="e">
        <f>F45*0.07</f>
        <v>#REF!</v>
      </c>
      <c r="G46" s="26" t="e">
        <f>G45*0.07</f>
        <v>#REF!</v>
      </c>
    </row>
    <row r="47" spans="2:6" ht="15">
      <c r="B47" s="27"/>
      <c r="C47" s="27"/>
      <c r="D47" s="34"/>
      <c r="E47" s="34"/>
      <c r="F47" s="34"/>
    </row>
    <row r="48" spans="2:7" ht="15">
      <c r="B48" s="32" t="s">
        <v>190</v>
      </c>
      <c r="C48" s="32"/>
      <c r="D48" s="36" t="e">
        <f>D45+D46</f>
        <v>#REF!</v>
      </c>
      <c r="E48" s="36" t="e">
        <f>E45+E46</f>
        <v>#REF!</v>
      </c>
      <c r="F48" s="36" t="e">
        <f>F45+F46</f>
        <v>#REF!</v>
      </c>
      <c r="G48" s="36" t="e">
        <f>G45+G46</f>
        <v>#REF!</v>
      </c>
    </row>
    <row r="51" ht="12.75">
      <c r="G51" s="37" t="e">
        <f>G48-I28</f>
        <v>#REF!</v>
      </c>
    </row>
    <row r="52" spans="2:4" ht="12.75">
      <c r="B52" s="1" t="s">
        <v>194</v>
      </c>
      <c r="D52" s="3">
        <v>519919</v>
      </c>
    </row>
    <row r="54" spans="2:7" ht="12.75">
      <c r="B54" s="1" t="s">
        <v>195</v>
      </c>
      <c r="D54" s="3">
        <v>99900</v>
      </c>
      <c r="G54" s="37" t="e">
        <f>G51-D56</f>
        <v>#REF!</v>
      </c>
    </row>
    <row r="56" spans="2:4" ht="12.75">
      <c r="B56" s="1" t="s">
        <v>196</v>
      </c>
      <c r="D56" s="3">
        <f>D52-D54</f>
        <v>420019</v>
      </c>
    </row>
  </sheetData>
  <sheetProtection/>
  <mergeCells count="7">
    <mergeCell ref="B29:C29"/>
    <mergeCell ref="A3:E3"/>
    <mergeCell ref="A4:E4"/>
    <mergeCell ref="B7:C7"/>
    <mergeCell ref="B11:C11"/>
    <mergeCell ref="B13:C13"/>
    <mergeCell ref="B21:C2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2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B19" sqref="B19"/>
    </sheetView>
  </sheetViews>
  <sheetFormatPr defaultColWidth="11.421875" defaultRowHeight="18" customHeight="1"/>
  <cols>
    <col min="1" max="1" width="11.421875" style="1" customWidth="1"/>
    <col min="2" max="2" width="33.7109375" style="1" customWidth="1"/>
    <col min="3" max="16384" width="11.421875" style="1" customWidth="1"/>
  </cols>
  <sheetData>
    <row r="2" spans="2:3" ht="18" customHeight="1">
      <c r="B2" s="1110" t="s">
        <v>140</v>
      </c>
      <c r="C2" s="1110"/>
    </row>
    <row r="3" ht="18" customHeight="1">
      <c r="B3" s="397" t="s">
        <v>139</v>
      </c>
    </row>
    <row r="4" ht="18" customHeight="1" thickBot="1"/>
    <row r="5" spans="2:3" ht="18" customHeight="1" thickBot="1">
      <c r="B5" s="322" t="s">
        <v>512</v>
      </c>
      <c r="C5" s="323" t="s">
        <v>513</v>
      </c>
    </row>
    <row r="6" spans="2:3" ht="18" customHeight="1">
      <c r="B6" s="320" t="s">
        <v>502</v>
      </c>
      <c r="C6" s="321">
        <v>62423.68518518519</v>
      </c>
    </row>
    <row r="7" spans="2:3" ht="18" customHeight="1">
      <c r="B7" s="318" t="s">
        <v>468</v>
      </c>
      <c r="C7" s="319">
        <v>7500</v>
      </c>
    </row>
    <row r="8" spans="2:3" ht="18" customHeight="1">
      <c r="B8" s="318" t="s">
        <v>545</v>
      </c>
      <c r="C8" s="319">
        <v>21000</v>
      </c>
    </row>
    <row r="9" spans="2:3" ht="18" customHeight="1">
      <c r="B9" s="318" t="s">
        <v>509</v>
      </c>
      <c r="C9" s="319">
        <v>902.3311304347831</v>
      </c>
    </row>
    <row r="10" spans="2:3" ht="18" customHeight="1">
      <c r="B10" s="318" t="s">
        <v>165</v>
      </c>
      <c r="C10" s="319">
        <v>400</v>
      </c>
    </row>
    <row r="11" spans="2:3" ht="18" customHeight="1">
      <c r="B11" s="318" t="s">
        <v>510</v>
      </c>
      <c r="C11" s="319">
        <v>1000</v>
      </c>
    </row>
    <row r="12" spans="2:3" ht="18" customHeight="1">
      <c r="B12" s="318" t="s">
        <v>604</v>
      </c>
      <c r="C12" s="319">
        <v>5835.574100759145</v>
      </c>
    </row>
    <row r="13" spans="2:3" ht="18" customHeight="1">
      <c r="B13" s="318" t="s">
        <v>511</v>
      </c>
      <c r="C13" s="319">
        <v>800</v>
      </c>
    </row>
    <row r="14" spans="2:3" ht="18" customHeight="1">
      <c r="B14" s="318" t="s">
        <v>605</v>
      </c>
      <c r="C14" s="319">
        <v>7394.264867724868</v>
      </c>
    </row>
    <row r="15" spans="2:3" ht="18" customHeight="1">
      <c r="B15" s="318" t="s">
        <v>606</v>
      </c>
      <c r="C15" s="319">
        <v>1500</v>
      </c>
    </row>
    <row r="16" spans="2:3" ht="18" customHeight="1">
      <c r="B16" s="318" t="s">
        <v>411</v>
      </c>
      <c r="C16" s="319">
        <v>4900</v>
      </c>
    </row>
    <row r="17" spans="2:3" ht="18" customHeight="1">
      <c r="B17" s="318" t="s">
        <v>607</v>
      </c>
      <c r="C17" s="319">
        <v>26000</v>
      </c>
    </row>
    <row r="18" spans="2:3" ht="18" customHeight="1">
      <c r="B18" s="318" t="s">
        <v>514</v>
      </c>
      <c r="C18" s="319">
        <v>9775.909869887282</v>
      </c>
    </row>
    <row r="19" spans="2:3" ht="18" customHeight="1" thickBot="1">
      <c r="B19" s="324"/>
      <c r="C19" s="325"/>
    </row>
    <row r="20" spans="2:3" ht="18" customHeight="1" thickBot="1">
      <c r="B20" s="326" t="s">
        <v>142</v>
      </c>
      <c r="C20" s="327">
        <f>SUM(C6:C19)</f>
        <v>149431.7651539913</v>
      </c>
    </row>
    <row r="21" ht="18" customHeight="1">
      <c r="C21" s="3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A2" sqref="A2:G15"/>
    </sheetView>
  </sheetViews>
  <sheetFormatPr defaultColWidth="11.421875" defaultRowHeight="12.75"/>
  <cols>
    <col min="1" max="1" width="11.421875" style="309" customWidth="1"/>
    <col min="2" max="2" width="15.57421875" style="309" customWidth="1"/>
    <col min="3" max="16384" width="11.421875" style="309" customWidth="1"/>
  </cols>
  <sheetData>
    <row r="2" spans="1:7" ht="15">
      <c r="A2" s="1112" t="s">
        <v>153</v>
      </c>
      <c r="B2" s="1112"/>
      <c r="C2" s="1112"/>
      <c r="D2" s="1112"/>
      <c r="E2" s="1112"/>
      <c r="F2" s="1112"/>
      <c r="G2" s="1112"/>
    </row>
    <row r="4" spans="2:6" ht="15">
      <c r="B4" s="1111" t="s">
        <v>515</v>
      </c>
      <c r="C4" s="1111"/>
      <c r="D4" s="1111"/>
      <c r="E4" s="1111"/>
      <c r="F4" s="1111"/>
    </row>
    <row r="6" spans="2:6" ht="18.75" customHeight="1">
      <c r="B6" s="311" t="s">
        <v>508</v>
      </c>
      <c r="C6" s="311" t="s">
        <v>504</v>
      </c>
      <c r="D6" s="311" t="s">
        <v>505</v>
      </c>
      <c r="E6" s="311" t="s">
        <v>506</v>
      </c>
      <c r="F6" s="311" t="s">
        <v>142</v>
      </c>
    </row>
    <row r="7" spans="2:6" ht="18.75" customHeight="1">
      <c r="B7" s="314" t="s">
        <v>148</v>
      </c>
      <c r="C7" s="312">
        <f>'EFECTO 1'!W168</f>
        <v>149090.0015</v>
      </c>
      <c r="D7" s="312">
        <f>'EFECTO 2'!N240</f>
        <v>184040</v>
      </c>
      <c r="E7" s="312">
        <f>'EFECTO 3'!W91</f>
        <v>194259.3881</v>
      </c>
      <c r="F7" s="315">
        <f>SUM(C7:E7)</f>
        <v>527389.3896</v>
      </c>
    </row>
    <row r="8" spans="2:6" ht="18.75" customHeight="1">
      <c r="B8" s="314" t="s">
        <v>152</v>
      </c>
      <c r="C8" s="312">
        <f>'EFECTO 1'!W170</f>
        <v>232938.9572</v>
      </c>
      <c r="D8" s="312">
        <f>'EFECTO 2'!N241</f>
        <v>944429.7220000001</v>
      </c>
      <c r="E8" s="312">
        <f>'EFECTO 3'!W92</f>
        <v>188409.024</v>
      </c>
      <c r="F8" s="315">
        <f aca="true" t="shared" si="0" ref="F8:F13">SUM(C8:E8)</f>
        <v>1365777.7032</v>
      </c>
    </row>
    <row r="9" spans="2:6" ht="18.75" customHeight="1">
      <c r="B9" s="314" t="s">
        <v>150</v>
      </c>
      <c r="C9" s="312">
        <f>'EFECTO 1'!W172</f>
        <v>135646.04</v>
      </c>
      <c r="D9" s="312">
        <f>'EFECTO 2'!N243</f>
        <v>161285.38</v>
      </c>
      <c r="E9" s="312">
        <v>0</v>
      </c>
      <c r="F9" s="315">
        <f t="shared" si="0"/>
        <v>296931.42000000004</v>
      </c>
    </row>
    <row r="10" spans="2:6" ht="18.75" customHeight="1">
      <c r="B10" s="314" t="s">
        <v>151</v>
      </c>
      <c r="C10" s="312">
        <v>0</v>
      </c>
      <c r="D10" s="312">
        <f>'EFECTO 2'!N245</f>
        <v>418263</v>
      </c>
      <c r="E10" s="312">
        <v>0</v>
      </c>
      <c r="F10" s="315">
        <f t="shared" si="0"/>
        <v>418263</v>
      </c>
    </row>
    <row r="11" spans="2:8" ht="18.75" customHeight="1">
      <c r="B11" s="314" t="s">
        <v>503</v>
      </c>
      <c r="C11" s="312">
        <f>'EFECTO 1'!W169</f>
        <v>213197.5</v>
      </c>
      <c r="D11" s="312">
        <v>0</v>
      </c>
      <c r="E11" s="312">
        <v>0</v>
      </c>
      <c r="F11" s="315">
        <f t="shared" si="0"/>
        <v>213197.5</v>
      </c>
      <c r="H11" s="373"/>
    </row>
    <row r="12" spans="2:8" ht="18.75" customHeight="1">
      <c r="B12" s="314" t="s">
        <v>149</v>
      </c>
      <c r="C12" s="312">
        <f>'EFECTO 1'!W171</f>
        <v>21400</v>
      </c>
      <c r="D12" s="312">
        <f>'EFECTO 2'!N242</f>
        <v>126260</v>
      </c>
      <c r="E12" s="312">
        <f>'EFECTO 3'!W93</f>
        <v>10700</v>
      </c>
      <c r="F12" s="315">
        <f t="shared" si="0"/>
        <v>158360</v>
      </c>
      <c r="H12" s="373"/>
    </row>
    <row r="13" spans="2:6" ht="18.75" customHeight="1">
      <c r="B13" s="314" t="s">
        <v>281</v>
      </c>
      <c r="C13" s="312">
        <v>0</v>
      </c>
      <c r="D13" s="312">
        <f>'EFECTO 2'!N244</f>
        <v>455021.78</v>
      </c>
      <c r="E13" s="312">
        <f>'EFECTO 3'!W94</f>
        <v>89238</v>
      </c>
      <c r="F13" s="315">
        <f t="shared" si="0"/>
        <v>544259.78</v>
      </c>
    </row>
    <row r="14" spans="2:6" ht="18.75" customHeight="1">
      <c r="B14" s="314" t="s">
        <v>570</v>
      </c>
      <c r="C14" s="312"/>
      <c r="D14" s="312"/>
      <c r="E14" s="312"/>
      <c r="F14" s="315">
        <f>Coordinación!C20</f>
        <v>149431.7651539913</v>
      </c>
    </row>
    <row r="15" spans="2:6" ht="22.5" customHeight="1">
      <c r="B15" s="316" t="s">
        <v>507</v>
      </c>
      <c r="C15" s="317">
        <f>SUM(C7:C13)</f>
        <v>752272.4987</v>
      </c>
      <c r="D15" s="317">
        <f>SUM(D7:D13)</f>
        <v>2289299.882</v>
      </c>
      <c r="E15" s="317">
        <f>SUM(E7:E13)</f>
        <v>482606.4121</v>
      </c>
      <c r="F15" s="317">
        <f>SUM(F7:F14)</f>
        <v>3673610.557953991</v>
      </c>
    </row>
    <row r="19" spans="2:6" ht="15">
      <c r="B19" s="310"/>
      <c r="C19" s="310"/>
      <c r="D19" s="310"/>
      <c r="E19" s="310"/>
      <c r="F19" s="313"/>
    </row>
    <row r="24" ht="15">
      <c r="D24" s="373"/>
    </row>
  </sheetData>
  <sheetProtection/>
  <mergeCells count="2">
    <mergeCell ref="B4:F4"/>
    <mergeCell ref="A2:G2"/>
  </mergeCells>
  <printOptions/>
  <pageMargins left="0.7" right="0.7" top="1.31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G16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3.7109375" style="1" customWidth="1"/>
    <col min="4" max="16384" width="11.421875" style="1" customWidth="1"/>
  </cols>
  <sheetData>
    <row r="4" spans="1:7" ht="15">
      <c r="A4" s="1112" t="s">
        <v>153</v>
      </c>
      <c r="B4" s="1112"/>
      <c r="C4" s="1112"/>
      <c r="D4" s="1112"/>
      <c r="E4" s="1112"/>
      <c r="F4" s="1112"/>
      <c r="G4" s="1112"/>
    </row>
    <row r="6" ht="24.75" customHeight="1" thickBot="1"/>
    <row r="7" spans="2:5" ht="24.75" customHeight="1" thickBot="1">
      <c r="B7" s="382" t="s">
        <v>508</v>
      </c>
      <c r="C7" s="383" t="s">
        <v>608</v>
      </c>
      <c r="D7" s="384" t="s">
        <v>572</v>
      </c>
      <c r="E7" s="385">
        <v>0.3</v>
      </c>
    </row>
    <row r="8" spans="2:5" ht="24.75" customHeight="1">
      <c r="B8" s="386" t="s">
        <v>571</v>
      </c>
      <c r="C8" s="387">
        <v>682604</v>
      </c>
      <c r="D8" s="387">
        <f aca="true" t="shared" si="0" ref="D8:D13">C8*0.7</f>
        <v>477822.8</v>
      </c>
      <c r="E8" s="388">
        <f aca="true" t="shared" si="1" ref="E8:E13">C8-D8</f>
        <v>204781.2</v>
      </c>
    </row>
    <row r="9" spans="2:5" ht="24.75" customHeight="1">
      <c r="B9" s="389" t="s">
        <v>152</v>
      </c>
      <c r="C9" s="28">
        <v>235293</v>
      </c>
      <c r="D9" s="28">
        <f t="shared" si="0"/>
        <v>164705.09999999998</v>
      </c>
      <c r="E9" s="319">
        <f t="shared" si="1"/>
        <v>70587.90000000002</v>
      </c>
    </row>
    <row r="10" spans="2:5" ht="24.75" customHeight="1">
      <c r="B10" s="389" t="s">
        <v>150</v>
      </c>
      <c r="C10" s="28">
        <v>104164</v>
      </c>
      <c r="D10" s="28">
        <f t="shared" si="0"/>
        <v>72914.79999999999</v>
      </c>
      <c r="E10" s="319">
        <f t="shared" si="1"/>
        <v>31249.20000000001</v>
      </c>
    </row>
    <row r="11" spans="2:5" ht="24.75" customHeight="1">
      <c r="B11" s="389" t="s">
        <v>151</v>
      </c>
      <c r="C11" s="28">
        <v>192600</v>
      </c>
      <c r="D11" s="28">
        <f t="shared" si="0"/>
        <v>134820</v>
      </c>
      <c r="E11" s="319">
        <f t="shared" si="1"/>
        <v>57780</v>
      </c>
    </row>
    <row r="12" spans="2:5" ht="24.75" customHeight="1">
      <c r="B12" s="389" t="s">
        <v>149</v>
      </c>
      <c r="C12" s="28">
        <v>179760</v>
      </c>
      <c r="D12" s="28">
        <f t="shared" si="0"/>
        <v>125831.99999999999</v>
      </c>
      <c r="E12" s="319">
        <f t="shared" si="1"/>
        <v>53928.000000000015</v>
      </c>
    </row>
    <row r="13" spans="2:5" ht="24.75" customHeight="1" thickBot="1">
      <c r="B13" s="390" t="s">
        <v>281</v>
      </c>
      <c r="C13" s="391">
        <v>215425</v>
      </c>
      <c r="D13" s="391">
        <f t="shared" si="0"/>
        <v>150797.5</v>
      </c>
      <c r="E13" s="325">
        <f t="shared" si="1"/>
        <v>64627.5</v>
      </c>
    </row>
    <row r="14" spans="2:5" ht="24.75" customHeight="1" thickBot="1">
      <c r="B14" s="392" t="s">
        <v>507</v>
      </c>
      <c r="C14" s="393">
        <f>SUM(C8:C13)</f>
        <v>1609846</v>
      </c>
      <c r="D14" s="393">
        <f>SUM(D8:D13)</f>
        <v>1126892.2</v>
      </c>
      <c r="E14" s="394">
        <f>SUM(E8:E13)</f>
        <v>482953.80000000005</v>
      </c>
    </row>
    <row r="15" ht="24.75" customHeight="1"/>
    <row r="16" ht="24.75" customHeight="1">
      <c r="B16" s="1" t="s">
        <v>573</v>
      </c>
    </row>
    <row r="17" ht="24.75" customHeight="1"/>
    <row r="18" ht="24.75" customHeight="1"/>
    <row r="19" ht="24.75" customHeight="1"/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acaceres</dc:creator>
  <cp:keywords/>
  <dc:description/>
  <cp:lastModifiedBy>jramos</cp:lastModifiedBy>
  <cp:lastPrinted>2009-01-21T20:45:49Z</cp:lastPrinted>
  <dcterms:created xsi:type="dcterms:W3CDTF">2008-12-10T14:46:44Z</dcterms:created>
  <dcterms:modified xsi:type="dcterms:W3CDTF">2009-07-17T16:25:54Z</dcterms:modified>
  <cp:category/>
  <cp:version/>
  <cp:contentType/>
  <cp:contentStatus/>
</cp:coreProperties>
</file>