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55" yWindow="240" windowWidth="12000" windowHeight="10080" firstSheet="2" activeTab="2"/>
  </bookViews>
  <sheets>
    <sheet name="Bugdet original &amp; reallocation" sheetId="1" r:id="rId1"/>
    <sheet name="Budget revised over 3 years" sheetId="2" r:id="rId2"/>
    <sheet name="Budget monitoring" sheetId="3" r:id="rId3"/>
  </sheets>
  <definedNames>
    <definedName name="_xlnm.Print_Area" localSheetId="2">'Budget monitoring'!$C$1:$M$374</definedName>
    <definedName name="_xlnm.Print_Area" localSheetId="1">'Budget revised over 3 years'!#REF!</definedName>
    <definedName name="_xlnm.Print_Area" localSheetId="0">'Bugdet original &amp; reallocation'!$B$1:$M$26</definedName>
    <definedName name="_xlnm.Print_Titles" localSheetId="2">'Budget monitoring'!$1:$1</definedName>
  </definedNames>
  <calcPr fullCalcOnLoad="1"/>
</workbook>
</file>

<file path=xl/sharedStrings.xml><?xml version="1.0" encoding="utf-8"?>
<sst xmlns="http://schemas.openxmlformats.org/spreadsheetml/2006/main" count="800" uniqueCount="319">
  <si>
    <t xml:space="preserve">Office costs </t>
  </si>
  <si>
    <t>Subtotal</t>
  </si>
  <si>
    <t>Indirect Costs (7%)</t>
  </si>
  <si>
    <t>Total</t>
  </si>
  <si>
    <t>Comments</t>
  </si>
  <si>
    <t>Core International Budget Item</t>
  </si>
  <si>
    <t>Year 1 £</t>
  </si>
  <si>
    <t>Year 2 £</t>
  </si>
  <si>
    <t xml:space="preserve">Total </t>
  </si>
  <si>
    <t>National CS meetings in non MPTF-funded countries</t>
  </si>
  <si>
    <t>Regional meeting-Asia</t>
  </si>
  <si>
    <t>Contingency</t>
  </si>
  <si>
    <t>Save the Children staff costs: Brendan Cox (Chair) 5%, One staff member 10% (David McNair)</t>
  </si>
  <si>
    <t>Communications</t>
  </si>
  <si>
    <t>Year 3 £</t>
  </si>
  <si>
    <t xml:space="preserve">unfunded </t>
  </si>
  <si>
    <t>Network Facilitator (100% FTE)</t>
  </si>
  <si>
    <t xml:space="preserve">Travel for the Facilitator to attend meetings or visit the field. </t>
  </si>
  <si>
    <t xml:space="preserve">Facilitator travel </t>
  </si>
  <si>
    <t>Regional meeting Africa in year 2</t>
  </si>
  <si>
    <t>Regional meeting-Americas in year 3</t>
  </si>
  <si>
    <t>Global CS meeting in year 3</t>
  </si>
  <si>
    <t>Annual SG meeting</t>
  </si>
  <si>
    <t xml:space="preserve">Capacity Building Consultants: Advocacy, campaigning, policy analysis. Ad hoc support to country platforms (travel, activities, etc) </t>
  </si>
  <si>
    <t>Expected attendance maximum 60 participants; £5,000 for venue/food costs;£34,000 travel/hotel (£24,000 travel costs for sponsored delegates from region + £1500 each for 5 international CSO speakers)/hotel;£2,000 materials/technology/interpretation</t>
  </si>
  <si>
    <t>Including setting up information sharing platforms. From 01/01/2013 to 30/09/2015</t>
  </si>
  <si>
    <t>This includes phone, computer, conference calls costs etc. From 01/04/13 to 30/09/13</t>
  </si>
  <si>
    <t>Save the Children staff time from 01/01/2013 to 30/09/2015</t>
  </si>
  <si>
    <t>will be subject of a future funding proposal.</t>
  </si>
  <si>
    <t>Total USD @ 1GBP = 1.55USD</t>
  </si>
  <si>
    <t>Any consultants will be taken on as local consultants at the UK local rate of £350 per day. AND/OR ad-hoc support to developing country Civil Society Alliance activities and travel</t>
  </si>
  <si>
    <t>Assuming can piggy back on travel for planned events like UNGA so only need to pay for 8 delegates at £2k per person each time).  Remainder for meeting expenses or rolled into contingency. Save the Children will fund the SG meeting in 2013</t>
  </si>
  <si>
    <t>This salary is based on the equivalent of a senior adviser grade in Save the Children UK - The Facilitator is expected to have an important role brokering relations between all countries, the governance structure of the SUN CSO global network, the SUN Secretariat and the SUN Leaders group. Salary increases are calculated yearly taking into account 5% inflation rate.  The facilitator was taken on board from 1 April 2013, Save the Children will assume the salary until 01 July 2013 (3 months) and the proposal covers up to the end of september 2015 (27 months).</t>
  </si>
  <si>
    <t>3 meetings in year 1, 5 meetings in year 2.  Cost per meeting (domestic travel, accomodation, venue) approx £6,500.  Meetings in 2015 will be subject of a future funding proposal.</t>
  </si>
  <si>
    <t>International Support for Civil Society Budget and Network Coordination - 03 JUNE 2013</t>
  </si>
  <si>
    <t xml:space="preserve"> </t>
  </si>
  <si>
    <t>Budget Category</t>
  </si>
  <si>
    <t xml:space="preserve">Staff and Other personnel costs </t>
  </si>
  <si>
    <t>Contractual Services</t>
  </si>
  <si>
    <t xml:space="preserve">Travel </t>
  </si>
  <si>
    <t xml:space="preserve">Contractual Services </t>
  </si>
  <si>
    <t>General Operating and Other Direct costs</t>
  </si>
  <si>
    <t>From MPTF (USD) over 3 years</t>
  </si>
  <si>
    <t>From MPTF (USD) over year 1 (July 2013 - March 2014) - 9 months</t>
  </si>
  <si>
    <t>From MPTF (USD) over year 2 (April 2014 - March 2015) - 12 months</t>
  </si>
  <si>
    <t>From MPTF (USD) over year 3 (April 2015 - September 2015) - 6 months</t>
  </si>
  <si>
    <t>Original From MPTF (USD) over 3 years</t>
  </si>
  <si>
    <t>Revised after reallocation From MPTF (USD) over 3 years</t>
  </si>
  <si>
    <t>Supporting CSOs in tracking Nutrition for Growth commitments, contribute to alignment to national priorities and efforts and assess contribution to the Communities of Practice of the SUN Capacity to Deliver efforts</t>
  </si>
  <si>
    <t xml:space="preserve">Supporting the holding of a convening for the Capacity to Deliver Advocacy and Communications Community of Practice </t>
  </si>
  <si>
    <t>Regional meeting Africa in year 2 -  Supporting session and attendance of CSA representatives to key session at ANEC VI – a regional forum on food and nutrition security</t>
  </si>
  <si>
    <t xml:space="preserve">Supporting additional CSA representatives (given growing number of SUN countries and SUN CSAs (now 29)) at the SUN GG </t>
  </si>
  <si>
    <t xml:space="preserve">Additional funds to support a larger Global CS meeting in 2015 (given growing number of SUN countries and SUN CSAs (now 30)) </t>
  </si>
  <si>
    <r>
      <t xml:space="preserve">Supporting the Civil Society representative (Mory Condé) of the Guinea Conakry delegation to take part and actively contribute to the Learning Routes efforts planned to take place in Senegal May 26 through June 1, 2014 – 2,800.00 USD
These funds would be used to cover the flight costs (up to 1,300.00 USD), accommodation, meals, travel insurance, training materials, transfer from the airport, travel within the country (up to 1,500.00 USD).
</t>
    </r>
    <r>
      <rPr>
        <b/>
        <sz val="10"/>
        <color indexed="10"/>
        <rFont val="Calibri"/>
        <family val="2"/>
      </rPr>
      <t>- THIS IS SPLIT IN TWO PARTS IN THE BUDGET TO TRACK WHERE FUNDS ORIGINALLY CAME FROM</t>
    </r>
  </si>
  <si>
    <t xml:space="preserve">Support for CSA representatives and key SUN CSN representatives to attend ad-hoc opportunities that may arise (e.g. SUN meetings / workshops) </t>
  </si>
  <si>
    <t>Corresponding outcome</t>
  </si>
  <si>
    <t>Outcome 1 : Nutrition is recognised as a national priority supported by adequately financed national and sub-national multi-sectoral nutrition plans adopted by national governments. Civil society is engaged constructive multi-stakeholder dialogue raising public awareness of undernutrition and contributing to nutrition being identified as a national priority and being understood to be one of the main issues for which government's track record will be judged. Civil society action will sustain pressure on governments to allocate adequate funds to support national nutrition plans</t>
  </si>
  <si>
    <t>Outcome 3 : Effective CSO alliances on nutrition are established to advocate for SUN at national level. Through the formation of inclusive and sustainable partnerships, civil society will be better positioned to raise the profile of nutrition and hold governments to account</t>
  </si>
  <si>
    <r>
      <t xml:space="preserve">Outcome 1 : Nutrition is recognised as a national priority supported by adequately financed national and sub-national multi-sectoral nutrition plans adopted by national governments. Civil society is engaged constructive multi-stakeholder dialogue raising public awareness of undernutrition and contributing to nutrition being identified as a national priority and being understood to be one of the main issues for which government's track record will be judged. Civil society action will sustain pressure on governments to allocate adequate funds to support national nutrition plans - 33%
</t>
    </r>
    <r>
      <rPr>
        <b/>
        <sz val="10"/>
        <rFont val="Calibri"/>
        <family val="2"/>
      </rPr>
      <t>Outcome 2: Multi-stakeholder constructive dialogue on SUN at national level informs nutrition governance, policy and financing while contributing to monitoring nutrition interventions: through the establishment of accountable multi-stakeholder platforms at the national level, civil society will be recognised as a credible interlocutor by the government and other key stakeholders. - 33%</t>
    </r>
    <r>
      <rPr>
        <b/>
        <sz val="10"/>
        <color indexed="62"/>
        <rFont val="Calibri"/>
        <family val="2"/>
      </rPr>
      <t xml:space="preserve">
</t>
    </r>
    <r>
      <rPr>
        <b/>
        <sz val="10"/>
        <color indexed="54"/>
        <rFont val="Calibri"/>
        <family val="2"/>
      </rPr>
      <t>Outcome 3 : Effective CSO alliances on nutrition are established to advocate for SUN at national level. Through the formation of inclusive and sustainable partnerships, civil society will be better positioned to raise the profile of nutrition and hold governments to account - 34%</t>
    </r>
    <r>
      <rPr>
        <b/>
        <sz val="10"/>
        <color indexed="62"/>
        <rFont val="Calibri"/>
        <family val="2"/>
      </rPr>
      <t xml:space="preserve">
</t>
    </r>
  </si>
  <si>
    <t>Income in GBP</t>
  </si>
  <si>
    <t>Expense description</t>
  </si>
  <si>
    <t>Expenses in GBP</t>
  </si>
  <si>
    <t>Income in USD</t>
  </si>
  <si>
    <t>Expenses in USD</t>
  </si>
  <si>
    <t>Claire Blanchard Salary - August 2013</t>
  </si>
  <si>
    <t>Claire Blanchard Salary - September 2013</t>
  </si>
  <si>
    <t>Employer's Pension</t>
  </si>
  <si>
    <t>Claire Blanchard Salary - October 2013</t>
  </si>
  <si>
    <t>Employer's NI - Oct 2013</t>
  </si>
  <si>
    <t>Employer's Pension- Oct 2013</t>
  </si>
  <si>
    <t>Claire Blanchard Salary - November 2013</t>
  </si>
  <si>
    <t>Employer's NI - November 2013</t>
  </si>
  <si>
    <t>Employer's Pension- November 2013</t>
  </si>
  <si>
    <t>Claire Blanchard Salary - December 2013</t>
  </si>
  <si>
    <t>Employer's NI - Dec 2013</t>
  </si>
  <si>
    <t>Employer's Pension- Dec 2013</t>
  </si>
  <si>
    <t>Claire Blanchard Salary - January 2014</t>
  </si>
  <si>
    <t>Employer's NI - January 2014</t>
  </si>
  <si>
    <t>Employer's Pension- January 2014</t>
  </si>
  <si>
    <t>Claire Blanchard Salary - February 2014</t>
  </si>
  <si>
    <t>Employer's NI - February 2014</t>
  </si>
  <si>
    <t>Employer's Pension- February 2014</t>
  </si>
  <si>
    <t>Employer's Pension- March 2014</t>
  </si>
  <si>
    <t>Invoice 1 Gabrielle Schembri - MAPPING</t>
  </si>
  <si>
    <t xml:space="preserve">CB flight to Senegal </t>
  </si>
  <si>
    <t xml:space="preserve">CB susbistence costs Senegal </t>
  </si>
  <si>
    <t>Claire Blanchard - Hotel cost – New York – SUN global gathering (Sep 2013)</t>
  </si>
  <si>
    <t>Claire Blanchard - Subsistence and ground travel costs – New York – SUN global gathering (Sep 2013)</t>
  </si>
  <si>
    <t>Claire Blanchard  hotel for CFS Rome</t>
  </si>
  <si>
    <t>Claire Blanchard - Flight costs CFS Rome</t>
  </si>
  <si>
    <t>Claire Blanchard - Subsistenc costs CFS Rome</t>
  </si>
  <si>
    <t>Claire Blanchard - Flights Zambia - Site visit + ACTION training</t>
  </si>
  <si>
    <t>Claire Blanchard - Flights &amp; Hotel Geneva - Site visit SMS and Facilitators F2F meeting</t>
  </si>
  <si>
    <t>Claire Blanchard - expenses Geneva - Site visit SMS and Facilitators F2F meeting</t>
  </si>
  <si>
    <t xml:space="preserve">Tadesse Million Shibeshi, travel to UNGA </t>
  </si>
  <si>
    <t xml:space="preserve">Flight for Lamine KOLLE, NY </t>
  </si>
  <si>
    <t>Ms. Debora Niyeha - Hotel cost – New York – SUN global gathering (Sep 2013)</t>
  </si>
  <si>
    <t>Dr. / Mr. Million Shibeshi - Hotel cost – New York – SUN global gathering (Sep 2013)</t>
  </si>
  <si>
    <t>Ms. Tisungeni Agrina Zimpita - Hotel cost – New York – SUN global gathering (Sep 2013)</t>
  </si>
  <si>
    <t>Dr. / Ms. KOLLE Laminou - Hotel cost – New York – SUN global gathering (Sep 2013)</t>
  </si>
  <si>
    <t>Mr. Milo Stanojevich - Hotel cost – New York – SUN global gathering (Sep 2013)</t>
  </si>
  <si>
    <t>Mr. ATIDEGLA Aurélien - Hotel cost – New York – SUN global gathering (Sep 2013)</t>
  </si>
  <si>
    <t>Mr. ATIDEGLA Aurélien - Hotel cost – New York – SUN global gathering (Sep 2013) - ADDITIONAL NIGHTS TO ENSURE THAT FLIGHT COSTS REMAIN MANAGEABLE</t>
  </si>
  <si>
    <t>Mr. Milo Stanojevich - Flights, ground travel  and subsistence costs – New York – SUN global gathering (Sep 2013)</t>
  </si>
  <si>
    <t>Mr. Milo Stanojevich - Flights, ground travel  and subsistence costs – New York – SUN global gathering (Sep 2013) - BANK CHARGES</t>
  </si>
  <si>
    <t>Deborah Niyeha - Flights, ground travel  and subsistence costs – New York – SUN global gathering (Sep 2013)</t>
  </si>
  <si>
    <t>Deborah Niyeha - Flights, ground travel  and subsistence costs – New York – SUN global gathering (Sep 2013) - BANK CHARGES</t>
  </si>
  <si>
    <t xml:space="preserve">Ms. Tisungeni Agrina Zimpita - Flights and subsistence costs – New York – SUN global gathering (Sep 2013) </t>
  </si>
  <si>
    <t>TRANSLATION of 6 month activity plan and of the template report for the CSAs - SPANISH</t>
  </si>
  <si>
    <t>TRANSLATION of Guidance note on how to establish a SUN CSA into French</t>
  </si>
  <si>
    <t>Translation of Mapping report to French</t>
  </si>
  <si>
    <t>Review of French translation of Mapping report</t>
  </si>
  <si>
    <t>Translation of Mapping report to Spanish</t>
  </si>
  <si>
    <t>Review of Spanish translation of Mapping report</t>
  </si>
  <si>
    <t>Claire Blanchard Salary - April 2014</t>
  </si>
  <si>
    <t>Claire Blanchard Salary - July 2013</t>
  </si>
  <si>
    <t>Employer's NI - July 2013</t>
  </si>
  <si>
    <t>Employer's NI - August 2013</t>
  </si>
  <si>
    <t>Employer's NI - September 2013</t>
  </si>
  <si>
    <t>Employer's NI -  April 2014</t>
  </si>
  <si>
    <t>Employer's NI -  May 2014</t>
  </si>
  <si>
    <t>Employer's Pension - August 2013</t>
  </si>
  <si>
    <t>Employer's Pension - July 2013</t>
  </si>
  <si>
    <t>Employer's Pension - April 2014</t>
  </si>
  <si>
    <t>Employer's Pension -  April 2014</t>
  </si>
  <si>
    <t>Employer's Pension -  May 2014</t>
  </si>
  <si>
    <t>Life Insurance Recharge</t>
  </si>
  <si>
    <t>Balance</t>
  </si>
  <si>
    <t>Claire Blanchard Salary - March 2014</t>
  </si>
  <si>
    <t>Employer's NI -  March 2014</t>
  </si>
  <si>
    <t>TRANSLATION of What is the SUN CSN document -FRENCH &amp; SPANISH</t>
  </si>
  <si>
    <t xml:space="preserve">Claire Blanchard Salary - July 2013 </t>
  </si>
  <si>
    <t>Translation - BANK CHARGES</t>
  </si>
  <si>
    <t>BANK CHARGES - Income 06 08 2013</t>
  </si>
  <si>
    <t>BANK CHARGES - Income 21 10 2013</t>
  </si>
  <si>
    <t>Claire Blanchard - Flights Kenya - site visit</t>
  </si>
  <si>
    <t>Claire Blanchard - Hotel Kenya - site visit</t>
  </si>
  <si>
    <t>Claire Blanchard - health care costs Kenya - site visit - VACCINATION</t>
  </si>
  <si>
    <t>Claire Blanchard - health care costs Kenya - site visit - SEXUAL ASSAULT KIT</t>
  </si>
  <si>
    <t>Claire Blanchard - health care costs Kenya - site visit - INSECT REPELLENT</t>
  </si>
  <si>
    <t>BANK CHARGES - Income January 2014</t>
  </si>
  <si>
    <t>Total received to date</t>
  </si>
  <si>
    <t>Claire Blanchard Salary - June 2014</t>
  </si>
  <si>
    <t>Employer's NI -  June 2014</t>
  </si>
  <si>
    <t>Employer's Pension -  June 2014</t>
  </si>
  <si>
    <t>Employer's NI -  July 2014</t>
  </si>
  <si>
    <t>Employer's Pension -  July 2014</t>
  </si>
  <si>
    <t>Claire Blanchard Salary - July 2014</t>
  </si>
  <si>
    <t>Claire Blanchard - health care costs Kenya - site visit -HOTEL BOOKING 1 CANCELLED  FOR SECURITY REASONS - CANCELLATION FEES</t>
  </si>
  <si>
    <t>Claire Blanchard - health care costs Kenya - site visit -HOTEL BOOKING 2 CANCELLED  FOR SECURITY REASONS - CANCELLATION FEES</t>
  </si>
  <si>
    <t xml:space="preserve">Claire Blanchard - health care costs Kenya - site visit -HOTEL BOOKING 1 </t>
  </si>
  <si>
    <t>Claire Blanchard - health care costs Kenya - site visit -HOTEL BOOKING 1 CANCELLED  FOR SECURITY REASONS - REIMBURSEMENT MINUS CANCELLATION FEES</t>
  </si>
  <si>
    <t>Claire Blanchard - health care costs Kenya - site visit -HOTEL BOOKING 2</t>
  </si>
  <si>
    <t>Claire Blanchard - health care costs Kenya - site visit -HOTEL BOOKING 2 CANCELLED  FOR SECURITY REASONS - REIMBURSEMENT MINUS CANCELLATION FEES</t>
  </si>
  <si>
    <t>Washington - flights - Claire Blanchard - Interaction</t>
  </si>
  <si>
    <t>Washington - Expenses - Claire Blanchard - Interaction</t>
  </si>
  <si>
    <t>Washington - Float - Claire Blanchard - Interaction</t>
  </si>
  <si>
    <t xml:space="preserve">Madagascar- flights - Claire Blanchard </t>
  </si>
  <si>
    <t xml:space="preserve">Madagascar- Hotel - Claire Blanchard </t>
  </si>
  <si>
    <t xml:space="preserve">Madagascar- Float - Claire Blanchard </t>
  </si>
  <si>
    <t xml:space="preserve">Madagascar- Expenses - Claire Blanchard </t>
  </si>
  <si>
    <t xml:space="preserve">Madagascar- Health - Claire Blanchard </t>
  </si>
  <si>
    <t xml:space="preserve">Ghana- flights - Claire Blanchard </t>
  </si>
  <si>
    <t xml:space="preserve">Ghana- Registration - Claire Blanchard </t>
  </si>
  <si>
    <t xml:space="preserve">Ghana- Health - Claire Blanchard </t>
  </si>
  <si>
    <t xml:space="preserve">Ghana- Expenses - Claire Blanchard </t>
  </si>
  <si>
    <t xml:space="preserve">Ghana Visa - Key travel - Claire Blanchard </t>
  </si>
  <si>
    <t xml:space="preserve">Ghana Visa - Key travel BOOKING FEE  - Claire Blanchard </t>
  </si>
  <si>
    <t xml:space="preserve">Geneva- flights - Claire Blanchard </t>
  </si>
  <si>
    <t xml:space="preserve">Geneva- train - Claire Blanchard </t>
  </si>
  <si>
    <t xml:space="preserve">Geneva- Hotel - Claire Blanchard </t>
  </si>
  <si>
    <t xml:space="preserve">Geneva- Expenses - Claire Blanchard </t>
  </si>
  <si>
    <t xml:space="preserve">Geneva- Credit card payment - Claire Blanchard </t>
  </si>
  <si>
    <t>Payment - WV Tanzania</t>
  </si>
  <si>
    <t>Bank charges - Payment - WV Tanzania</t>
  </si>
  <si>
    <t>Payment - ANEC VI</t>
  </si>
  <si>
    <t>Bank charges - Payment - ANEC VI</t>
  </si>
  <si>
    <t>Claire Blanchard Sal EX Allowance - June 2014</t>
  </si>
  <si>
    <t>Claire Blanchard Sal EX Allowance - May 2014</t>
  </si>
  <si>
    <t>Claire Blanchard Sal EX Allowance - July 2014</t>
  </si>
  <si>
    <t>Received from UNOPS (Received on the 06/08/2013 $100,000 @ 1.53 = £65,338.12)</t>
  </si>
  <si>
    <t>Received from UNOPS (Received on the 21/10/2013 $60,000 @ 1.61 = £37,167.81)</t>
  </si>
  <si>
    <t>Received from UNOPS (Received on the 22 January 2014 $100,000 @ 1.65 = £60,339.14)</t>
  </si>
  <si>
    <t>Claire Blanchard Salary - May 2014 part 1</t>
  </si>
  <si>
    <t>Claire Blanchard Salary - May 2014 part 2</t>
  </si>
  <si>
    <t xml:space="preserve">Peru - Claire Blanchard - Flights - LEARNING ROUTES - PROVISIONAL </t>
  </si>
  <si>
    <t>TRANSLATION of Notes from New York - Spanish version translation</t>
  </si>
  <si>
    <t>TRANSLATION of Notes from New York (review of French and Spanish versions)</t>
  </si>
  <si>
    <t>Received from UNOPS (Received on the 21 August 2014 $60,000 @1.69 = 35,440.05 GBP)</t>
  </si>
  <si>
    <t xml:space="preserve">Claire Blanchard - FLOAT Kenya - site visit - for Claire &amp; Cara </t>
  </si>
  <si>
    <t>Translation - several of the Spanish translations completed at the start of the year</t>
  </si>
  <si>
    <t>Translation -Global Day of Action Spanish translation</t>
  </si>
  <si>
    <t>Ghana- Registration - Claire Blanchard BANK CHARGES</t>
  </si>
  <si>
    <t>BANK CHARGES - Income June 2014</t>
  </si>
  <si>
    <t>Claire Blanchard Salary - August 2014</t>
  </si>
  <si>
    <t>Claire Blanchard Sal EX Allowance - August 2014</t>
  </si>
  <si>
    <t>Employer's NI -  August 2014</t>
  </si>
  <si>
    <t>Employer's August -  July 2014</t>
  </si>
  <si>
    <t>Claire Blanchard Salary - September 2014</t>
  </si>
  <si>
    <t>Employer's NI -  September 2014</t>
  </si>
  <si>
    <t>Insitutional support costs</t>
  </si>
  <si>
    <t>Total spent to date</t>
  </si>
  <si>
    <t xml:space="preserve">Claire Blanchard Salary - August 2014 (regularisation) </t>
  </si>
  <si>
    <t>SUN GG 2014 - Aminata Mbodj (Senegal - FLIGHT)</t>
  </si>
  <si>
    <t>SUN GG 2014 - Aminata Mbodj (Senegal - HOTEL)</t>
  </si>
  <si>
    <t>SUN GG 2014 - Celestin Agoussounon (Benin - FLIGHT)</t>
  </si>
  <si>
    <t>SUN GG 2014 - Celestin Agoussounon (Benin - HOTEL)</t>
  </si>
  <si>
    <t>SUN GG 2014 - David Olayemi (Nigeria - HOTEL)</t>
  </si>
  <si>
    <t>SUN GG 2014 - Milo Stanojevich (Peru - HOTEL)</t>
  </si>
  <si>
    <t>SUN GG 2014 - Naman Camara (Guinea - HOTEL)</t>
  </si>
  <si>
    <t>SUN GG 2014 - Shahida Akter Bangladesh (Bangladesh - HOTEL)</t>
  </si>
  <si>
    <t>SUN GG 2014 - Virginia Mzunzu (Malawi - HOTEL)</t>
  </si>
  <si>
    <t>SUN GG 2014 - Claire Blanchard - FLIGHT</t>
  </si>
  <si>
    <t>SUN GG 2014 - Claire Blanchard - HOTEL</t>
  </si>
  <si>
    <t>Laminou Kolle - Flights - rome SUN GG</t>
  </si>
  <si>
    <t>SUN GG 2014 - Uma Koroira (Nepal - HOTEL)</t>
  </si>
  <si>
    <t>Business cards order - VISTAPRINT - FROM CREDIT CARD CLAIRE BLANCHARD</t>
  </si>
  <si>
    <t xml:space="preserve">Peru Learning Route- Credit card payment - Claire Blanchard </t>
  </si>
  <si>
    <t>SUN GG 2014 - Claire Blanchard - FLIGHT MODIFICATION FOR ATTENDING MPTF MC</t>
  </si>
  <si>
    <t>SUN GG 2014 - Claire Blanchard - HOTEL ADDITIONAL NIGHT FOR ATTENDING MPTF MC</t>
  </si>
  <si>
    <t>Security cable for laptop for SUN GG</t>
  </si>
  <si>
    <t>Employer's September -  2014</t>
  </si>
  <si>
    <t>Employer's NI -  October 2014</t>
  </si>
  <si>
    <t>Claire Blanchard Sal EX Allowance - September 2014</t>
  </si>
  <si>
    <t>Claire Blanchard Salary - October 2014</t>
  </si>
  <si>
    <t>Transltion regularisation 1 - SUN post-2015 proof, Membership updates &amp; Webinar translation - Spanish</t>
  </si>
  <si>
    <t>Transltion regularisation 2 - SUN webinar PowerPoint translation - proofread</t>
  </si>
  <si>
    <t>Transltion regularisation 3 - SUN webinar PowerPoint translation - proofread - VAT reverse charge</t>
  </si>
  <si>
    <t>Transltion regularisation 4 - SUN membership update French</t>
  </si>
  <si>
    <t>Transltion regularisation 5 - SUN eval docs (6) FR proof</t>
  </si>
  <si>
    <t>Transltion regularisation 6 - SUN email Spanish</t>
  </si>
  <si>
    <t>Transltion regularisation 7 - SUN GG activities proposal SP proof</t>
  </si>
  <si>
    <t>SUN GG 2014 - Celestin Agoussounon (Benin - FLIGHT MODIFICATION)</t>
  </si>
  <si>
    <t>SUN GG 2014 - Virginia Mzunzu (Malawi - HOTEL) - REIMBURSEMENT FROM CONCERN AS NO LONGER NEEDING FINANCIAL SUPPORT</t>
  </si>
  <si>
    <t>CASH ADV FEE</t>
  </si>
  <si>
    <t>Received from UNOPS (Received on the 19 November 2014 $60,000 @1.60 = 37,507.03 GBP)</t>
  </si>
  <si>
    <t>Claire Blanchard Sal EX Allowance - October 2014</t>
  </si>
  <si>
    <t>Claire Blanchard Sal EX Allowance - November 2014</t>
  </si>
  <si>
    <t>Claire Blanchard Salary - November 2014</t>
  </si>
  <si>
    <t>Employer's NI -  November 2014</t>
  </si>
  <si>
    <t>Employer's October 2014</t>
  </si>
  <si>
    <t>Employer's November 2014</t>
  </si>
  <si>
    <t>TRANSLATION ToR SUN CSN FR</t>
  </si>
  <si>
    <t>TRANSLATION ToR SUN CSN SP</t>
  </si>
  <si>
    <t>BANK CHARGES - Income November 2014</t>
  </si>
  <si>
    <t>Claire Blanchard - Expenses Zambia site visit</t>
  </si>
  <si>
    <t>TRANSLATION SUN documents FR</t>
  </si>
  <si>
    <t>TRANSLATION CSA update SP</t>
  </si>
  <si>
    <t>TRANSLATION review SUN documents FR</t>
  </si>
  <si>
    <t>TRANSLATION SUN documents SP</t>
  </si>
  <si>
    <t>TRANSLATION August SUN CSA update SUN CSN FR</t>
  </si>
  <si>
    <t>TRANSLATION Governance SP</t>
  </si>
  <si>
    <t>Translation SUN GG blog FR</t>
  </si>
  <si>
    <t>Translation SUN GG blogSP</t>
  </si>
  <si>
    <t>Translation SUN CSA December update FR</t>
  </si>
  <si>
    <t>Translation SUN CSA December update SP</t>
  </si>
  <si>
    <t>Refund unspent funds from WV Tanzania</t>
  </si>
  <si>
    <t>Translation review  SUN CSA December update FR</t>
  </si>
  <si>
    <t>Translation review SUN CSA December update SP</t>
  </si>
  <si>
    <t>Translation minutes SP</t>
  </si>
  <si>
    <t>Flights Claire Blanchard - Network Facilitator meeting - geneva - Feb 3</t>
  </si>
  <si>
    <t>Hotel Claire Blanchard - Network Facilitator meeting - geneva - Feb 3</t>
  </si>
  <si>
    <t>Flights Claire Blanchard - GSO CoI conf Feb16-17</t>
  </si>
  <si>
    <t>Hotel 1 Claire Blanchard- GSO CoI conf Feb16-17</t>
  </si>
  <si>
    <t>Cancelation Hotel 1 Claire Blanchard - GSO CoI conf Feb16-17</t>
  </si>
  <si>
    <t>Hotel 2 Claire Blanchard - GSO CoI conf Feb16-17</t>
  </si>
  <si>
    <t>Refund of ANEC VI funds</t>
  </si>
  <si>
    <t>Bank charges - Refund of ANEC VI funds</t>
  </si>
  <si>
    <t>Translation governance note phase 2 FR</t>
  </si>
  <si>
    <t>Flights ICE Tanzania</t>
  </si>
  <si>
    <t>Claire Blanchard Salary - December 2014</t>
  </si>
  <si>
    <t>Claire Blanchard Sal EX Allowance - December 2014</t>
  </si>
  <si>
    <t>Employer's NI -  December 2014</t>
  </si>
  <si>
    <t>Employer's December 2014</t>
  </si>
  <si>
    <t>Translation governance note phase 2 SP</t>
  </si>
  <si>
    <t>Hotel ICE Tanzania</t>
  </si>
  <si>
    <t>Expenses CoI conference</t>
  </si>
  <si>
    <t>Expenses NF meeting Geneva</t>
  </si>
  <si>
    <t>TAXI TRVL WITH EQUIP ITALY</t>
  </si>
  <si>
    <t>LUNCH ITALY</t>
  </si>
  <si>
    <t>ACCOM ITALY</t>
  </si>
  <si>
    <t>TAXI TRVL WITH EQUIP GB</t>
  </si>
  <si>
    <t xml:space="preserve">DRINKS MEETING </t>
  </si>
  <si>
    <t>CASH FOR POSTAGE</t>
  </si>
  <si>
    <t>LUNCH</t>
  </si>
  <si>
    <t>PACK POSTAGE DOCUMENTS</t>
  </si>
  <si>
    <t>TRVL TO ACCOM ITALY</t>
  </si>
  <si>
    <t>LUNCH EXTENDED MEETING</t>
  </si>
  <si>
    <t>DINNER &amp; MEETING</t>
  </si>
  <si>
    <t>TRVL TO MEETING ITALY</t>
  </si>
  <si>
    <t>TRVL FROM AIRPORT TAXI NO OTHE</t>
  </si>
  <si>
    <t>DRINK &amp; SNACK AT AIRPORT</t>
  </si>
  <si>
    <t>TRVL HOME FRM AIRPORT</t>
  </si>
  <si>
    <t>Pension recharge</t>
  </si>
  <si>
    <t>SUN GG - expenses</t>
  </si>
  <si>
    <t>SUN CSN banner</t>
  </si>
  <si>
    <t>Cara Flowers -ciriminal checks for employment</t>
  </si>
  <si>
    <t>PROVISIONAL</t>
  </si>
  <si>
    <t>Claire Blanchard Salary and charges - January 2015</t>
  </si>
  <si>
    <t>Claire Blanchard Salary and charges - February 2015</t>
  </si>
  <si>
    <t>Pension costs</t>
  </si>
  <si>
    <t>Claire Blanchard Salary and charges - March 2015</t>
  </si>
  <si>
    <t>Claire Blanchard Salary and charges - April 2015</t>
  </si>
  <si>
    <t>Translation ICE response summary in FR</t>
  </si>
  <si>
    <t>Translation ICE response summary in SP</t>
  </si>
  <si>
    <t>Alignment consultancy - Payment 1 Chris Leather</t>
  </si>
  <si>
    <t>Credit card charges</t>
  </si>
  <si>
    <t>Proofing ICE in FR</t>
  </si>
  <si>
    <t>Support for TA on budget analysis and advocacy - West Africa WS</t>
  </si>
  <si>
    <t>Received from UNOPS (Received on 21/04/15 - $90,000 equivalent to 57,478.61 GBP)</t>
  </si>
  <si>
    <t>Claire Blanchard Salary and charges - May 2015</t>
  </si>
  <si>
    <t>Reimbursement SUN GG Celestin Benin</t>
  </si>
  <si>
    <t>This does not appear in Finance system yet - should appear in July. PROVISIONAL</t>
  </si>
  <si>
    <t>Reimbursement SUN GG Milo Stanojevich</t>
  </si>
  <si>
    <t>This still needs to be processed through finance - Numbers may vary</t>
  </si>
  <si>
    <t>SMARTSHEET PURCHASE FOR 1 YEAR</t>
  </si>
  <si>
    <t>Translation to SP - Country Support Framework overview &amp; CoP overview ppt for blog</t>
  </si>
  <si>
    <t>Revision of translation to SP -Minutes advocacy group</t>
  </si>
  <si>
    <t xml:space="preserve">* Please note that this report includes projected expenditure through to June 15, 2015 as financial transactions for this month have not yet been incurred at the time of reporting*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</si>
</sst>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USD]\ #,##0.00"/>
    <numFmt numFmtId="174" formatCode="[$GBP]\ #,##0.00"/>
    <numFmt numFmtId="175" formatCode="_-[$GBP]\ * #,##0.00_-;\-[$GBP]\ * #,##0.00_-;_-[$GBP]\ * &quot;-&quot;??_-;_-@_-"/>
    <numFmt numFmtId="176" formatCode="&quot;Yes&quot;;&quot;Yes&quot;;&quot;No&quot;"/>
    <numFmt numFmtId="177" formatCode="&quot;True&quot;;&quot;True&quot;;&quot;False&quot;"/>
    <numFmt numFmtId="178" formatCode="&quot;On&quot;;&quot;On&quot;;&quot;Off&quot;"/>
    <numFmt numFmtId="179" formatCode="[$€-2]\ #,##0.00_);[Red]\([$€-2]\ #,##0.00\)"/>
    <numFmt numFmtId="180" formatCode="[$GBP]\ #,##0.000000"/>
    <numFmt numFmtId="181" formatCode="[$USD]\ #,##0.000"/>
    <numFmt numFmtId="182" formatCode="[$GBP]\ #,##0.00;\-[$GBP]\ #,##0.00"/>
    <numFmt numFmtId="183" formatCode="#0"/>
    <numFmt numFmtId="184" formatCode="d\ mmm\ yy;@"/>
    <numFmt numFmtId="185" formatCode="#,##0.00;\-#,##0.00;&quot; &quot;"/>
    <numFmt numFmtId="186" formatCode="#,##0.0000;\-#,##0.0000;&quot; &quot;"/>
    <numFmt numFmtId="187" formatCode="dd/mm/yy;@"/>
    <numFmt numFmtId="188" formatCode="_-[$USD]\ * #,##0.00_-;\-[$USD]\ * #,##0.00_-;_-[$USD]\ * &quot;-&quot;??_-;_-@_-"/>
    <numFmt numFmtId="189" formatCode="#;[Red]\-#"/>
    <numFmt numFmtId="190" formatCode="#,##0.00_ ;[Red]\-#,##0.00\ "/>
  </numFmts>
  <fonts count="127">
    <font>
      <sz val="10"/>
      <name val="Arial"/>
      <family val="0"/>
    </font>
    <font>
      <sz val="8"/>
      <name val="Arial"/>
      <family val="2"/>
    </font>
    <font>
      <b/>
      <sz val="12"/>
      <name val="Calibri"/>
      <family val="2"/>
    </font>
    <font>
      <sz val="12"/>
      <name val="Calibri"/>
      <family val="2"/>
    </font>
    <font>
      <sz val="10"/>
      <name val="Calibri"/>
      <family val="2"/>
    </font>
    <font>
      <b/>
      <sz val="10"/>
      <name val="Calibri"/>
      <family val="2"/>
    </font>
    <font>
      <i/>
      <sz val="10"/>
      <name val="Calibri"/>
      <family val="2"/>
    </font>
    <font>
      <b/>
      <i/>
      <sz val="10"/>
      <name val="Calibri"/>
      <family val="2"/>
    </font>
    <font>
      <u val="single"/>
      <sz val="10"/>
      <color indexed="12"/>
      <name val="Arial"/>
      <family val="2"/>
    </font>
    <font>
      <u val="single"/>
      <sz val="10"/>
      <color indexed="61"/>
      <name val="Arial"/>
      <family val="2"/>
    </font>
    <font>
      <b/>
      <i/>
      <sz val="10"/>
      <name val="Arial"/>
      <family val="2"/>
    </font>
    <font>
      <b/>
      <sz val="10"/>
      <color indexed="62"/>
      <name val="Calibri"/>
      <family val="2"/>
    </font>
    <font>
      <b/>
      <sz val="10"/>
      <color indexed="10"/>
      <name val="Calibri"/>
      <family val="2"/>
    </font>
    <font>
      <b/>
      <sz val="10"/>
      <color indexed="54"/>
      <name val="Calibri"/>
      <family val="2"/>
    </font>
    <font>
      <b/>
      <u val="single"/>
      <sz val="10"/>
      <color indexed="12"/>
      <name val="Calibri"/>
      <family val="2"/>
    </font>
    <font>
      <u val="single"/>
      <sz val="10"/>
      <color indexed="12"/>
      <name val="Calibri"/>
      <family val="2"/>
    </font>
    <font>
      <b/>
      <u val="single"/>
      <sz val="10"/>
      <color indexed="12"/>
      <name val="Arial"/>
      <family val="2"/>
    </font>
    <font>
      <sz val="11"/>
      <color indexed="8"/>
      <name val="Calibri"/>
      <family val="2"/>
    </font>
    <font>
      <sz val="11"/>
      <color indexed="9"/>
      <name val="Calibri"/>
      <family val="2"/>
    </font>
    <font>
      <sz val="11"/>
      <color indexed="10"/>
      <name val="Calibri"/>
      <family val="2"/>
    </font>
    <font>
      <sz val="11"/>
      <color indexed="14"/>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color indexed="19"/>
      <name val="Calibri"/>
      <family val="2"/>
    </font>
    <font>
      <b/>
      <i/>
      <sz val="10"/>
      <color indexed="10"/>
      <name val="Calibri"/>
      <family val="2"/>
    </font>
    <font>
      <sz val="12"/>
      <color indexed="62"/>
      <name val="Calibri"/>
      <family val="2"/>
    </font>
    <font>
      <sz val="12"/>
      <color indexed="19"/>
      <name val="Calibri"/>
      <family val="2"/>
    </font>
    <font>
      <sz val="10"/>
      <color indexed="62"/>
      <name val="Calibri"/>
      <family val="2"/>
    </font>
    <font>
      <sz val="10"/>
      <color indexed="19"/>
      <name val="Calibri"/>
      <family val="2"/>
    </font>
    <font>
      <sz val="10"/>
      <color indexed="10"/>
      <name val="Calibri"/>
      <family val="2"/>
    </font>
    <font>
      <sz val="10"/>
      <color indexed="62"/>
      <name val="Arial"/>
      <family val="2"/>
    </font>
    <font>
      <sz val="10"/>
      <color indexed="19"/>
      <name val="Arial"/>
      <family val="2"/>
    </font>
    <font>
      <b/>
      <i/>
      <sz val="10"/>
      <color indexed="62"/>
      <name val="Calibri"/>
      <family val="2"/>
    </font>
    <font>
      <b/>
      <i/>
      <sz val="10"/>
      <color indexed="19"/>
      <name val="Calibri"/>
      <family val="2"/>
    </font>
    <font>
      <sz val="11"/>
      <color indexed="37"/>
      <name val="Calibri"/>
      <family val="2"/>
    </font>
    <font>
      <b/>
      <i/>
      <sz val="10"/>
      <color indexed="21"/>
      <name val="Calibri"/>
      <family val="2"/>
    </font>
    <font>
      <b/>
      <sz val="10"/>
      <color indexed="57"/>
      <name val="Calibri"/>
      <family val="2"/>
    </font>
    <font>
      <b/>
      <i/>
      <sz val="10"/>
      <color indexed="57"/>
      <name val="Calibri"/>
      <family val="2"/>
    </font>
    <font>
      <sz val="10"/>
      <color indexed="57"/>
      <name val="Calibri"/>
      <family val="2"/>
    </font>
    <font>
      <sz val="10"/>
      <color indexed="21"/>
      <name val="Calibri"/>
      <family val="2"/>
    </font>
    <font>
      <b/>
      <i/>
      <u val="single"/>
      <sz val="10"/>
      <color indexed="12"/>
      <name val="Calibri"/>
      <family val="2"/>
    </font>
    <font>
      <b/>
      <sz val="10"/>
      <color indexed="21"/>
      <name val="Calibri"/>
      <family val="2"/>
    </font>
    <font>
      <sz val="11"/>
      <color indexed="21"/>
      <name val="Calibri"/>
      <family val="2"/>
    </font>
    <font>
      <sz val="10"/>
      <color indexed="21"/>
      <name val="Arial"/>
      <family val="2"/>
    </font>
    <font>
      <sz val="10"/>
      <color indexed="53"/>
      <name val="Calibri"/>
      <family val="2"/>
    </font>
    <font>
      <sz val="10"/>
      <color indexed="8"/>
      <name val="Calibri"/>
      <family val="2"/>
    </font>
    <font>
      <sz val="10"/>
      <color indexed="53"/>
      <name val="Arial"/>
      <family val="2"/>
    </font>
    <font>
      <sz val="10"/>
      <color indexed="37"/>
      <name val="Calibri"/>
      <family val="2"/>
    </font>
    <font>
      <b/>
      <i/>
      <sz val="10"/>
      <color indexed="53"/>
      <name val="Calibri"/>
      <family val="2"/>
    </font>
    <font>
      <sz val="10"/>
      <color indexed="60"/>
      <name val="Calibri"/>
      <family val="2"/>
    </font>
    <font>
      <b/>
      <sz val="10"/>
      <color indexed="9"/>
      <name val="Calibri"/>
      <family val="2"/>
    </font>
    <font>
      <b/>
      <sz val="10"/>
      <color indexed="15"/>
      <name val="Calibri"/>
      <family val="2"/>
    </font>
    <font>
      <b/>
      <i/>
      <sz val="10"/>
      <color indexed="15"/>
      <name val="Calibri"/>
      <family val="2"/>
    </font>
    <font>
      <sz val="10"/>
      <color indexed="15"/>
      <name val="Arial"/>
      <family val="2"/>
    </font>
    <font>
      <sz val="10"/>
      <color indexed="15"/>
      <name val="Calibri"/>
      <family val="2"/>
    </font>
    <font>
      <b/>
      <sz val="10"/>
      <color indexed="9"/>
      <name val="Arial"/>
      <family val="2"/>
    </font>
    <font>
      <sz val="11"/>
      <color theme="1"/>
      <name val="Calibri"/>
      <family val="2"/>
    </font>
    <font>
      <sz val="11"/>
      <color theme="0"/>
      <name val="Calibri"/>
      <family val="2"/>
    </font>
    <font>
      <sz val="11"/>
      <color rgb="FFFF0000"/>
      <name val="Calibri"/>
      <family val="2"/>
    </font>
    <font>
      <sz val="11"/>
      <color rgb="FF9C0006"/>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theme="3"/>
      <name val="Calibri"/>
      <family val="2"/>
    </font>
    <font>
      <b/>
      <sz val="10"/>
      <color theme="6" tint="-0.4999699890613556"/>
      <name val="Calibri"/>
      <family val="2"/>
    </font>
    <font>
      <b/>
      <i/>
      <sz val="10"/>
      <color rgb="FFFF0000"/>
      <name val="Calibri"/>
      <family val="2"/>
    </font>
    <font>
      <b/>
      <sz val="10"/>
      <color rgb="FFFF0000"/>
      <name val="Calibri"/>
      <family val="2"/>
    </font>
    <font>
      <sz val="12"/>
      <color theme="3"/>
      <name val="Calibri"/>
      <family val="2"/>
    </font>
    <font>
      <sz val="12"/>
      <color theme="6" tint="-0.4999699890613556"/>
      <name val="Calibri"/>
      <family val="2"/>
    </font>
    <font>
      <sz val="10"/>
      <color theme="3"/>
      <name val="Calibri"/>
      <family val="2"/>
    </font>
    <font>
      <sz val="10"/>
      <color theme="6" tint="-0.4999699890613556"/>
      <name val="Calibri"/>
      <family val="2"/>
    </font>
    <font>
      <b/>
      <sz val="10"/>
      <color theme="7"/>
      <name val="Calibri"/>
      <family val="2"/>
    </font>
    <font>
      <sz val="10"/>
      <color rgb="FFFF0000"/>
      <name val="Calibri"/>
      <family val="2"/>
    </font>
    <font>
      <sz val="10"/>
      <color theme="3"/>
      <name val="Arial"/>
      <family val="2"/>
    </font>
    <font>
      <sz val="10"/>
      <color theme="6" tint="-0.4999699890613556"/>
      <name val="Arial"/>
      <family val="2"/>
    </font>
    <font>
      <b/>
      <i/>
      <sz val="10"/>
      <color theme="3"/>
      <name val="Calibri"/>
      <family val="2"/>
    </font>
    <font>
      <b/>
      <i/>
      <sz val="10"/>
      <color theme="6" tint="-0.4999699890613556"/>
      <name val="Calibri"/>
      <family val="2"/>
    </font>
    <font>
      <sz val="12"/>
      <color rgb="FF7030A0"/>
      <name val="Calibri"/>
      <family val="2"/>
    </font>
    <font>
      <b/>
      <sz val="10"/>
      <color rgb="FF7030A0"/>
      <name val="Calibri"/>
      <family val="2"/>
    </font>
    <font>
      <sz val="10"/>
      <color rgb="FF7030A0"/>
      <name val="Calibri"/>
      <family val="2"/>
    </font>
    <font>
      <sz val="10"/>
      <color rgb="FF7030A0"/>
      <name val="Arial"/>
      <family val="2"/>
    </font>
    <font>
      <b/>
      <i/>
      <sz val="10"/>
      <color rgb="FF7030A0"/>
      <name val="Calibri"/>
      <family val="2"/>
    </font>
    <font>
      <sz val="11"/>
      <color rgb="FF120000"/>
      <name val="Calibri"/>
      <family val="2"/>
    </font>
    <font>
      <b/>
      <i/>
      <sz val="10"/>
      <color rgb="FF00B050"/>
      <name val="Calibri"/>
      <family val="2"/>
    </font>
    <font>
      <sz val="11"/>
      <color rgb="FF000000"/>
      <name val="Calibri"/>
      <family val="2"/>
    </font>
    <font>
      <b/>
      <sz val="10"/>
      <color theme="8" tint="-0.4999699890613556"/>
      <name val="Calibri"/>
      <family val="2"/>
    </font>
    <font>
      <b/>
      <i/>
      <sz val="10"/>
      <color theme="8" tint="-0.4999699890613556"/>
      <name val="Calibri"/>
      <family val="2"/>
    </font>
    <font>
      <sz val="10"/>
      <color theme="8" tint="-0.4999699890613556"/>
      <name val="Calibri"/>
      <family val="2"/>
    </font>
    <font>
      <sz val="10"/>
      <color rgb="FF00B050"/>
      <name val="Calibri"/>
      <family val="2"/>
    </font>
    <font>
      <b/>
      <sz val="10"/>
      <color rgb="FF00B050"/>
      <name val="Calibri"/>
      <family val="2"/>
    </font>
    <font>
      <sz val="11"/>
      <color rgb="FF00B050"/>
      <name val="Calibri"/>
      <family val="2"/>
    </font>
    <font>
      <sz val="10"/>
      <color rgb="FF00B050"/>
      <name val="Arial"/>
      <family val="2"/>
    </font>
    <font>
      <sz val="10"/>
      <color theme="9" tint="-0.24997000396251678"/>
      <name val="Calibri"/>
      <family val="2"/>
    </font>
    <font>
      <sz val="10"/>
      <color theme="1"/>
      <name val="Calibri"/>
      <family val="2"/>
    </font>
    <font>
      <sz val="10"/>
      <color theme="9" tint="-0.24997000396251678"/>
      <name val="Arial"/>
      <family val="2"/>
    </font>
    <font>
      <sz val="10"/>
      <color rgb="FF000000"/>
      <name val="Calibri"/>
      <family val="2"/>
    </font>
    <font>
      <sz val="10"/>
      <color rgb="FF120000"/>
      <name val="Calibri"/>
      <family val="2"/>
    </font>
    <font>
      <b/>
      <i/>
      <sz val="10"/>
      <color theme="9" tint="-0.24997000396251678"/>
      <name val="Calibri"/>
      <family val="2"/>
    </font>
    <font>
      <b/>
      <sz val="10"/>
      <color rgb="FFC00000"/>
      <name val="Calibri"/>
      <family val="2"/>
    </font>
    <font>
      <sz val="10"/>
      <color theme="9" tint="-0.4999699890613556"/>
      <name val="Calibri"/>
      <family val="2"/>
    </font>
    <font>
      <b/>
      <sz val="10"/>
      <color theme="0"/>
      <name val="Calibri"/>
      <family val="2"/>
    </font>
    <font>
      <b/>
      <sz val="10"/>
      <color rgb="FF00B0F0"/>
      <name val="Calibri"/>
      <family val="2"/>
    </font>
    <font>
      <b/>
      <i/>
      <sz val="10"/>
      <color rgb="FF00B0F0"/>
      <name val="Calibri"/>
      <family val="2"/>
    </font>
    <font>
      <sz val="10"/>
      <color rgb="FF00B0F0"/>
      <name val="Arial"/>
      <family val="2"/>
    </font>
    <font>
      <sz val="10"/>
      <color rgb="FF00B0F0"/>
      <name val="Calibri"/>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
      <patternFill patternType="solid">
        <fgColor rgb="FF7030A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0" applyNumberFormat="0" applyBorder="0" applyAlignment="0" applyProtection="0"/>
    <xf numFmtId="0" fontId="71" fillId="27" borderId="1" applyNumberFormat="0" applyAlignment="0" applyProtection="0"/>
    <xf numFmtId="0" fontId="71" fillId="27" borderId="1" applyNumberFormat="0" applyAlignment="0" applyProtection="0"/>
    <xf numFmtId="0" fontId="72" fillId="0" borderId="2" applyNumberFormat="0" applyFill="0" applyAlignment="0" applyProtection="0"/>
    <xf numFmtId="0" fontId="73"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29"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0"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1" borderId="0" applyNumberFormat="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74" fillId="30" borderId="1" applyNumberFormat="0" applyAlignment="0" applyProtection="0"/>
    <xf numFmtId="0" fontId="70" fillId="26" borderId="0" applyNumberFormat="0" applyBorder="0" applyAlignment="0" applyProtection="0"/>
    <xf numFmtId="0" fontId="72" fillId="0" borderId="2" applyNumberFormat="0" applyFill="0" applyAlignment="0" applyProtection="0"/>
    <xf numFmtId="0" fontId="80" fillId="32" borderId="0" applyNumberFormat="0" applyBorder="0" applyAlignment="0" applyProtection="0"/>
    <xf numFmtId="0" fontId="80" fillId="32" borderId="0" applyNumberFormat="0" applyBorder="0" applyAlignment="0" applyProtection="0"/>
    <xf numFmtId="0" fontId="67" fillId="0" borderId="0">
      <alignment/>
      <protection/>
    </xf>
    <xf numFmtId="0" fontId="0" fillId="0" borderId="0">
      <alignment/>
      <protection/>
    </xf>
    <xf numFmtId="0" fontId="0" fillId="29" borderId="4"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76" fillId="31" borderId="0" applyNumberFormat="0" applyBorder="0" applyAlignment="0" applyProtection="0"/>
    <xf numFmtId="0" fontId="81" fillId="27" borderId="8" applyNumberFormat="0" applyAlignment="0" applyProtection="0"/>
    <xf numFmtId="0" fontId="7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3" fillId="0" borderId="9" applyNumberFormat="0" applyFill="0" applyAlignment="0" applyProtection="0"/>
    <xf numFmtId="0" fontId="73" fillId="28" borderId="3" applyNumberFormat="0" applyAlignment="0" applyProtection="0"/>
    <xf numFmtId="0" fontId="69" fillId="0" borderId="0" applyNumberFormat="0" applyFill="0" applyBorder="0" applyAlignment="0" applyProtection="0"/>
  </cellStyleXfs>
  <cellXfs count="390">
    <xf numFmtId="0" fontId="0" fillId="0" borderId="0" xfId="0" applyAlignment="1">
      <alignment/>
    </xf>
    <xf numFmtId="0" fontId="0" fillId="0" borderId="0" xfId="0" applyAlignment="1">
      <alignment vertical="center"/>
    </xf>
    <xf numFmtId="0" fontId="7" fillId="0" borderId="0" xfId="0" applyFont="1" applyAlignment="1">
      <alignment vertical="center" wrapText="1"/>
    </xf>
    <xf numFmtId="0" fontId="7" fillId="0" borderId="10" xfId="0" applyFont="1" applyBorder="1" applyAlignment="1">
      <alignment vertical="center" wrapText="1"/>
    </xf>
    <xf numFmtId="0" fontId="10" fillId="0" borderId="0" xfId="0" applyFont="1" applyAlignment="1">
      <alignmen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174" fontId="5" fillId="33" borderId="10" xfId="0" applyNumberFormat="1" applyFont="1" applyFill="1" applyBorder="1" applyAlignment="1">
      <alignment horizontal="center" vertical="center"/>
    </xf>
    <xf numFmtId="174" fontId="5" fillId="33" borderId="11" xfId="0" applyNumberFormat="1" applyFont="1" applyFill="1" applyBorder="1" applyAlignment="1">
      <alignment horizontal="center" vertical="center"/>
    </xf>
    <xf numFmtId="173" fontId="5" fillId="33" borderId="11" xfId="0" applyNumberFormat="1" applyFont="1" applyFill="1" applyBorder="1" applyAlignment="1">
      <alignment horizontal="center" vertical="center" wrapText="1" shrinkToFit="1"/>
    </xf>
    <xf numFmtId="173" fontId="84" fillId="33" borderId="11" xfId="0" applyNumberFormat="1" applyFont="1" applyFill="1" applyBorder="1" applyAlignment="1">
      <alignment horizontal="center" vertical="center" wrapText="1" shrinkToFit="1"/>
    </xf>
    <xf numFmtId="173" fontId="85" fillId="33" borderId="11" xfId="0" applyNumberFormat="1" applyFont="1" applyFill="1" applyBorder="1" applyAlignment="1">
      <alignment horizontal="center" vertical="center" wrapText="1" shrinkToFit="1"/>
    </xf>
    <xf numFmtId="173" fontId="85" fillId="33" borderId="10" xfId="0" applyNumberFormat="1" applyFont="1" applyFill="1" applyBorder="1" applyAlignment="1">
      <alignment horizontal="center" vertical="center" wrapText="1" shrinkToFit="1"/>
    </xf>
    <xf numFmtId="0" fontId="86" fillId="33" borderId="10" xfId="0" applyFont="1" applyFill="1" applyBorder="1" applyAlignment="1">
      <alignment vertical="center" wrapText="1"/>
    </xf>
    <xf numFmtId="173" fontId="87" fillId="33" borderId="11" xfId="0" applyNumberFormat="1" applyFont="1" applyFill="1" applyBorder="1" applyAlignment="1">
      <alignment horizontal="center" vertical="center" wrapText="1" shrinkToFit="1"/>
    </xf>
    <xf numFmtId="0" fontId="4" fillId="0" borderId="0" xfId="0" applyFont="1" applyAlignment="1">
      <alignment vertical="center" wrapText="1"/>
    </xf>
    <xf numFmtId="173" fontId="3" fillId="0" borderId="0" xfId="0" applyNumberFormat="1" applyFont="1" applyBorder="1" applyAlignment="1">
      <alignment vertical="center"/>
    </xf>
    <xf numFmtId="173" fontId="88" fillId="0" borderId="0" xfId="0" applyNumberFormat="1" applyFont="1" applyBorder="1" applyAlignment="1">
      <alignment vertical="center"/>
    </xf>
    <xf numFmtId="173" fontId="89" fillId="0" borderId="0" xfId="0" applyNumberFormat="1" applyFont="1" applyBorder="1" applyAlignment="1">
      <alignment vertical="center"/>
    </xf>
    <xf numFmtId="0" fontId="84"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174" fontId="4" fillId="0" borderId="10" xfId="0" applyNumberFormat="1" applyFont="1" applyBorder="1" applyAlignment="1">
      <alignment horizontal="center" vertical="center" wrapText="1"/>
    </xf>
    <xf numFmtId="174" fontId="4" fillId="0" borderId="11" xfId="0" applyNumberFormat="1" applyFont="1" applyBorder="1" applyAlignment="1">
      <alignment horizontal="center" vertical="center" wrapText="1"/>
    </xf>
    <xf numFmtId="174" fontId="4" fillId="0" borderId="11" xfId="0" applyNumberFormat="1" applyFont="1" applyBorder="1" applyAlignment="1">
      <alignment horizontal="center" vertical="center"/>
    </xf>
    <xf numFmtId="173" fontId="4" fillId="0" borderId="11" xfId="0" applyNumberFormat="1" applyFont="1" applyBorder="1" applyAlignment="1">
      <alignment horizontal="center" vertical="center"/>
    </xf>
    <xf numFmtId="173" fontId="90" fillId="0" borderId="11" xfId="0" applyNumberFormat="1" applyFont="1" applyBorder="1" applyAlignment="1">
      <alignment horizontal="center" vertical="center"/>
    </xf>
    <xf numFmtId="173" fontId="91" fillId="0" borderId="11" xfId="0" applyNumberFormat="1" applyFont="1" applyBorder="1" applyAlignment="1">
      <alignment horizontal="center" vertical="center"/>
    </xf>
    <xf numFmtId="173" fontId="91" fillId="0" borderId="10" xfId="0" applyNumberFormat="1" applyFont="1" applyBorder="1" applyAlignment="1">
      <alignment horizontal="center" vertical="center"/>
    </xf>
    <xf numFmtId="0" fontId="4" fillId="34" borderId="10" xfId="0" applyFont="1" applyFill="1" applyBorder="1" applyAlignment="1">
      <alignment horizontal="justify" vertical="center" wrapText="1"/>
    </xf>
    <xf numFmtId="0" fontId="92" fillId="0" borderId="10" xfId="0" applyFont="1" applyBorder="1" applyAlignment="1">
      <alignment vertical="center" wrapText="1"/>
    </xf>
    <xf numFmtId="0" fontId="4" fillId="34" borderId="10" xfId="0" applyFont="1" applyFill="1" applyBorder="1" applyAlignment="1">
      <alignment vertical="center" wrapText="1"/>
    </xf>
    <xf numFmtId="174" fontId="4" fillId="0" borderId="10" xfId="0" applyNumberFormat="1" applyFont="1" applyBorder="1" applyAlignment="1">
      <alignment horizontal="center" vertical="center"/>
    </xf>
    <xf numFmtId="173" fontId="90" fillId="0" borderId="10" xfId="0" applyNumberFormat="1" applyFont="1" applyBorder="1" applyAlignment="1">
      <alignment horizontal="center" vertical="center"/>
    </xf>
    <xf numFmtId="173" fontId="93" fillId="0" borderId="11" xfId="0" applyNumberFormat="1" applyFont="1" applyBorder="1" applyAlignment="1">
      <alignment horizontal="center" vertical="center"/>
    </xf>
    <xf numFmtId="0" fontId="93" fillId="0" borderId="10" xfId="0" applyFont="1" applyBorder="1" applyAlignment="1">
      <alignment horizontal="justify" vertical="center" wrapText="1"/>
    </xf>
    <xf numFmtId="173" fontId="93" fillId="35" borderId="11" xfId="0" applyNumberFormat="1" applyFont="1" applyFill="1" applyBorder="1" applyAlignment="1">
      <alignment horizontal="center" vertical="center"/>
    </xf>
    <xf numFmtId="0" fontId="93" fillId="35"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93" fillId="0" borderId="10" xfId="0" applyFont="1" applyFill="1" applyBorder="1" applyAlignment="1">
      <alignment horizontal="justify" vertical="center" wrapText="1"/>
    </xf>
    <xf numFmtId="0" fontId="4" fillId="0" borderId="10" xfId="0" applyFont="1" applyFill="1" applyBorder="1" applyAlignment="1">
      <alignment vertical="center" wrapText="1"/>
    </xf>
    <xf numFmtId="174" fontId="4" fillId="0" borderId="10" xfId="0" applyNumberFormat="1" applyFont="1" applyFill="1" applyBorder="1" applyAlignment="1">
      <alignment horizontal="center" vertical="center" wrapText="1"/>
    </xf>
    <xf numFmtId="174" fontId="4" fillId="0" borderId="10" xfId="0" applyNumberFormat="1" applyFont="1" applyFill="1" applyBorder="1" applyAlignment="1">
      <alignment horizontal="center" vertical="center"/>
    </xf>
    <xf numFmtId="174" fontId="4" fillId="0" borderId="11" xfId="0" applyNumberFormat="1" applyFont="1" applyFill="1" applyBorder="1" applyAlignment="1">
      <alignment horizontal="center" vertical="center"/>
    </xf>
    <xf numFmtId="173" fontId="90" fillId="0" borderId="11" xfId="0" applyNumberFormat="1" applyFont="1" applyFill="1" applyBorder="1" applyAlignment="1">
      <alignment horizontal="center" vertical="center"/>
    </xf>
    <xf numFmtId="173" fontId="91" fillId="0" borderId="11" xfId="0" applyNumberFormat="1" applyFont="1" applyFill="1" applyBorder="1" applyAlignment="1">
      <alignment horizontal="center" vertical="center"/>
    </xf>
    <xf numFmtId="173" fontId="91" fillId="0" borderId="10"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wrapText="1"/>
    </xf>
    <xf numFmtId="174" fontId="0" fillId="0" borderId="0" xfId="0" applyNumberFormat="1" applyAlignment="1">
      <alignment vertical="center"/>
    </xf>
    <xf numFmtId="173" fontId="0" fillId="0" borderId="0" xfId="0" applyNumberFormat="1" applyAlignment="1">
      <alignment vertical="center"/>
    </xf>
    <xf numFmtId="173" fontId="94" fillId="0" borderId="0" xfId="0" applyNumberFormat="1" applyFont="1" applyAlignment="1">
      <alignment vertical="center"/>
    </xf>
    <xf numFmtId="173" fontId="95" fillId="0" borderId="12" xfId="0" applyNumberFormat="1" applyFont="1" applyBorder="1" applyAlignment="1">
      <alignment vertical="center"/>
    </xf>
    <xf numFmtId="173" fontId="95" fillId="0" borderId="0" xfId="0" applyNumberFormat="1" applyFont="1" applyBorder="1" applyAlignment="1">
      <alignment vertical="center"/>
    </xf>
    <xf numFmtId="173" fontId="95" fillId="0" borderId="13" xfId="0" applyNumberFormat="1" applyFont="1" applyBorder="1" applyAlignment="1">
      <alignment vertical="center"/>
    </xf>
    <xf numFmtId="0" fontId="6" fillId="0" borderId="10" xfId="0" applyFont="1" applyFill="1" applyBorder="1" applyAlignment="1">
      <alignment horizontal="justify" vertical="center" wrapText="1"/>
    </xf>
    <xf numFmtId="174" fontId="6" fillId="0" borderId="10" xfId="0" applyNumberFormat="1" applyFont="1" applyBorder="1" applyAlignment="1">
      <alignment horizontal="center" vertical="center" wrapText="1"/>
    </xf>
    <xf numFmtId="174" fontId="7" fillId="0" borderId="11" xfId="0" applyNumberFormat="1" applyFont="1" applyBorder="1" applyAlignment="1">
      <alignment horizontal="center" vertical="center"/>
    </xf>
    <xf numFmtId="173" fontId="7" fillId="0" borderId="11" xfId="0" applyNumberFormat="1" applyFont="1" applyBorder="1" applyAlignment="1">
      <alignment horizontal="center" vertical="center"/>
    </xf>
    <xf numFmtId="173" fontId="96" fillId="0" borderId="11" xfId="0" applyNumberFormat="1" applyFont="1" applyBorder="1" applyAlignment="1">
      <alignment horizontal="center" vertical="center"/>
    </xf>
    <xf numFmtId="173" fontId="97" fillId="0" borderId="11" xfId="0" applyNumberFormat="1" applyFont="1" applyBorder="1" applyAlignment="1">
      <alignment horizontal="center" vertical="center"/>
    </xf>
    <xf numFmtId="173" fontId="97"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174" fontId="5" fillId="0" borderId="11" xfId="0" applyNumberFormat="1" applyFont="1" applyBorder="1" applyAlignment="1">
      <alignment horizontal="center" vertical="center"/>
    </xf>
    <xf numFmtId="173" fontId="5" fillId="0" borderId="11" xfId="0" applyNumberFormat="1" applyFont="1" applyBorder="1" applyAlignment="1">
      <alignment horizontal="center" vertical="center"/>
    </xf>
    <xf numFmtId="173" fontId="84" fillId="0" borderId="11" xfId="0" applyNumberFormat="1" applyFont="1" applyBorder="1" applyAlignment="1">
      <alignment horizontal="center" vertical="center"/>
    </xf>
    <xf numFmtId="173" fontId="85" fillId="0" borderId="11" xfId="0" applyNumberFormat="1" applyFont="1" applyBorder="1" applyAlignment="1">
      <alignment horizontal="center" vertical="center"/>
    </xf>
    <xf numFmtId="173" fontId="85" fillId="0" borderId="10" xfId="0" applyNumberFormat="1" applyFont="1" applyBorder="1" applyAlignment="1">
      <alignment horizontal="center" vertical="center"/>
    </xf>
    <xf numFmtId="173" fontId="95" fillId="0" borderId="0" xfId="0" applyNumberFormat="1" applyFont="1" applyAlignment="1">
      <alignment vertical="center"/>
    </xf>
    <xf numFmtId="173" fontId="98" fillId="0" borderId="0" xfId="0" applyNumberFormat="1" applyFont="1" applyBorder="1" applyAlignment="1">
      <alignment vertical="center"/>
    </xf>
    <xf numFmtId="173" fontId="99" fillId="33" borderId="11" xfId="0" applyNumberFormat="1" applyFont="1" applyFill="1" applyBorder="1" applyAlignment="1">
      <alignment horizontal="center" vertical="center" wrapText="1" shrinkToFit="1"/>
    </xf>
    <xf numFmtId="173" fontId="99" fillId="33" borderId="10" xfId="0" applyNumberFormat="1" applyFont="1" applyFill="1" applyBorder="1" applyAlignment="1">
      <alignment horizontal="center" vertical="center" wrapText="1" shrinkToFit="1"/>
    </xf>
    <xf numFmtId="173" fontId="100" fillId="0" borderId="11" xfId="0" applyNumberFormat="1" applyFont="1" applyBorder="1" applyAlignment="1">
      <alignment horizontal="center" vertical="center"/>
    </xf>
    <xf numFmtId="173" fontId="100" fillId="0" borderId="10" xfId="0" applyNumberFormat="1" applyFont="1" applyBorder="1" applyAlignment="1">
      <alignment horizontal="center" vertical="center"/>
    </xf>
    <xf numFmtId="173" fontId="100" fillId="0" borderId="11" xfId="0" applyNumberFormat="1" applyFont="1" applyFill="1" applyBorder="1" applyAlignment="1">
      <alignment horizontal="center" vertical="center"/>
    </xf>
    <xf numFmtId="173" fontId="100" fillId="0" borderId="10" xfId="0" applyNumberFormat="1" applyFont="1" applyFill="1" applyBorder="1" applyAlignment="1">
      <alignment horizontal="center" vertical="center"/>
    </xf>
    <xf numFmtId="173" fontId="101" fillId="0" borderId="12" xfId="0" applyNumberFormat="1" applyFont="1" applyBorder="1" applyAlignment="1">
      <alignment vertical="center"/>
    </xf>
    <xf numFmtId="173" fontId="101" fillId="0" borderId="0" xfId="0" applyNumberFormat="1" applyFont="1" applyBorder="1" applyAlignment="1">
      <alignment vertical="center"/>
    </xf>
    <xf numFmtId="173" fontId="101" fillId="0" borderId="13" xfId="0" applyNumberFormat="1" applyFont="1" applyBorder="1" applyAlignment="1">
      <alignment vertical="center"/>
    </xf>
    <xf numFmtId="173" fontId="99" fillId="0" borderId="11" xfId="0" applyNumberFormat="1" applyFont="1" applyBorder="1" applyAlignment="1">
      <alignment horizontal="center" vertical="center"/>
    </xf>
    <xf numFmtId="173" fontId="99" fillId="0" borderId="10" xfId="0" applyNumberFormat="1" applyFont="1" applyBorder="1" applyAlignment="1">
      <alignment horizontal="center" vertical="center"/>
    </xf>
    <xf numFmtId="173" fontId="101" fillId="0" borderId="0" xfId="0" applyNumberFormat="1" applyFont="1" applyAlignment="1">
      <alignment vertical="center"/>
    </xf>
    <xf numFmtId="173" fontId="4" fillId="0" borderId="14" xfId="0" applyNumberFormat="1" applyFont="1" applyFill="1" applyBorder="1" applyAlignment="1">
      <alignment wrapText="1"/>
    </xf>
    <xf numFmtId="174" fontId="5" fillId="6" borderId="0" xfId="0" applyNumberFormat="1" applyFont="1" applyFill="1" applyBorder="1" applyAlignment="1">
      <alignment horizontal="center" wrapText="1"/>
    </xf>
    <xf numFmtId="174" fontId="5" fillId="6" borderId="0" xfId="0" applyNumberFormat="1" applyFont="1" applyFill="1" applyBorder="1" applyAlignment="1">
      <alignment wrapText="1"/>
    </xf>
    <xf numFmtId="173" fontId="5" fillId="6" borderId="0" xfId="0" applyNumberFormat="1" applyFont="1" applyFill="1" applyBorder="1" applyAlignment="1">
      <alignment horizontal="center" wrapText="1"/>
    </xf>
    <xf numFmtId="173" fontId="5" fillId="6" borderId="14" xfId="0" applyNumberFormat="1" applyFont="1" applyFill="1" applyBorder="1" applyAlignment="1">
      <alignment wrapText="1"/>
    </xf>
    <xf numFmtId="173" fontId="5" fillId="6" borderId="15" xfId="0" applyNumberFormat="1" applyFont="1" applyFill="1" applyBorder="1" applyAlignment="1">
      <alignment horizontal="center" wrapText="1"/>
    </xf>
    <xf numFmtId="173" fontId="5" fillId="6" borderId="16" xfId="0" applyNumberFormat="1" applyFont="1" applyFill="1" applyBorder="1" applyAlignment="1">
      <alignment wrapText="1"/>
    </xf>
    <xf numFmtId="0" fontId="7" fillId="33" borderId="0" xfId="0" applyFont="1" applyFill="1" applyBorder="1" applyAlignment="1">
      <alignment vertical="center" wrapText="1"/>
    </xf>
    <xf numFmtId="0" fontId="4" fillId="0" borderId="0" xfId="0" applyFont="1" applyFill="1" applyBorder="1" applyAlignment="1">
      <alignment horizontal="justify" vertical="center" wrapText="1"/>
    </xf>
    <xf numFmtId="173" fontId="90" fillId="0" borderId="0" xfId="0" applyNumberFormat="1" applyFont="1" applyBorder="1" applyAlignment="1">
      <alignment horizontal="center" vertical="center"/>
    </xf>
    <xf numFmtId="173" fontId="100" fillId="0" borderId="0" xfId="0" applyNumberFormat="1" applyFont="1" applyFill="1" applyBorder="1" applyAlignment="1">
      <alignment horizontal="center" vertical="center"/>
    </xf>
    <xf numFmtId="0" fontId="4" fillId="0" borderId="0" xfId="0" applyFont="1" applyBorder="1" applyAlignment="1">
      <alignment horizontal="justify" vertical="center" wrapText="1"/>
    </xf>
    <xf numFmtId="173" fontId="100" fillId="0" borderId="0" xfId="0" applyNumberFormat="1" applyFont="1" applyBorder="1" applyAlignment="1">
      <alignment horizontal="center" vertical="center"/>
    </xf>
    <xf numFmtId="0" fontId="7" fillId="33" borderId="17" xfId="0" applyFont="1" applyFill="1" applyBorder="1" applyAlignment="1">
      <alignment vertical="center" wrapText="1"/>
    </xf>
    <xf numFmtId="173" fontId="90" fillId="0" borderId="17" xfId="0" applyNumberFormat="1" applyFont="1" applyBorder="1" applyAlignment="1">
      <alignment horizontal="center" vertical="center"/>
    </xf>
    <xf numFmtId="173" fontId="100" fillId="0" borderId="17" xfId="0" applyNumberFormat="1" applyFont="1" applyBorder="1" applyAlignment="1">
      <alignment horizontal="center" vertical="center"/>
    </xf>
    <xf numFmtId="0" fontId="84" fillId="0" borderId="18" xfId="0" applyFont="1" applyBorder="1" applyAlignment="1">
      <alignment vertical="center" wrapText="1"/>
    </xf>
    <xf numFmtId="0" fontId="84" fillId="0" borderId="19" xfId="0" applyFont="1" applyBorder="1" applyAlignment="1">
      <alignment vertical="center" wrapText="1"/>
    </xf>
    <xf numFmtId="0" fontId="7" fillId="33" borderId="15" xfId="0" applyFont="1" applyFill="1" applyBorder="1" applyAlignment="1">
      <alignment vertical="center" wrapText="1"/>
    </xf>
    <xf numFmtId="0" fontId="4" fillId="0" borderId="15" xfId="0" applyFont="1" applyBorder="1" applyAlignment="1">
      <alignment horizontal="justify" vertical="center" wrapText="1"/>
    </xf>
    <xf numFmtId="173" fontId="90" fillId="0" borderId="15" xfId="0" applyNumberFormat="1" applyFont="1" applyBorder="1" applyAlignment="1">
      <alignment horizontal="center" vertical="center"/>
    </xf>
    <xf numFmtId="173" fontId="100" fillId="0" borderId="15" xfId="0" applyNumberFormat="1" applyFont="1" applyBorder="1" applyAlignment="1">
      <alignment horizontal="center"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7" fillId="6" borderId="0" xfId="0" applyFont="1" applyFill="1" applyBorder="1" applyAlignment="1">
      <alignment horizontal="center" vertical="center" wrapText="1"/>
    </xf>
    <xf numFmtId="173" fontId="87" fillId="6" borderId="0" xfId="0" applyNumberFormat="1" applyFont="1" applyFill="1" applyBorder="1" applyAlignment="1">
      <alignment horizontal="center" vertical="center" wrapText="1" shrinkToFit="1"/>
    </xf>
    <xf numFmtId="173" fontId="99" fillId="6" borderId="0" xfId="0" applyNumberFormat="1" applyFont="1" applyFill="1" applyBorder="1" applyAlignment="1">
      <alignment horizontal="center" vertical="center" wrapText="1" shrinkToFit="1"/>
    </xf>
    <xf numFmtId="0" fontId="86" fillId="33" borderId="0" xfId="0" applyFont="1" applyFill="1" applyBorder="1" applyAlignment="1">
      <alignment vertical="center" wrapText="1"/>
    </xf>
    <xf numFmtId="0" fontId="93" fillId="0" borderId="0" xfId="0" applyFont="1" applyBorder="1" applyAlignment="1">
      <alignment horizontal="justify" vertical="center" wrapText="1"/>
    </xf>
    <xf numFmtId="173" fontId="93" fillId="0" borderId="0" xfId="0" applyNumberFormat="1" applyFont="1" applyBorder="1" applyAlignment="1">
      <alignment horizontal="center" vertical="center"/>
    </xf>
    <xf numFmtId="0" fontId="93" fillId="35" borderId="0" xfId="0" applyFont="1" applyFill="1" applyBorder="1" applyAlignment="1">
      <alignment horizontal="justify" vertical="center" wrapText="1"/>
    </xf>
    <xf numFmtId="173" fontId="93" fillId="35" borderId="0" xfId="0" applyNumberFormat="1" applyFont="1" applyFill="1" applyBorder="1" applyAlignment="1">
      <alignment horizontal="center" vertical="center"/>
    </xf>
    <xf numFmtId="0" fontId="93"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3" fontId="96" fillId="0" borderId="0" xfId="0" applyNumberFormat="1" applyFont="1" applyBorder="1" applyAlignment="1">
      <alignment horizontal="center" vertical="center"/>
    </xf>
    <xf numFmtId="173" fontId="102" fillId="0" borderId="0" xfId="0" applyNumberFormat="1" applyFont="1" applyBorder="1" applyAlignment="1">
      <alignment horizontal="center" vertical="center"/>
    </xf>
    <xf numFmtId="0" fontId="5" fillId="0" borderId="0" xfId="0" applyFont="1" applyBorder="1" applyAlignment="1">
      <alignment horizontal="justify" vertical="center" wrapText="1"/>
    </xf>
    <xf numFmtId="173" fontId="84" fillId="0" borderId="0" xfId="0" applyNumberFormat="1" applyFont="1" applyBorder="1" applyAlignment="1">
      <alignment horizontal="center" vertical="center"/>
    </xf>
    <xf numFmtId="173" fontId="99" fillId="0" borderId="0" xfId="0" applyNumberFormat="1" applyFont="1" applyBorder="1" applyAlignment="1">
      <alignment horizontal="center" vertical="center"/>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7" fillId="6" borderId="15" xfId="0" applyFont="1" applyFill="1" applyBorder="1" applyAlignment="1">
      <alignment horizontal="center" vertical="center" wrapText="1"/>
    </xf>
    <xf numFmtId="173" fontId="87" fillId="6" borderId="15" xfId="0" applyNumberFormat="1" applyFont="1" applyFill="1" applyBorder="1" applyAlignment="1">
      <alignment horizontal="center" vertical="center" wrapText="1" shrinkToFit="1"/>
    </xf>
    <xf numFmtId="173" fontId="99" fillId="6" borderId="15" xfId="0" applyNumberFormat="1" applyFont="1" applyFill="1" applyBorder="1" applyAlignment="1">
      <alignment horizontal="center" vertical="center" wrapText="1" shrinkToFit="1"/>
    </xf>
    <xf numFmtId="0" fontId="92" fillId="0" borderId="20" xfId="0" applyFont="1" applyBorder="1" applyAlignment="1">
      <alignment vertical="center" wrapText="1"/>
    </xf>
    <xf numFmtId="0" fontId="4" fillId="34" borderId="17" xfId="0" applyFont="1" applyFill="1" applyBorder="1" applyAlignment="1">
      <alignment horizontal="justify" vertical="center" wrapText="1"/>
    </xf>
    <xf numFmtId="0" fontId="92" fillId="0" borderId="18" xfId="0" applyFont="1" applyBorder="1" applyAlignment="1">
      <alignment vertical="center" wrapText="1"/>
    </xf>
    <xf numFmtId="0" fontId="4" fillId="0" borderId="0" xfId="0" applyFont="1" applyBorder="1" applyAlignment="1">
      <alignment vertical="center"/>
    </xf>
    <xf numFmtId="175" fontId="4" fillId="0" borderId="0" xfId="0" applyNumberFormat="1" applyFont="1" applyAlignment="1">
      <alignment vertical="center"/>
    </xf>
    <xf numFmtId="0" fontId="4" fillId="0" borderId="0" xfId="0" applyFont="1" applyAlignment="1">
      <alignment vertical="center"/>
    </xf>
    <xf numFmtId="173" fontId="4" fillId="0" borderId="0" xfId="0" applyNumberFormat="1" applyFont="1" applyAlignment="1">
      <alignment vertical="center"/>
    </xf>
    <xf numFmtId="175" fontId="4" fillId="0" borderId="17" xfId="0" applyNumberFormat="1" applyFont="1" applyBorder="1" applyAlignment="1">
      <alignment vertical="center"/>
    </xf>
    <xf numFmtId="0" fontId="4" fillId="0" borderId="17" xfId="0" applyFont="1" applyBorder="1" applyAlignment="1">
      <alignment vertical="center"/>
    </xf>
    <xf numFmtId="173" fontId="4" fillId="0" borderId="17" xfId="0" applyNumberFormat="1" applyFont="1" applyBorder="1" applyAlignment="1">
      <alignment vertical="center"/>
    </xf>
    <xf numFmtId="173" fontId="4" fillId="0" borderId="21" xfId="0" applyNumberFormat="1" applyFont="1" applyBorder="1" applyAlignment="1">
      <alignment vertical="center"/>
    </xf>
    <xf numFmtId="175" fontId="4" fillId="0" borderId="0" xfId="0" applyNumberFormat="1" applyFont="1" applyBorder="1" applyAlignment="1">
      <alignment vertical="center"/>
    </xf>
    <xf numFmtId="173" fontId="4" fillId="0" borderId="0" xfId="0" applyNumberFormat="1" applyFont="1" applyBorder="1" applyAlignment="1">
      <alignment vertical="center"/>
    </xf>
    <xf numFmtId="173" fontId="4" fillId="0" borderId="14" xfId="0" applyNumberFormat="1" applyFont="1" applyBorder="1" applyAlignment="1">
      <alignment vertical="center"/>
    </xf>
    <xf numFmtId="175" fontId="4" fillId="0" borderId="15" xfId="0" applyNumberFormat="1" applyFont="1" applyBorder="1" applyAlignment="1">
      <alignment vertical="center"/>
    </xf>
    <xf numFmtId="0" fontId="4" fillId="0" borderId="15" xfId="0" applyFont="1" applyBorder="1" applyAlignment="1">
      <alignment vertical="center"/>
    </xf>
    <xf numFmtId="173" fontId="4" fillId="0" borderId="15" xfId="0" applyNumberFormat="1" applyFont="1" applyBorder="1" applyAlignment="1">
      <alignment vertical="center"/>
    </xf>
    <xf numFmtId="173" fontId="4" fillId="0" borderId="16" xfId="0" applyNumberFormat="1" applyFont="1" applyBorder="1" applyAlignment="1">
      <alignment vertical="center"/>
    </xf>
    <xf numFmtId="175" fontId="4" fillId="0" borderId="0" xfId="0" applyNumberFormat="1" applyFont="1" applyFill="1" applyBorder="1" applyAlignment="1">
      <alignment vertical="center"/>
    </xf>
    <xf numFmtId="0" fontId="4" fillId="0" borderId="0" xfId="0" applyFont="1" applyFill="1" applyBorder="1" applyAlignment="1">
      <alignment vertical="center"/>
    </xf>
    <xf numFmtId="173" fontId="4" fillId="0" borderId="0" xfId="0" applyNumberFormat="1" applyFont="1" applyFill="1" applyBorder="1" applyAlignment="1">
      <alignment vertical="center"/>
    </xf>
    <xf numFmtId="173" fontId="4" fillId="0" borderId="14" xfId="0" applyNumberFormat="1" applyFont="1" applyFill="1" applyBorder="1" applyAlignment="1">
      <alignment vertical="center"/>
    </xf>
    <xf numFmtId="0" fontId="4" fillId="0" borderId="0" xfId="0" applyFont="1" applyFill="1" applyAlignment="1">
      <alignment vertical="center"/>
    </xf>
    <xf numFmtId="0" fontId="4" fillId="0" borderId="19" xfId="0" applyFont="1" applyBorder="1" applyAlignment="1">
      <alignment vertical="center" wrapText="1"/>
    </xf>
    <xf numFmtId="173" fontId="90" fillId="0" borderId="15" xfId="0" applyNumberFormat="1" applyFont="1" applyBorder="1" applyAlignment="1">
      <alignment vertical="center"/>
    </xf>
    <xf numFmtId="173" fontId="100" fillId="0" borderId="15" xfId="0" applyNumberFormat="1" applyFont="1" applyBorder="1" applyAlignment="1">
      <alignment vertical="center"/>
    </xf>
    <xf numFmtId="173" fontId="90" fillId="0" borderId="0" xfId="0" applyNumberFormat="1" applyFont="1" applyBorder="1" applyAlignment="1">
      <alignment vertical="center"/>
    </xf>
    <xf numFmtId="173" fontId="100" fillId="0" borderId="0" xfId="0" applyNumberFormat="1" applyFont="1" applyBorder="1" applyAlignment="1">
      <alignment vertical="center"/>
    </xf>
    <xf numFmtId="0" fontId="103" fillId="0" borderId="0" xfId="82" applyFont="1" applyFill="1" applyAlignment="1">
      <alignment horizontal="left" vertical="center"/>
      <protection/>
    </xf>
    <xf numFmtId="0" fontId="103" fillId="0" borderId="0" xfId="82" applyFont="1" applyFill="1" applyAlignment="1">
      <alignment horizontal="right" vertical="center"/>
      <protection/>
    </xf>
    <xf numFmtId="0" fontId="4" fillId="0" borderId="20" xfId="0" applyFont="1" applyFill="1" applyBorder="1" applyAlignment="1">
      <alignment vertical="center" wrapText="1"/>
    </xf>
    <xf numFmtId="0" fontId="4" fillId="0" borderId="17" xfId="0" applyFont="1" applyFill="1" applyBorder="1" applyAlignment="1">
      <alignment horizontal="justify" vertical="center" wrapText="1"/>
    </xf>
    <xf numFmtId="173" fontId="100" fillId="0" borderId="17" xfId="0" applyNumberFormat="1" applyFont="1" applyFill="1" applyBorder="1" applyAlignment="1">
      <alignment horizontal="center" vertical="center"/>
    </xf>
    <xf numFmtId="175" fontId="4" fillId="0" borderId="17" xfId="0" applyNumberFormat="1" applyFont="1" applyFill="1" applyBorder="1" applyAlignment="1">
      <alignment vertical="center"/>
    </xf>
    <xf numFmtId="0" fontId="4" fillId="0" borderId="17" xfId="0" applyFont="1" applyFill="1" applyBorder="1" applyAlignment="1">
      <alignment vertical="center"/>
    </xf>
    <xf numFmtId="173" fontId="4" fillId="0" borderId="17" xfId="0" applyNumberFormat="1" applyFont="1" applyFill="1" applyBorder="1" applyAlignment="1">
      <alignment vertical="center"/>
    </xf>
    <xf numFmtId="173" fontId="4" fillId="0" borderId="21" xfId="0" applyNumberFormat="1" applyFont="1" applyFill="1" applyBorder="1" applyAlignment="1">
      <alignment vertical="center"/>
    </xf>
    <xf numFmtId="14" fontId="103" fillId="0" borderId="0" xfId="82" applyNumberFormat="1" applyFont="1" applyFill="1" applyBorder="1" applyAlignment="1">
      <alignment horizontal="left" vertical="center"/>
      <protection/>
    </xf>
    <xf numFmtId="0" fontId="103" fillId="0" borderId="0" xfId="82" applyFont="1" applyFill="1" applyBorder="1" applyAlignment="1">
      <alignment horizontal="left" vertical="center"/>
      <protection/>
    </xf>
    <xf numFmtId="0" fontId="103" fillId="0" borderId="0" xfId="82" applyFont="1" applyFill="1" applyBorder="1" applyAlignment="1">
      <alignment horizontal="right" vertical="center"/>
      <protection/>
    </xf>
    <xf numFmtId="0" fontId="103" fillId="0" borderId="14" xfId="82" applyFont="1" applyFill="1" applyBorder="1" applyAlignment="1">
      <alignment horizontal="right" vertical="center"/>
      <protection/>
    </xf>
    <xf numFmtId="0" fontId="5" fillId="33" borderId="2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 fillId="33" borderId="17" xfId="0" applyFont="1" applyFill="1" applyBorder="1" applyAlignment="1">
      <alignment horizontal="left" vertical="center" wrapText="1"/>
    </xf>
    <xf numFmtId="173" fontId="87" fillId="33" borderId="17" xfId="0" applyNumberFormat="1" applyFont="1" applyFill="1" applyBorder="1" applyAlignment="1">
      <alignment horizontal="center" vertical="center" wrapText="1" shrinkToFit="1"/>
    </xf>
    <xf numFmtId="173" fontId="99" fillId="33" borderId="17" xfId="0" applyNumberFormat="1" applyFont="1" applyFill="1" applyBorder="1" applyAlignment="1">
      <alignment horizontal="center" vertical="center" wrapText="1" shrinkToFit="1"/>
    </xf>
    <xf numFmtId="175" fontId="5" fillId="36" borderId="17" xfId="0" applyNumberFormat="1" applyFont="1" applyFill="1" applyBorder="1" applyAlignment="1">
      <alignment wrapText="1"/>
    </xf>
    <xf numFmtId="174" fontId="5" fillId="36" borderId="17" xfId="0" applyNumberFormat="1" applyFont="1" applyFill="1" applyBorder="1" applyAlignment="1">
      <alignment horizontal="center" wrapText="1"/>
    </xf>
    <xf numFmtId="173" fontId="5" fillId="36" borderId="17" xfId="0" applyNumberFormat="1" applyFont="1" applyFill="1" applyBorder="1" applyAlignment="1">
      <alignment wrapText="1"/>
    </xf>
    <xf numFmtId="173" fontId="5" fillId="36" borderId="17" xfId="0" applyNumberFormat="1" applyFont="1" applyFill="1" applyBorder="1" applyAlignment="1">
      <alignment horizontal="center" wrapText="1"/>
    </xf>
    <xf numFmtId="173" fontId="5" fillId="36" borderId="21" xfId="0" applyNumberFormat="1" applyFont="1" applyFill="1" applyBorder="1" applyAlignment="1">
      <alignment wrapText="1"/>
    </xf>
    <xf numFmtId="0" fontId="5" fillId="6" borderId="20" xfId="0" applyFont="1" applyFill="1" applyBorder="1" applyAlignment="1">
      <alignment horizontal="center" vertical="center" wrapText="1"/>
    </xf>
    <xf numFmtId="0" fontId="7" fillId="6" borderId="17" xfId="0" applyFont="1" applyFill="1" applyBorder="1" applyAlignment="1">
      <alignment horizontal="center" vertical="center" wrapText="1"/>
    </xf>
    <xf numFmtId="173" fontId="87" fillId="6" borderId="17" xfId="0" applyNumberFormat="1" applyFont="1" applyFill="1" applyBorder="1" applyAlignment="1">
      <alignment horizontal="center" vertical="center" wrapText="1" shrinkToFit="1"/>
    </xf>
    <xf numFmtId="173" fontId="99" fillId="6" borderId="17" xfId="0" applyNumberFormat="1" applyFont="1" applyFill="1" applyBorder="1" applyAlignment="1">
      <alignment horizontal="center" vertical="center" wrapText="1" shrinkToFit="1"/>
    </xf>
    <xf numFmtId="173" fontId="5" fillId="6" borderId="17" xfId="0" applyNumberFormat="1" applyFont="1" applyFill="1" applyBorder="1" applyAlignment="1">
      <alignment horizontal="center" wrapText="1"/>
    </xf>
    <xf numFmtId="173" fontId="5" fillId="6" borderId="21" xfId="0" applyNumberFormat="1" applyFont="1" applyFill="1" applyBorder="1" applyAlignment="1">
      <alignment wrapText="1"/>
    </xf>
    <xf numFmtId="0" fontId="104" fillId="0" borderId="0" xfId="0" applyFont="1" applyBorder="1" applyAlignment="1">
      <alignment vertical="center" wrapText="1"/>
    </xf>
    <xf numFmtId="0" fontId="104" fillId="0" borderId="0" xfId="0" applyFont="1" applyBorder="1" applyAlignment="1">
      <alignment vertical="center"/>
    </xf>
    <xf numFmtId="173" fontId="104" fillId="0" borderId="0" xfId="0" applyNumberFormat="1" applyFont="1" applyBorder="1" applyAlignment="1">
      <alignment vertical="center"/>
    </xf>
    <xf numFmtId="175" fontId="104" fillId="0" borderId="0" xfId="0" applyNumberFormat="1" applyFont="1" applyAlignment="1">
      <alignment vertical="center"/>
    </xf>
    <xf numFmtId="0" fontId="104" fillId="0" borderId="0" xfId="0" applyFont="1" applyAlignment="1">
      <alignment vertical="center"/>
    </xf>
    <xf numFmtId="182" fontId="104" fillId="0" borderId="0" xfId="0" applyNumberFormat="1" applyFont="1" applyAlignment="1">
      <alignment vertical="center"/>
    </xf>
    <xf numFmtId="173" fontId="104" fillId="0" borderId="0" xfId="0" applyNumberFormat="1" applyFont="1" applyAlignment="1">
      <alignment vertical="center"/>
    </xf>
    <xf numFmtId="0" fontId="86" fillId="0" borderId="0" xfId="0" applyFont="1" applyBorder="1" applyAlignment="1">
      <alignment vertical="center" wrapText="1"/>
    </xf>
    <xf numFmtId="0" fontId="86" fillId="0" borderId="0" xfId="0" applyFont="1" applyBorder="1" applyAlignment="1">
      <alignment vertical="center"/>
    </xf>
    <xf numFmtId="173" fontId="86" fillId="0" borderId="0" xfId="0" applyNumberFormat="1" applyFont="1" applyBorder="1" applyAlignment="1">
      <alignment vertical="center"/>
    </xf>
    <xf numFmtId="175" fontId="86" fillId="0" borderId="0" xfId="0" applyNumberFormat="1" applyFont="1" applyAlignment="1">
      <alignment vertical="center"/>
    </xf>
    <xf numFmtId="0" fontId="86" fillId="0" borderId="0" xfId="0" applyFont="1" applyAlignment="1">
      <alignment vertical="center"/>
    </xf>
    <xf numFmtId="182" fontId="86" fillId="0" borderId="0" xfId="0" applyNumberFormat="1" applyFont="1" applyAlignment="1">
      <alignment vertical="center"/>
    </xf>
    <xf numFmtId="173" fontId="86" fillId="0" borderId="0" xfId="0" applyNumberFormat="1" applyFont="1" applyAlignment="1">
      <alignment vertical="center"/>
    </xf>
    <xf numFmtId="0" fontId="0" fillId="0" borderId="0" xfId="0" applyFont="1" applyBorder="1" applyAlignment="1">
      <alignment vertical="center" wrapText="1"/>
    </xf>
    <xf numFmtId="14" fontId="105" fillId="0" borderId="0" xfId="0" applyNumberFormat="1" applyFont="1" applyBorder="1" applyAlignment="1">
      <alignment horizontal="right" vertical="center"/>
    </xf>
    <xf numFmtId="8" fontId="105" fillId="0" borderId="0" xfId="0" applyNumberFormat="1" applyFont="1" applyBorder="1" applyAlignment="1">
      <alignment horizontal="right" vertical="center"/>
    </xf>
    <xf numFmtId="0" fontId="105" fillId="0" borderId="0" xfId="0" applyFont="1" applyBorder="1" applyAlignment="1">
      <alignment vertical="center"/>
    </xf>
    <xf numFmtId="174" fontId="106" fillId="6" borderId="17" xfId="0" applyNumberFormat="1" applyFont="1" applyFill="1" applyBorder="1" applyAlignment="1">
      <alignment wrapText="1"/>
    </xf>
    <xf numFmtId="174" fontId="106" fillId="6" borderId="17" xfId="0" applyNumberFormat="1" applyFont="1" applyFill="1" applyBorder="1" applyAlignment="1">
      <alignment horizontal="center" wrapText="1"/>
    </xf>
    <xf numFmtId="173" fontId="106" fillId="6" borderId="17" xfId="0" applyNumberFormat="1" applyFont="1" applyFill="1" applyBorder="1" applyAlignment="1">
      <alignment wrapText="1"/>
    </xf>
    <xf numFmtId="174" fontId="107" fillId="0" borderId="0" xfId="0" applyNumberFormat="1" applyFont="1" applyFill="1" applyBorder="1" applyAlignment="1">
      <alignment horizontal="center" wrapText="1"/>
    </xf>
    <xf numFmtId="174" fontId="108" fillId="0" borderId="0" xfId="0" applyNumberFormat="1" applyFont="1" applyFill="1" applyBorder="1" applyAlignment="1">
      <alignment wrapText="1"/>
    </xf>
    <xf numFmtId="173" fontId="107" fillId="0" borderId="0" xfId="0" applyNumberFormat="1" applyFont="1" applyFill="1" applyBorder="1" applyAlignment="1">
      <alignment horizontal="center" wrapText="1"/>
    </xf>
    <xf numFmtId="173" fontId="108" fillId="0" borderId="0" xfId="0" applyNumberFormat="1" applyFont="1" applyFill="1" applyBorder="1" applyAlignment="1">
      <alignment vertical="center"/>
    </xf>
    <xf numFmtId="173" fontId="108" fillId="0" borderId="14" xfId="0" applyNumberFormat="1" applyFont="1" applyFill="1" applyBorder="1" applyAlignment="1">
      <alignment wrapText="1"/>
    </xf>
    <xf numFmtId="173" fontId="108" fillId="0" borderId="0" xfId="0" applyNumberFormat="1" applyFont="1" applyFill="1" applyBorder="1" applyAlignment="1">
      <alignment wrapText="1"/>
    </xf>
    <xf numFmtId="0" fontId="108" fillId="0" borderId="0" xfId="0" applyFont="1" applyFill="1" applyBorder="1" applyAlignment="1">
      <alignment vertical="center" wrapText="1"/>
    </xf>
    <xf numFmtId="174" fontId="108" fillId="0" borderId="0" xfId="0" applyNumberFormat="1" applyFont="1" applyFill="1" applyBorder="1" applyAlignment="1">
      <alignment horizontal="right" vertical="center" wrapText="1"/>
    </xf>
    <xf numFmtId="173" fontId="108" fillId="0" borderId="0" xfId="0" applyNumberFormat="1" applyFont="1" applyFill="1" applyBorder="1" applyAlignment="1">
      <alignment horizontal="right" vertical="center" wrapText="1"/>
    </xf>
    <xf numFmtId="174" fontId="107" fillId="0" borderId="0" xfId="0" applyNumberFormat="1" applyFont="1" applyFill="1" applyBorder="1" applyAlignment="1">
      <alignment wrapText="1"/>
    </xf>
    <xf numFmtId="173" fontId="107" fillId="0" borderId="14" xfId="0" applyNumberFormat="1" applyFont="1" applyFill="1" applyBorder="1" applyAlignment="1">
      <alignment wrapText="1"/>
    </xf>
    <xf numFmtId="174" fontId="4" fillId="0" borderId="0" xfId="0" applyNumberFormat="1" applyFont="1" applyAlignment="1">
      <alignment vertical="center"/>
    </xf>
    <xf numFmtId="173" fontId="5" fillId="6" borderId="0" xfId="0" applyNumberFormat="1" applyFont="1" applyFill="1" applyBorder="1" applyAlignment="1">
      <alignment wrapText="1"/>
    </xf>
    <xf numFmtId="0" fontId="109" fillId="0" borderId="0" xfId="0" applyFont="1" applyFill="1" applyBorder="1" applyAlignment="1">
      <alignment vertical="center" wrapText="1"/>
    </xf>
    <xf numFmtId="174" fontId="109" fillId="0" borderId="0" xfId="0" applyNumberFormat="1" applyFont="1" applyFill="1" applyBorder="1" applyAlignment="1">
      <alignment vertical="center"/>
    </xf>
    <xf numFmtId="173" fontId="109" fillId="0" borderId="0" xfId="0" applyNumberFormat="1" applyFont="1" applyFill="1" applyBorder="1" applyAlignment="1">
      <alignment vertical="center"/>
    </xf>
    <xf numFmtId="173" fontId="109" fillId="0" borderId="14" xfId="0" applyNumberFormat="1" applyFont="1" applyFill="1" applyBorder="1" applyAlignment="1">
      <alignment vertical="center"/>
    </xf>
    <xf numFmtId="174" fontId="108" fillId="0" borderId="0" xfId="0" applyNumberFormat="1" applyFont="1" applyFill="1" applyBorder="1" applyAlignment="1">
      <alignment wrapText="1"/>
    </xf>
    <xf numFmtId="174" fontId="15" fillId="0" borderId="0" xfId="76" applyNumberFormat="1" applyFont="1" applyFill="1" applyBorder="1" applyAlignment="1" applyProtection="1">
      <alignment horizontal="center" wrapText="1"/>
      <protection/>
    </xf>
    <xf numFmtId="174" fontId="4" fillId="0" borderId="0" xfId="0" applyNumberFormat="1" applyFont="1" applyFill="1" applyBorder="1" applyAlignment="1">
      <alignment wrapText="1"/>
    </xf>
    <xf numFmtId="173" fontId="4" fillId="0" borderId="0" xfId="0" applyNumberFormat="1" applyFont="1" applyFill="1" applyBorder="1" applyAlignment="1">
      <alignment vertical="center"/>
    </xf>
    <xf numFmtId="173" fontId="4" fillId="0" borderId="0" xfId="0" applyNumberFormat="1" applyFont="1" applyBorder="1" applyAlignment="1">
      <alignment vertical="center"/>
    </xf>
    <xf numFmtId="174" fontId="51" fillId="0" borderId="0" xfId="76" applyNumberFormat="1" applyFont="1" applyBorder="1" applyAlignment="1" applyProtection="1">
      <alignment horizontal="center" wrapText="1"/>
      <protection/>
    </xf>
    <xf numFmtId="173" fontId="107" fillId="0" borderId="0" xfId="0" applyNumberFormat="1" applyFont="1" applyBorder="1" applyAlignment="1">
      <alignment vertical="center"/>
    </xf>
    <xf numFmtId="174" fontId="51" fillId="0" borderId="0" xfId="76" applyNumberFormat="1" applyFont="1" applyFill="1" applyBorder="1" applyAlignment="1" applyProtection="1">
      <alignment horizontal="center" wrapText="1"/>
      <protection/>
    </xf>
    <xf numFmtId="173" fontId="7" fillId="0" borderId="0" xfId="0" applyNumberFormat="1" applyFont="1" applyFill="1" applyBorder="1" applyAlignment="1">
      <alignment vertical="center"/>
    </xf>
    <xf numFmtId="0" fontId="7" fillId="0" borderId="15" xfId="0" applyFont="1" applyBorder="1" applyAlignment="1">
      <alignment vertical="center"/>
    </xf>
    <xf numFmtId="0" fontId="15" fillId="0" borderId="0" xfId="76" applyFont="1" applyFill="1" applyBorder="1" applyAlignment="1" applyProtection="1">
      <alignment wrapText="1"/>
      <protection/>
    </xf>
    <xf numFmtId="173" fontId="108" fillId="0" borderId="0" xfId="0" applyNumberFormat="1" applyFont="1" applyFill="1" applyBorder="1" applyAlignment="1">
      <alignment wrapText="1"/>
    </xf>
    <xf numFmtId="173" fontId="108" fillId="0" borderId="14" xfId="0" applyNumberFormat="1" applyFont="1" applyFill="1" applyBorder="1" applyAlignment="1">
      <alignment wrapText="1"/>
    </xf>
    <xf numFmtId="0" fontId="15" fillId="0" borderId="0" xfId="76" applyFont="1" applyFill="1" applyBorder="1" applyAlignment="1" applyProtection="1">
      <alignment vertical="center" wrapText="1"/>
      <protection/>
    </xf>
    <xf numFmtId="174" fontId="108" fillId="0" borderId="0" xfId="0" applyNumberFormat="1" applyFont="1" applyFill="1" applyBorder="1" applyAlignment="1">
      <alignment horizontal="right" vertical="center" wrapText="1"/>
    </xf>
    <xf numFmtId="173" fontId="108" fillId="0" borderId="0" xfId="0" applyNumberFormat="1" applyFont="1" applyFill="1" applyBorder="1" applyAlignment="1">
      <alignment horizontal="right" vertical="center" wrapText="1"/>
    </xf>
    <xf numFmtId="0" fontId="15" fillId="0" borderId="0" xfId="76" applyFont="1" applyBorder="1" applyAlignment="1" applyProtection="1">
      <alignment vertical="center" wrapText="1"/>
      <protection/>
    </xf>
    <xf numFmtId="174" fontId="4" fillId="0" borderId="0" xfId="0" applyNumberFormat="1" applyFont="1" applyBorder="1" applyAlignment="1">
      <alignment vertical="center"/>
    </xf>
    <xf numFmtId="173" fontId="4" fillId="0" borderId="14" xfId="0" applyNumberFormat="1" applyFont="1" applyBorder="1" applyAlignment="1">
      <alignment vertical="center"/>
    </xf>
    <xf numFmtId="174" fontId="4" fillId="0" borderId="0" xfId="0" applyNumberFormat="1" applyFont="1" applyFill="1" applyBorder="1" applyAlignment="1">
      <alignment vertical="center"/>
    </xf>
    <xf numFmtId="173" fontId="4" fillId="0" borderId="14" xfId="0" applyNumberFormat="1" applyFont="1" applyFill="1" applyBorder="1" applyAlignment="1">
      <alignment vertical="center"/>
    </xf>
    <xf numFmtId="174" fontId="109" fillId="0" borderId="0" xfId="0" applyNumberFormat="1" applyFont="1" applyFill="1" applyBorder="1" applyAlignment="1">
      <alignment vertical="center"/>
    </xf>
    <xf numFmtId="173" fontId="109" fillId="0" borderId="0" xfId="0" applyNumberFormat="1" applyFont="1" applyFill="1" applyBorder="1" applyAlignment="1">
      <alignment vertical="center"/>
    </xf>
    <xf numFmtId="173" fontId="109" fillId="0" borderId="14" xfId="0" applyNumberFormat="1" applyFont="1" applyFill="1" applyBorder="1" applyAlignment="1">
      <alignment vertical="center"/>
    </xf>
    <xf numFmtId="174" fontId="108" fillId="0" borderId="0" xfId="0" applyNumberFormat="1" applyFont="1" applyFill="1" applyBorder="1" applyAlignment="1">
      <alignment horizontal="left" vertical="center" wrapText="1"/>
    </xf>
    <xf numFmtId="0" fontId="108" fillId="0" borderId="0" xfId="0" applyFont="1" applyFill="1" applyBorder="1" applyAlignment="1">
      <alignment vertical="center" wrapText="1"/>
    </xf>
    <xf numFmtId="174" fontId="110" fillId="6" borderId="0" xfId="0" applyNumberFormat="1" applyFont="1" applyFill="1" applyBorder="1" applyAlignment="1">
      <alignment wrapText="1"/>
    </xf>
    <xf numFmtId="174" fontId="110" fillId="6" borderId="0" xfId="0" applyNumberFormat="1" applyFont="1" applyFill="1" applyBorder="1" applyAlignment="1">
      <alignment horizontal="center" wrapText="1"/>
    </xf>
    <xf numFmtId="173" fontId="110" fillId="6" borderId="0" xfId="0" applyNumberFormat="1" applyFont="1" applyFill="1" applyBorder="1" applyAlignment="1">
      <alignment wrapText="1"/>
    </xf>
    <xf numFmtId="0" fontId="14" fillId="6" borderId="17" xfId="76" applyFont="1" applyFill="1" applyBorder="1" applyAlignment="1" applyProtection="1">
      <alignment horizontal="left" vertical="top" wrapText="1"/>
      <protection/>
    </xf>
    <xf numFmtId="0" fontId="14" fillId="6" borderId="0" xfId="76" applyFont="1" applyFill="1" applyBorder="1" applyAlignment="1" applyProtection="1">
      <alignment horizontal="left" vertical="top" wrapText="1"/>
      <protection/>
    </xf>
    <xf numFmtId="0" fontId="84" fillId="0" borderId="18" xfId="0" applyFont="1" applyFill="1" applyBorder="1" applyAlignment="1">
      <alignment vertical="center" wrapText="1"/>
    </xf>
    <xf numFmtId="0" fontId="7" fillId="0" borderId="0" xfId="0" applyFont="1" applyFill="1" applyBorder="1" applyAlignment="1">
      <alignment vertical="center" wrapText="1"/>
    </xf>
    <xf numFmtId="173" fontId="90" fillId="0" borderId="0" xfId="0" applyNumberFormat="1" applyFont="1" applyFill="1" applyBorder="1" applyAlignment="1">
      <alignment horizontal="center" vertical="center"/>
    </xf>
    <xf numFmtId="0" fontId="15" fillId="0" borderId="0" xfId="76" applyFont="1" applyFill="1" applyBorder="1" applyAlignment="1" applyProtection="1">
      <alignment vertical="center" wrapText="1"/>
      <protection/>
    </xf>
    <xf numFmtId="0" fontId="8" fillId="0" borderId="0" xfId="76" applyBorder="1" applyAlignment="1" applyProtection="1">
      <alignment vertical="center" wrapText="1"/>
      <protection/>
    </xf>
    <xf numFmtId="0" fontId="110" fillId="0" borderId="18" xfId="0" applyFont="1" applyBorder="1" applyAlignment="1">
      <alignment vertical="center" wrapText="1"/>
    </xf>
    <xf numFmtId="0" fontId="104" fillId="33" borderId="0" xfId="0" applyFont="1" applyFill="1" applyBorder="1" applyAlignment="1">
      <alignment vertical="center" wrapText="1"/>
    </xf>
    <xf numFmtId="0" fontId="111" fillId="0" borderId="0" xfId="0" applyFont="1" applyBorder="1" applyAlignment="1">
      <alignment vertical="center"/>
    </xf>
    <xf numFmtId="0" fontId="112" fillId="0" borderId="0" xfId="0" applyFont="1" applyBorder="1" applyAlignment="1">
      <alignment vertical="center" wrapText="1"/>
    </xf>
    <xf numFmtId="8" fontId="111" fillId="0" borderId="0" xfId="0" applyNumberFormat="1" applyFont="1" applyBorder="1" applyAlignment="1">
      <alignment horizontal="right" vertical="center"/>
    </xf>
    <xf numFmtId="175" fontId="109" fillId="0" borderId="0" xfId="0" applyNumberFormat="1" applyFont="1" applyBorder="1" applyAlignment="1">
      <alignment vertical="center"/>
    </xf>
    <xf numFmtId="0" fontId="112" fillId="0" borderId="0" xfId="0" applyFont="1" applyAlignment="1">
      <alignment vertical="center" wrapText="1"/>
    </xf>
    <xf numFmtId="174" fontId="109" fillId="0" borderId="0" xfId="0" applyNumberFormat="1" applyFont="1" applyFill="1" applyBorder="1" applyAlignment="1">
      <alignment vertical="center" wrapText="1"/>
    </xf>
    <xf numFmtId="173" fontId="109" fillId="0" borderId="0" xfId="0" applyNumberFormat="1" applyFont="1" applyFill="1" applyBorder="1" applyAlignment="1">
      <alignment vertical="center" wrapText="1"/>
    </xf>
    <xf numFmtId="173" fontId="109" fillId="0" borderId="14" xfId="0" applyNumberFormat="1" applyFont="1" applyFill="1" applyBorder="1" applyAlignment="1">
      <alignment vertical="center" wrapText="1"/>
    </xf>
    <xf numFmtId="0" fontId="109" fillId="0" borderId="0" xfId="0" applyFont="1" applyAlignment="1">
      <alignment vertical="center"/>
    </xf>
    <xf numFmtId="0" fontId="111" fillId="0" borderId="0" xfId="82" applyFont="1" applyFill="1" applyAlignment="1">
      <alignment horizontal="right" vertical="center"/>
      <protection/>
    </xf>
    <xf numFmtId="0" fontId="111" fillId="0" borderId="0" xfId="82" applyFont="1" applyFill="1" applyAlignment="1">
      <alignment horizontal="left" vertical="center"/>
      <protection/>
    </xf>
    <xf numFmtId="0" fontId="109" fillId="0" borderId="0" xfId="0" applyFont="1" applyFill="1" applyAlignment="1">
      <alignment vertical="center"/>
    </xf>
    <xf numFmtId="173" fontId="109" fillId="0" borderId="14" xfId="0" applyNumberFormat="1" applyFont="1" applyFill="1" applyBorder="1" applyAlignment="1">
      <alignment wrapText="1"/>
    </xf>
    <xf numFmtId="0" fontId="113" fillId="0" borderId="0" xfId="0" applyFont="1" applyFill="1" applyBorder="1" applyAlignment="1">
      <alignment vertical="center" wrapText="1"/>
    </xf>
    <xf numFmtId="174" fontId="113" fillId="0" borderId="0" xfId="0" applyNumberFormat="1" applyFont="1" applyFill="1" applyBorder="1" applyAlignment="1">
      <alignment horizontal="right" vertical="center" wrapText="1"/>
    </xf>
    <xf numFmtId="173" fontId="113" fillId="0" borderId="0" xfId="0" applyNumberFormat="1" applyFont="1" applyFill="1" applyBorder="1" applyAlignment="1">
      <alignment vertical="center"/>
    </xf>
    <xf numFmtId="173" fontId="113" fillId="0" borderId="14" xfId="0" applyNumberFormat="1" applyFont="1" applyFill="1" applyBorder="1" applyAlignment="1">
      <alignment wrapText="1"/>
    </xf>
    <xf numFmtId="174" fontId="93" fillId="0" borderId="0" xfId="0" applyNumberFormat="1" applyFont="1" applyFill="1" applyBorder="1" applyAlignment="1">
      <alignment wrapText="1"/>
    </xf>
    <xf numFmtId="173" fontId="86" fillId="0" borderId="0" xfId="0" applyNumberFormat="1" applyFont="1" applyFill="1" applyBorder="1" applyAlignment="1">
      <alignment vertical="center"/>
    </xf>
    <xf numFmtId="173" fontId="93" fillId="0" borderId="14" xfId="0" applyNumberFormat="1" applyFont="1" applyFill="1" applyBorder="1" applyAlignment="1">
      <alignment wrapText="1"/>
    </xf>
    <xf numFmtId="0" fontId="112" fillId="0" borderId="0" xfId="0" applyFont="1" applyAlignment="1">
      <alignment wrapText="1"/>
    </xf>
    <xf numFmtId="174" fontId="109" fillId="0" borderId="0" xfId="0" applyNumberFormat="1" applyFont="1" applyFill="1" applyBorder="1" applyAlignment="1">
      <alignment wrapText="1"/>
    </xf>
    <xf numFmtId="173" fontId="104" fillId="0" borderId="0" xfId="0" applyNumberFormat="1" applyFont="1" applyFill="1" applyBorder="1" applyAlignment="1">
      <alignment vertical="center"/>
    </xf>
    <xf numFmtId="0" fontId="112" fillId="0" borderId="0" xfId="0" applyFont="1" applyFill="1" applyAlignment="1">
      <alignment wrapText="1"/>
    </xf>
    <xf numFmtId="174" fontId="108" fillId="37" borderId="0" xfId="0" applyNumberFormat="1" applyFont="1" applyFill="1" applyBorder="1" applyAlignment="1">
      <alignment horizontal="right" vertical="center" wrapText="1"/>
    </xf>
    <xf numFmtId="174" fontId="108" fillId="37" borderId="0" xfId="0" applyNumberFormat="1" applyFont="1" applyFill="1" applyBorder="1" applyAlignment="1">
      <alignment horizontal="right" vertical="center" wrapText="1"/>
    </xf>
    <xf numFmtId="174" fontId="108" fillId="0" borderId="0" xfId="0" applyNumberFormat="1" applyFont="1" applyFill="1" applyBorder="1" applyAlignment="1">
      <alignment vertical="center"/>
    </xf>
    <xf numFmtId="173" fontId="108" fillId="0" borderId="14" xfId="0" applyNumberFormat="1" applyFont="1" applyFill="1" applyBorder="1" applyAlignment="1">
      <alignment vertical="center"/>
    </xf>
    <xf numFmtId="174" fontId="114" fillId="0" borderId="0" xfId="0" applyNumberFormat="1" applyFont="1" applyFill="1" applyBorder="1" applyAlignment="1">
      <alignment vertical="center"/>
    </xf>
    <xf numFmtId="173" fontId="114" fillId="0" borderId="14" xfId="0" applyNumberFormat="1" applyFont="1" applyFill="1" applyBorder="1" applyAlignment="1">
      <alignment vertical="center"/>
    </xf>
    <xf numFmtId="0" fontId="8" fillId="0" borderId="0" xfId="76" applyFill="1" applyBorder="1" applyAlignment="1" applyProtection="1">
      <alignment vertical="center" wrapText="1"/>
      <protection/>
    </xf>
    <xf numFmtId="173" fontId="113" fillId="38" borderId="0" xfId="0" applyNumberFormat="1" applyFont="1" applyFill="1" applyBorder="1" applyAlignment="1">
      <alignment vertical="center"/>
    </xf>
    <xf numFmtId="173" fontId="113" fillId="38" borderId="14" xfId="0" applyNumberFormat="1" applyFont="1" applyFill="1" applyBorder="1" applyAlignment="1">
      <alignment vertical="center"/>
    </xf>
    <xf numFmtId="175" fontId="113" fillId="0" borderId="0" xfId="0" applyNumberFormat="1" applyFont="1" applyBorder="1" applyAlignment="1">
      <alignment vertical="center"/>
    </xf>
    <xf numFmtId="173" fontId="113" fillId="0" borderId="0" xfId="0" applyNumberFormat="1" applyFont="1" applyBorder="1" applyAlignment="1">
      <alignment vertical="center"/>
    </xf>
    <xf numFmtId="173" fontId="113" fillId="0" borderId="14" xfId="0" applyNumberFormat="1" applyFont="1" applyBorder="1" applyAlignment="1">
      <alignment vertical="center"/>
    </xf>
    <xf numFmtId="0" fontId="115" fillId="0" borderId="0" xfId="0" applyFont="1" applyAlignment="1">
      <alignment wrapText="1"/>
    </xf>
    <xf numFmtId="0" fontId="84"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75" fontId="4" fillId="0" borderId="0" xfId="0" applyNumberFormat="1" applyFont="1" applyFill="1" applyBorder="1" applyAlignment="1">
      <alignment horizontal="left" vertical="center"/>
    </xf>
    <xf numFmtId="174" fontId="113" fillId="0" borderId="0" xfId="0" applyNumberFormat="1" applyFont="1" applyFill="1" applyBorder="1" applyAlignment="1">
      <alignment horizontal="left" vertical="center" wrapText="1"/>
    </xf>
    <xf numFmtId="0" fontId="4" fillId="0" borderId="0" xfId="0" applyFont="1" applyFill="1" applyAlignment="1">
      <alignment horizontal="left" vertical="center"/>
    </xf>
    <xf numFmtId="173" fontId="113" fillId="0" borderId="14" xfId="0" applyNumberFormat="1" applyFont="1" applyFill="1" applyBorder="1" applyAlignment="1">
      <alignment horizontal="left" vertical="center" wrapText="1"/>
    </xf>
    <xf numFmtId="0" fontId="116" fillId="0" borderId="0" xfId="0" applyFont="1" applyFill="1" applyBorder="1" applyAlignment="1">
      <alignment horizontal="left" vertical="center"/>
    </xf>
    <xf numFmtId="8" fontId="116" fillId="0" borderId="0" xfId="0" applyNumberFormat="1" applyFont="1" applyFill="1" applyBorder="1" applyAlignment="1">
      <alignment horizontal="left" vertical="center"/>
    </xf>
    <xf numFmtId="0" fontId="8" fillId="0" borderId="0" xfId="76" applyFont="1" applyFill="1" applyAlignment="1" applyProtection="1">
      <alignment horizontal="left" vertical="center" wrapText="1"/>
      <protection/>
    </xf>
    <xf numFmtId="0" fontId="117" fillId="0" borderId="0" xfId="82" applyFont="1" applyFill="1" applyAlignment="1">
      <alignment horizontal="left" vertical="center"/>
      <protection/>
    </xf>
    <xf numFmtId="0" fontId="8" fillId="0" borderId="0" xfId="76" applyAlignment="1" applyProtection="1">
      <alignment wrapText="1"/>
      <protection/>
    </xf>
    <xf numFmtId="174" fontId="113" fillId="0" borderId="0" xfId="0" applyNumberFormat="1" applyFont="1" applyFill="1" applyBorder="1" applyAlignment="1">
      <alignment wrapText="1"/>
    </xf>
    <xf numFmtId="173" fontId="118" fillId="0" borderId="0" xfId="0" applyNumberFormat="1" applyFont="1" applyFill="1" applyBorder="1" applyAlignment="1">
      <alignment vertical="center"/>
    </xf>
    <xf numFmtId="0" fontId="103" fillId="0" borderId="0" xfId="0" applyFont="1" applyFill="1" applyAlignment="1">
      <alignment horizontal="right" vertical="center"/>
    </xf>
    <xf numFmtId="0" fontId="115" fillId="0" borderId="0" xfId="76" applyFont="1" applyAlignment="1" applyProtection="1">
      <alignment wrapText="1"/>
      <protection/>
    </xf>
    <xf numFmtId="0" fontId="14" fillId="6" borderId="0" xfId="76" applyFont="1" applyFill="1" applyBorder="1" applyAlignment="1" applyProtection="1">
      <alignment wrapText="1"/>
      <protection/>
    </xf>
    <xf numFmtId="174" fontId="99" fillId="6" borderId="0" xfId="0" applyNumberFormat="1" applyFont="1" applyFill="1" applyBorder="1" applyAlignment="1">
      <alignment wrapText="1"/>
    </xf>
    <xf numFmtId="174" fontId="99" fillId="6" borderId="0" xfId="0" applyNumberFormat="1" applyFont="1" applyFill="1" applyBorder="1" applyAlignment="1">
      <alignment horizontal="center" wrapText="1"/>
    </xf>
    <xf numFmtId="173" fontId="99" fillId="6" borderId="0" xfId="0" applyNumberFormat="1" applyFont="1" applyFill="1" applyBorder="1" applyAlignment="1">
      <alignment wrapText="1"/>
    </xf>
    <xf numFmtId="174" fontId="119" fillId="6" borderId="15" xfId="0" applyNumberFormat="1" applyFont="1" applyFill="1" applyBorder="1" applyAlignment="1">
      <alignment wrapText="1"/>
    </xf>
    <xf numFmtId="174" fontId="119" fillId="6" borderId="15" xfId="0" applyNumberFormat="1" applyFont="1" applyFill="1" applyBorder="1" applyAlignment="1">
      <alignment horizontal="center" wrapText="1"/>
    </xf>
    <xf numFmtId="173" fontId="119" fillId="6" borderId="15" xfId="0" applyNumberFormat="1" applyFont="1" applyFill="1" applyBorder="1" applyAlignment="1">
      <alignment wrapText="1"/>
    </xf>
    <xf numFmtId="0" fontId="16" fillId="6" borderId="15" xfId="76" applyFont="1" applyFill="1" applyBorder="1" applyAlignment="1" applyProtection="1">
      <alignment wrapText="1"/>
      <protection/>
    </xf>
    <xf numFmtId="0" fontId="15" fillId="0" borderId="0" xfId="76" applyFont="1" applyFill="1" applyAlignment="1" applyProtection="1">
      <alignment wrapText="1"/>
      <protection/>
    </xf>
    <xf numFmtId="174" fontId="113" fillId="0" borderId="0" xfId="0" applyNumberFormat="1" applyFont="1" applyFill="1" applyBorder="1" applyAlignment="1">
      <alignment horizontal="right" vertical="center" wrapText="1"/>
    </xf>
    <xf numFmtId="0" fontId="113" fillId="0" borderId="0" xfId="0" applyFont="1" applyFill="1" applyBorder="1" applyAlignment="1">
      <alignment vertical="center" wrapText="1"/>
    </xf>
    <xf numFmtId="0" fontId="113" fillId="0" borderId="0" xfId="0" applyFont="1" applyFill="1" applyAlignment="1">
      <alignment wrapText="1"/>
    </xf>
    <xf numFmtId="173" fontId="113" fillId="0" borderId="14" xfId="0" applyNumberFormat="1" applyFont="1" applyFill="1" applyBorder="1" applyAlignment="1">
      <alignment wrapText="1"/>
    </xf>
    <xf numFmtId="174" fontId="93" fillId="0" borderId="0" xfId="0" applyNumberFormat="1" applyFont="1" applyFill="1" applyBorder="1" applyAlignment="1">
      <alignment horizontal="right" vertical="center" wrapText="1"/>
    </xf>
    <xf numFmtId="0" fontId="8" fillId="0" borderId="0" xfId="76" applyFill="1" applyAlignment="1" applyProtection="1">
      <alignment wrapText="1"/>
      <protection/>
    </xf>
    <xf numFmtId="173" fontId="113" fillId="0" borderId="0" xfId="0" applyNumberFormat="1" applyFont="1" applyFill="1" applyBorder="1" applyAlignment="1">
      <alignment wrapText="1"/>
    </xf>
    <xf numFmtId="174" fontId="8" fillId="0" borderId="0" xfId="76" applyNumberFormat="1" applyFill="1" applyBorder="1" applyAlignment="1" applyProtection="1">
      <alignment horizontal="left" vertical="center" wrapText="1"/>
      <protection/>
    </xf>
    <xf numFmtId="174" fontId="113" fillId="0" borderId="0" xfId="0" applyNumberFormat="1" applyFont="1" applyFill="1" applyBorder="1" applyAlignment="1">
      <alignment horizontal="left" vertical="center" wrapText="1"/>
    </xf>
    <xf numFmtId="173" fontId="93" fillId="0" borderId="14" xfId="0" applyNumberFormat="1" applyFont="1" applyFill="1" applyBorder="1" applyAlignment="1">
      <alignment horizontal="right" vertical="center" wrapText="1"/>
    </xf>
    <xf numFmtId="173" fontId="113" fillId="0" borderId="14" xfId="0" applyNumberFormat="1" applyFont="1" applyFill="1" applyBorder="1" applyAlignment="1">
      <alignment vertical="center"/>
    </xf>
    <xf numFmtId="173" fontId="120" fillId="0" borderId="0" xfId="0" applyNumberFormat="1" applyFont="1" applyFill="1" applyBorder="1" applyAlignment="1">
      <alignment horizontal="right" vertical="center" wrapText="1"/>
    </xf>
    <xf numFmtId="175" fontId="113" fillId="0" borderId="0" xfId="0" applyNumberFormat="1" applyFont="1" applyFill="1" applyBorder="1" applyAlignment="1">
      <alignment vertical="center"/>
    </xf>
    <xf numFmtId="0" fontId="115" fillId="0" borderId="0" xfId="0" applyFont="1" applyFill="1" applyAlignment="1">
      <alignment wrapText="1"/>
    </xf>
    <xf numFmtId="175" fontId="113" fillId="38" borderId="0" xfId="0" applyNumberFormat="1" applyFont="1" applyFill="1" applyBorder="1" applyAlignment="1">
      <alignment vertical="center"/>
    </xf>
    <xf numFmtId="0" fontId="84" fillId="38" borderId="18" xfId="0" applyFont="1" applyFill="1" applyBorder="1" applyAlignment="1">
      <alignment vertical="center" wrapText="1"/>
    </xf>
    <xf numFmtId="0" fontId="7" fillId="38" borderId="0" xfId="0" applyFont="1" applyFill="1" applyBorder="1" applyAlignment="1">
      <alignment vertical="center" wrapText="1"/>
    </xf>
    <xf numFmtId="0" fontId="4" fillId="38" borderId="0" xfId="0" applyFont="1" applyFill="1" applyBorder="1" applyAlignment="1">
      <alignment horizontal="justify" vertical="center" wrapText="1"/>
    </xf>
    <xf numFmtId="173" fontId="90" fillId="38" borderId="0" xfId="0" applyNumberFormat="1" applyFont="1" applyFill="1" applyBorder="1" applyAlignment="1">
      <alignment horizontal="center" vertical="center"/>
    </xf>
    <xf numFmtId="173" fontId="100" fillId="38" borderId="0" xfId="0" applyNumberFormat="1" applyFont="1" applyFill="1" applyBorder="1" applyAlignment="1">
      <alignment horizontal="center" vertical="center"/>
    </xf>
    <xf numFmtId="0" fontId="115" fillId="38" borderId="0" xfId="0" applyFont="1" applyFill="1" applyAlignment="1">
      <alignment wrapText="1"/>
    </xf>
    <xf numFmtId="0" fontId="4" fillId="38" borderId="0" xfId="0" applyFont="1" applyFill="1" applyAlignment="1">
      <alignment vertical="center"/>
    </xf>
    <xf numFmtId="0" fontId="103" fillId="0" borderId="0" xfId="82" applyFont="1" applyFill="1" applyAlignment="1">
      <alignment horizontal="right" vertical="center" wrapText="1"/>
      <protection/>
    </xf>
    <xf numFmtId="0" fontId="8" fillId="38" borderId="0" xfId="76" applyFill="1" applyAlignment="1" applyProtection="1">
      <alignment wrapText="1"/>
      <protection/>
    </xf>
    <xf numFmtId="173" fontId="8" fillId="0" borderId="0" xfId="76" applyNumberFormat="1" applyFill="1" applyBorder="1" applyAlignment="1" applyProtection="1">
      <alignment wrapText="1"/>
      <protection/>
    </xf>
    <xf numFmtId="0" fontId="86" fillId="33" borderId="17" xfId="0" applyFont="1" applyFill="1" applyBorder="1" applyAlignment="1">
      <alignment vertical="center" wrapText="1"/>
    </xf>
    <xf numFmtId="0" fontId="93" fillId="0" borderId="17" xfId="0" applyFont="1" applyBorder="1" applyAlignment="1">
      <alignment horizontal="justify" vertical="center" wrapText="1"/>
    </xf>
    <xf numFmtId="173" fontId="93" fillId="0" borderId="17" xfId="0" applyNumberFormat="1" applyFont="1" applyBorder="1" applyAlignment="1">
      <alignment horizontal="center" vertical="center"/>
    </xf>
    <xf numFmtId="175" fontId="87" fillId="38" borderId="0" xfId="0" applyNumberFormat="1" applyFont="1" applyFill="1" applyBorder="1" applyAlignment="1">
      <alignment vertical="center"/>
    </xf>
    <xf numFmtId="175" fontId="121" fillId="39" borderId="0" xfId="0" applyNumberFormat="1" applyFont="1" applyFill="1" applyBorder="1" applyAlignment="1">
      <alignment vertical="center" wrapText="1"/>
    </xf>
    <xf numFmtId="0" fontId="16" fillId="6" borderId="0" xfId="76" applyFont="1" applyFill="1" applyBorder="1" applyAlignment="1" applyProtection="1">
      <alignment wrapText="1"/>
      <protection/>
    </xf>
    <xf numFmtId="174" fontId="119" fillId="6" borderId="0" xfId="0" applyNumberFormat="1" applyFont="1" applyFill="1" applyBorder="1" applyAlignment="1">
      <alignment wrapText="1"/>
    </xf>
    <xf numFmtId="174" fontId="119" fillId="6" borderId="0" xfId="0" applyNumberFormat="1" applyFont="1" applyFill="1" applyBorder="1" applyAlignment="1">
      <alignment horizontal="center" wrapText="1"/>
    </xf>
    <xf numFmtId="173" fontId="119" fillId="6" borderId="0" xfId="0" applyNumberFormat="1" applyFont="1" applyFill="1" applyBorder="1" applyAlignment="1">
      <alignment wrapText="1"/>
    </xf>
    <xf numFmtId="0" fontId="122" fillId="6" borderId="18" xfId="0" applyFont="1" applyFill="1" applyBorder="1" applyAlignment="1">
      <alignment horizontal="center" vertical="center" wrapText="1"/>
    </xf>
    <xf numFmtId="0" fontId="123" fillId="6" borderId="0" xfId="0" applyFont="1" applyFill="1" applyBorder="1" applyAlignment="1">
      <alignment horizontal="center" vertical="center" wrapText="1"/>
    </xf>
    <xf numFmtId="173" fontId="122" fillId="6" borderId="0" xfId="0" applyNumberFormat="1" applyFont="1" applyFill="1" applyBorder="1" applyAlignment="1">
      <alignment horizontal="center" vertical="center" wrapText="1" shrinkToFit="1"/>
    </xf>
    <xf numFmtId="174" fontId="122" fillId="6" borderId="0" xfId="0" applyNumberFormat="1" applyFont="1" applyFill="1" applyBorder="1" applyAlignment="1">
      <alignment wrapText="1"/>
    </xf>
    <xf numFmtId="174" fontId="122" fillId="6" borderId="0" xfId="0" applyNumberFormat="1" applyFont="1" applyFill="1" applyBorder="1" applyAlignment="1">
      <alignment horizontal="center" wrapText="1"/>
    </xf>
    <xf numFmtId="173" fontId="122" fillId="6" borderId="0" xfId="0" applyNumberFormat="1" applyFont="1" applyFill="1" applyBorder="1" applyAlignment="1">
      <alignment wrapText="1"/>
    </xf>
    <xf numFmtId="173" fontId="122" fillId="6" borderId="0" xfId="0" applyNumberFormat="1" applyFont="1" applyFill="1" applyBorder="1" applyAlignment="1">
      <alignment horizontal="center" wrapText="1"/>
    </xf>
    <xf numFmtId="173" fontId="122" fillId="6" borderId="14" xfId="0" applyNumberFormat="1" applyFont="1" applyFill="1" applyBorder="1" applyAlignment="1">
      <alignment wrapText="1"/>
    </xf>
    <xf numFmtId="0" fontId="124" fillId="0" borderId="0" xfId="0" applyFont="1" applyAlignment="1">
      <alignment/>
    </xf>
    <xf numFmtId="0" fontId="125" fillId="0" borderId="0" xfId="0" applyFont="1" applyAlignment="1">
      <alignment vertical="center"/>
    </xf>
    <xf numFmtId="0" fontId="8" fillId="6" borderId="0" xfId="76" applyFill="1" applyBorder="1" applyAlignment="1" applyProtection="1">
      <alignment horizontal="left" vertical="center" wrapText="1"/>
      <protection/>
    </xf>
    <xf numFmtId="175" fontId="87" fillId="0" borderId="0" xfId="0" applyNumberFormat="1" applyFont="1" applyFill="1" applyBorder="1" applyAlignment="1">
      <alignment vertical="center"/>
    </xf>
    <xf numFmtId="0" fontId="8" fillId="0" borderId="0" xfId="76" applyFill="1" applyBorder="1" applyAlignment="1" applyProtection="1">
      <alignment vertical="center"/>
      <protection/>
    </xf>
    <xf numFmtId="0" fontId="113" fillId="0" borderId="0" xfId="0" applyFont="1" applyFill="1" applyBorder="1" applyAlignment="1">
      <alignment vertical="center"/>
    </xf>
    <xf numFmtId="188" fontId="113" fillId="0" borderId="14" xfId="0" applyNumberFormat="1" applyFont="1" applyFill="1" applyBorder="1" applyAlignment="1">
      <alignment vertical="center"/>
    </xf>
    <xf numFmtId="0" fontId="15" fillId="0" borderId="0" xfId="76" applyFont="1" applyFill="1" applyBorder="1" applyAlignment="1" applyProtection="1">
      <alignment horizontal="left" vertical="top" wrapText="1"/>
      <protection/>
    </xf>
    <xf numFmtId="0" fontId="4" fillId="0" borderId="0" xfId="0" applyFont="1" applyFill="1" applyBorder="1" applyAlignment="1">
      <alignment horizontal="left" vertical="top" wrapText="1"/>
    </xf>
    <xf numFmtId="174" fontId="126" fillId="39" borderId="0" xfId="0" applyNumberFormat="1" applyFont="1" applyFill="1" applyBorder="1" applyAlignment="1">
      <alignment vertical="center" wrapText="1"/>
    </xf>
    <xf numFmtId="0" fontId="8" fillId="0" borderId="0" xfId="76" applyFill="1" applyAlignment="1" applyProtection="1">
      <alignment horizontal="left" wrapText="1"/>
      <protection/>
    </xf>
    <xf numFmtId="174" fontId="95" fillId="0" borderId="0" xfId="0" applyNumberFormat="1" applyFont="1" applyFill="1" applyBorder="1" applyAlignment="1">
      <alignment vertical="center"/>
    </xf>
    <xf numFmtId="173" fontId="95" fillId="0" borderId="0" xfId="0" applyNumberFormat="1" applyFont="1" applyFill="1" applyBorder="1" applyAlignment="1">
      <alignment vertical="center"/>
    </xf>
    <xf numFmtId="0" fontId="95" fillId="0" borderId="0" xfId="0" applyFont="1" applyFill="1" applyAlignment="1">
      <alignment horizontal="left" wrapText="1"/>
    </xf>
    <xf numFmtId="173" fontId="95" fillId="0" borderId="14" xfId="0" applyNumberFormat="1" applyFont="1" applyFill="1" applyBorder="1" applyAlignment="1">
      <alignment vertical="center"/>
    </xf>
    <xf numFmtId="0" fontId="0" fillId="0" borderId="0" xfId="0" applyFill="1" applyBorder="1" applyAlignment="1">
      <alignment vertical="center"/>
    </xf>
    <xf numFmtId="174" fontId="126" fillId="0" borderId="0" xfId="0" applyNumberFormat="1" applyFont="1" applyFill="1" applyBorder="1" applyAlignment="1">
      <alignment vertical="center" wrapText="1"/>
    </xf>
    <xf numFmtId="174" fontId="0" fillId="0" borderId="0" xfId="0" applyNumberFormat="1" applyFill="1" applyBorder="1" applyAlignment="1">
      <alignment vertical="center"/>
    </xf>
    <xf numFmtId="173" fontId="0" fillId="0" borderId="0" xfId="0" applyNumberFormat="1" applyFill="1" applyBorder="1" applyAlignment="1">
      <alignment vertical="center"/>
    </xf>
    <xf numFmtId="0" fontId="0" fillId="0" borderId="0" xfId="0" applyFill="1" applyBorder="1" applyAlignment="1">
      <alignment vertical="center" wrapText="1"/>
    </xf>
    <xf numFmtId="173" fontId="0" fillId="0" borderId="14" xfId="0" applyNumberFormat="1" applyFill="1" applyBorder="1" applyAlignment="1">
      <alignment vertical="center"/>
    </xf>
    <xf numFmtId="0" fontId="0" fillId="0" borderId="0" xfId="0" applyFill="1" applyAlignment="1">
      <alignment wrapText="1"/>
    </xf>
    <xf numFmtId="0" fontId="2" fillId="0" borderId="22" xfId="0" applyFont="1" applyBorder="1" applyAlignment="1">
      <alignment horizontal="center" vertical="center"/>
    </xf>
    <xf numFmtId="0" fontId="3" fillId="0" borderId="22" xfId="0" applyFont="1" applyBorder="1" applyAlignment="1">
      <alignment vertical="center"/>
    </xf>
    <xf numFmtId="0" fontId="5" fillId="38" borderId="0" xfId="0" applyFont="1" applyFill="1" applyAlignment="1">
      <alignment horizontal="center" vertical="center" wrapText="1"/>
    </xf>
  </cellXfs>
  <cellStyles count="8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rmal 2" xfId="82"/>
    <cellStyle name="Normal 3" xfId="83"/>
    <cellStyle name="Note" xfId="84"/>
    <cellStyle name="Output" xfId="85"/>
    <cellStyle name="Percent" xfId="86"/>
    <cellStyle name="Satisfaisant" xfId="87"/>
    <cellStyle name="Sortie" xfId="88"/>
    <cellStyle name="Texte explicatif" xfId="89"/>
    <cellStyle name="Title" xfId="90"/>
    <cellStyle name="Titre" xfId="91"/>
    <cellStyle name="Titre 1" xfId="92"/>
    <cellStyle name="Titre 2" xfId="93"/>
    <cellStyle name="Titre 3" xfId="94"/>
    <cellStyle name="Titre 4" xfId="95"/>
    <cellStyle name="Total" xfId="96"/>
    <cellStyle name="Vérification" xfId="97"/>
    <cellStyle name="Warning 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harrison/AppData/Local/Microsoft/Windows/Temporary%20Internet%20Files/INVOICES/MPTF%201/SUN%20CSN%20coordinator%20salary/RE%20%20Salary%20Pension%20NI.msg" TargetMode="External" /><Relationship Id="rId2" Type="http://schemas.openxmlformats.org/officeDocument/2006/relationships/hyperlink" Target="../../../../../../../../mharrison/AppData/Local/Microsoft/Windows/Temporary%20Internet%20Files/INVOICES/MPTF%201/SUN%20CSN%20coordinator%20salary/RE%20%20Salary%20Pension%20NI.msg" TargetMode="External" /><Relationship Id="rId3" Type="http://schemas.openxmlformats.org/officeDocument/2006/relationships/hyperlink" Target="../../../../../../../../mharrison/AppData/Local/Microsoft/Windows/Temporary%20Internet%20Files/INVOICES/MPTF%201/SUN%20CSN%20coordinator%20salary/RE%20%20Salary%20Pension%20NI.msg" TargetMode="External" /><Relationship Id="rId4" Type="http://schemas.openxmlformats.org/officeDocument/2006/relationships/hyperlink" Target="../../../../../../../../mharrison/AppData/Local/Microsoft/Windows/Temporary%20Internet%20Files/INVOICES/MPTF%201/SUN%20CSN%20coordinator%20salary/RE%20%20Salary%20Pension%20NI.msg" TargetMode="External" /><Relationship Id="rId5" Type="http://schemas.openxmlformats.org/officeDocument/2006/relationships/hyperlink" Target="../../../../../../../../mharrison/AppData/Local/Microsoft/Windows/Temporary%20Internet%20Files/INVOICES/MPTF%201/SUN%20CSN%20coordinator%20salary/RE%20%20Salary%20Pension%20NI.msg" TargetMode="External" /><Relationship Id="rId6" Type="http://schemas.openxmlformats.org/officeDocument/2006/relationships/hyperlink" Target="../../../../../../../../mharrison/AppData/Local/Microsoft/Windows/Temporary%20Internet%20Files/INVOICES/MPTF%201/SUN%20CSN%20coordinator%20salary/RE%20%20Salary%20Pension%20NI.msg" TargetMode="External" /><Relationship Id="rId7" Type="http://schemas.openxmlformats.org/officeDocument/2006/relationships/hyperlink" Target="../../../../../../../../mharrison/AppData/Local/Microsoft/Windows/Temporary%20Internet%20Files/INVOICES/MPTF%201/SUN%20CSN%20coordinator%20salary/RE%20%20Salary%20Pension%20NI.msg" TargetMode="External" /><Relationship Id="rId8" Type="http://schemas.openxmlformats.org/officeDocument/2006/relationships/hyperlink" Target="../../../../../../../../mharrison/AppData/Local/Microsoft/Windows/Temporary%20Internet%20Files/INVOICES/MPTF%201/SUN%20CSN%20coordinator%20salary/RE%20%20Salary%20Pension%20NI.msg" TargetMode="External" /><Relationship Id="rId9" Type="http://schemas.openxmlformats.org/officeDocument/2006/relationships/hyperlink" Target="../../../../../../../../mharrison/AppData/Local/Microsoft/Windows/Temporary%20Internet%20Files/INVOICES/MPTF%201/SUN%20CSN%20coordinator%20salary/RE%20%20Salary%20Pension%20NI.msg" TargetMode="External" /><Relationship Id="rId10" Type="http://schemas.openxmlformats.org/officeDocument/2006/relationships/hyperlink" Target="../../../../../../../../mharrison/AppData/Local/Microsoft/Windows/Temporary%20Internet%20Files/INVOICES/MPTF%201/SUN%20CSN%20coordinator%20salary/RE%20%20Salary%20Pension%20NI.msg" TargetMode="External" /><Relationship Id="rId11" Type="http://schemas.openxmlformats.org/officeDocument/2006/relationships/hyperlink" Target="../../../../../../../../mharrison/AppData/Local/Microsoft/Windows/Temporary%20Internet%20Files/INVOICES/MPTF%201/SUN%20CSN%20coordinator%20salary/RE%20%20Salary%20Pension%20NI.msg" TargetMode="External" /><Relationship Id="rId12" Type="http://schemas.openxmlformats.org/officeDocument/2006/relationships/hyperlink" Target="../../../../../../../../mharrison/AppData/Local/Microsoft/Windows/Temporary%20Internet%20Files/INVOICES/MPTF%201/SUN%20CSN%20coordinator%20salary/RE%20%20Salary%20Pension%20NI.msg" TargetMode="External" /><Relationship Id="rId13" Type="http://schemas.openxmlformats.org/officeDocument/2006/relationships/hyperlink" Target="../../../../../../../../mharrison/AppData/Local/Microsoft/Windows/Temporary%20Internet%20Files/INVOICES/MPTF%201/SUN%20CSN%20coordinator%20salary/RE%20%20Salary%20Pension%20NI.msg" TargetMode="External" /><Relationship Id="rId14" Type="http://schemas.openxmlformats.org/officeDocument/2006/relationships/hyperlink" Target="../../../../../../../../mharrison/AppData/Local/Microsoft/Windows/Temporary%20Internet%20Files/INVOICES/MPTF%201/SUN%20CSN%20coordinator%20salary/RE%20%20Salary%20Pension%20NI.msg" TargetMode="External" /><Relationship Id="rId15" Type="http://schemas.openxmlformats.org/officeDocument/2006/relationships/hyperlink" Target="../../../../../../../../mharrison/AppData/Local/Microsoft/Windows/Temporary%20Internet%20Files/INVOICES/MPTF%201/SUN%20CSN%20coordinator%20salary/RE%20%20Salary%20Pension%20NI.msg" TargetMode="External" /><Relationship Id="rId16" Type="http://schemas.openxmlformats.org/officeDocument/2006/relationships/hyperlink" Target="../../../../../../../../mharrison/AppData/Local/Microsoft/Windows/Temporary%20Internet%20Files/INVOICES/MPTF%201/SUN%20CSN%20coordinator%20salary/RE%20%20Salary%20Pension%20NI.msg" TargetMode="External" /><Relationship Id="rId17" Type="http://schemas.openxmlformats.org/officeDocument/2006/relationships/hyperlink" Target="../../../../../../../../mharrison/AppData/Local/Microsoft/Windows/Temporary%20Internet%20Files/INVOICES/MPTF%201/SUN%20CSN%20coordinator%20salary/RE%20%20Salary%20Pension%20NI.msg" TargetMode="External" /><Relationship Id="rId18" Type="http://schemas.openxmlformats.org/officeDocument/2006/relationships/hyperlink" Target="../../../../../../../../mharrison/AppData/Local/Microsoft/Windows/Temporary%20Internet%20Files/INVOICES/MPTF%201/SUN%20CSN%20coordinator%20salary/RE%20%20Salary%20Pension%20NI.msg" TargetMode="External" /><Relationship Id="rId19" Type="http://schemas.openxmlformats.org/officeDocument/2006/relationships/hyperlink" Target="../../../../../../../../mharrison/AppData/Local/Microsoft/Windows/Temporary%20Internet%20Files/INVOICES/MPTF%201/SUN%20CSN%20coordinator%20salary/RE%20%20Salary%20Pension%20NI.msg" TargetMode="External" /><Relationship Id="rId20" Type="http://schemas.openxmlformats.org/officeDocument/2006/relationships/hyperlink" Target="../../../../../../../../mharrison/AppData/Local/Microsoft/Windows/Temporary%20Internet%20Files/INVOICES/MPTF%201/SUN%20CSN%20coordinator%20salary/RE%20%20Salary%20Pension%20NI.msg" TargetMode="External" /><Relationship Id="rId21" Type="http://schemas.openxmlformats.org/officeDocument/2006/relationships/hyperlink" Target="../../../../../../../../mharrison/AppData/Local/Microsoft/Windows/Temporary%20Internet%20Files/INVOICES/MPTF%201/SUN%20CSN%20coordinator%20salary/RE%20%20Salary%20Pension%20NI.msg" TargetMode="External" /><Relationship Id="rId22" Type="http://schemas.openxmlformats.org/officeDocument/2006/relationships/hyperlink" Target="../../../../../../../../mharrison/AppData/Local/Microsoft/Windows/Temporary%20Internet%20Files/INVOICES/MPTF%201/SUN%20CSN%20coordinator%20salary/RE%20%20Salary%20Pension%20NI.msg" TargetMode="External" /><Relationship Id="rId23" Type="http://schemas.openxmlformats.org/officeDocument/2006/relationships/hyperlink" Target="../../../../../../../../mharrison/AppData/Local/Microsoft/Windows/Temporary%20Internet%20Files/INVOICES/MPTF%201/SUN%20CSN%20coordinator%20salary/RE%20%20Salary%20Pension%20NI.msg" TargetMode="External" /><Relationship Id="rId24" Type="http://schemas.openxmlformats.org/officeDocument/2006/relationships/hyperlink" Target="../../../../../../../../mharrison/AppData/Local/Microsoft/Windows/Temporary%20Internet%20Files/INVOICES/MPTF%201/SUN%20CSN%20coordinator%20salary/RE%20%20Salary%20Pension%20NI.msg" TargetMode="External" /><Relationship Id="rId25" Type="http://schemas.openxmlformats.org/officeDocument/2006/relationships/hyperlink" Target="../../../../../../../../mharrison/AppData/Local/Microsoft/Windows/Temporary%20Internet%20Files/INVOICES/MPTF%201/SUN%20CSN%20coordinator%20salary/RE%20%20Salary%20Pension%20NI.msg" TargetMode="External" /><Relationship Id="rId26" Type="http://schemas.openxmlformats.org/officeDocument/2006/relationships/hyperlink" Target="../../../../../../../../mharrison/AppData/Local/Microsoft/Windows/Temporary%20Internet%20Files/INVOICES/MPTF%201/SUN%20CSN%20coordinator%20salary/RE%20%20Salary%20Pension%20NI.msg" TargetMode="External" /><Relationship Id="rId27" Type="http://schemas.openxmlformats.org/officeDocument/2006/relationships/hyperlink" Target="../../../../../../../../mharrison/AppData/Local/Microsoft/Windows/Temporary%20Internet%20Files/INVOICES/MPTF%201/CONSULTANCY/INVOICE%201%20Gabrielle%20Schembri%20-%20MAPPING" TargetMode="External" /><Relationship Id="rId28" Type="http://schemas.openxmlformats.org/officeDocument/2006/relationships/hyperlink" Target="../../../../../../../../mharrison/AppData/Local/Microsoft/Windows/Temporary%20Internet%20Files/INVOICES/MPTF%201/CONSULTANCY/INVOICE%201%20Gabrielle%20Schembri%20-%20MAPPING" TargetMode="External" /><Relationship Id="rId29" Type="http://schemas.openxmlformats.org/officeDocument/2006/relationships/hyperlink" Target="../../../../../../../../mharrison/AppData/Local/Microsoft/Windows/Temporary%20Internet%20Files/INVOICES/MPTF%201/CONSULTANCY/INVOICE%202%20Gabrielle%20Schembri" TargetMode="External" /><Relationship Id="rId30" Type="http://schemas.openxmlformats.org/officeDocument/2006/relationships/hyperlink" Target="../../../../../../../../mharrison/AppData/Local/Microsoft/Windows/Temporary%20Internet%20Files/INVOICES/MPTF%201/CONSULTANCY/INVOICE%202%20Gabrielle%20Schembri" TargetMode="External" /><Relationship Id="rId31" Type="http://schemas.openxmlformats.org/officeDocument/2006/relationships/hyperlink" Target="../../../../../../../../mharrison/AppData/Local/Microsoft/Windows/Temporary%20Internet%20Files/INVOICES/MPTF%201/TRAVEL%20SUN%20CSN%20Coordinator/Senegal%20Sep%202013/FLIGHTS" TargetMode="External" /><Relationship Id="rId32" Type="http://schemas.openxmlformats.org/officeDocument/2006/relationships/hyperlink" Target="../../../../../../../../mharrison/AppData/Local/Microsoft/Windows/Temporary%20Internet%20Files/INVOICES/MPTF%201/TRAVEL%20SUN%20CSN%20Coordinator/Senegal%20Sep%202013/FLIGHTS" TargetMode="External" /><Relationship Id="rId33" Type="http://schemas.openxmlformats.org/officeDocument/2006/relationships/hyperlink" Target="../../../../../../../../mharrison/AppData/Local/Microsoft/Windows/Temporary%20Internet%20Files/INVOICES/MPTF%201/TRAVEL%20SUN%20CSN%20Coordinator/Senegal%20Sep%202013/EXPENSES" TargetMode="External" /><Relationship Id="rId34" Type="http://schemas.openxmlformats.org/officeDocument/2006/relationships/hyperlink" Target="../../../../../../../../mharrison/AppData/Local/Microsoft/Windows/Temporary%20Internet%20Files/INVOICES/MPTF%201/TRAVEL%20SUN%20CSN%20Coordinator/Senegal%20Sep%202013/EXPENSES" TargetMode="External" /><Relationship Id="rId35" Type="http://schemas.openxmlformats.org/officeDocument/2006/relationships/hyperlink" Target="../../../../../../../../mharrison/AppData/Local/Microsoft/Windows/Temporary%20Internet%20Files/INVOICES/MPTF%201/TRAVEL%20SUN%20CSN%20Coordinator/New%20York%20Sep%202013/HOTEL" TargetMode="External" /><Relationship Id="rId36" Type="http://schemas.openxmlformats.org/officeDocument/2006/relationships/hyperlink" Target="../../../../../../../../mharrison/AppData/Local/Microsoft/Windows/Temporary%20Internet%20Files/INVOICES/MPTF%201/TRAVEL%20SUN%20CSN%20Coordinator/New%20York%20Sep%202013/HOTEL" TargetMode="External" /><Relationship Id="rId37" Type="http://schemas.openxmlformats.org/officeDocument/2006/relationships/hyperlink" Target="../../../../../../../../mharrison/AppData/Local/Microsoft/Windows/Temporary%20Internet%20Files/INVOICES/MPTF%201/TRAVEL%20SUN%20CSN%20Coordinator/New%20York%20Sep%202013/Subsistence" TargetMode="External" /><Relationship Id="rId38" Type="http://schemas.openxmlformats.org/officeDocument/2006/relationships/hyperlink" Target="../../../../../../../../mharrison/AppData/Local/Microsoft/Windows/Temporary%20Internet%20Files/INVOICES/MPTF%201/TRAVEL%20SUN%20CSN%20Coordinator/New%20York%20Sep%202013/Subsistence" TargetMode="External" /><Relationship Id="rId39" Type="http://schemas.openxmlformats.org/officeDocument/2006/relationships/hyperlink" Target="../../../../../../../../mharrison/AppData/Local/Microsoft/Windows/Temporary%20Internet%20Files/INVOICES/MPTF%201/TRAVEL%20SUN%20CSN%20Coordinator/Rome%20Oct%202013/HOTEL" TargetMode="External" /><Relationship Id="rId40" Type="http://schemas.openxmlformats.org/officeDocument/2006/relationships/hyperlink" Target="../../../../../../../../mharrison/AppData/Local/Microsoft/Windows/Temporary%20Internet%20Files/INVOICES/MPTF%201/TRAVEL%20SUN%20CSN%20Coordinator/Rome%20Oct%202013/HOTEL" TargetMode="External" /><Relationship Id="rId41" Type="http://schemas.openxmlformats.org/officeDocument/2006/relationships/hyperlink" Target="../../../../../../../../mharrison/AppData/Local/Microsoft/Windows/Temporary%20Internet%20Files/INVOICES/MPTF%201/TRAVEL%20SUN%20CSN%20Coordinator/Rome%20Oct%202013/EXPENSES/FLIGHTS%20FOR%20REIMBURSEMENT" TargetMode="External" /><Relationship Id="rId42" Type="http://schemas.openxmlformats.org/officeDocument/2006/relationships/hyperlink" Target="../../../../../../../../mharrison/AppData/Local/Microsoft/Windows/Temporary%20Internet%20Files/INVOICES/MPTF%201/TRAVEL%20SUN%20CSN%20Coordinator/Rome%20Oct%202013/EXPENSES/FLIGHTS%20FOR%20REIMBURSEMENT" TargetMode="External" /><Relationship Id="rId43" Type="http://schemas.openxmlformats.org/officeDocument/2006/relationships/hyperlink" Target="../../../../../../../../mharrison/AppData/Local/Microsoft/Windows/Temporary%20Internet%20Files/INVOICES/MPTF%201/TRAVEL%20SUN%20CSN%20Coordinator/Rome%20Oct%202013/EXPENSES" TargetMode="External" /><Relationship Id="rId44" Type="http://schemas.openxmlformats.org/officeDocument/2006/relationships/hyperlink" Target="../../../../../../../../mharrison/AppData/Local/Microsoft/Windows/Temporary%20Internet%20Files/INVOICES/MPTF%201/TRAVEL%20SUN%20CSN%20Coordinator/Rome%20Oct%202013/EXPENSES" TargetMode="External" /><Relationship Id="rId45" Type="http://schemas.openxmlformats.org/officeDocument/2006/relationships/hyperlink" Target="../../../../../../../../mharrison/AppData/Local/Microsoft/Windows/Temporary%20Internet%20Files/INVOICES/MPTF%201/TRAVEL%20SUN%20CSN%20Coordinator/Zambia%20Claire%20Dec%202013/FLIGHTS%20ZAMBIA%20FINAL" TargetMode="External" /><Relationship Id="rId46" Type="http://schemas.openxmlformats.org/officeDocument/2006/relationships/hyperlink" Target="../../../../../../../../mharrison/AppData/Local/Microsoft/Windows/Temporary%20Internet%20Files/INVOICES/MPTF%201/TRAVEL%20SUN%20CSN%20Coordinator/Zambia%20Claire%20Dec%202013/FLIGHTS%20ZAMBIA%20FINAL" TargetMode="External" /><Relationship Id="rId47" Type="http://schemas.openxmlformats.org/officeDocument/2006/relationships/hyperlink" Target="../../../../../../../../mharrison/AppData/Local/Microsoft/Windows/Temporary%20Internet%20Files/INVOICES/MPTF%201/TRAVEL%20SUN%20CSN%20Coordinator/Geneva%20Feb%2012%202014" TargetMode="External" /><Relationship Id="rId48" Type="http://schemas.openxmlformats.org/officeDocument/2006/relationships/hyperlink" Target="../../../../../../../../mharrison/AppData/Local/Microsoft/Windows/Temporary%20Internet%20Files/INVOICES/MPTF%201/TRAVEL%20SUN%20CSN%20Coordinator/Geneva%20Feb%2012%202014" TargetMode="External" /><Relationship Id="rId49" Type="http://schemas.openxmlformats.org/officeDocument/2006/relationships/hyperlink" Target="../../../../../../../../mharrison/AppData/Local/Microsoft/Windows/Temporary%20Internet%20Files/INVOICES/MPTF%201/TRAVEL%20SUN%20CSN%20Coordinator/Geneva%20Feb%2012%202014" TargetMode="External" /><Relationship Id="rId50" Type="http://schemas.openxmlformats.org/officeDocument/2006/relationships/hyperlink" Target="../../../../../../../../mharrison/AppData/Local/Microsoft/Windows/Temporary%20Internet%20Files/INVOICES/MPTF%201/TRAVEL%20SUN%20CSN%20Coordinator/Geneva%20Feb%2012%202014" TargetMode="External" /><Relationship Id="rId51" Type="http://schemas.openxmlformats.org/officeDocument/2006/relationships/hyperlink" Target="../../../../../../../../mharrison/AppData/Local/Microsoft/Windows/Temporary%20Internet%20Files/INVOICES/MPTF%201/TRAVEL%20SUN%20CSN%20Coordinator/Kenya%20May%202014/Flights" TargetMode="External" /><Relationship Id="rId52" Type="http://schemas.openxmlformats.org/officeDocument/2006/relationships/hyperlink" Target="../../../../../../../../mharrison/AppData/Local/Microsoft/Windows/Temporary%20Internet%20Files/INVOICES/MPTF%201/TRAVEL%20SUN%20CSN%20Coordinator/Kenya%20May%202014/Flights" TargetMode="External" /><Relationship Id="rId53" Type="http://schemas.openxmlformats.org/officeDocument/2006/relationships/hyperlink" Target="../../../../../../../../mharrison/AppData/Local/Microsoft/Windows/Temporary%20Internet%20Files/INVOICES/MPTF%201/TRAVEL%20SUN%20CSN%20Coordinator/Kenya%20May%202014/Hotel" TargetMode="External" /><Relationship Id="rId54" Type="http://schemas.openxmlformats.org/officeDocument/2006/relationships/hyperlink" Target="../../../../../../../../mharrison/AppData/Local/Microsoft/Windows/Temporary%20Internet%20Files/INVOICES/MPTF%201/TRAVEL%20SUN%20CSN%20Coordinator/Kenya%20May%202014/Hotel" TargetMode="External" /><Relationship Id="rId55" Type="http://schemas.openxmlformats.org/officeDocument/2006/relationships/hyperlink" Target="../../../../../../../../mharrison/AppData/Local/Microsoft/Windows/Temporary%20Internet%20Files/INVOICES/MPTF%201/TRAVEL%20SUN%20CSN%20Coordinator/Kenya%20May%202014/Hotel" TargetMode="External" /><Relationship Id="rId56" Type="http://schemas.openxmlformats.org/officeDocument/2006/relationships/hyperlink" Target="../../../../../../../../mharrison/AppData/Local/Microsoft/Windows/Temporary%20Internet%20Files/INVOICES/MPTF%201/TRAVEL%20SUN%20CSN%20Coordinator/Kenya%20May%202014/Hotel" TargetMode="External" /><Relationship Id="rId57" Type="http://schemas.openxmlformats.org/officeDocument/2006/relationships/hyperlink" Target="../../../../../../../../mharrison/AppData/Local/Microsoft/Windows/Temporary%20Internet%20Files/INVOICES/MPTF%201/TRAVEL%20SUN%20CSN%20Coordinator/Kenya%20May%202014/Hotel" TargetMode="External" /><Relationship Id="rId58" Type="http://schemas.openxmlformats.org/officeDocument/2006/relationships/hyperlink" Target="../../../../../../../../mharrison/AppData/Local/Microsoft/Windows/Temporary%20Internet%20Files/INVOICES/MPTF%201/TRAVEL%20SUN%20CSN%20Coordinator/Kenya%20May%202014/Hotel" TargetMode="External" /><Relationship Id="rId59" Type="http://schemas.openxmlformats.org/officeDocument/2006/relationships/hyperlink" Target="../../../../../../../../mharrison/AppData/Local/Microsoft/Windows/Temporary%20Internet%20Files/INVOICES/MPTF%201/TRAVEL%20SUN%20CSN%20Coordinator/Kenya%20May%202014/Hotel" TargetMode="External" /><Relationship Id="rId60" Type="http://schemas.openxmlformats.org/officeDocument/2006/relationships/hyperlink" Target="../../../../../../../../mharrison/AppData/Local/Microsoft/Windows/Temporary%20Internet%20Files/INVOICES/MPTF%201/TRAVEL%20SUN%20CSN%20Coordinator/Kenya%20May%202014/Hotel" TargetMode="External" /><Relationship Id="rId61" Type="http://schemas.openxmlformats.org/officeDocument/2006/relationships/hyperlink" Target="../../../../../../../../mharrison/AppData/Local/Microsoft/Windows/Temporary%20Internet%20Files/INVOICES/MPTF%201/TRAVEL%20SUN%20CSN%20Coordinator/Washington%2012-14%20June%202014/FLIGHTS" TargetMode="External" /><Relationship Id="rId62" Type="http://schemas.openxmlformats.org/officeDocument/2006/relationships/hyperlink" Target="../../../../../../../../mharrison/AppData/Local/Microsoft/Windows/Temporary%20Internet%20Files/INVOICES/MPTF%201/TRAVEL%20SUN%20CSN%20Coordinator/Washington%2012-14%20June%202014/FLIGHTS" TargetMode="External" /><Relationship Id="rId63" Type="http://schemas.openxmlformats.org/officeDocument/2006/relationships/hyperlink" Target="../../../../../../../../mharrison/AppData/Local/Microsoft/Windows/Temporary%20Internet%20Files/INVOICES/MPTF%201/TRAVEL%20SUN%20CSN%20Coordinator/Washington%2012-14%20June%202014/Expenses%20&amp;%20Float%20WASHINGTON/EXPENSES%20WASHINGTON" TargetMode="External" /><Relationship Id="rId64" Type="http://schemas.openxmlformats.org/officeDocument/2006/relationships/hyperlink" Target="../../../../../../../../mharrison/AppData/Local/Microsoft/Windows/Temporary%20Internet%20Files/INVOICES/MPTF%201/TRAVEL%20SUN%20CSN%20Coordinator/Washington%2012-14%20June%202014/Expenses%20&amp;%20Float%20WASHINGTON/EXPENSES%20WASHINGTON" TargetMode="External" /><Relationship Id="rId65" Type="http://schemas.openxmlformats.org/officeDocument/2006/relationships/hyperlink" Target="../../../../../../../../mharrison/AppData/Local/Microsoft/Windows/Temporary%20Internet%20Files/INVOICES/MPTF%201/TRAVEL%20SUN%20CSN%20Coordinator/Washington%2012-14%20June%202014/Expenses%20&amp;%20Float%20WASHINGTON/FLOAT%20WASHINGTON" TargetMode="External" /><Relationship Id="rId66" Type="http://schemas.openxmlformats.org/officeDocument/2006/relationships/hyperlink" Target="../../../../../../../../mharrison/AppData/Local/Microsoft/Windows/Temporary%20Internet%20Files/INVOICES/MPTF%201/TRAVEL%20SUN%20CSN%20Coordinator/Washington%2012-14%20June%202014/Expenses%20&amp;%20Float%20WASHINGTON/FLOAT%20WASHINGTON" TargetMode="External" /><Relationship Id="rId67" Type="http://schemas.openxmlformats.org/officeDocument/2006/relationships/hyperlink" Target="../../../../../../../../mharrison/AppData/Local/Microsoft/Windows/Temporary%20Internet%20Files/INVOICES/MPTF%201/TRAVEL%20SUN%20CSN%20Coordinator/Madagascar%2016-26%20June%202014/FLIGHTS" TargetMode="External" /><Relationship Id="rId68" Type="http://schemas.openxmlformats.org/officeDocument/2006/relationships/hyperlink" Target="../../../../../../../../mharrison/AppData/Local/Microsoft/Windows/Temporary%20Internet%20Files/INVOICES/MPTF%201/TRAVEL%20SUN%20CSN%20Coordinator/Madagascar%2016-26%20June%202014/FLIGHTS" TargetMode="External" /><Relationship Id="rId69" Type="http://schemas.openxmlformats.org/officeDocument/2006/relationships/hyperlink" Target="../../../../../../../../mharrison/AppData/Local/Microsoft/Windows/Temporary%20Internet%20Files/INVOICES/MPTF%201/TRAVEL%20SUN%20CSN%20Coordinator/Madagascar%2016-26%20June%202014/HOTEL" TargetMode="External" /><Relationship Id="rId70" Type="http://schemas.openxmlformats.org/officeDocument/2006/relationships/hyperlink" Target="../../../../../../../../mharrison/AppData/Local/Microsoft/Windows/Temporary%20Internet%20Files/INVOICES/MPTF%201/TRAVEL%20SUN%20CSN%20Coordinator/Madagascar%2016-26%20June%202014/HOTEL" TargetMode="External" /><Relationship Id="rId71" Type="http://schemas.openxmlformats.org/officeDocument/2006/relationships/hyperlink" Target="../../../../../../../../mharrison/AppData/Local/Microsoft/Windows/Temporary%20Internet%20Files/INVOICES/MPTF%201/TRAVEL%20SUN%20CSN%20Coordinator/Madagascar%2016-26%20June%202014/FLOAT" TargetMode="External" /><Relationship Id="rId72" Type="http://schemas.openxmlformats.org/officeDocument/2006/relationships/hyperlink" Target="../../../../../../../../mharrison/AppData/Local/Microsoft/Windows/Temporary%20Internet%20Files/INVOICES/MPTF%201/TRAVEL%20SUN%20CSN%20Coordinator/Madagascar%2016-26%20June%202014/FLOAT" TargetMode="External" /><Relationship Id="rId73" Type="http://schemas.openxmlformats.org/officeDocument/2006/relationships/hyperlink" Target="../../../../../../../../mharrison/AppData/Local/Microsoft/Windows/Temporary%20Internet%20Files/INVOICES/MPTF%201/TRAVEL%20SUN%20CSN%20Coordinator/Madagascar%2016-26%20June%202014/Madagascar/EXPENSE%20CLAIM%20MADAGASCAR%20Claire.zip" TargetMode="External" /><Relationship Id="rId74" Type="http://schemas.openxmlformats.org/officeDocument/2006/relationships/hyperlink" Target="../../../../../../../../mharrison/AppData/Local/Microsoft/Windows/Temporary%20Internet%20Files/INVOICES/MPTF%201/TRAVEL%20SUN%20CSN%20Coordinator/Madagascar%2016-26%20June%202014/Madagascar/EXPENSE%20CLAIM%20MADAGASCAR%20Claire.zip" TargetMode="External" /><Relationship Id="rId75" Type="http://schemas.openxmlformats.org/officeDocument/2006/relationships/hyperlink" Target="../../../../../../../../mharrison/AppData/Local/Microsoft/Windows/Temporary%20Internet%20Files/INVOICES/MPTF%201/TRAVEL%20SUN%20CSN%20Coordinator/Madagascar%2016-26%20June%202014/HEALTH" TargetMode="External" /><Relationship Id="rId76" Type="http://schemas.openxmlformats.org/officeDocument/2006/relationships/hyperlink" Target="../../../../../../../../mharrison/AppData/Local/Microsoft/Windows/Temporary%20Internet%20Files/INVOICES/MPTF%201/TRAVEL%20SUN%20CSN%20Coordinator/Madagascar%2016-26%20June%202014/HEALTH" TargetMode="External" /><Relationship Id="rId77" Type="http://schemas.openxmlformats.org/officeDocument/2006/relationships/hyperlink" Target="../../../../../../../../mharrison/AppData/Local/Microsoft/Windows/Temporary%20Internet%20Files/INVOICES/MPTF%201/TRAVEL%20SUN%20CSN%20Coordinator/Ghana%20travel%2021%20july%202014/travel%20and%20reg/Flights" TargetMode="External" /><Relationship Id="rId78" Type="http://schemas.openxmlformats.org/officeDocument/2006/relationships/hyperlink" Target="../../../../../../../../mharrison/AppData/Local/Microsoft/Windows/Temporary%20Internet%20Files/INVOICES/MPTF%201/TRAVEL%20SUN%20CSN%20Coordinator/Ghana%20travel%2021%20july%202014/travel%20and%20reg/Flights" TargetMode="External" /><Relationship Id="rId79" Type="http://schemas.openxmlformats.org/officeDocument/2006/relationships/hyperlink" Target="../../../../../../../../mharrison/AppData/Local/Microsoft/Windows/Temporary%20Internet%20Files/INVOICES/MPTF%201/TRAVEL%20SUN%20CSN%20Coordinator/Ghana%20travel%2021%20july%202014/travel%20and%20reg/registration" TargetMode="External" /><Relationship Id="rId80" Type="http://schemas.openxmlformats.org/officeDocument/2006/relationships/hyperlink" Target="../../../../../../../../mharrison/AppData/Local/Microsoft/Windows/Temporary%20Internet%20Files/INVOICES/MPTF%201/TRAVEL%20SUN%20CSN%20Coordinator/Ghana%20travel%2021%20july%202014/travel%20and%20reg/registration" TargetMode="External" /><Relationship Id="rId81" Type="http://schemas.openxmlformats.org/officeDocument/2006/relationships/hyperlink" Target="../../../../../../../../mharrison/AppData/Local/Microsoft/Windows/Temporary%20Internet%20Files/INVOICES/MPTF%201/TRAVEL%20SUN%20CSN%20Coordinator/Ghana%20travel%2021%20july%202014/Visa%20Ghana" TargetMode="External" /><Relationship Id="rId82" Type="http://schemas.openxmlformats.org/officeDocument/2006/relationships/hyperlink" Target="../../../../../../../../mharrison/AppData/Local/Microsoft/Windows/Temporary%20Internet%20Files/INVOICES/MPTF%201/TRAVEL%20SUN%20CSN%20Coordinator/Ghana%20travel%2021%20july%202014/Visa%20Ghana" TargetMode="External" /><Relationship Id="rId83" Type="http://schemas.openxmlformats.org/officeDocument/2006/relationships/hyperlink" Target="../../../../../../../../mharrison/AppData/Local/Microsoft/Windows/Temporary%20Internet%20Files/INVOICES/MPTF%201/TRAVEL%20SUN%20CSN%20Coordinator/Ghana%20travel%2021%20july%202014/Visa%20Ghana" TargetMode="External" /><Relationship Id="rId84" Type="http://schemas.openxmlformats.org/officeDocument/2006/relationships/hyperlink" Target="../../../../../../../../mharrison/AppData/Local/Microsoft/Windows/Temporary%20Internet%20Files/INVOICES/MPTF%201/TRAVEL%20SUN%20CSN%20Coordinator/Ghana%20travel%2021%20july%202014/Visa%20Ghana" TargetMode="External" /><Relationship Id="rId85" Type="http://schemas.openxmlformats.org/officeDocument/2006/relationships/hyperlink" Target="../../../../../../../../mharrison/AppData/Local/Microsoft/Windows/Temporary%20Internet%20Files/INVOICES/MPTF%201/TRAVEL%20SUN%20CSN%20Coordinator/Ghana%20travel%2021%20july%202014/Expenses%20Ghana%20from%20Credit%20card_CB" TargetMode="External" /><Relationship Id="rId86" Type="http://schemas.openxmlformats.org/officeDocument/2006/relationships/hyperlink" Target="../../../../../../../../mharrison/AppData/Local/Microsoft/Windows/Temporary%20Internet%20Files/INVOICES/MPTF%201/TRAVEL%20SUN%20CSN%20Coordinator/Ghana%20travel%2021%20july%202014/Expenses%20Ghana%20from%20Credit%20card_CB" TargetMode="External" /><Relationship Id="rId87" Type="http://schemas.openxmlformats.org/officeDocument/2006/relationships/hyperlink" Target="../../../../../../../../mharrison/AppData/Local/Microsoft/Windows/Temporary%20Internet%20Files/INVOICES/MPTF%201/TRAVEL%20SUN%20CSN%20Coordinator/Ghana%20travel%2021%20july%202014/health" TargetMode="External" /><Relationship Id="rId88" Type="http://schemas.openxmlformats.org/officeDocument/2006/relationships/hyperlink" Target="../../../../../../../../mharrison/AppData/Local/Microsoft/Windows/Temporary%20Internet%20Files/INVOICES/MPTF%201/TRAVEL%20SUN%20CSN%20Coordinator/Ghana%20travel%2021%20july%202014/health" TargetMode="External" /><Relationship Id="rId89" Type="http://schemas.openxmlformats.org/officeDocument/2006/relationships/hyperlink" Target="../../../../../../../../mharrison/AppData/Local/Microsoft/Windows/Temporary%20Internet%20Files/INVOICES/MPTF%201/TRAVEL%20SUN%20CSN%20Coordinator/Geneva%20travel%20Jul%2031%202014/Claire/flight" TargetMode="External" /><Relationship Id="rId90" Type="http://schemas.openxmlformats.org/officeDocument/2006/relationships/hyperlink" Target="../../../../../../../../mharrison/AppData/Local/Microsoft/Windows/Temporary%20Internet%20Files/INVOICES/MPTF%201/TRAVEL%20SUN%20CSN%20Coordinator/Geneva%20travel%20Jul%2031%202014/Claire/flight" TargetMode="External" /><Relationship Id="rId91" Type="http://schemas.openxmlformats.org/officeDocument/2006/relationships/hyperlink" Target="../../../../../../../../mharrison/AppData/Local/Microsoft/Windows/Temporary%20Internet%20Files/INVOICES/MPTF%201/TRAVEL%20SUN%20CSN%20Coordinator/Geneva%20travel%20Jul%2031%202014/Claire/train" TargetMode="External" /><Relationship Id="rId92" Type="http://schemas.openxmlformats.org/officeDocument/2006/relationships/hyperlink" Target="../../../../../../../../mharrison/AppData/Local/Microsoft/Windows/Temporary%20Internet%20Files/INVOICES/MPTF%201/TRAVEL%20SUN%20CSN%20Coordinator/Geneva%20travel%20Jul%2031%202014/Claire/train" TargetMode="External" /><Relationship Id="rId93" Type="http://schemas.openxmlformats.org/officeDocument/2006/relationships/hyperlink" Target="../../../../../../../../mharrison/AppData/Local/Microsoft/Windows/Temporary%20Internet%20Files/INVOICES/MPTF%201/TRAVEL%20SUN%20CSN%20Coordinator/Geneva%20travel%20Jul%2031%202014/Claire/Hotel" TargetMode="External" /><Relationship Id="rId94" Type="http://schemas.openxmlformats.org/officeDocument/2006/relationships/hyperlink" Target="../../../../../../../../mharrison/AppData/Local/Microsoft/Windows/Temporary%20Internet%20Files/INVOICES/MPTF%201/TRAVEL%20SUN%20CSN%20Coordinator/Geneva%20travel%20Jul%2031%202014/Claire/Hotel" TargetMode="External" /><Relationship Id="rId95" Type="http://schemas.openxmlformats.org/officeDocument/2006/relationships/hyperlink" Target="../../../../../../../../mharrison/AppData/Local/Microsoft/Windows/Temporary%20Internet%20Files/INVOICES/MPTF%201/TRAVEL%20SUN%20CSN%20Coordinator/Geneva%20travel%20Jul%2031%202014/Expenses%20Geneva" TargetMode="External" /><Relationship Id="rId96" Type="http://schemas.openxmlformats.org/officeDocument/2006/relationships/hyperlink" Target="../../../../../../../../mharrison/AppData/Local/Microsoft/Windows/Temporary%20Internet%20Files/INVOICES/MPTF%201/TRAVEL%20SUN%20CSN%20Coordinator/Geneva%20travel%20Jul%2031%202014/Expenses%20Geneva" TargetMode="External" /><Relationship Id="rId97" Type="http://schemas.openxmlformats.org/officeDocument/2006/relationships/hyperlink" Target="../../../../../../../../mharrison/AppData/Local/Microsoft/Windows/Temporary%20Internet%20Files/INVOICES/MPTF%201/TRAVEL%20SUN%20CSN%20Coordinator/Geneva%20travel%20Jul%2031%202014/Expenses%20Geneva%20from%20Credit%20card_CB" TargetMode="External" /><Relationship Id="rId98" Type="http://schemas.openxmlformats.org/officeDocument/2006/relationships/hyperlink" Target="../../../../../../../../mharrison/AppData/Local/Microsoft/Windows/Temporary%20Internet%20Files/INVOICES/MPTF%201/TRAVEL%20SUN%20CSN%20Coordinator/Geneva%20travel%20Jul%2031%202014/Expenses%20Geneva%20from%20Credit%20card_CB" TargetMode="External" /><Relationship Id="rId99" Type="http://schemas.openxmlformats.org/officeDocument/2006/relationships/hyperlink" Target="../../../../../../../../mharrison/AppData/Local/Microsoft/Windows/Temporary%20Internet%20Files/INVOICES/MPTF%201/TRAVEL%20SUN%20CSN%20Coordinator/Peru%20Learning%20routes%20Sep%202014/MPTF%201/Flights" TargetMode="External" /><Relationship Id="rId100" Type="http://schemas.openxmlformats.org/officeDocument/2006/relationships/hyperlink" Target="../../../../../../../../mharrison/AppData/Local/Microsoft/Windows/Temporary%20Internet%20Files/INVOICES/MPTF%201/TRAVEL%20SUN%20CSN%20Coordinator/Peru%20Learning%20routes%20Sep%202014/MPTF%201/Flights" TargetMode="External" /><Relationship Id="rId101" Type="http://schemas.openxmlformats.org/officeDocument/2006/relationships/hyperlink" Target="../../../../../../../../mharrison/AppData/Local/Microsoft/Windows/Temporary%20Internet%20Files/INVOICES/MPTF%201/ANEC%20VI%20-%20Regional%20Forum" TargetMode="External" /><Relationship Id="rId102" Type="http://schemas.openxmlformats.org/officeDocument/2006/relationships/hyperlink" Target="../../../../../../../../mharrison/AppData/Local/Microsoft/Windows/Temporary%20Internet%20Files/INVOICES/MPTF%201/ANEC%20VI%20-%20Regional%20Forum" TargetMode="External" /><Relationship Id="rId103" Type="http://schemas.openxmlformats.org/officeDocument/2006/relationships/hyperlink" Target="..\..\..\..\..\..\..\..\mharrison\AppData\Local\Microsoft\Windows\Temporary%20Internet%20Files\INVOICES\MPTF%201\ANEC%20VI%20-%20Regional%20Forum" TargetMode="External" /><Relationship Id="rId104" Type="http://schemas.openxmlformats.org/officeDocument/2006/relationships/hyperlink" Target="../../../../../../../../mharrison/AppData/Local/Microsoft/Windows/Temporary%20Internet%20Files/INVOICES/MPTF%201/ANEC%20VI%20-%20Regional%20Forum" TargetMode="External" /><Relationship Id="rId105" Type="http://schemas.openxmlformats.org/officeDocument/2006/relationships/hyperlink" Target="../../../../../../../../mharrison/AppData/Local/Microsoft/Windows/Temporary%20Internet%20Files/INVOICES/MPTF%201/SMAC%20convening%20Tanzania" TargetMode="External" /><Relationship Id="rId106" Type="http://schemas.openxmlformats.org/officeDocument/2006/relationships/hyperlink" Target="../../../../../../../../mharrison/AppData/Local/Microsoft/Windows/Temporary%20Internet%20Files/INVOICES/MPTF%201/SMAC%20convening%20Tanzania" TargetMode="External" /><Relationship Id="rId107" Type="http://schemas.openxmlformats.org/officeDocument/2006/relationships/hyperlink" Target="../../../../../../../../mharrison/AppData/Local/Microsoft/Windows/Temporary%20Internet%20Files/INVOICES/MPTF%201/TRAVEL%20Annual%20Steering%20Group%20meeting/Million%20Shibeshi" TargetMode="External" /><Relationship Id="rId108" Type="http://schemas.openxmlformats.org/officeDocument/2006/relationships/hyperlink" Target="../../../../../../../../mharrison/AppData/Local/Microsoft/Windows/Temporary%20Internet%20Files/INVOICES/MPTF%201/TRAVEL%20Annual%20Steering%20Group%20meeting/Million%20Shibeshi" TargetMode="External" /><Relationship Id="rId109" Type="http://schemas.openxmlformats.org/officeDocument/2006/relationships/hyperlink" Target="../../../../../../../../mharrison/AppData/Local/Microsoft/Windows/Temporary%20Internet%20Files/INVOICES/MPTF%201/TRAVEL%20Annual%20Steering%20Group%20meeting/Debora%20Gervas%20Niyeha" TargetMode="External" /><Relationship Id="rId110" Type="http://schemas.openxmlformats.org/officeDocument/2006/relationships/hyperlink" Target="../../../../../../../../mharrison/AppData/Local/Microsoft/Windows/Temporary%20Internet%20Files/INVOICES/MPTF%201/TRAVEL%20Annual%20Steering%20Group%20meeting/Debora%20Gervas%20Niyeha" TargetMode="External" /><Relationship Id="rId111" Type="http://schemas.openxmlformats.org/officeDocument/2006/relationships/hyperlink" Target="../../../../../../../../mharrison/AppData/Local/Microsoft/Windows/Temporary%20Internet%20Files/INVOICES/MPTF%201/TRAVEL%20Annual%20Steering%20Group%20meeting/Tisungeni%20Zimpita" TargetMode="External" /><Relationship Id="rId112" Type="http://schemas.openxmlformats.org/officeDocument/2006/relationships/hyperlink" Target="../../../../../../../../mharrison/AppData/Local/Microsoft/Windows/Temporary%20Internet%20Files/INVOICES/MPTF%201/TRAVEL%20Annual%20Steering%20Group%20meeting/Tisungeni%20Zimpita" TargetMode="External" /><Relationship Id="rId113" Type="http://schemas.openxmlformats.org/officeDocument/2006/relationships/hyperlink" Target="../../../../../../../../mharrison/AppData/Local/Microsoft/Windows/Temporary%20Internet%20Files/INVOICES/MPTF%201/TRAVEL%20Annual%20Steering%20Group%20meeting/Laminou%20KOLLE" TargetMode="External" /><Relationship Id="rId114" Type="http://schemas.openxmlformats.org/officeDocument/2006/relationships/hyperlink" Target="../../../../../../../../mharrison/AppData/Local/Microsoft/Windows/Temporary%20Internet%20Files/INVOICES/MPTF%201/TRAVEL%20Annual%20Steering%20Group%20meeting/Laminou%20KOLLE" TargetMode="External" /><Relationship Id="rId115" Type="http://schemas.openxmlformats.org/officeDocument/2006/relationships/hyperlink" Target="../../../../../../../../mharrison/AppData/Local/Microsoft/Windows/Temporary%20Internet%20Files/INVOICES/MPTF%201/TRAVEL%20Annual%20Steering%20Group%20meeting/Aurelien%20ATIDEGLA" TargetMode="External" /><Relationship Id="rId116" Type="http://schemas.openxmlformats.org/officeDocument/2006/relationships/hyperlink" Target="../../../../../../../../mharrison/AppData/Local/Microsoft/Windows/Temporary%20Internet%20Files/INVOICES/MPTF%201/TRAVEL%20Annual%20Steering%20Group%20meeting/Aurelien%20ATIDEGLA" TargetMode="External" /><Relationship Id="rId117" Type="http://schemas.openxmlformats.org/officeDocument/2006/relationships/hyperlink" Target="../../../../../../../../mharrison/AppData/Local/Microsoft/Windows/Temporary%20Internet%20Files/INVOICES/MPTF%201/TRAVEL%20Annual%20Steering%20Group%20meeting/Milo%20Stanojevich" TargetMode="External" /><Relationship Id="rId118" Type="http://schemas.openxmlformats.org/officeDocument/2006/relationships/hyperlink" Target="../../../../../../../../mharrison/AppData/Local/Microsoft/Windows/Temporary%20Internet%20Files/INVOICES/MPTF%201/TRAVEL%20Annual%20Steering%20Group%20meeting/Milo%20Stanojevich" TargetMode="External" /><Relationship Id="rId119" Type="http://schemas.openxmlformats.org/officeDocument/2006/relationships/hyperlink" Target="../../../../../../../../mharrison/AppData/Local/Microsoft/Windows/Temporary%20Internet%20Files/INVOICES/MPTF%201/TRAVEL%20Annual%20Steering%20Group%20meeting/Milo%20Stanojevich" TargetMode="External" /><Relationship Id="rId120" Type="http://schemas.openxmlformats.org/officeDocument/2006/relationships/hyperlink" Target="../../../../../../../../mharrison/AppData/Local/Microsoft/Windows/Temporary%20Internet%20Files/INVOICES/MPTF%201/TRAVEL%20Annual%20Steering%20Group%20meeting/Million%20Shibeshi" TargetMode="External" /><Relationship Id="rId121" Type="http://schemas.openxmlformats.org/officeDocument/2006/relationships/hyperlink" Target="../../../../../../../../mharrison/AppData/Local/Microsoft/Windows/Temporary%20Internet%20Files/INVOICES/MPTF%201/TRAVEL%20Annual%20Steering%20Group%20meeting/Million%20Shibeshi" TargetMode="External" /><Relationship Id="rId122" Type="http://schemas.openxmlformats.org/officeDocument/2006/relationships/hyperlink" Target="../../../../../../../../mharrison/AppData/Local/Microsoft/Windows/Temporary%20Internet%20Files/INVOICES/MPTF%201/TRAVEL%20Annual%20Steering%20Group%20meeting/Debora%20Gervas%20Niyeha" TargetMode="External" /><Relationship Id="rId123" Type="http://schemas.openxmlformats.org/officeDocument/2006/relationships/hyperlink" Target="../../../../../../../../mharrison/AppData/Local/Microsoft/Windows/Temporary%20Internet%20Files/INVOICES/MPTF%201/TRAVEL%20Annual%20Steering%20Group%20meeting/Debora%20Gervas%20Niyeha" TargetMode="External" /><Relationship Id="rId124" Type="http://schemas.openxmlformats.org/officeDocument/2006/relationships/hyperlink" Target="../../../../../../../../mharrison/AppData/Local/Microsoft/Windows/Temporary%20Internet%20Files/INVOICES/MPTF%201/TRAVEL%20Annual%20Steering%20Group%20meeting/Tisungeni%20Zimpita" TargetMode="External" /><Relationship Id="rId125" Type="http://schemas.openxmlformats.org/officeDocument/2006/relationships/hyperlink" Target="../../../../../../../../mharrison/AppData/Local/Microsoft/Windows/Temporary%20Internet%20Files/INVOICES/MPTF%201/TRAVEL%20Annual%20Steering%20Group%20meeting/Tisungeni%20Zimpita" TargetMode="External" /><Relationship Id="rId126" Type="http://schemas.openxmlformats.org/officeDocument/2006/relationships/hyperlink" Target="../../../../../../../../mharrison/AppData/Local/Microsoft/Windows/Temporary%20Internet%20Files/INVOICES/MPTF%201/TRAVEL%20Annual%20Steering%20Group%20meeting/Laminou%20KOLLE" TargetMode="External" /><Relationship Id="rId127" Type="http://schemas.openxmlformats.org/officeDocument/2006/relationships/hyperlink" Target="../../../../../../../../mharrison/AppData/Local/Microsoft/Windows/Temporary%20Internet%20Files/INVOICES/MPTF%201/TRAVEL%20Annual%20Steering%20Group%20meeting/Laminou%20KOLLE" TargetMode="External" /><Relationship Id="rId128" Type="http://schemas.openxmlformats.org/officeDocument/2006/relationships/hyperlink" Target="../../../../../../../../mharrison/AppData/Local/Microsoft/Windows/Temporary%20Internet%20Files/INVOICES/MPTF%201/TRAVEL%20Annual%20Steering%20Group%20meeting/Aurelien%20ATIDEGLA" TargetMode="External" /><Relationship Id="rId129" Type="http://schemas.openxmlformats.org/officeDocument/2006/relationships/hyperlink" Target="../../../../../../../../mharrison/AppData/Local/Microsoft/Windows/Temporary%20Internet%20Files/INVOICES/MPTF%201/TRAVEL%20Annual%20Steering%20Group%20meeting/Aurelien%20ATIDEGLA" TargetMode="External" /><Relationship Id="rId130" Type="http://schemas.openxmlformats.org/officeDocument/2006/relationships/hyperlink" Target="../../../../../../../../mharrison/AppData/Local/Microsoft/Windows/Temporary%20Internet%20Files/INVOICES/MPTF%201/TRAVEL%20Annual%20Steering%20Group%20meeting/Milo%20Stanojevich" TargetMode="External" /><Relationship Id="rId131" Type="http://schemas.openxmlformats.org/officeDocument/2006/relationships/hyperlink" Target="../../../../../../../../mharrison/AppData/Local/Microsoft/Windows/Temporary%20Internet%20Files/INVOICES/MPTF%201/TRAVEL%20Annual%20Steering%20Group%20meeting/Milo%20Stanojevich" TargetMode="External" /><Relationship Id="rId132" Type="http://schemas.openxmlformats.org/officeDocument/2006/relationships/hyperlink" Target="../../../../../../../../mharrison/AppData/Local/Microsoft/Windows/Temporary%20Internet%20Files/INVOICES/MPTF%201/TRAVEL%20Annual%20Steering%20Group%20meeting/Milo%20Stanojevich" TargetMode="External" /><Relationship Id="rId133" Type="http://schemas.openxmlformats.org/officeDocument/2006/relationships/hyperlink" Target="../../../../../../../../mharrison/AppData/Local/Microsoft/Windows/Temporary%20Internet%20Files/INVOICES/MPTF%201/TRANSLATION" TargetMode="External" /><Relationship Id="rId134" Type="http://schemas.openxmlformats.org/officeDocument/2006/relationships/hyperlink" Target="../../../../../../../../mharrison/AppData/Local/Microsoft/Windows/Temporary%20Internet%20Files/INVOICES/MPTF%201/TRANSLATION" TargetMode="External" /><Relationship Id="rId135" Type="http://schemas.openxmlformats.org/officeDocument/2006/relationships/hyperlink" Target="../../../../../../../../mharrison/AppData/Local/Microsoft/Windows/Temporary%20Internet%20Files/INVOICES/MPTF%201/TRANSLATION" TargetMode="External" /><Relationship Id="rId136" Type="http://schemas.openxmlformats.org/officeDocument/2006/relationships/hyperlink" Target="../../../../../../../../mharrison/AppData/Local/Microsoft/Windows/Temporary%20Internet%20Files/INVOICES/MPTF%201/TRANSLATION" TargetMode="External" /><Relationship Id="rId137" Type="http://schemas.openxmlformats.org/officeDocument/2006/relationships/hyperlink" Target="../../../../../../../../mharrison/AppData/Local/Microsoft/Windows/Temporary%20Internet%20Files/INVOICES/MPTF%201/TRANSLATION" TargetMode="External" /><Relationship Id="rId138" Type="http://schemas.openxmlformats.org/officeDocument/2006/relationships/hyperlink" Target="../../../../../../../../mharrison/AppData/Local/Microsoft/Windows/Temporary%20Internet%20Files/INVOICES/MPTF%201/TRANSLATION" TargetMode="External" /><Relationship Id="rId139" Type="http://schemas.openxmlformats.org/officeDocument/2006/relationships/hyperlink" Target="../../../../../../../../mharrison/AppData/Local/Microsoft/Windows/Temporary%20Internet%20Files/INVOICES/MPTF%201/TRANSLATION" TargetMode="External" /><Relationship Id="rId140" Type="http://schemas.openxmlformats.org/officeDocument/2006/relationships/hyperlink" Target="../../../../../../../../mharrison/AppData/Local/Microsoft/Windows/Temporary%20Internet%20Files/INVOICES/MPTF%201/TRANSLATION" TargetMode="External" /><Relationship Id="rId141" Type="http://schemas.openxmlformats.org/officeDocument/2006/relationships/hyperlink" Target="../../../../../../../../mharrison/AppData/Local/Microsoft/Windows/Temporary%20Internet%20Files/INVOICES/MPTF%201/TRANSLATION" TargetMode="External" /><Relationship Id="rId142" Type="http://schemas.openxmlformats.org/officeDocument/2006/relationships/hyperlink" Target="../../../../../../../../mharrison/AppData/Local/Microsoft/Windows/Temporary%20Internet%20Files/INVOICES/MPTF%201/TRANSLATION" TargetMode="External" /><Relationship Id="rId143" Type="http://schemas.openxmlformats.org/officeDocument/2006/relationships/hyperlink" Target="../../../../../../../../mharrison/AppData/Local/Microsoft/Windows/Temporary%20Internet%20Files/INVOICES/MPTF%201/TRANSLATION" TargetMode="External" /><Relationship Id="rId144" Type="http://schemas.openxmlformats.org/officeDocument/2006/relationships/hyperlink" Target="../../../../../../../../mharrison/AppData/Local/Microsoft/Windows/Temporary%20Internet%20Files/INVOICES/MPTF%201/TRANSLATION" TargetMode="External" /><Relationship Id="rId145" Type="http://schemas.openxmlformats.org/officeDocument/2006/relationships/hyperlink" Target="../../../../../../../../mharrison/AppData/Local/Microsoft/Windows/Temporary%20Internet%20Files/INVOICES/MPTF%201/TRANSLATION" TargetMode="External" /><Relationship Id="rId146" Type="http://schemas.openxmlformats.org/officeDocument/2006/relationships/hyperlink" Target="../../../../../../../../mharrison/AppData/Local/Microsoft/Windows/Temporary%20Internet%20Files/INVOICES/MPTF%201/TRANSLATION" TargetMode="External" /><Relationship Id="rId147" Type="http://schemas.openxmlformats.org/officeDocument/2006/relationships/hyperlink" Target="../../../../../../../../mharrison/AppData/Local/Microsoft/Windows/Temporary%20Internet%20Files/INVOICES/MPTF%201/TRANSLATION" TargetMode="External" /><Relationship Id="rId148" Type="http://schemas.openxmlformats.org/officeDocument/2006/relationships/hyperlink" Target="../../../../../../../../mharrison/AppData/Local/Microsoft/Windows/Temporary%20Internet%20Files/INVOICES/MPTF%201/TRANSLATION" TargetMode="External" /><Relationship Id="rId149" Type="http://schemas.openxmlformats.org/officeDocument/2006/relationships/hyperlink" Target="../../../../../../../../mharrison/AppData/Local/Microsoft/Windows/Temporary%20Internet%20Files/INVOICES/MPTF%201/TRANSLATION" TargetMode="External" /><Relationship Id="rId150" Type="http://schemas.openxmlformats.org/officeDocument/2006/relationships/hyperlink" Target="../../../../../../../../mharrison/AppData/Local/Microsoft/Windows/Temporary%20Internet%20Files/INVOICES/MPTF%201/TRANSLATION" TargetMode="External" /><Relationship Id="rId151" Type="http://schemas.openxmlformats.org/officeDocument/2006/relationships/hyperlink" Target="../../../../../../../../mharrison/AppData/Local/Microsoft/Windows/Temporary%20Internet%20Files/INVOICES/MPTF%201/TRANSLATION" TargetMode="External" /><Relationship Id="rId152" Type="http://schemas.openxmlformats.org/officeDocument/2006/relationships/hyperlink" Target="../../../../../../../../mharrison/AppData/Local/Microsoft/Windows/Temporary%20Internet%20Files/INVOICES/MPTF%201/TRANSLATION" TargetMode="External" /><Relationship Id="rId153" Type="http://schemas.openxmlformats.org/officeDocument/2006/relationships/hyperlink" Target="../../../../../../../../mharrison/AppData/Local/Microsoft/Windows/Temporary%20Internet%20Files/INVOICES/INCOME/Payment%20requests%20from%20UNOPs/MPTF%201/1%20PMT-SAVE%20THE%20CHILDREN%20FUND.pdf" TargetMode="External" /><Relationship Id="rId154" Type="http://schemas.openxmlformats.org/officeDocument/2006/relationships/hyperlink" Target="../../../../../../../../mharrison/AppData/Local/Microsoft/Windows/Temporary%20Internet%20Files/INVOICES/INCOME/Payment%20requests%20from%20UNOPs/MPTF%201/2%20UNDP%20$60,000%20GROSS%20REC'D%2021.10.13.pdf" TargetMode="External" /><Relationship Id="rId155" Type="http://schemas.openxmlformats.org/officeDocument/2006/relationships/hyperlink" Target="../../../../../../../../mharrison/AppData/Local/Microsoft/Windows/Temporary%20Internet%20Files/INVOICES/INCOME/Payment%20requests%20from%20UNOPs/MPTF%201/3%20third%20payment%20grant%20one%20Jan%202014.pdf" TargetMode="External" /><Relationship Id="rId156" Type="http://schemas.openxmlformats.org/officeDocument/2006/relationships/hyperlink" Target="../../../../../../../../mharrison/AppData/Local/Microsoft/Windows/Temporary%20Internet%20Files/INVOICES/INCOME/Payment%20requests%20from%20UNOPs/MPTF%201/4%20payment%20no%204%20for%20Grant%201.msg" TargetMode="External" /><Relationship Id="rId157" Type="http://schemas.openxmlformats.org/officeDocument/2006/relationships/hyperlink" Target="../../../../../../../../mharrison/AppData/Local/Microsoft/Windows/Temporary%20Internet%20Files/INVOICES/MPTF%201/TRAVEL%20SUN%20CSN%20Coordinator/Kenya%20May%202014/EXPENSES" TargetMode="External" /><Relationship Id="rId158" Type="http://schemas.openxmlformats.org/officeDocument/2006/relationships/hyperlink" Target="../../../../../../../../mharrison/AppData/Local/Microsoft/Windows/Temporary%20Internet%20Files/INVOICES/MPTF%201/TRAVEL%20SUN%20CSN%20Coordinator/Kenya%20May%202014/EXPENSES" TargetMode="External" /><Relationship Id="rId159" Type="http://schemas.openxmlformats.org/officeDocument/2006/relationships/hyperlink" Target="../../../../../../../../mharrison/AppData/Local/Microsoft/Windows/Temporary%20Internet%20Files/INVOICES/MPTF%201/TRAVEL%20SUN%20CSN%20Coordinator/Kenya%20May%202014/HEALTH" TargetMode="External" /><Relationship Id="rId160" Type="http://schemas.openxmlformats.org/officeDocument/2006/relationships/hyperlink" Target="../../../../../../../../mharrison/AppData/Local/Microsoft/Windows/Temporary%20Internet%20Files/INVOICES/MPTF%201/TRAVEL%20SUN%20CSN%20Coordinator/Kenya%20May%202014/HEALTH" TargetMode="External" /><Relationship Id="rId161" Type="http://schemas.openxmlformats.org/officeDocument/2006/relationships/hyperlink" Target="../../../../../../../../mharrison/AppData/Local/Microsoft/Windows/Temporary%20Internet%20Files/INVOICES/MPTF%201/TRANSLATION/Recoding%20&amp;%20invoices" TargetMode="External" /><Relationship Id="rId162" Type="http://schemas.openxmlformats.org/officeDocument/2006/relationships/hyperlink" Target="../../../../../../../../mharrison/AppData/Local/Microsoft/Windows/Temporary%20Internet%20Files/INVOICES/MPTF%201/TRANSLATION/Recoding%20&amp;%20invoices" TargetMode="External" /><Relationship Id="rId163" Type="http://schemas.openxmlformats.org/officeDocument/2006/relationships/hyperlink" Target="../../../../../../../../mharrison/AppData/Local/Microsoft/Windows/Temporary%20Internet%20Files/INVOICES/MPTF%201/TRAVEL%20SUN%20GG%202014/Aminata%20Mbodj%20Senegal/FLIGHT" TargetMode="External" /><Relationship Id="rId164" Type="http://schemas.openxmlformats.org/officeDocument/2006/relationships/hyperlink" Target="../../../../../../../../mharrison/AppData/Local/Microsoft/Windows/Temporary%20Internet%20Files/INVOICES/MPTF%201/TRAVEL%20SUN%20GG%202014/Aminata%20Mbodj%20Senegal/HOTEL" TargetMode="External" /><Relationship Id="rId165" Type="http://schemas.openxmlformats.org/officeDocument/2006/relationships/hyperlink" Target="../../../../../../../../mharrison/AppData/Local/Microsoft/Windows/Temporary%20Internet%20Files/INVOICES/MPTF%201/TRAVEL%20SUN%20GG%202014/Celestin%20Agassounon%20Benin/FLIGHTS" TargetMode="External" /><Relationship Id="rId166" Type="http://schemas.openxmlformats.org/officeDocument/2006/relationships/hyperlink" Target="../../../../../../../../mharrison/AppData/Local/Microsoft/Windows/Temporary%20Internet%20Files/INVOICES/MPTF%201/TRAVEL%20SUN%20GG%202014/Celestin%20Agassounon%20Benin/HOTEL" TargetMode="External" /><Relationship Id="rId167" Type="http://schemas.openxmlformats.org/officeDocument/2006/relationships/hyperlink" Target="../../../../../../../../mharrison/AppData/Local/Microsoft/Windows/Temporary%20Internet%20Files/INVOICES/MPTF%201/TRAVEL%20SUN%20GG%202014/David%20Olayemi%20Nigeria/HOTEL" TargetMode="External" /><Relationship Id="rId168" Type="http://schemas.openxmlformats.org/officeDocument/2006/relationships/hyperlink" Target="../../../../../../../../mharrison/AppData/Local/Microsoft/Windows/Temporary%20Internet%20Files/INVOICES/MPTF%201/TRAVEL%20SUN%20GG%202014/Milo%20Stanojevich%20Peru/HOTEL" TargetMode="External" /><Relationship Id="rId169" Type="http://schemas.openxmlformats.org/officeDocument/2006/relationships/hyperlink" Target="../../../../../../../../mharrison/AppData/Local/Microsoft/Windows/Temporary%20Internet%20Files/INVOICES/MPTF%201/TRAVEL%20SUN%20GG%202014/Naman%20Carama%20Guinea/HOTEL" TargetMode="External" /><Relationship Id="rId170" Type="http://schemas.openxmlformats.org/officeDocument/2006/relationships/hyperlink" Target="../../../../../../../../mharrison/AppData/Local/Microsoft/Windows/Temporary%20Internet%20Files/INVOICES/MPTF%201/TRAVEL%20SUN%20GG%202014/Aminata%20Mbodj%20Senegal/FLIGHT" TargetMode="External" /><Relationship Id="rId171" Type="http://schemas.openxmlformats.org/officeDocument/2006/relationships/hyperlink" Target="../../../../../../../../mharrison/AppData/Local/Microsoft/Windows/Temporary%20Internet%20Files/INVOICES/MPTF%201/TRAVEL%20SUN%20GG%202014/Aminata%20Mbodj%20Senegal/HOTEL" TargetMode="External" /><Relationship Id="rId172" Type="http://schemas.openxmlformats.org/officeDocument/2006/relationships/hyperlink" Target="../../../../../../../../mharrison/AppData/Local/Microsoft/Windows/Temporary%20Internet%20Files/INVOICES/MPTF%201/TRAVEL%20SUN%20GG%202014/Celestin%20Agassounon%20Benin/FLIGHTS" TargetMode="External" /><Relationship Id="rId173" Type="http://schemas.openxmlformats.org/officeDocument/2006/relationships/hyperlink" Target="../../../../../../../../mharrison/AppData/Local/Microsoft/Windows/Temporary%20Internet%20Files/INVOICES/MPTF%201/TRAVEL%20SUN%20GG%202014/Celestin%20Agassounon%20Benin/HOTEL" TargetMode="External" /><Relationship Id="rId174" Type="http://schemas.openxmlformats.org/officeDocument/2006/relationships/hyperlink" Target="../../../../../../../../mharrison/AppData/Local/Microsoft/Windows/Temporary%20Internet%20Files/INVOICES/MPTF%201/TRAVEL%20SUN%20GG%202014/David%20Olayemi%20Nigeria/HOTEL" TargetMode="External" /><Relationship Id="rId175" Type="http://schemas.openxmlformats.org/officeDocument/2006/relationships/hyperlink" Target="../../../../../../../../mharrison/AppData/Local/Microsoft/Windows/Temporary%20Internet%20Files/INVOICES/MPTF%201/TRAVEL%20SUN%20GG%202014/Milo%20Stanojevich%20Peru/HOTEL" TargetMode="External" /><Relationship Id="rId176" Type="http://schemas.openxmlformats.org/officeDocument/2006/relationships/hyperlink" Target="../../../../../../../../mharrison/AppData/Local/Microsoft/Windows/Temporary%20Internet%20Files/INVOICES/MPTF%201/TRAVEL%20SUN%20GG%202014/Naman%20Carama%20Guinea/HOTEL" TargetMode="External" /><Relationship Id="rId177" Type="http://schemas.openxmlformats.org/officeDocument/2006/relationships/hyperlink" Target="../../../../../../../../mharrison/AppData/Local/Microsoft/Windows/Temporary%20Internet%20Files/INVOICES/MPTF%201/TRAVEL%20SUN%20GG%202014/Shahida%20Akter%20Bangladesh/HOTEL" TargetMode="External" /><Relationship Id="rId178" Type="http://schemas.openxmlformats.org/officeDocument/2006/relationships/hyperlink" Target="../../../../../../../../mharrison/AppData/Local/Microsoft/Windows/Temporary%20Internet%20Files/INVOICES/MPTF%201/TRAVEL%20SUN%20GG%202014/Virginia%20Mzunzu%20Malawi/HOTEL" TargetMode="External" /><Relationship Id="rId179" Type="http://schemas.openxmlformats.org/officeDocument/2006/relationships/hyperlink" Target="../../../../../../../../mharrison/AppData/Local/Microsoft/Windows/Temporary%20Internet%20Files/INVOICES/MPTF%201/TRAVEL%20SUN%20CSN%20Coordinator/SUNGG%202014/FLIGHT" TargetMode="External" /><Relationship Id="rId180" Type="http://schemas.openxmlformats.org/officeDocument/2006/relationships/hyperlink" Target="../../../../../../../../mharrison/AppData/Local/Microsoft/Windows/Temporary%20Internet%20Files/INVOICES/MPTF%201/TRAVEL%20SUN%20CSN%20Coordinator/SUNGG%202014/HOTEL" TargetMode="External" /><Relationship Id="rId181" Type="http://schemas.openxmlformats.org/officeDocument/2006/relationships/hyperlink" Target="../../../../../../../../mharrison/AppData/Local/Microsoft/Windows/Temporary%20Internet%20Files/INVOICES/MPTF%201/TRAVEL%20SUN%20GG%202014/Lamine%20Kolle%20Niger/FLIGHTS" TargetMode="External" /><Relationship Id="rId182" Type="http://schemas.openxmlformats.org/officeDocument/2006/relationships/hyperlink" Target="../../../../../../../../mharrison/AppData/Local/Microsoft/Windows/Temporary%20Internet%20Files/INVOICES/MPTF%201/TRAVEL%20SUN%20GG%202014/Uma%20Korala%20Nepal/HOTEL" TargetMode="External" /><Relationship Id="rId183" Type="http://schemas.openxmlformats.org/officeDocument/2006/relationships/hyperlink" Target="../../../../../../../../mharrison/AppData/Local/Microsoft/Windows/Temporary%20Internet%20Files/INVOICES/MPTF%201/communications/Business%20cards%20invoice%20from%20credit%20card" TargetMode="External" /><Relationship Id="rId184" Type="http://schemas.openxmlformats.org/officeDocument/2006/relationships/hyperlink" Target="../../../../../../../../mharrison/AppData/Local/Microsoft/Windows/Temporary%20Internet%20Files/INVOICES/MPTF%201/TRAVEL%20SUN%20CSN%20Coordinator/Peru%20Learning%20routes%20Sep%202014/EXPENSES" TargetMode="External" /><Relationship Id="rId185" Type="http://schemas.openxmlformats.org/officeDocument/2006/relationships/hyperlink" Target="../../../../../../../../mharrison/AppData/Local/Microsoft/Windows/Temporary%20Internet%20Files/INVOICES/MPTF%201/TRAVEL%20SUN%20CSN%20Coordinator/Peru%20Learning%20routes%20Sep%202014/EXPENSES" TargetMode="External" /><Relationship Id="rId186" Type="http://schemas.openxmlformats.org/officeDocument/2006/relationships/hyperlink" Target="../../../../../../../../mharrison/AppData/Local/Microsoft/Windows/Temporary%20Internet%20Files/INVOICES/MPTF%201/TRAVEL%20SUN%20CSN%20Coordinator/SUNGG%202014/FLIGHT/Modification" TargetMode="External" /><Relationship Id="rId187" Type="http://schemas.openxmlformats.org/officeDocument/2006/relationships/hyperlink" Target="../../../../../../../../mharrison/AppData/Local/Microsoft/Windows/Temporary%20Internet%20Files/INVOICES/MPTF%201/TRAVEL%20SUN%20CSN%20Coordinator/SUNGG%202014/FLIGHT/Modification" TargetMode="External" /><Relationship Id="rId188" Type="http://schemas.openxmlformats.org/officeDocument/2006/relationships/hyperlink" Target="../../../../../../../../mharrison/AppData/Local/Microsoft/Windows/Temporary%20Internet%20Files/INVOICES/MPTF%201/TRAVEL%20SUN%20CSN%20Coordinator/SUNGG%202014/HOTEL/ADDITIONAL%20NIGHT%20FOR%20ATTENDING%20MPTF%20MC" TargetMode="External" /><Relationship Id="rId189" Type="http://schemas.openxmlformats.org/officeDocument/2006/relationships/hyperlink" Target="../../../../../../../../mharrison/AppData/Local/Microsoft/Windows/Temporary%20Internet%20Files/INVOICES/MPTF%201/TRAVEL%20SUN%20CSN%20Coordinator/SUNGG%202014/HOTEL/ADDITIONAL%20NIGHT%20FOR%20ATTENDING%20MPTF%20MC" TargetMode="External" /><Relationship Id="rId190" Type="http://schemas.openxmlformats.org/officeDocument/2006/relationships/hyperlink" Target="../../../../../../../../mharrison/AppData/Local/Microsoft/Windows/Temporary%20Internet%20Files/INVOICES/MPTF%201/TRANSLATION/ToR" TargetMode="External" /><Relationship Id="rId191" Type="http://schemas.openxmlformats.org/officeDocument/2006/relationships/hyperlink" Target="../../../../../../../../mharrison/AppData/Local/Microsoft/Windows/Temporary%20Internet%20Files/INVOICES/MPTF%201/communications/Laptop%20security%20cables" TargetMode="External" /><Relationship Id="rId192" Type="http://schemas.openxmlformats.org/officeDocument/2006/relationships/hyperlink" Target="../../../../../../../../mharrison/AppData/Local/Microsoft/Windows/Temporary%20Internet%20Files/INVOICES/MPTF%201/communications/Laptop%20security%20cables" TargetMode="External" /><Relationship Id="rId193" Type="http://schemas.openxmlformats.org/officeDocument/2006/relationships/hyperlink" Target="../../../../../../../../mharrison/AppData/Local/Microsoft/Windows/Temporary%20Internet%20Files/INVOICES/MPTF%201/TRANSLATION/Recoding%20&amp;%20invoices" TargetMode="External" /><Relationship Id="rId194" Type="http://schemas.openxmlformats.org/officeDocument/2006/relationships/hyperlink" Target="../../../../../../../../mharrison/AppData/Local/Microsoft/Windows/Temporary%20Internet%20Files/INVOICES/MPTF%201/TRANSLATION/Recoding%20&amp;%20invoices" TargetMode="External" /><Relationship Id="rId195" Type="http://schemas.openxmlformats.org/officeDocument/2006/relationships/hyperlink" Target="../../../../../../../../mharrison/AppData/Local/Microsoft/Windows/Temporary%20Internet%20Files/INVOICES/MPTF%201/TRANSLATION/Recoding%20&amp;%20invoices" TargetMode="External" /><Relationship Id="rId196" Type="http://schemas.openxmlformats.org/officeDocument/2006/relationships/hyperlink" Target="../../../../../../../../mharrison/AppData/Local/Microsoft/Windows/Temporary%20Internet%20Files/INVOICES/MPTF%201/TRANSLATION/Recoding%20&amp;%20invoices" TargetMode="External" /><Relationship Id="rId197" Type="http://schemas.openxmlformats.org/officeDocument/2006/relationships/hyperlink" Target="../../../../../../../../mharrison/AppData/Local/Microsoft/Windows/Temporary%20Internet%20Files/INVOICES/MPTF%201/TRANSLATION/Recoding%20&amp;%20invoices" TargetMode="External" /><Relationship Id="rId198" Type="http://schemas.openxmlformats.org/officeDocument/2006/relationships/hyperlink" Target="../../../../../../../../mharrison/AppData/Local/Microsoft/Windows/Temporary%20Internet%20Files/INVOICES/MPTF%201/TRANSLATION/Recoding%20&amp;%20invoices" TargetMode="External" /><Relationship Id="rId199" Type="http://schemas.openxmlformats.org/officeDocument/2006/relationships/hyperlink" Target="../../../../../../../../mharrison/AppData/Local/Microsoft/Windows/Temporary%20Internet%20Files/INVOICES/MPTF%201/TRANSLATION/Recoding%20&amp;%20invoices" TargetMode="External" /><Relationship Id="rId200" Type="http://schemas.openxmlformats.org/officeDocument/2006/relationships/hyperlink" Target="../../../../../../../../mharrison/AppData/Local/Microsoft/Windows/Temporary%20Internet%20Files/INVOICES/MPTF%201/TRAVEL%20SUN%20GG%202014/Celestin%20Agassounon%20Benin/FLIGHTS/MODIFICATION" TargetMode="External" /><Relationship Id="rId201" Type="http://schemas.openxmlformats.org/officeDocument/2006/relationships/hyperlink" Target="../../../../../../../../mharrison/AppData/Local/Microsoft/Windows/Temporary%20Internet%20Files/INVOICES/MPTF%201/TRAVEL%20SUN%20GG%202014/Virginia%20Mzunzu%20Malawi/REIMBURSEMENT" TargetMode="External" /><Relationship Id="rId202" Type="http://schemas.openxmlformats.org/officeDocument/2006/relationships/hyperlink" Target="../../../../../../../../mharrison/AppData/Local/Microsoft/Windows/Temporary%20Internet%20Files/INVOICES/INCOME/Payment%20requests%20from%20UNOPs/MPTF%201" TargetMode="External" /><Relationship Id="rId203" Type="http://schemas.openxmlformats.org/officeDocument/2006/relationships/hyperlink" Target="../../../../../../../../mharrison/AppData/Local/Microsoft/Windows/Temporary%20Internet%20Files/INVOICES/MPTF%201/TRANSLATION/ToR" TargetMode="External" /><Relationship Id="rId204" Type="http://schemas.openxmlformats.org/officeDocument/2006/relationships/hyperlink" Target="../../../../../../../../cblanchard/AppData/Local/Microsoft/Windows/Temporary%20Internet%20Files/INVOICES/MPTF%201/TRAVEL%20SUN%20CSN%20Coordinator/Zambia%20Claire%20Dec%202013/EXPENSES" TargetMode="External" /><Relationship Id="rId205" Type="http://schemas.openxmlformats.org/officeDocument/2006/relationships/hyperlink" Target="../../../../../../../../cblanchard/AppData/Local/Microsoft/Windows/Temporary%20Internet%20Files/INVOICES/MPTF%201/TRAVEL%20SUN%20CSN%20Coordinator/Zambia%20Claire%20Dec%202013/EXPENSES" TargetMode="External" /><Relationship Id="rId206" Type="http://schemas.openxmlformats.org/officeDocument/2006/relationships/hyperlink" Target="../../../../../../../../cblanchard/AppData/Local/Microsoft/Windows/Temporary%20Internet%20Files/INVOICES/MPTF%201/TRANSLATION/ToR" TargetMode="External" /><Relationship Id="rId207" Type="http://schemas.openxmlformats.org/officeDocument/2006/relationships/hyperlink" Target="../../../../../../../../cblanchard/AppData/Local/Microsoft/Windows/Temporary%20Internet%20Files/INVOICES/MPTF%201/TRANSLATION/ToR" TargetMode="External" /><Relationship Id="rId208" Type="http://schemas.openxmlformats.org/officeDocument/2006/relationships/hyperlink" Target="../../../../../../../../cblanchard/AppData/Local/Microsoft/Windows/Temporary%20Internet%20Files/INVOICES/MPTF%201/TRANSLATION/ToR" TargetMode="External" /><Relationship Id="rId209" Type="http://schemas.openxmlformats.org/officeDocument/2006/relationships/hyperlink" Target="../../../../../../../../cblanchard/AppData/Local/Microsoft/Windows/Temporary%20Internet%20Files/INVOICES/MPTF%201/TRANSLATION/ToR" TargetMode="External" /><Relationship Id="rId210" Type="http://schemas.openxmlformats.org/officeDocument/2006/relationships/hyperlink" Target="../../../../../../../../cblanchard/AppData/Local/Microsoft/Windows/Temporary%20Internet%20Files/INVOICES/MPTF%201/TRANSLATION/ToR" TargetMode="External" /><Relationship Id="rId211" Type="http://schemas.openxmlformats.org/officeDocument/2006/relationships/hyperlink" Target="../../../../../../../../cblanchard/AppData/Local/Microsoft/Windows/Temporary%20Internet%20Files/INVOICES/MPTF%201/TRANSLATION/ToR" TargetMode="External" /><Relationship Id="rId212" Type="http://schemas.openxmlformats.org/officeDocument/2006/relationships/hyperlink" Target="../../../../../../../../cblanchard/AppData/Local/Microsoft/Windows/Temporary%20Internet%20Files/INVOICES/MPTF%201/TRANSLATION/ToR" TargetMode="External" /><Relationship Id="rId213" Type="http://schemas.openxmlformats.org/officeDocument/2006/relationships/hyperlink" Target="../../../../../../../../cblanchard/AppData/Local/Microsoft/Windows/Temporary%20Internet%20Files/INVOICES/MPTF%201/TRANSLATION/ToR" TargetMode="External" /><Relationship Id="rId214" Type="http://schemas.openxmlformats.org/officeDocument/2006/relationships/hyperlink" Target="../../../../../../../../cblanchard/AppData/Local/Microsoft/Windows/Temporary%20Internet%20Files/INVOICES/MPTF%201/TRANSLATION/ToR" TargetMode="External" /><Relationship Id="rId215" Type="http://schemas.openxmlformats.org/officeDocument/2006/relationships/hyperlink" Target="../../../../../../../../cblanchard/AppData/Local/Microsoft/Windows/Temporary%20Internet%20Files/INVOICES/MPTF%201/TRANSLATION/SUNGG%20blog" TargetMode="External" /><Relationship Id="rId216" Type="http://schemas.openxmlformats.org/officeDocument/2006/relationships/hyperlink" Target="../../../../../../../../cblanchard/AppData/Local/Microsoft/Windows/Temporary%20Internet%20Files/INVOICES/MPTF%201/TRANSLATION/SUNGG%20blog" TargetMode="External" /><Relationship Id="rId217" Type="http://schemas.openxmlformats.org/officeDocument/2006/relationships/hyperlink" Target="../../../../../../../../cblanchard/AppData/Local/Microsoft/Windows/Temporary%20Internet%20Files/INVOICES/MPTF%201/TRANSLATION/SUNGG%20blog" TargetMode="External" /><Relationship Id="rId218" Type="http://schemas.openxmlformats.org/officeDocument/2006/relationships/hyperlink" Target="../../../../../../../../cblanchard/AppData/Local/Microsoft/Windows/Temporary%20Internet%20Files/INVOICES/MPTF%201/TRANSLATION/SUNGG%20blog" TargetMode="External" /><Relationship Id="rId219" Type="http://schemas.openxmlformats.org/officeDocument/2006/relationships/hyperlink" Target="../../../../../../../../cblanchard/AppData/Local/Microsoft/Windows/Temporary%20Internet%20Files/INVOICES/MPTF%201/TRANSLATION/Dec%20CSA%20update" TargetMode="External" /><Relationship Id="rId220" Type="http://schemas.openxmlformats.org/officeDocument/2006/relationships/hyperlink" Target="..\..\INVOICES\MPTF%201\TRANSLATION\Dec%20CSA%20update" TargetMode="External" /><Relationship Id="rId221" Type="http://schemas.openxmlformats.org/officeDocument/2006/relationships/hyperlink" Target="../../../../../../../../cblanchard/AppData/Local/Microsoft/Windows/Temporary%20Internet%20Files/INVOICES/MPTF%201/SMAC%20convening%20Tanzania/left%20over%20funds" TargetMode="External" /><Relationship Id="rId222" Type="http://schemas.openxmlformats.org/officeDocument/2006/relationships/hyperlink" Target="..\..\INVOICES\MPTF%201\TRANSLATION\jan%202015%20update" TargetMode="External" /><Relationship Id="rId223" Type="http://schemas.openxmlformats.org/officeDocument/2006/relationships/hyperlink" Target="..\..\INVOICES\MPTF%201\TRANSLATION\jan%202015%20update" TargetMode="External" /><Relationship Id="rId224" Type="http://schemas.openxmlformats.org/officeDocument/2006/relationships/hyperlink" Target="../../../../../../../../cblanchard/AppData/Local/Microsoft/Windows/Temporary%20Internet%20Files/INVOICES/MPTF%201/TRANSLATION/jan%202015%20update" TargetMode="External" /><Relationship Id="rId225" Type="http://schemas.openxmlformats.org/officeDocument/2006/relationships/hyperlink" Target="../../../../../../../../cblanchard/AppData/Local/Microsoft/Windows/Temporary%20Internet%20Files/INVOICES/MPTF%201/TRAVEL%20SUN%20CSN%20Coordinator/GSO%20Geneva%20Feb%2016%20&amp;%2017%202015/Flights" TargetMode="External" /><Relationship Id="rId226" Type="http://schemas.openxmlformats.org/officeDocument/2006/relationships/hyperlink" Target="../../../../../../../../cblanchard/AppData/Local/Microsoft/Windows/Temporary%20Internet%20Files/INVOICES/MPTF%201/TRAVEL%20SUN%20CSN%20Coordinator/GSO%20Geneva%20Feb%2016%20&amp;%2017%202015/Hotel" TargetMode="External" /><Relationship Id="rId227" Type="http://schemas.openxmlformats.org/officeDocument/2006/relationships/hyperlink" Target="../../../../../../../../cblanchard/AppData/Local/Microsoft/Windows/Temporary%20Internet%20Files/INVOICES/MPTF%201/TRAVEL%20SUN%20CSN%20Coordinator/GSO%20Geneva%20Feb%2016%20&amp;%2017%202015/Hotel/ammendment" TargetMode="External" /><Relationship Id="rId228" Type="http://schemas.openxmlformats.org/officeDocument/2006/relationships/hyperlink" Target="../../../../../../../../cblanchard/AppData/Local/Microsoft/Windows/Temporary%20Internet%20Files/INVOICES/MPTF%201/TRAVEL%20SUN%20CSN%20Coordinator/GSO%20Geneva%20Feb%2016%20&amp;%2017%202015/Hotel/ammendment" TargetMode="External" /><Relationship Id="rId229" Type="http://schemas.openxmlformats.org/officeDocument/2006/relationships/hyperlink" Target="../../../../../../../../cblanchard/AppData/Local/Microsoft/Windows/Temporary%20Internet%20Files/INVOICES/MPTF%201/TRAVEL%20SUN%20CSN%20Coordinator/f2f%20geneva%20feb%202015/Flights" TargetMode="External" /><Relationship Id="rId230" Type="http://schemas.openxmlformats.org/officeDocument/2006/relationships/hyperlink" Target="../../../../../../../../cblanchard/AppData/Local/Microsoft/Windows/Temporary%20Internet%20Files/INVOICES/MPTF%201/TRAVEL%20SUN%20CSN%20Coordinator/f2f%20geneva%20feb%202015/hotel" TargetMode="External" /><Relationship Id="rId231" Type="http://schemas.openxmlformats.org/officeDocument/2006/relationships/hyperlink" Target="../../../../../../../../cblanchard/AppData/Local/Microsoft/Windows/Temporary%20Internet%20Files/INVOICES/MPTF%201/ANEC%20VI%20-%20Regional%20Forum/left%20over%20funds" TargetMode="External" /><Relationship Id="rId232" Type="http://schemas.openxmlformats.org/officeDocument/2006/relationships/hyperlink" Target="../../../../../../../../cblanchard/AppData/Local/Microsoft/Windows/Temporary%20Internet%20Files/INVOICES/MPTF%201/ANEC%20VI%20-%20Regional%20Forum/left%20over%20funds" TargetMode="External" /><Relationship Id="rId233" Type="http://schemas.openxmlformats.org/officeDocument/2006/relationships/hyperlink" Target="../../../../../../../../cblanchard/AppData/Local/Microsoft/Windows/Temporary%20Internet%20Files/INVOICES/MPTF%201/TRANSLATION/Governancce%20note%20phase%202" TargetMode="External" /><Relationship Id="rId234" Type="http://schemas.openxmlformats.org/officeDocument/2006/relationships/hyperlink" Target="..\..\INVOICES\MPTF%201\TRAVEL%20SUN%20CSN%20Coordinator\ICE%20Tanzania\Flights" TargetMode="External" /><Relationship Id="rId235" Type="http://schemas.openxmlformats.org/officeDocument/2006/relationships/hyperlink" Target="../../../../../../../../cblanchard/AppData/Local/Microsoft/Windows/Temporary%20Internet%20Files/INVOICES/MPTF%201/TRANSLATION/Governancce%20note%20phase%202" TargetMode="External" /><Relationship Id="rId236" Type="http://schemas.openxmlformats.org/officeDocument/2006/relationships/hyperlink" Target="../../../../../../../../cblanchard/AppData/Local/Microsoft/Windows/Temporary%20Internet%20Files/INVOICES/MPTF%201/TRAVEL%20SUN%20CSN%20Coordinator/ICE%20Tanzania" TargetMode="External" /><Relationship Id="rId237" Type="http://schemas.openxmlformats.org/officeDocument/2006/relationships/hyperlink" Target="..\..\INVOICES\MPTF%201\TRAVEL%20SUN%20CSN%20Coordinator\f2f%20geneva%20feb%202015\expenses" TargetMode="External" /><Relationship Id="rId238" Type="http://schemas.openxmlformats.org/officeDocument/2006/relationships/hyperlink" Target="..\..\INVOICES\MPTF%201\TRAVEL%20SUN%20CSN%20Coordinator\GSO%20Geneva%20Feb%2016%20&amp;%2017%202015\expenses" TargetMode="External" /><Relationship Id="rId239" Type="http://schemas.openxmlformats.org/officeDocument/2006/relationships/hyperlink" Target="../../../../../../../../cblanchard/AppData/Local/Microsoft/INVOICES/MPTF%201/TRAVEL%20SUN%20CSN%20Coordinator/SUNGG%202014/SUBSISTANCE/EXPENSES%20Rome%20Claire" TargetMode="External" /><Relationship Id="rId240" Type="http://schemas.openxmlformats.org/officeDocument/2006/relationships/hyperlink" Target="../../../../../../../../cblanchard/AppData/Local/Microsoft/INVOICES/MPTF%201/TRAVEL%20SUN%20CSN%20Coordinator/SUNGG%202014/SUBSISTANCE/EXPENSES%20Rome%20Claire" TargetMode="External" /><Relationship Id="rId241" Type="http://schemas.openxmlformats.org/officeDocument/2006/relationships/hyperlink" Target="../../../../../../../../cblanchard/AppData/Local/Microsoft/INVOICES/MPTF%201/TRAVEL%20SUN%20CSN%20Coordinator/SUNGG%202014/SUBSISTANCE/EXPENSES%20Rome%20Claire" TargetMode="External" /><Relationship Id="rId242" Type="http://schemas.openxmlformats.org/officeDocument/2006/relationships/hyperlink" Target="../../../../../../../../cblanchard/AppData/Local/Microsoft/INVOICES/MPTF%201/TRAVEL%20SUN%20CSN%20Coordinator/SUNGG%202014/SUBSISTANCE/EXPENSES%20Rome%20Claire" TargetMode="External" /><Relationship Id="rId243" Type="http://schemas.openxmlformats.org/officeDocument/2006/relationships/hyperlink" Target="../../../../../../../../cblanchard/AppData/Local/Microsoft/INVOICES/MPTF%201/TRAVEL%20SUN%20CSN%20Coordinator/SUNGG%202014/SUBSISTANCE/EXPENSES%20Rome%20Claire" TargetMode="External" /><Relationship Id="rId244" Type="http://schemas.openxmlformats.org/officeDocument/2006/relationships/hyperlink" Target="../../../../../../../../cblanchard/AppData/Local/Microsoft/INVOICES/MPTF%201/TRAVEL%20SUN%20CSN%20Coordinator/SUNGG%202014/SUBSISTANCE/EXPENSES%20Rome%20Claire" TargetMode="External" /><Relationship Id="rId245" Type="http://schemas.openxmlformats.org/officeDocument/2006/relationships/hyperlink" Target="../../../../../../../../cblanchard/AppData/Local/Microsoft/INVOICES/MPTF%201/TRAVEL%20SUN%20CSN%20Coordinator/SUNGG%202014/SUBSISTANCE/EXPENSES%20Rome%20Claire" TargetMode="External" /><Relationship Id="rId246" Type="http://schemas.openxmlformats.org/officeDocument/2006/relationships/hyperlink" Target="../../../../../../../../cblanchard/AppData/Local/Microsoft/INVOICES/MPTF%201/TRAVEL%20SUN%20CSN%20Coordinator/SUNGG%202014/SUBSISTANCE/EXPENSES%20Rome%20Claire" TargetMode="External" /><Relationship Id="rId247" Type="http://schemas.openxmlformats.org/officeDocument/2006/relationships/hyperlink" Target="../../../../../../../../cblanchard/AppData/Local/Microsoft/INVOICES/MPTF%201/TRAVEL%20SUN%20CSN%20Coordinator/SUNGG%202014/SUBSISTANCE/EXPENSES%20Rome%20Claire" TargetMode="External" /><Relationship Id="rId248" Type="http://schemas.openxmlformats.org/officeDocument/2006/relationships/hyperlink" Target="../../../../../../../../cblanchard/AppData/Local/Microsoft/INVOICES/MPTF%201/TRAVEL%20SUN%20CSN%20Coordinator/SUNGG%202014/SUBSISTANCE/EXPENSES%20Rome%20Claire" TargetMode="External" /><Relationship Id="rId249" Type="http://schemas.openxmlformats.org/officeDocument/2006/relationships/hyperlink" Target="../../../../../../../../cblanchard/AppData/Local/Microsoft/INVOICES/MPTF%201/TRAVEL%20SUN%20CSN%20Coordinator/SUNGG%202014/SUBSISTANCE/EXPENSES%20Rome%20Claire" TargetMode="External" /><Relationship Id="rId250" Type="http://schemas.openxmlformats.org/officeDocument/2006/relationships/hyperlink" Target="../../../../../../../../cblanchard/AppData/Local/Microsoft/INVOICES/MPTF%201/TRAVEL%20SUN%20CSN%20Coordinator/SUNGG%202014/SUBSISTANCE/EXPENSES%20Rome%20Claire" TargetMode="External" /><Relationship Id="rId251" Type="http://schemas.openxmlformats.org/officeDocument/2006/relationships/hyperlink" Target="../../../../../../../../cblanchard/AppData/Local/Microsoft/INVOICES/MPTF%201/TRAVEL%20SUN%20CSN%20Coordinator/SUNGG%202014/SUBSISTANCE/EXPENSES%20Rome%20Claire" TargetMode="External" /><Relationship Id="rId252" Type="http://schemas.openxmlformats.org/officeDocument/2006/relationships/hyperlink" Target="../../../../../../../../cblanchard/AppData/Local/Microsoft/INVOICES/MPTF%201/TRAVEL%20SUN%20CSN%20Coordinator/SUNGG%202014/SUBSISTANCE/EXPENSES%20Rome%20Claire" TargetMode="External" /><Relationship Id="rId253" Type="http://schemas.openxmlformats.org/officeDocument/2006/relationships/hyperlink" Target="../../../../../../../../cblanchard/AppData/Local/Microsoft/INVOICES/MPTF%201/TRAVEL%20SUN%20CSN%20Coordinator/SUNGG%202014/SUBSISTANCE/EXPENSES%20Rome%20Claire" TargetMode="External" /><Relationship Id="rId254" Type="http://schemas.openxmlformats.org/officeDocument/2006/relationships/hyperlink" Target="../../../../../../../../cblanchard/AppData/Local/Microsoft/INVOICES/MPTF%201/TRAVEL%20SUN%20CSN%20Coordinator/SUNGG%202014/SUBSISTANCE/EXPENSES%20Rome%20Claire" TargetMode="External" /><Relationship Id="rId255" Type="http://schemas.openxmlformats.org/officeDocument/2006/relationships/hyperlink" Target="../../../../../../../../cblanchard/AppData/Local/Microsoft/INVOICES/MPTF%201/TRAVEL%20SUN%20CSN%20Coordinator/SUNGG%202014/SUBSISTANCE/EXPENSES%20Rome%20Claire" TargetMode="External" /><Relationship Id="rId256" Type="http://schemas.openxmlformats.org/officeDocument/2006/relationships/hyperlink" Target="../../../../../../../../cblanchard/AppData/Local/Microsoft/INVOICES/MPTF%201/TRAVEL%20SUN%20CSN%20Coordinator/SUNGG%202014/SUBSISTANCE/EXPENSES%20Rome%20Claire" TargetMode="External" /><Relationship Id="rId257" Type="http://schemas.openxmlformats.org/officeDocument/2006/relationships/hyperlink" Target="../../../../../../../../cblanchard/AppData/Local/Microsoft/INVOICES/MPTF%201/TRAVEL%20SUN%20CSN%20Coordinator/SUNGG%202014/SUBSISTANCE/EXPENSES%20Rome%20Claire" TargetMode="External" /><Relationship Id="rId258" Type="http://schemas.openxmlformats.org/officeDocument/2006/relationships/hyperlink" Target="../../../../../../../../cblanchard/AppData/Local/Microsoft/INVOICES/MPTF%201/TRAVEL%20SUN%20CSN%20Coordinator/SUNGG%202014/SUBSISTANCE/EXPENSES%20Rome%20Claire" TargetMode="External" /><Relationship Id="rId259" Type="http://schemas.openxmlformats.org/officeDocument/2006/relationships/hyperlink" Target="../../../../../../../../cblanchard/AppData/Local/Microsoft/INVOICES/MPTF%201/TRAVEL%20SUN%20CSN%20Coordinator/SUNGG%202014/SUBSISTANCE/EXPENSES%20Rome%20Claire" TargetMode="External" /><Relationship Id="rId260" Type="http://schemas.openxmlformats.org/officeDocument/2006/relationships/hyperlink" Target="../../../../../../../../cblanchard/AppData/Local/Microsoft/INVOICES/MPTF%201/communications/SUN%20CSN%20banner" TargetMode="External" /><Relationship Id="rId261" Type="http://schemas.openxmlformats.org/officeDocument/2006/relationships/hyperlink" Target="../../../../../../../../cblanchard/AppData/Local/Microsoft/Windows/Temporary%20Internet%20Files/INVOICES/MPTF%201/ANEC%20VI%20-%20Regional%20Forum/left%20over%20funds" TargetMode="External" /><Relationship Id="rId262" Type="http://schemas.openxmlformats.org/officeDocument/2006/relationships/hyperlink" Target="../../../../../../../../mharrison/AppData/Local/Microsoft/Windows/Temporary%20Internet%20Files/INVOICES/MPTF%201/TRAVEL%20SUN%20CSN%20Coordinator/Kenya%20May%202014/Hotel" TargetMode="External" /><Relationship Id="rId263" Type="http://schemas.openxmlformats.org/officeDocument/2006/relationships/hyperlink" Target="../../../../../../../../mharrison/AppData/Local/Microsoft/Windows/Temporary%20Internet%20Files/INVOICES/MPTF%201/TRAVEL%20SUN%20CSN%20Coordinator/Kenya%20May%202014/Hotel" TargetMode="External" /><Relationship Id="rId264" Type="http://schemas.openxmlformats.org/officeDocument/2006/relationships/hyperlink" Target="../../../../../../../../cblanchard/AppData/Local/Microsoft/INVOICES/MPTF%201/TRAVEL%20SUN%20CSN%20Coordinator/SUNGG%202014/SUBSISTANCE/EXPENSES%20Rome%20Claire" TargetMode="External" /><Relationship Id="rId265" Type="http://schemas.openxmlformats.org/officeDocument/2006/relationships/hyperlink" Target="../../INVOICES/MPTF%201/TRANSLATION/ICE%20report%20summary" TargetMode="External" /><Relationship Id="rId266" Type="http://schemas.openxmlformats.org/officeDocument/2006/relationships/hyperlink" Target="..\..\INVOICES\MPTF%201\TRANSLATION\ICE%20report%20summary" TargetMode="External" /><Relationship Id="rId267" Type="http://schemas.openxmlformats.org/officeDocument/2006/relationships/hyperlink" Target="../../INVOICES/MPTF%201/CONSULTANCY/ALIGNMENT" TargetMode="External" /><Relationship Id="rId268" Type="http://schemas.openxmlformats.org/officeDocument/2006/relationships/hyperlink" Target="..\..\INVOICES\MPTF%201\TRAVEL%20SUN%20CSN%20Coordinator\Credit%20card\March%202015" TargetMode="External" /><Relationship Id="rId269" Type="http://schemas.openxmlformats.org/officeDocument/2006/relationships/hyperlink" Target="../../INVOICES/MPTF%201/TRANSLATION/ICE%20report%20summary" TargetMode="External" /><Relationship Id="rId270" Type="http://schemas.openxmlformats.org/officeDocument/2006/relationships/hyperlink" Target="../../INVOICES/MPTF%201/CONSULTANCY/TA/Hugh%20West%20Africa" TargetMode="External" /><Relationship Id="rId271" Type="http://schemas.openxmlformats.org/officeDocument/2006/relationships/hyperlink" Target="..\..\INVOICES\INCOME\Payment%20requests%20from%20UNOPs\MPTF%201\RE%20%20Tracking%20received%20funds%20%20.msg" TargetMode="External" /><Relationship Id="rId272" Type="http://schemas.openxmlformats.org/officeDocument/2006/relationships/hyperlink" Target="../../INVOICES/MPTF%201/TRAVEL%20SUN%20GG%202014/Celestin%20Agassounon%20Benin/SUBSISTANCE" TargetMode="External" /><Relationship Id="rId273" Type="http://schemas.openxmlformats.org/officeDocument/2006/relationships/hyperlink" Target="../../INVOICES/MPTF%201/TRAVEL%20SUN%20GG%202014/Milo%20Stanojevich%20Peru" TargetMode="External" /><Relationship Id="rId274" Type="http://schemas.openxmlformats.org/officeDocument/2006/relationships/hyperlink" Target="..\..\INVOICES\MPTF%201\TRAVEL%20SUN%20GG%202014\Shahida%20Akter%20Bangladesh" TargetMode="External" /><Relationship Id="rId275" Type="http://schemas.openxmlformats.org/officeDocument/2006/relationships/hyperlink" Target="..\..\INVOICES\MPTF%202\Communications\Communication%20tools\Smartsheet" TargetMode="External" /><Relationship Id="rId276" Type="http://schemas.openxmlformats.org/officeDocument/2006/relationships/hyperlink" Target="..\..\INVOICES\MPTF%202\Communications\TRANSLATIONS\CoP%20&amp;%20CSF%20translation" TargetMode="External" /><Relationship Id="rId277" Type="http://schemas.openxmlformats.org/officeDocument/2006/relationships/hyperlink" Target="..\..\INVOICES\MPTF%202\Communications\TRANSLATIONS\Working%20Group%20Advocacy%20and%20Communications" TargetMode="External" /><Relationship Id="rId27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zoomScale="55" zoomScaleNormal="55" zoomScalePageLayoutView="0" workbookViewId="0" topLeftCell="A4">
      <selection activeCell="P20" sqref="P20"/>
    </sheetView>
  </sheetViews>
  <sheetFormatPr defaultColWidth="8.8515625" defaultRowHeight="12.75"/>
  <cols>
    <col min="1" max="2" width="61.421875" style="50" customWidth="1"/>
    <col min="3" max="3" width="35.140625" style="4" customWidth="1"/>
    <col min="4" max="4" width="29.28125" style="1" customWidth="1"/>
    <col min="5" max="6" width="16.8515625" style="51" bestFit="1" customWidth="1"/>
    <col min="7" max="7" width="15.421875" style="51" bestFit="1" customWidth="1"/>
    <col min="8" max="8" width="20.7109375" style="51" bestFit="1" customWidth="1"/>
    <col min="9" max="9" width="23.8515625" style="52" bestFit="1" customWidth="1"/>
    <col min="10" max="10" width="21.57421875" style="53" bestFit="1" customWidth="1"/>
    <col min="11" max="13" width="20.00390625" style="70" bestFit="1" customWidth="1"/>
    <col min="14" max="14" width="21.57421875" style="53" bestFit="1" customWidth="1"/>
    <col min="15" max="15" width="25.421875" style="53" customWidth="1"/>
    <col min="16" max="16" width="48.421875" style="1" customWidth="1"/>
    <col min="17" max="17" width="35.140625" style="4" customWidth="1"/>
    <col min="18" max="18" width="61.421875" style="50" customWidth="1"/>
    <col min="19" max="16384" width="8.8515625" style="1" customWidth="1"/>
  </cols>
  <sheetData>
    <row r="1" spans="1:18" ht="15.75">
      <c r="A1" s="17"/>
      <c r="B1" s="17"/>
      <c r="C1" s="2"/>
      <c r="D1" s="387" t="s">
        <v>34</v>
      </c>
      <c r="E1" s="388"/>
      <c r="F1" s="388"/>
      <c r="G1" s="388"/>
      <c r="H1" s="388"/>
      <c r="I1" s="18"/>
      <c r="J1" s="19"/>
      <c r="K1" s="20"/>
      <c r="L1" s="20"/>
      <c r="M1" s="20"/>
      <c r="N1" s="19"/>
      <c r="O1" s="19"/>
      <c r="Q1" s="2"/>
      <c r="R1" s="17"/>
    </row>
    <row r="2" spans="1:18" ht="51">
      <c r="A2" s="7" t="s">
        <v>55</v>
      </c>
      <c r="B2" s="7" t="s">
        <v>4</v>
      </c>
      <c r="C2" s="5" t="s">
        <v>36</v>
      </c>
      <c r="D2" s="8" t="s">
        <v>5</v>
      </c>
      <c r="E2" s="9" t="s">
        <v>6</v>
      </c>
      <c r="F2" s="9" t="s">
        <v>7</v>
      </c>
      <c r="G2" s="10" t="s">
        <v>14</v>
      </c>
      <c r="H2" s="10" t="s">
        <v>8</v>
      </c>
      <c r="I2" s="11" t="s">
        <v>29</v>
      </c>
      <c r="J2" s="12" t="s">
        <v>42</v>
      </c>
      <c r="K2" s="13" t="s">
        <v>43</v>
      </c>
      <c r="L2" s="13" t="s">
        <v>44</v>
      </c>
      <c r="M2" s="14" t="s">
        <v>45</v>
      </c>
      <c r="N2" s="12" t="s">
        <v>46</v>
      </c>
      <c r="O2" s="16" t="s">
        <v>47</v>
      </c>
      <c r="P2" s="8" t="s">
        <v>5</v>
      </c>
      <c r="Q2" s="5" t="s">
        <v>36</v>
      </c>
      <c r="R2" s="7" t="s">
        <v>55</v>
      </c>
    </row>
    <row r="3" spans="1:18" ht="255">
      <c r="A3" s="21" t="s">
        <v>58</v>
      </c>
      <c r="B3" s="22" t="s">
        <v>32</v>
      </c>
      <c r="C3" s="6" t="s">
        <v>37</v>
      </c>
      <c r="D3" s="23" t="s">
        <v>16</v>
      </c>
      <c r="E3" s="24">
        <f>(46000*9/12)</f>
        <v>34500</v>
      </c>
      <c r="F3" s="24">
        <f>46000*1.05</f>
        <v>48300</v>
      </c>
      <c r="G3" s="25">
        <f>F3*1.05*9/12</f>
        <v>38036.25</v>
      </c>
      <c r="H3" s="26">
        <f>SUM(E3:G3)</f>
        <v>120836.25</v>
      </c>
      <c r="I3" s="27">
        <f>H3*1.55</f>
        <v>187296.1875</v>
      </c>
      <c r="J3" s="28">
        <v>169471.19</v>
      </c>
      <c r="K3" s="29">
        <f>16385.95*1.55</f>
        <v>25398.222500000003</v>
      </c>
      <c r="L3" s="29">
        <f>(J3-K3)/18*12</f>
        <v>96048.645</v>
      </c>
      <c r="M3" s="30">
        <f>(J3-K3)/18*6</f>
        <v>48024.3225</v>
      </c>
      <c r="N3" s="28">
        <f>J3</f>
        <v>169471.19</v>
      </c>
      <c r="O3" s="28">
        <f>N3</f>
        <v>169471.19</v>
      </c>
      <c r="P3" s="23" t="s">
        <v>16</v>
      </c>
      <c r="Q3" s="6" t="s">
        <v>37</v>
      </c>
      <c r="R3" s="21" t="s">
        <v>58</v>
      </c>
    </row>
    <row r="4" spans="1:18" ht="63.75">
      <c r="A4" s="32" t="s">
        <v>57</v>
      </c>
      <c r="B4" s="22" t="s">
        <v>30</v>
      </c>
      <c r="C4" s="6" t="s">
        <v>38</v>
      </c>
      <c r="D4" s="31" t="s">
        <v>23</v>
      </c>
      <c r="E4" s="24">
        <v>12000</v>
      </c>
      <c r="F4" s="24">
        <v>16000</v>
      </c>
      <c r="G4" s="24">
        <v>14000</v>
      </c>
      <c r="H4" s="26">
        <f>SUM(E4:G4)</f>
        <v>42000</v>
      </c>
      <c r="I4" s="27">
        <f aca="true" t="shared" si="0" ref="I4:I22">H4*1.55</f>
        <v>65100</v>
      </c>
      <c r="J4" s="28">
        <f>H4*1.55</f>
        <v>65100</v>
      </c>
      <c r="K4" s="29">
        <f>J4/27*9</f>
        <v>21700</v>
      </c>
      <c r="L4" s="29">
        <f>J4/27*12</f>
        <v>28933.333333333336</v>
      </c>
      <c r="M4" s="30">
        <f>J4/27*6</f>
        <v>14466.666666666668</v>
      </c>
      <c r="N4" s="28">
        <f>J4</f>
        <v>65100</v>
      </c>
      <c r="O4" s="28">
        <f>N4</f>
        <v>65100</v>
      </c>
      <c r="P4" s="31" t="s">
        <v>23</v>
      </c>
      <c r="Q4" s="6" t="s">
        <v>38</v>
      </c>
      <c r="R4" s="32" t="s">
        <v>57</v>
      </c>
    </row>
    <row r="5" spans="1:18" ht="255">
      <c r="A5" s="21" t="s">
        <v>58</v>
      </c>
      <c r="B5" s="33" t="s">
        <v>17</v>
      </c>
      <c r="C5" s="6" t="s">
        <v>39</v>
      </c>
      <c r="D5" s="23" t="s">
        <v>18</v>
      </c>
      <c r="E5" s="24">
        <v>6000</v>
      </c>
      <c r="F5" s="34">
        <v>10000</v>
      </c>
      <c r="G5" s="26">
        <v>8000</v>
      </c>
      <c r="H5" s="26">
        <f>SUM(E5:G5)</f>
        <v>24000</v>
      </c>
      <c r="I5" s="27">
        <f t="shared" si="0"/>
        <v>37200</v>
      </c>
      <c r="J5" s="28">
        <v>34100</v>
      </c>
      <c r="K5" s="29">
        <f>J5/27*9</f>
        <v>11366.666666666668</v>
      </c>
      <c r="L5" s="29">
        <f>J5/27*12</f>
        <v>15155.555555555557</v>
      </c>
      <c r="M5" s="30">
        <f>J5/27*6</f>
        <v>7577.777777777778</v>
      </c>
      <c r="N5" s="28">
        <f>J5</f>
        <v>34100</v>
      </c>
      <c r="O5" s="28">
        <f>N5</f>
        <v>34100</v>
      </c>
      <c r="P5" s="23" t="s">
        <v>18</v>
      </c>
      <c r="Q5" s="6" t="s">
        <v>39</v>
      </c>
      <c r="R5" s="21" t="s">
        <v>58</v>
      </c>
    </row>
    <row r="6" spans="1:18" ht="51">
      <c r="A6" s="32" t="s">
        <v>57</v>
      </c>
      <c r="B6" s="22" t="s">
        <v>24</v>
      </c>
      <c r="C6" s="6" t="s">
        <v>39</v>
      </c>
      <c r="D6" s="23" t="s">
        <v>19</v>
      </c>
      <c r="E6" s="24"/>
      <c r="F6" s="34">
        <v>38500</v>
      </c>
      <c r="G6" s="26"/>
      <c r="H6" s="26">
        <f>SUM(E6:G6)</f>
        <v>38500</v>
      </c>
      <c r="I6" s="27">
        <f t="shared" si="0"/>
        <v>59675</v>
      </c>
      <c r="J6" s="35">
        <f>H6*1.55</f>
        <v>59675</v>
      </c>
      <c r="K6" s="30">
        <v>0</v>
      </c>
      <c r="L6" s="30">
        <f>J6</f>
        <v>59675</v>
      </c>
      <c r="M6" s="30">
        <v>0</v>
      </c>
      <c r="N6" s="28">
        <f>J6</f>
        <v>59675</v>
      </c>
      <c r="O6" s="36">
        <v>37500</v>
      </c>
      <c r="P6" s="37" t="s">
        <v>50</v>
      </c>
      <c r="Q6" s="15" t="s">
        <v>39</v>
      </c>
      <c r="R6" s="32" t="s">
        <v>57</v>
      </c>
    </row>
    <row r="7" spans="1:18" ht="63.75">
      <c r="A7" s="22"/>
      <c r="B7" s="22"/>
      <c r="C7" s="6"/>
      <c r="D7" s="23"/>
      <c r="E7" s="24"/>
      <c r="F7" s="34"/>
      <c r="G7" s="26"/>
      <c r="H7" s="26"/>
      <c r="I7" s="27"/>
      <c r="J7" s="35"/>
      <c r="K7" s="30"/>
      <c r="L7" s="30"/>
      <c r="M7" s="30"/>
      <c r="N7" s="28"/>
      <c r="O7" s="36">
        <v>10000</v>
      </c>
      <c r="P7" s="37" t="s">
        <v>48</v>
      </c>
      <c r="Q7" s="15" t="s">
        <v>38</v>
      </c>
      <c r="R7" s="32" t="s">
        <v>57</v>
      </c>
    </row>
    <row r="8" spans="1:18" ht="51">
      <c r="A8" s="22"/>
      <c r="B8" s="22"/>
      <c r="C8" s="6"/>
      <c r="D8" s="23"/>
      <c r="E8" s="24"/>
      <c r="F8" s="34"/>
      <c r="G8" s="26"/>
      <c r="H8" s="26"/>
      <c r="I8" s="27"/>
      <c r="J8" s="35"/>
      <c r="K8" s="30"/>
      <c r="L8" s="30"/>
      <c r="M8" s="30"/>
      <c r="N8" s="28"/>
      <c r="O8" s="36">
        <v>10500</v>
      </c>
      <c r="P8" s="37" t="s">
        <v>52</v>
      </c>
      <c r="Q8" s="15" t="s">
        <v>39</v>
      </c>
      <c r="R8" s="32" t="s">
        <v>57</v>
      </c>
    </row>
    <row r="9" spans="1:18" ht="140.25">
      <c r="A9" s="22"/>
      <c r="B9" s="22"/>
      <c r="C9" s="6"/>
      <c r="D9" s="23"/>
      <c r="E9" s="24"/>
      <c r="F9" s="34"/>
      <c r="G9" s="26"/>
      <c r="H9" s="26"/>
      <c r="I9" s="27"/>
      <c r="J9" s="35"/>
      <c r="K9" s="30"/>
      <c r="L9" s="30"/>
      <c r="M9" s="30"/>
      <c r="N9" s="28"/>
      <c r="O9" s="38">
        <v>1675</v>
      </c>
      <c r="P9" s="39" t="s">
        <v>53</v>
      </c>
      <c r="Q9" s="15" t="s">
        <v>39</v>
      </c>
      <c r="R9" s="32" t="s">
        <v>57</v>
      </c>
    </row>
    <row r="10" spans="1:18" ht="140.25">
      <c r="A10" s="32" t="s">
        <v>57</v>
      </c>
      <c r="B10" s="22" t="s">
        <v>33</v>
      </c>
      <c r="C10" s="6" t="s">
        <v>39</v>
      </c>
      <c r="D10" s="40" t="s">
        <v>9</v>
      </c>
      <c r="E10" s="24">
        <v>19500</v>
      </c>
      <c r="F10" s="34">
        <v>32500</v>
      </c>
      <c r="G10" s="26" t="s">
        <v>15</v>
      </c>
      <c r="H10" s="26">
        <f>SUM(E10:G10)</f>
        <v>52000</v>
      </c>
      <c r="I10" s="27">
        <f t="shared" si="0"/>
        <v>80600</v>
      </c>
      <c r="J10" s="35">
        <f>H10*1.55</f>
        <v>80600</v>
      </c>
      <c r="K10" s="30">
        <v>30225</v>
      </c>
      <c r="L10" s="30">
        <v>50375</v>
      </c>
      <c r="M10" s="30">
        <v>0</v>
      </c>
      <c r="N10" s="28">
        <f>J10</f>
        <v>80600</v>
      </c>
      <c r="O10" s="38">
        <f>2800-1675</f>
        <v>1125</v>
      </c>
      <c r="P10" s="39" t="s">
        <v>53</v>
      </c>
      <c r="Q10" s="15" t="s">
        <v>39</v>
      </c>
      <c r="R10" s="32" t="s">
        <v>57</v>
      </c>
    </row>
    <row r="11" spans="1:18" ht="51">
      <c r="A11" s="22"/>
      <c r="B11" s="22"/>
      <c r="C11" s="6"/>
      <c r="D11" s="40"/>
      <c r="E11" s="24"/>
      <c r="F11" s="34"/>
      <c r="G11" s="26"/>
      <c r="H11" s="26"/>
      <c r="I11" s="27"/>
      <c r="J11" s="35"/>
      <c r="K11" s="30"/>
      <c r="L11" s="30"/>
      <c r="M11" s="30"/>
      <c r="N11" s="28"/>
      <c r="O11" s="36">
        <v>28600</v>
      </c>
      <c r="P11" s="41" t="s">
        <v>9</v>
      </c>
      <c r="Q11" s="15" t="s">
        <v>39</v>
      </c>
      <c r="R11" s="32" t="s">
        <v>57</v>
      </c>
    </row>
    <row r="12" spans="1:18" ht="114.75">
      <c r="A12" s="22"/>
      <c r="B12" s="22"/>
      <c r="C12" s="6"/>
      <c r="D12" s="23"/>
      <c r="E12" s="24"/>
      <c r="F12" s="34"/>
      <c r="G12" s="26"/>
      <c r="H12" s="26"/>
      <c r="I12" s="27"/>
      <c r="J12" s="35"/>
      <c r="K12" s="30"/>
      <c r="L12" s="30"/>
      <c r="M12" s="30"/>
      <c r="N12" s="28"/>
      <c r="O12" s="36">
        <v>31000</v>
      </c>
      <c r="P12" s="37" t="s">
        <v>49</v>
      </c>
      <c r="Q12" s="15" t="s">
        <v>39</v>
      </c>
      <c r="R12" s="21" t="s">
        <v>56</v>
      </c>
    </row>
    <row r="13" spans="1:18" ht="51">
      <c r="A13" s="22"/>
      <c r="B13" s="22"/>
      <c r="C13" s="6"/>
      <c r="D13" s="23"/>
      <c r="E13" s="24"/>
      <c r="F13" s="34"/>
      <c r="G13" s="26"/>
      <c r="H13" s="26"/>
      <c r="I13" s="27"/>
      <c r="J13" s="35"/>
      <c r="K13" s="30"/>
      <c r="L13" s="30"/>
      <c r="M13" s="30"/>
      <c r="N13" s="28"/>
      <c r="O13" s="36">
        <v>14000</v>
      </c>
      <c r="P13" s="37" t="s">
        <v>51</v>
      </c>
      <c r="Q13" s="15" t="s">
        <v>39</v>
      </c>
      <c r="R13" s="32" t="s">
        <v>57</v>
      </c>
    </row>
    <row r="14" spans="1:18" ht="51">
      <c r="A14" s="22"/>
      <c r="B14" s="22"/>
      <c r="C14" s="6"/>
      <c r="D14" s="23"/>
      <c r="E14" s="24"/>
      <c r="F14" s="34"/>
      <c r="G14" s="26"/>
      <c r="H14" s="26"/>
      <c r="I14" s="27"/>
      <c r="J14" s="35"/>
      <c r="K14" s="30"/>
      <c r="L14" s="30"/>
      <c r="M14" s="30"/>
      <c r="N14" s="28"/>
      <c r="O14" s="36">
        <v>5875</v>
      </c>
      <c r="P14" s="37" t="s">
        <v>54</v>
      </c>
      <c r="Q14" s="15" t="s">
        <v>39</v>
      </c>
      <c r="R14" s="32" t="s">
        <v>57</v>
      </c>
    </row>
    <row r="15" spans="1:18" ht="12.75">
      <c r="A15" s="22"/>
      <c r="B15" s="22" t="s">
        <v>28</v>
      </c>
      <c r="C15" s="6" t="s">
        <v>39</v>
      </c>
      <c r="D15" s="40" t="s">
        <v>10</v>
      </c>
      <c r="E15" s="24"/>
      <c r="F15" s="34"/>
      <c r="G15" s="26" t="s">
        <v>15</v>
      </c>
      <c r="H15" s="26">
        <f aca="true" t="shared" si="1" ref="H15:H21">SUM(E15:G15)</f>
        <v>0</v>
      </c>
      <c r="I15" s="27">
        <f>H15*1.55</f>
        <v>0</v>
      </c>
      <c r="J15" s="35">
        <f>H15*1.53</f>
        <v>0</v>
      </c>
      <c r="K15" s="30"/>
      <c r="L15" s="30"/>
      <c r="M15" s="30"/>
      <c r="N15" s="28">
        <f>J15</f>
        <v>0</v>
      </c>
      <c r="O15" s="28">
        <f>N15</f>
        <v>0</v>
      </c>
      <c r="P15" s="40" t="s">
        <v>10</v>
      </c>
      <c r="Q15" s="6" t="s">
        <v>39</v>
      </c>
      <c r="R15" s="22"/>
    </row>
    <row r="16" spans="1:18" ht="25.5">
      <c r="A16" s="22"/>
      <c r="B16" s="22" t="s">
        <v>28</v>
      </c>
      <c r="C16" s="6" t="s">
        <v>39</v>
      </c>
      <c r="D16" s="40" t="s">
        <v>20</v>
      </c>
      <c r="E16" s="24"/>
      <c r="F16" s="34"/>
      <c r="G16" s="26" t="s">
        <v>15</v>
      </c>
      <c r="H16" s="26">
        <f t="shared" si="1"/>
        <v>0</v>
      </c>
      <c r="I16" s="27">
        <f>H16*1.55</f>
        <v>0</v>
      </c>
      <c r="J16" s="35">
        <f>H16*1.53</f>
        <v>0</v>
      </c>
      <c r="K16" s="30"/>
      <c r="L16" s="30"/>
      <c r="M16" s="30"/>
      <c r="N16" s="28">
        <v>0</v>
      </c>
      <c r="O16" s="28">
        <f>N16</f>
        <v>0</v>
      </c>
      <c r="P16" s="40" t="s">
        <v>20</v>
      </c>
      <c r="Q16" s="6" t="s">
        <v>39</v>
      </c>
      <c r="R16" s="22"/>
    </row>
    <row r="17" spans="1:18" ht="12.75">
      <c r="A17" s="22"/>
      <c r="B17" s="22" t="s">
        <v>28</v>
      </c>
      <c r="C17" s="6" t="s">
        <v>39</v>
      </c>
      <c r="D17" s="40" t="s">
        <v>21</v>
      </c>
      <c r="E17" s="24"/>
      <c r="F17" s="34"/>
      <c r="G17" s="26" t="s">
        <v>15</v>
      </c>
      <c r="H17" s="26">
        <f t="shared" si="1"/>
        <v>0</v>
      </c>
      <c r="I17" s="27">
        <f>H17*1.55</f>
        <v>0</v>
      </c>
      <c r="J17" s="35">
        <f>H17*1.53</f>
        <v>0</v>
      </c>
      <c r="K17" s="30"/>
      <c r="L17" s="30"/>
      <c r="M17" s="30"/>
      <c r="N17" s="28">
        <v>0</v>
      </c>
      <c r="O17" s="28">
        <f>N17</f>
        <v>0</v>
      </c>
      <c r="P17" s="40" t="s">
        <v>21</v>
      </c>
      <c r="Q17" s="6" t="s">
        <v>39</v>
      </c>
      <c r="R17" s="22"/>
    </row>
    <row r="18" spans="1:18" ht="51">
      <c r="A18" s="32" t="s">
        <v>57</v>
      </c>
      <c r="B18" s="22" t="s">
        <v>31</v>
      </c>
      <c r="C18" s="6" t="s">
        <v>39</v>
      </c>
      <c r="D18" s="40" t="s">
        <v>22</v>
      </c>
      <c r="E18" s="24">
        <v>16000</v>
      </c>
      <c r="F18" s="34">
        <v>16000</v>
      </c>
      <c r="G18" s="34">
        <v>16000</v>
      </c>
      <c r="H18" s="26">
        <f t="shared" si="1"/>
        <v>48000</v>
      </c>
      <c r="I18" s="27">
        <f t="shared" si="0"/>
        <v>74400</v>
      </c>
      <c r="J18" s="35">
        <v>49600</v>
      </c>
      <c r="K18" s="30">
        <v>0</v>
      </c>
      <c r="L18" s="30">
        <f>J18/2</f>
        <v>24800</v>
      </c>
      <c r="M18" s="30">
        <f>J18/2</f>
        <v>24800</v>
      </c>
      <c r="N18" s="28">
        <f>J18</f>
        <v>49600</v>
      </c>
      <c r="O18" s="28">
        <f>N18</f>
        <v>49600</v>
      </c>
      <c r="P18" s="40" t="s">
        <v>22</v>
      </c>
      <c r="Q18" s="6" t="s">
        <v>39</v>
      </c>
      <c r="R18" s="32" t="s">
        <v>57</v>
      </c>
    </row>
    <row r="19" spans="1:18" ht="255">
      <c r="A19" s="21" t="s">
        <v>58</v>
      </c>
      <c r="B19" s="22" t="s">
        <v>27</v>
      </c>
      <c r="C19" s="6" t="s">
        <v>40</v>
      </c>
      <c r="D19" s="40" t="s">
        <v>12</v>
      </c>
      <c r="E19" s="24">
        <v>10000</v>
      </c>
      <c r="F19" s="34">
        <v>10000</v>
      </c>
      <c r="G19" s="26">
        <f>(10000*9/12)</f>
        <v>7500</v>
      </c>
      <c r="H19" s="26">
        <f t="shared" si="1"/>
        <v>27500</v>
      </c>
      <c r="I19" s="27">
        <f t="shared" si="0"/>
        <v>42625</v>
      </c>
      <c r="J19" s="35"/>
      <c r="K19" s="30"/>
      <c r="L19" s="30"/>
      <c r="M19" s="30"/>
      <c r="N19" s="28"/>
      <c r="O19" s="28"/>
      <c r="P19" s="40" t="s">
        <v>12</v>
      </c>
      <c r="Q19" s="6" t="s">
        <v>40</v>
      </c>
      <c r="R19" s="21" t="s">
        <v>58</v>
      </c>
    </row>
    <row r="20" spans="1:18" s="49" customFormat="1" ht="255">
      <c r="A20" s="21" t="s">
        <v>58</v>
      </c>
      <c r="B20" s="42" t="s">
        <v>25</v>
      </c>
      <c r="C20" s="6" t="s">
        <v>41</v>
      </c>
      <c r="D20" s="40" t="s">
        <v>13</v>
      </c>
      <c r="E20" s="43">
        <v>5000</v>
      </c>
      <c r="F20" s="44">
        <v>5000</v>
      </c>
      <c r="G20" s="45">
        <f>(5000*9/12)</f>
        <v>3750</v>
      </c>
      <c r="H20" s="26">
        <f t="shared" si="1"/>
        <v>13750</v>
      </c>
      <c r="I20" s="27">
        <f t="shared" si="0"/>
        <v>21312.5</v>
      </c>
      <c r="J20" s="46">
        <f>H20*1.55</f>
        <v>21312.5</v>
      </c>
      <c r="K20" s="47">
        <f>J20/27*9</f>
        <v>7104.166666666667</v>
      </c>
      <c r="L20" s="47">
        <f>J20/27*12</f>
        <v>9472.222222222223</v>
      </c>
      <c r="M20" s="48">
        <f>J20/27*6</f>
        <v>4736.111111111111</v>
      </c>
      <c r="N20" s="28">
        <f>J20</f>
        <v>21312.5</v>
      </c>
      <c r="O20" s="28">
        <f>N20</f>
        <v>21312.5</v>
      </c>
      <c r="P20" s="40" t="s">
        <v>13</v>
      </c>
      <c r="Q20" s="6" t="s">
        <v>41</v>
      </c>
      <c r="R20" s="21" t="s">
        <v>58</v>
      </c>
    </row>
    <row r="21" spans="1:18" ht="255">
      <c r="A21" s="21" t="s">
        <v>58</v>
      </c>
      <c r="B21" s="22" t="s">
        <v>26</v>
      </c>
      <c r="C21" s="6" t="s">
        <v>41</v>
      </c>
      <c r="D21" s="23" t="s">
        <v>0</v>
      </c>
      <c r="E21" s="24">
        <f>(4000*9/12)</f>
        <v>3000</v>
      </c>
      <c r="F21" s="34">
        <v>4000</v>
      </c>
      <c r="G21" s="26">
        <f>(4000*9/12)</f>
        <v>3000</v>
      </c>
      <c r="H21" s="26">
        <f t="shared" si="1"/>
        <v>10000</v>
      </c>
      <c r="I21" s="27">
        <f t="shared" si="0"/>
        <v>15500</v>
      </c>
      <c r="J21" s="28"/>
      <c r="K21" s="29"/>
      <c r="L21" s="29"/>
      <c r="M21" s="30"/>
      <c r="N21" s="28"/>
      <c r="O21" s="28"/>
      <c r="P21" s="23" t="s">
        <v>0</v>
      </c>
      <c r="Q21" s="6" t="s">
        <v>41</v>
      </c>
      <c r="R21" s="21" t="s">
        <v>58</v>
      </c>
    </row>
    <row r="22" spans="1:18" s="49" customFormat="1" ht="12.75">
      <c r="A22" s="42"/>
      <c r="B22" s="42"/>
      <c r="C22" s="6" t="s">
        <v>41</v>
      </c>
      <c r="D22" s="40" t="s">
        <v>11</v>
      </c>
      <c r="E22" s="43">
        <f>H22/27*6</f>
        <v>2887.6430107526885</v>
      </c>
      <c r="F22" s="44">
        <f>H22/27*12</f>
        <v>5775.286021505377</v>
      </c>
      <c r="G22" s="45">
        <f>H22/27*9</f>
        <v>4331.464516129033</v>
      </c>
      <c r="H22" s="26">
        <f>20141.31/1.55</f>
        <v>12994.393548387097</v>
      </c>
      <c r="I22" s="27">
        <f t="shared" si="0"/>
        <v>20141.31</v>
      </c>
      <c r="J22" s="28">
        <f>20141.31</f>
        <v>20141.31</v>
      </c>
      <c r="K22" s="47">
        <f>J22/27*9</f>
        <v>6713.77</v>
      </c>
      <c r="L22" s="47">
        <f>J22/27*12</f>
        <v>8951.693333333335</v>
      </c>
      <c r="M22" s="48">
        <f>J22/27*6</f>
        <v>4475.846666666667</v>
      </c>
      <c r="N22" s="28">
        <f>J22</f>
        <v>20141.31</v>
      </c>
      <c r="O22" s="28">
        <f>N22</f>
        <v>20141.31</v>
      </c>
      <c r="P22" s="40" t="s">
        <v>11</v>
      </c>
      <c r="Q22" s="6" t="s">
        <v>41</v>
      </c>
      <c r="R22" s="42"/>
    </row>
    <row r="23" spans="11:13" ht="12.75">
      <c r="K23" s="54"/>
      <c r="L23" s="55"/>
      <c r="M23" s="56"/>
    </row>
    <row r="24" spans="1:18" ht="12.75">
      <c r="A24" s="22"/>
      <c r="B24" s="22"/>
      <c r="C24" s="3"/>
      <c r="D24" s="57" t="s">
        <v>1</v>
      </c>
      <c r="E24" s="58">
        <f aca="true" t="shared" si="2" ref="E24:O24">SUM(E3:E22)</f>
        <v>108887.64301075268</v>
      </c>
      <c r="F24" s="58">
        <f t="shared" si="2"/>
        <v>186075.28602150537</v>
      </c>
      <c r="G24" s="58">
        <f t="shared" si="2"/>
        <v>94617.71451612904</v>
      </c>
      <c r="H24" s="59">
        <f t="shared" si="2"/>
        <v>389580.6435483871</v>
      </c>
      <c r="I24" s="60">
        <f t="shared" si="2"/>
        <v>603849.9975</v>
      </c>
      <c r="J24" s="61">
        <f t="shared" si="2"/>
        <v>500000</v>
      </c>
      <c r="K24" s="62">
        <f t="shared" si="2"/>
        <v>102507.82583333335</v>
      </c>
      <c r="L24" s="62">
        <f t="shared" si="2"/>
        <v>293411.4494444445</v>
      </c>
      <c r="M24" s="63">
        <f t="shared" si="2"/>
        <v>104080.72472222222</v>
      </c>
      <c r="N24" s="61">
        <f t="shared" si="2"/>
        <v>500000</v>
      </c>
      <c r="O24" s="61">
        <f t="shared" si="2"/>
        <v>500000</v>
      </c>
      <c r="P24" s="57" t="s">
        <v>1</v>
      </c>
      <c r="Q24" s="3"/>
      <c r="R24" s="22"/>
    </row>
    <row r="25" spans="1:18" ht="12.75">
      <c r="A25" s="22"/>
      <c r="B25" s="22"/>
      <c r="C25" s="3"/>
      <c r="D25" s="23" t="s">
        <v>2</v>
      </c>
      <c r="E25" s="34"/>
      <c r="F25" s="34"/>
      <c r="G25" s="26"/>
      <c r="H25" s="26"/>
      <c r="I25" s="27"/>
      <c r="J25" s="28"/>
      <c r="K25" s="29"/>
      <c r="L25" s="29"/>
      <c r="M25" s="30"/>
      <c r="N25" s="28"/>
      <c r="O25" s="28"/>
      <c r="P25" s="23" t="s">
        <v>2</v>
      </c>
      <c r="Q25" s="3"/>
      <c r="R25" s="22"/>
    </row>
    <row r="26" spans="1:18" ht="12.75">
      <c r="A26" s="22"/>
      <c r="B26" s="22"/>
      <c r="C26" s="3"/>
      <c r="D26" s="64" t="s">
        <v>3</v>
      </c>
      <c r="E26" s="24">
        <f aca="true" t="shared" si="3" ref="E26:J26">E24+E25</f>
        <v>108887.64301075268</v>
      </c>
      <c r="F26" s="24">
        <f t="shared" si="3"/>
        <v>186075.28602150537</v>
      </c>
      <c r="G26" s="24">
        <f t="shared" si="3"/>
        <v>94617.71451612904</v>
      </c>
      <c r="H26" s="65">
        <f t="shared" si="3"/>
        <v>389580.6435483871</v>
      </c>
      <c r="I26" s="66">
        <f>I24+I25</f>
        <v>603849.9975</v>
      </c>
      <c r="J26" s="67">
        <f t="shared" si="3"/>
        <v>500000</v>
      </c>
      <c r="K26" s="68">
        <f>K24+K25</f>
        <v>102507.82583333335</v>
      </c>
      <c r="L26" s="68">
        <f>L24+L25</f>
        <v>293411.4494444445</v>
      </c>
      <c r="M26" s="69">
        <f>M24+M25</f>
        <v>104080.72472222222</v>
      </c>
      <c r="N26" s="67">
        <f>N24+N25</f>
        <v>500000</v>
      </c>
      <c r="O26" s="67">
        <f>O24+O25</f>
        <v>500000</v>
      </c>
      <c r="P26" s="64" t="s">
        <v>3</v>
      </c>
      <c r="Q26" s="3"/>
      <c r="R26" s="22"/>
    </row>
    <row r="44" ht="12.75">
      <c r="E44" s="51" t="s">
        <v>35</v>
      </c>
    </row>
  </sheetData>
  <sheetProtection/>
  <mergeCells count="1">
    <mergeCell ref="D1:H1"/>
  </mergeCells>
  <printOptions/>
  <pageMargins left="0.7500000000000001" right="0.7500000000000001" top="1" bottom="1" header="0.5" footer="0.5"/>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60" zoomScaleNormal="60" zoomScalePageLayoutView="0" workbookViewId="0" topLeftCell="A16">
      <selection activeCell="A42" sqref="A41:A42"/>
    </sheetView>
  </sheetViews>
  <sheetFormatPr defaultColWidth="8.8515625" defaultRowHeight="12.75"/>
  <cols>
    <col min="1" max="1" width="112.421875" style="50" customWidth="1"/>
    <col min="2" max="2" width="35.140625" style="4" customWidth="1"/>
    <col min="3" max="3" width="48.421875" style="1" customWidth="1"/>
    <col min="4" max="4" width="21.57421875" style="53" bestFit="1" customWidth="1"/>
    <col min="5" max="5" width="20.00390625" style="83" bestFit="1" customWidth="1"/>
    <col min="6" max="6" width="21.7109375" style="83" customWidth="1"/>
    <col min="7" max="7" width="20.00390625" style="83" bestFit="1" customWidth="1"/>
    <col min="8" max="16384" width="8.8515625" style="1" customWidth="1"/>
  </cols>
  <sheetData>
    <row r="1" spans="1:7" ht="15.75">
      <c r="A1" s="17"/>
      <c r="B1" s="2"/>
      <c r="D1" s="19"/>
      <c r="E1" s="71"/>
      <c r="F1" s="71"/>
      <c r="G1" s="71"/>
    </row>
    <row r="2" spans="1:7" ht="51">
      <c r="A2" s="7" t="s">
        <v>55</v>
      </c>
      <c r="B2" s="5" t="s">
        <v>36</v>
      </c>
      <c r="C2" s="8" t="s">
        <v>5</v>
      </c>
      <c r="D2" s="16" t="s">
        <v>47</v>
      </c>
      <c r="E2" s="72" t="s">
        <v>43</v>
      </c>
      <c r="F2" s="72" t="s">
        <v>44</v>
      </c>
      <c r="G2" s="73" t="s">
        <v>45</v>
      </c>
    </row>
    <row r="3" spans="1:7" ht="172.5" customHeight="1">
      <c r="A3" s="21" t="s">
        <v>58</v>
      </c>
      <c r="B3" s="6" t="s">
        <v>37</v>
      </c>
      <c r="C3" s="23" t="s">
        <v>16</v>
      </c>
      <c r="D3" s="28">
        <v>169471.19</v>
      </c>
      <c r="E3" s="74">
        <v>25398.22</v>
      </c>
      <c r="F3" s="74">
        <v>96048.65</v>
      </c>
      <c r="G3" s="75">
        <v>48024.32</v>
      </c>
    </row>
    <row r="4" spans="1:7" ht="38.25">
      <c r="A4" s="32" t="s">
        <v>57</v>
      </c>
      <c r="B4" s="6" t="s">
        <v>38</v>
      </c>
      <c r="C4" s="31" t="s">
        <v>23</v>
      </c>
      <c r="D4" s="28">
        <v>65100</v>
      </c>
      <c r="E4" s="74">
        <v>21700</v>
      </c>
      <c r="F4" s="74">
        <v>28933.33</v>
      </c>
      <c r="G4" s="75">
        <v>14466.66</v>
      </c>
    </row>
    <row r="5" spans="1:7" ht="140.25">
      <c r="A5" s="21" t="s">
        <v>58</v>
      </c>
      <c r="B5" s="6" t="s">
        <v>39</v>
      </c>
      <c r="C5" s="23" t="s">
        <v>18</v>
      </c>
      <c r="D5" s="28">
        <v>34100</v>
      </c>
      <c r="E5" s="74">
        <v>11366.67</v>
      </c>
      <c r="F5" s="74">
        <v>15155.56</v>
      </c>
      <c r="G5" s="75">
        <v>7577.78</v>
      </c>
    </row>
    <row r="6" spans="1:7" ht="38.25">
      <c r="A6" s="32" t="s">
        <v>57</v>
      </c>
      <c r="B6" s="15" t="s">
        <v>39</v>
      </c>
      <c r="C6" s="37" t="s">
        <v>50</v>
      </c>
      <c r="D6" s="36">
        <v>37500</v>
      </c>
      <c r="E6" s="75">
        <v>0</v>
      </c>
      <c r="F6" s="75">
        <v>37500</v>
      </c>
      <c r="G6" s="75">
        <v>0</v>
      </c>
    </row>
    <row r="7" spans="1:7" ht="63.75">
      <c r="A7" s="32" t="s">
        <v>57</v>
      </c>
      <c r="B7" s="15" t="s">
        <v>38</v>
      </c>
      <c r="C7" s="37" t="s">
        <v>48</v>
      </c>
      <c r="D7" s="36">
        <v>10000</v>
      </c>
      <c r="E7" s="75">
        <v>0</v>
      </c>
      <c r="F7" s="75">
        <v>10000</v>
      </c>
      <c r="G7" s="75">
        <v>0</v>
      </c>
    </row>
    <row r="8" spans="1:7" ht="38.25">
      <c r="A8" s="32" t="s">
        <v>57</v>
      </c>
      <c r="B8" s="15" t="s">
        <v>39</v>
      </c>
      <c r="C8" s="37" t="s">
        <v>52</v>
      </c>
      <c r="D8" s="36">
        <v>10500</v>
      </c>
      <c r="E8" s="75">
        <v>0</v>
      </c>
      <c r="F8" s="75">
        <v>0</v>
      </c>
      <c r="G8" s="75">
        <v>10500</v>
      </c>
    </row>
    <row r="9" spans="1:7" ht="140.25">
      <c r="A9" s="32" t="s">
        <v>57</v>
      </c>
      <c r="B9" s="15" t="s">
        <v>39</v>
      </c>
      <c r="C9" s="39" t="s">
        <v>53</v>
      </c>
      <c r="D9" s="38">
        <v>1675</v>
      </c>
      <c r="E9" s="75">
        <v>0</v>
      </c>
      <c r="F9" s="75">
        <v>1675</v>
      </c>
      <c r="G9" s="75">
        <v>0</v>
      </c>
    </row>
    <row r="10" spans="1:7" ht="140.25">
      <c r="A10" s="32" t="s">
        <v>57</v>
      </c>
      <c r="B10" s="15" t="s">
        <v>39</v>
      </c>
      <c r="C10" s="39" t="s">
        <v>53</v>
      </c>
      <c r="D10" s="38">
        <f>2800-1675</f>
        <v>1125</v>
      </c>
      <c r="E10" s="75">
        <v>0</v>
      </c>
      <c r="F10" s="75">
        <v>1125</v>
      </c>
      <c r="G10" s="75">
        <v>0</v>
      </c>
    </row>
    <row r="11" spans="1:7" ht="25.5">
      <c r="A11" s="32" t="s">
        <v>57</v>
      </c>
      <c r="B11" s="15" t="s">
        <v>39</v>
      </c>
      <c r="C11" s="41" t="s">
        <v>9</v>
      </c>
      <c r="D11" s="36">
        <v>28600</v>
      </c>
      <c r="E11" s="75"/>
      <c r="F11" s="75">
        <v>14300</v>
      </c>
      <c r="G11" s="75">
        <v>14300</v>
      </c>
    </row>
    <row r="12" spans="1:7" ht="63.75">
      <c r="A12" s="21" t="s">
        <v>56</v>
      </c>
      <c r="B12" s="15" t="s">
        <v>39</v>
      </c>
      <c r="C12" s="37" t="s">
        <v>49</v>
      </c>
      <c r="D12" s="36">
        <v>31000</v>
      </c>
      <c r="E12" s="75"/>
      <c r="F12" s="75">
        <v>31000</v>
      </c>
      <c r="G12" s="75"/>
    </row>
    <row r="13" spans="1:7" ht="38.25">
      <c r="A13" s="32" t="s">
        <v>57</v>
      </c>
      <c r="B13" s="15" t="s">
        <v>39</v>
      </c>
      <c r="C13" s="37" t="s">
        <v>51</v>
      </c>
      <c r="D13" s="36">
        <v>14000</v>
      </c>
      <c r="E13" s="75"/>
      <c r="F13" s="75">
        <v>14000</v>
      </c>
      <c r="G13" s="75"/>
    </row>
    <row r="14" spans="1:7" ht="38.25">
      <c r="A14" s="32" t="s">
        <v>57</v>
      </c>
      <c r="B14" s="15" t="s">
        <v>39</v>
      </c>
      <c r="C14" s="37" t="s">
        <v>54</v>
      </c>
      <c r="D14" s="36">
        <v>5875</v>
      </c>
      <c r="E14" s="75"/>
      <c r="F14" s="75">
        <f>5875/2</f>
        <v>2937.5</v>
      </c>
      <c r="G14" s="75">
        <f>5875/2</f>
        <v>2937.5</v>
      </c>
    </row>
    <row r="15" spans="1:7" ht="12.75">
      <c r="A15" s="22"/>
      <c r="B15" s="6" t="s">
        <v>39</v>
      </c>
      <c r="C15" s="40" t="s">
        <v>10</v>
      </c>
      <c r="D15" s="28">
        <v>0</v>
      </c>
      <c r="E15" s="75"/>
      <c r="F15" s="75"/>
      <c r="G15" s="75"/>
    </row>
    <row r="16" spans="1:7" ht="12.75">
      <c r="A16" s="22"/>
      <c r="B16" s="6" t="s">
        <v>39</v>
      </c>
      <c r="C16" s="40" t="s">
        <v>20</v>
      </c>
      <c r="D16" s="28">
        <v>0</v>
      </c>
      <c r="E16" s="75"/>
      <c r="F16" s="75"/>
      <c r="G16" s="75"/>
    </row>
    <row r="17" spans="1:7" ht="12.75">
      <c r="A17" s="22"/>
      <c r="B17" s="6" t="s">
        <v>39</v>
      </c>
      <c r="C17" s="40" t="s">
        <v>21</v>
      </c>
      <c r="D17" s="28">
        <v>0</v>
      </c>
      <c r="E17" s="75"/>
      <c r="F17" s="75"/>
      <c r="G17" s="75"/>
    </row>
    <row r="18" spans="1:7" ht="25.5">
      <c r="A18" s="32" t="s">
        <v>57</v>
      </c>
      <c r="B18" s="6" t="s">
        <v>39</v>
      </c>
      <c r="C18" s="40" t="s">
        <v>22</v>
      </c>
      <c r="D18" s="28">
        <v>49600</v>
      </c>
      <c r="E18" s="75">
        <v>0</v>
      </c>
      <c r="F18" s="75">
        <v>24800</v>
      </c>
      <c r="G18" s="75">
        <v>24800</v>
      </c>
    </row>
    <row r="19" spans="1:7" ht="140.25">
      <c r="A19" s="21" t="s">
        <v>58</v>
      </c>
      <c r="B19" s="6" t="s">
        <v>40</v>
      </c>
      <c r="C19" s="40" t="s">
        <v>12</v>
      </c>
      <c r="D19" s="28"/>
      <c r="E19" s="75"/>
      <c r="F19" s="75"/>
      <c r="G19" s="75"/>
    </row>
    <row r="20" spans="1:7" s="49" customFormat="1" ht="140.25">
      <c r="A20" s="21" t="s">
        <v>58</v>
      </c>
      <c r="B20" s="6" t="s">
        <v>41</v>
      </c>
      <c r="C20" s="40" t="s">
        <v>13</v>
      </c>
      <c r="D20" s="28">
        <v>21312.5</v>
      </c>
      <c r="E20" s="76">
        <v>7104.17</v>
      </c>
      <c r="F20" s="76">
        <v>9472.22</v>
      </c>
      <c r="G20" s="77">
        <v>4736.11</v>
      </c>
    </row>
    <row r="21" spans="1:7" ht="140.25">
      <c r="A21" s="21" t="s">
        <v>58</v>
      </c>
      <c r="B21" s="6" t="s">
        <v>41</v>
      </c>
      <c r="C21" s="23" t="s">
        <v>0</v>
      </c>
      <c r="D21" s="28"/>
      <c r="E21" s="74"/>
      <c r="F21" s="74"/>
      <c r="G21" s="75"/>
    </row>
    <row r="22" spans="1:7" s="49" customFormat="1" ht="12.75">
      <c r="A22" s="42"/>
      <c r="B22" s="6" t="s">
        <v>41</v>
      </c>
      <c r="C22" s="40" t="s">
        <v>11</v>
      </c>
      <c r="D22" s="28">
        <v>20141.31</v>
      </c>
      <c r="E22" s="76">
        <v>6713.77</v>
      </c>
      <c r="F22" s="76">
        <v>8951.69</v>
      </c>
      <c r="G22" s="77">
        <v>4475.85</v>
      </c>
    </row>
    <row r="23" spans="5:7" ht="12.75">
      <c r="E23" s="78"/>
      <c r="F23" s="79"/>
      <c r="G23" s="80"/>
    </row>
    <row r="24" spans="1:7" ht="12.75">
      <c r="A24" s="22"/>
      <c r="B24" s="3"/>
      <c r="C24" s="57" t="s">
        <v>1</v>
      </c>
      <c r="D24" s="67">
        <f>SUM(D3:D22)</f>
        <v>500000</v>
      </c>
      <c r="E24" s="81">
        <f>SUM(E3:E22)</f>
        <v>72282.83</v>
      </c>
      <c r="F24" s="81">
        <f>SUM(F3:F22)</f>
        <v>295898.95</v>
      </c>
      <c r="G24" s="82">
        <f>SUM(G3:G22)</f>
        <v>131818.22</v>
      </c>
    </row>
    <row r="25" spans="1:7" ht="12.75">
      <c r="A25" s="22"/>
      <c r="B25" s="3"/>
      <c r="C25" s="23" t="s">
        <v>2</v>
      </c>
      <c r="D25" s="28"/>
      <c r="E25" s="74"/>
      <c r="F25" s="74"/>
      <c r="G25" s="75"/>
    </row>
    <row r="26" spans="1:7" ht="12.75">
      <c r="A26" s="22"/>
      <c r="B26" s="3"/>
      <c r="C26" s="64" t="s">
        <v>3</v>
      </c>
      <c r="D26" s="67">
        <f>D24+D25</f>
        <v>500000</v>
      </c>
      <c r="E26" s="81">
        <f>E24+E25</f>
        <v>72282.83</v>
      </c>
      <c r="F26" s="81">
        <f>F24+F25</f>
        <v>295898.95</v>
      </c>
      <c r="G26" s="82">
        <f>G24+G25</f>
        <v>131818.22</v>
      </c>
    </row>
  </sheetData>
  <sheetProtection/>
  <printOptions/>
  <pageMargins left="0.7500000000000001" right="0.7500000000000001" top="1" bottom="1" header="0.5" footer="0.5"/>
  <pageSetup fitToHeight="0" fitToWidth="1" horizontalDpi="600" verticalDpi="600" orientation="landscape"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R376"/>
  <sheetViews>
    <sheetView tabSelected="1" zoomScale="70" zoomScaleNormal="70" zoomScalePageLayoutView="0" workbookViewId="0" topLeftCell="C1">
      <selection activeCell="C1" sqref="C1"/>
    </sheetView>
  </sheetViews>
  <sheetFormatPr defaultColWidth="8.8515625" defaultRowHeight="12.75"/>
  <cols>
    <col min="1" max="1" width="61.421875" style="106" customWidth="1"/>
    <col min="2" max="2" width="35.140625" style="107" customWidth="1"/>
    <col min="3" max="3" width="33.8515625" style="131" customWidth="1"/>
    <col min="4" max="4" width="15.28125" style="154" customWidth="1"/>
    <col min="5" max="7" width="15.8515625" style="155" customWidth="1"/>
    <col min="8" max="8" width="17.140625" style="132" customWidth="1"/>
    <col min="9" max="9" width="21.140625" style="133" customWidth="1"/>
    <col min="10" max="10" width="21.140625" style="132" customWidth="1"/>
    <col min="11" max="11" width="21.140625" style="134" customWidth="1"/>
    <col min="12" max="12" width="21.140625" style="133" customWidth="1"/>
    <col min="13" max="13" width="21.140625" style="134" customWidth="1"/>
    <col min="14" max="16384" width="8.8515625" style="133" customWidth="1"/>
  </cols>
  <sheetData>
    <row r="1" spans="1:13" ht="51.75" thickBot="1">
      <c r="A1" s="169" t="s">
        <v>55</v>
      </c>
      <c r="B1" s="170" t="s">
        <v>36</v>
      </c>
      <c r="C1" s="171" t="s">
        <v>5</v>
      </c>
      <c r="D1" s="172" t="s">
        <v>47</v>
      </c>
      <c r="E1" s="173" t="s">
        <v>43</v>
      </c>
      <c r="F1" s="173" t="s">
        <v>44</v>
      </c>
      <c r="G1" s="173" t="s">
        <v>45</v>
      </c>
      <c r="H1" s="174" t="s">
        <v>59</v>
      </c>
      <c r="I1" s="175" t="s">
        <v>60</v>
      </c>
      <c r="J1" s="174" t="s">
        <v>61</v>
      </c>
      <c r="K1" s="176" t="s">
        <v>62</v>
      </c>
      <c r="L1" s="177" t="s">
        <v>60</v>
      </c>
      <c r="M1" s="178" t="s">
        <v>63</v>
      </c>
    </row>
    <row r="2" spans="1:13" ht="38.25">
      <c r="A2" s="179"/>
      <c r="B2" s="180"/>
      <c r="C2" s="252" t="s">
        <v>180</v>
      </c>
      <c r="D2" s="181"/>
      <c r="E2" s="182"/>
      <c r="F2" s="182"/>
      <c r="G2" s="182"/>
      <c r="H2" s="203">
        <v>65338.12</v>
      </c>
      <c r="I2" s="204"/>
      <c r="J2" s="203"/>
      <c r="K2" s="205">
        <v>100000</v>
      </c>
      <c r="L2" s="183"/>
      <c r="M2" s="184"/>
    </row>
    <row r="3" spans="1:13" ht="38.25">
      <c r="A3" s="123"/>
      <c r="B3" s="108"/>
      <c r="C3" s="253" t="s">
        <v>181</v>
      </c>
      <c r="D3" s="109"/>
      <c r="E3" s="110"/>
      <c r="F3" s="110"/>
      <c r="G3" s="110"/>
      <c r="H3" s="86">
        <f>K3/(60000/37167.81)</f>
        <v>37167.81</v>
      </c>
      <c r="I3" s="85"/>
      <c r="J3" s="86"/>
      <c r="K3" s="218">
        <v>60000</v>
      </c>
      <c r="L3" s="87"/>
      <c r="M3" s="88"/>
    </row>
    <row r="4" spans="1:13" ht="38.25">
      <c r="A4" s="123"/>
      <c r="B4" s="108"/>
      <c r="C4" s="253" t="s">
        <v>182</v>
      </c>
      <c r="D4" s="109"/>
      <c r="E4" s="110"/>
      <c r="F4" s="110"/>
      <c r="G4" s="110"/>
      <c r="H4" s="249">
        <v>60639.14</v>
      </c>
      <c r="I4" s="250"/>
      <c r="J4" s="249"/>
      <c r="K4" s="251">
        <v>100000</v>
      </c>
      <c r="L4" s="87"/>
      <c r="M4" s="88"/>
    </row>
    <row r="5" spans="1:13" ht="38.25">
      <c r="A5" s="123"/>
      <c r="B5" s="108"/>
      <c r="C5" s="314" t="s">
        <v>188</v>
      </c>
      <c r="D5" s="109"/>
      <c r="E5" s="110"/>
      <c r="F5" s="110"/>
      <c r="G5" s="110"/>
      <c r="H5" s="315">
        <v>35440.05</v>
      </c>
      <c r="I5" s="316"/>
      <c r="J5" s="315"/>
      <c r="K5" s="317">
        <v>60000</v>
      </c>
      <c r="L5" s="87"/>
      <c r="M5" s="88"/>
    </row>
    <row r="6" spans="1:18" ht="38.25">
      <c r="A6" s="123"/>
      <c r="B6" s="108"/>
      <c r="C6" s="353" t="s">
        <v>235</v>
      </c>
      <c r="D6" s="109"/>
      <c r="E6" s="110"/>
      <c r="F6" s="110"/>
      <c r="G6" s="110"/>
      <c r="H6" s="354">
        <v>37507.03</v>
      </c>
      <c r="I6" s="355"/>
      <c r="J6" s="354"/>
      <c r="K6" s="356">
        <v>60000</v>
      </c>
      <c r="L6" s="87"/>
      <c r="M6" s="88"/>
      <c r="N6"/>
      <c r="O6"/>
      <c r="P6"/>
      <c r="Q6"/>
      <c r="R6"/>
    </row>
    <row r="7" spans="1:18" s="366" customFormat="1" ht="38.25">
      <c r="A7" s="357"/>
      <c r="B7" s="358"/>
      <c r="C7" s="367" t="s">
        <v>309</v>
      </c>
      <c r="D7" s="359"/>
      <c r="E7" s="359"/>
      <c r="F7" s="359"/>
      <c r="G7" s="359"/>
      <c r="H7" s="360">
        <v>57478.61</v>
      </c>
      <c r="I7" s="361"/>
      <c r="J7" s="360"/>
      <c r="K7" s="362">
        <v>90000</v>
      </c>
      <c r="L7" s="363"/>
      <c r="M7" s="364"/>
      <c r="N7" s="365"/>
      <c r="O7" s="365"/>
      <c r="P7" s="365"/>
      <c r="Q7" s="365"/>
      <c r="R7" s="365"/>
    </row>
    <row r="8" spans="1:18" ht="13.5" thickBot="1">
      <c r="A8" s="124"/>
      <c r="B8" s="125"/>
      <c r="C8" s="321"/>
      <c r="D8" s="126"/>
      <c r="E8" s="127"/>
      <c r="F8" s="127"/>
      <c r="G8" s="127"/>
      <c r="H8" s="318"/>
      <c r="I8" s="319"/>
      <c r="J8" s="318"/>
      <c r="K8" s="320"/>
      <c r="L8" s="89"/>
      <c r="M8" s="90"/>
      <c r="N8"/>
      <c r="O8"/>
      <c r="P8"/>
      <c r="Q8"/>
      <c r="R8"/>
    </row>
    <row r="9" spans="1:13" ht="255">
      <c r="A9" s="100" t="s">
        <v>58</v>
      </c>
      <c r="B9" s="91" t="s">
        <v>37</v>
      </c>
      <c r="C9" s="95" t="s">
        <v>16</v>
      </c>
      <c r="D9" s="93">
        <v>169471.19</v>
      </c>
      <c r="E9" s="96">
        <v>25398.22</v>
      </c>
      <c r="F9" s="96">
        <v>96048.65</v>
      </c>
      <c r="G9" s="96">
        <v>48024.32</v>
      </c>
      <c r="H9" s="139"/>
      <c r="I9" s="131" t="s">
        <v>35</v>
      </c>
      <c r="J9" s="139"/>
      <c r="K9" s="140"/>
      <c r="L9" s="131"/>
      <c r="M9" s="141"/>
    </row>
    <row r="10" spans="1:13" ht="25.5">
      <c r="A10" s="100"/>
      <c r="B10" s="91"/>
      <c r="C10" s="95"/>
      <c r="D10" s="93"/>
      <c r="E10" s="96"/>
      <c r="F10" s="96"/>
      <c r="G10" s="96"/>
      <c r="H10" s="139"/>
      <c r="I10" s="208" t="s">
        <v>131</v>
      </c>
      <c r="J10" s="207">
        <v>548.07</v>
      </c>
      <c r="K10" s="209"/>
      <c r="L10" s="208" t="s">
        <v>131</v>
      </c>
      <c r="M10" s="210">
        <f>J10*(K2/H2)</f>
        <v>838.8211965694758</v>
      </c>
    </row>
    <row r="11" spans="1:13" ht="25.5">
      <c r="A11" s="100"/>
      <c r="B11" s="91"/>
      <c r="C11" s="95"/>
      <c r="D11" s="93"/>
      <c r="E11" s="96"/>
      <c r="F11" s="96"/>
      <c r="G11" s="96"/>
      <c r="H11" s="139"/>
      <c r="I11" s="206" t="s">
        <v>115</v>
      </c>
      <c r="J11" s="207">
        <v>3083.34</v>
      </c>
      <c r="K11" s="209"/>
      <c r="L11" s="208" t="s">
        <v>115</v>
      </c>
      <c r="M11" s="210">
        <f>J11*(K2/H2)</f>
        <v>4719.052216378433</v>
      </c>
    </row>
    <row r="12" spans="1:13" ht="12.75">
      <c r="A12" s="100"/>
      <c r="B12" s="91"/>
      <c r="C12" s="95"/>
      <c r="D12" s="93"/>
      <c r="E12" s="96"/>
      <c r="F12" s="96"/>
      <c r="G12" s="96"/>
      <c r="H12" s="139"/>
      <c r="I12" s="206" t="s">
        <v>116</v>
      </c>
      <c r="J12" s="207">
        <v>412.68</v>
      </c>
      <c r="K12" s="209"/>
      <c r="L12" s="206" t="s">
        <v>116</v>
      </c>
      <c r="M12" s="210">
        <f>J12*(K2/H2)</f>
        <v>631.606786359938</v>
      </c>
    </row>
    <row r="13" spans="1:13" ht="25.5">
      <c r="A13" s="100"/>
      <c r="B13" s="91"/>
      <c r="C13" s="95"/>
      <c r="D13" s="93"/>
      <c r="E13" s="96"/>
      <c r="F13" s="96"/>
      <c r="G13" s="96"/>
      <c r="H13" s="139"/>
      <c r="I13" s="206" t="s">
        <v>66</v>
      </c>
      <c r="J13" s="207">
        <v>254.2</v>
      </c>
      <c r="K13" s="209"/>
      <c r="L13" s="206" t="s">
        <v>122</v>
      </c>
      <c r="M13" s="210">
        <f>J13*(K2/H2)</f>
        <v>389.0531285564996</v>
      </c>
    </row>
    <row r="14" spans="1:13" ht="12.75">
      <c r="A14" s="100"/>
      <c r="B14" s="91"/>
      <c r="C14" s="95"/>
      <c r="D14" s="93"/>
      <c r="E14" s="96"/>
      <c r="F14" s="96"/>
      <c r="G14" s="96"/>
      <c r="H14" s="139"/>
      <c r="I14" s="206" t="s">
        <v>126</v>
      </c>
      <c r="J14" s="207">
        <v>34.04</v>
      </c>
      <c r="K14" s="209"/>
      <c r="L14" s="206" t="s">
        <v>126</v>
      </c>
      <c r="M14" s="210">
        <f>J14*(K2/H2)</f>
        <v>52.09822382400962</v>
      </c>
    </row>
    <row r="15" spans="1:13" ht="25.5">
      <c r="A15" s="100"/>
      <c r="B15" s="91"/>
      <c r="C15" s="95"/>
      <c r="D15" s="93"/>
      <c r="E15" s="96"/>
      <c r="F15" s="96"/>
      <c r="G15" s="96"/>
      <c r="H15" s="139"/>
      <c r="I15" s="206" t="s">
        <v>64</v>
      </c>
      <c r="J15" s="207">
        <v>3083.34</v>
      </c>
      <c r="K15" s="211"/>
      <c r="L15" s="208" t="s">
        <v>64</v>
      </c>
      <c r="M15" s="210">
        <f>J15*(K2/H2)</f>
        <v>4719.052216378433</v>
      </c>
    </row>
    <row r="16" spans="1:13" ht="25.5">
      <c r="A16" s="100"/>
      <c r="B16" s="91"/>
      <c r="C16" s="95"/>
      <c r="D16" s="93"/>
      <c r="E16" s="96"/>
      <c r="F16" s="96"/>
      <c r="G16" s="96"/>
      <c r="H16" s="139"/>
      <c r="I16" s="206" t="s">
        <v>117</v>
      </c>
      <c r="J16" s="207">
        <v>337.04</v>
      </c>
      <c r="K16" s="211"/>
      <c r="L16" s="206" t="s">
        <v>117</v>
      </c>
      <c r="M16" s="210">
        <f>J16*(K2/H2)</f>
        <v>515.8397578626382</v>
      </c>
    </row>
    <row r="17" spans="1:13" ht="25.5">
      <c r="A17" s="100"/>
      <c r="B17" s="91"/>
      <c r="C17" s="95"/>
      <c r="D17" s="93"/>
      <c r="E17" s="96"/>
      <c r="F17" s="96"/>
      <c r="G17" s="96"/>
      <c r="H17" s="139"/>
      <c r="I17" s="206" t="s">
        <v>66</v>
      </c>
      <c r="J17" s="207">
        <v>215.83</v>
      </c>
      <c r="K17" s="211"/>
      <c r="L17" s="206" t="s">
        <v>121</v>
      </c>
      <c r="M17" s="210">
        <f>J17*(K2/H2)</f>
        <v>330.3278392460634</v>
      </c>
    </row>
    <row r="18" spans="1:13" ht="12.75">
      <c r="A18" s="100"/>
      <c r="B18" s="91"/>
      <c r="C18" s="95"/>
      <c r="D18" s="93"/>
      <c r="E18" s="96"/>
      <c r="F18" s="96"/>
      <c r="G18" s="96"/>
      <c r="H18" s="139"/>
      <c r="I18" s="206" t="s">
        <v>126</v>
      </c>
      <c r="J18" s="207">
        <v>51.55</v>
      </c>
      <c r="K18" s="209"/>
      <c r="L18" s="206" t="s">
        <v>126</v>
      </c>
      <c r="M18" s="210">
        <f>J18*(K2/H2)</f>
        <v>78.8972807910604</v>
      </c>
    </row>
    <row r="19" spans="1:13" ht="25.5">
      <c r="A19" s="100"/>
      <c r="B19" s="91"/>
      <c r="C19" s="95"/>
      <c r="D19" s="93"/>
      <c r="E19" s="96"/>
      <c r="F19" s="96"/>
      <c r="G19" s="96"/>
      <c r="H19" s="139"/>
      <c r="I19" s="206" t="s">
        <v>65</v>
      </c>
      <c r="J19" s="207">
        <v>3083.34</v>
      </c>
      <c r="K19" s="211"/>
      <c r="L19" s="206" t="s">
        <v>65</v>
      </c>
      <c r="M19" s="210">
        <f>J19*(K2/H2)</f>
        <v>4719.052216378433</v>
      </c>
    </row>
    <row r="20" spans="1:13" ht="25.5">
      <c r="A20" s="100"/>
      <c r="B20" s="91"/>
      <c r="C20" s="95"/>
      <c r="D20" s="93"/>
      <c r="E20" s="96"/>
      <c r="F20" s="96"/>
      <c r="G20" s="96"/>
      <c r="H20" s="139"/>
      <c r="I20" s="206" t="s">
        <v>118</v>
      </c>
      <c r="J20" s="207">
        <v>337.04</v>
      </c>
      <c r="K20" s="211"/>
      <c r="L20" s="206" t="s">
        <v>118</v>
      </c>
      <c r="M20" s="210">
        <f>J20*(K2/H2)</f>
        <v>515.8397578626382</v>
      </c>
    </row>
    <row r="21" spans="1:13" ht="12.75">
      <c r="A21" s="100"/>
      <c r="B21" s="91"/>
      <c r="C21" s="95"/>
      <c r="D21" s="93"/>
      <c r="E21" s="96"/>
      <c r="F21" s="96"/>
      <c r="G21" s="96"/>
      <c r="H21" s="139"/>
      <c r="I21" s="206" t="s">
        <v>66</v>
      </c>
      <c r="J21" s="207">
        <v>215.83</v>
      </c>
      <c r="K21" s="211"/>
      <c r="L21" s="206" t="s">
        <v>66</v>
      </c>
      <c r="M21" s="210">
        <f>J21*(K2/H2)</f>
        <v>330.3278392460634</v>
      </c>
    </row>
    <row r="22" spans="1:13" ht="12.75">
      <c r="A22" s="100"/>
      <c r="B22" s="91"/>
      <c r="C22" s="95"/>
      <c r="D22" s="93"/>
      <c r="E22" s="96"/>
      <c r="F22" s="96"/>
      <c r="G22" s="96"/>
      <c r="H22" s="139"/>
      <c r="I22" s="206" t="s">
        <v>126</v>
      </c>
      <c r="J22" s="207">
        <v>45.71</v>
      </c>
      <c r="K22" s="209"/>
      <c r="L22" s="206" t="s">
        <v>126</v>
      </c>
      <c r="M22" s="210">
        <f>J22*(K2/H2)</f>
        <v>69.95916013500235</v>
      </c>
    </row>
    <row r="23" spans="1:13" ht="25.5">
      <c r="A23" s="100"/>
      <c r="B23" s="91"/>
      <c r="C23" s="95"/>
      <c r="D23" s="93"/>
      <c r="E23" s="96"/>
      <c r="F23" s="96"/>
      <c r="G23" s="96"/>
      <c r="H23" s="139"/>
      <c r="I23" s="206" t="s">
        <v>67</v>
      </c>
      <c r="J23" s="207">
        <v>3083.34</v>
      </c>
      <c r="K23" s="211"/>
      <c r="L23" s="206" t="s">
        <v>67</v>
      </c>
      <c r="M23" s="210">
        <f>J23*(K2/H2)</f>
        <v>4719.052216378433</v>
      </c>
    </row>
    <row r="24" spans="1:13" ht="12.75">
      <c r="A24" s="100"/>
      <c r="B24" s="91"/>
      <c r="C24" s="95"/>
      <c r="D24" s="93"/>
      <c r="E24" s="96"/>
      <c r="F24" s="96"/>
      <c r="G24" s="96"/>
      <c r="H24" s="139"/>
      <c r="I24" s="206" t="s">
        <v>68</v>
      </c>
      <c r="J24" s="207">
        <v>322.15</v>
      </c>
      <c r="K24" s="211"/>
      <c r="L24" s="206" t="s">
        <v>68</v>
      </c>
      <c r="M24" s="210">
        <f>J24*(K2/H2)</f>
        <v>493.0506111899148</v>
      </c>
    </row>
    <row r="25" spans="1:13" ht="25.5">
      <c r="A25" s="100"/>
      <c r="B25" s="91"/>
      <c r="C25" s="95"/>
      <c r="D25" s="93"/>
      <c r="E25" s="96"/>
      <c r="F25" s="96"/>
      <c r="G25" s="96"/>
      <c r="H25" s="139"/>
      <c r="I25" s="206" t="s">
        <v>69</v>
      </c>
      <c r="J25" s="207">
        <v>232.53</v>
      </c>
      <c r="K25" s="211"/>
      <c r="L25" s="206" t="s">
        <v>69</v>
      </c>
      <c r="M25" s="210">
        <f>J25*(K2/H2)</f>
        <v>355.8871911221198</v>
      </c>
    </row>
    <row r="26" spans="1:13" ht="25.5">
      <c r="A26" s="100"/>
      <c r="B26" s="91"/>
      <c r="C26" s="95"/>
      <c r="D26" s="93"/>
      <c r="E26" s="96"/>
      <c r="F26" s="96"/>
      <c r="G26" s="96"/>
      <c r="H26" s="139"/>
      <c r="I26" s="206" t="s">
        <v>70</v>
      </c>
      <c r="J26" s="207">
        <v>3083.34</v>
      </c>
      <c r="K26" s="211"/>
      <c r="L26" s="206" t="s">
        <v>70</v>
      </c>
      <c r="M26" s="210">
        <f>J26*(K2/H2)</f>
        <v>4719.052216378433</v>
      </c>
    </row>
    <row r="27" spans="1:13" ht="25.5">
      <c r="A27" s="100"/>
      <c r="B27" s="91"/>
      <c r="C27" s="95"/>
      <c r="D27" s="93"/>
      <c r="E27" s="96"/>
      <c r="F27" s="96"/>
      <c r="G27" s="96"/>
      <c r="H27" s="139"/>
      <c r="I27" s="206" t="s">
        <v>71</v>
      </c>
      <c r="J27" s="207">
        <v>322.15</v>
      </c>
      <c r="K27" s="211"/>
      <c r="L27" s="206" t="s">
        <v>71</v>
      </c>
      <c r="M27" s="210">
        <f>J27*(K2/H2)</f>
        <v>493.0506111899148</v>
      </c>
    </row>
    <row r="28" spans="1:13" ht="25.5">
      <c r="A28" s="100"/>
      <c r="B28" s="91"/>
      <c r="C28" s="95"/>
      <c r="D28" s="93"/>
      <c r="E28" s="96"/>
      <c r="F28" s="96"/>
      <c r="G28" s="96"/>
      <c r="H28" s="139"/>
      <c r="I28" s="206" t="s">
        <v>72</v>
      </c>
      <c r="J28" s="207">
        <v>225.08</v>
      </c>
      <c r="K28" s="211"/>
      <c r="L28" s="206" t="s">
        <v>72</v>
      </c>
      <c r="M28" s="210">
        <f>J28*(K2/H2)</f>
        <v>344.48496528519644</v>
      </c>
    </row>
    <row r="29" spans="1:13" ht="25.5">
      <c r="A29" s="100"/>
      <c r="B29" s="91"/>
      <c r="C29" s="95"/>
      <c r="D29" s="93"/>
      <c r="E29" s="96"/>
      <c r="F29" s="96"/>
      <c r="G29" s="96"/>
      <c r="H29" s="139"/>
      <c r="I29" s="206" t="s">
        <v>73</v>
      </c>
      <c r="J29" s="207">
        <v>3083.34</v>
      </c>
      <c r="K29" s="211"/>
      <c r="L29" s="206" t="s">
        <v>73</v>
      </c>
      <c r="M29" s="210">
        <f>J29*(K2/H2)</f>
        <v>4719.052216378433</v>
      </c>
    </row>
    <row r="30" spans="1:13" ht="12.75">
      <c r="A30" s="100"/>
      <c r="B30" s="91"/>
      <c r="C30" s="95"/>
      <c r="D30" s="93"/>
      <c r="E30" s="96"/>
      <c r="F30" s="96"/>
      <c r="G30" s="96"/>
      <c r="H30" s="139"/>
      <c r="I30" s="206" t="s">
        <v>74</v>
      </c>
      <c r="J30" s="207">
        <v>322.15</v>
      </c>
      <c r="K30" s="211"/>
      <c r="L30" s="206" t="s">
        <v>74</v>
      </c>
      <c r="M30" s="210">
        <f>J30*(K2/H2)</f>
        <v>493.0506111899148</v>
      </c>
    </row>
    <row r="31" spans="1:13" ht="25.5">
      <c r="A31" s="100"/>
      <c r="B31" s="91"/>
      <c r="C31" s="95"/>
      <c r="D31" s="93"/>
      <c r="E31" s="96"/>
      <c r="F31" s="96"/>
      <c r="G31" s="96"/>
      <c r="H31" s="139"/>
      <c r="I31" s="206" t="s">
        <v>75</v>
      </c>
      <c r="J31" s="207">
        <f>333-107.92+7.45</f>
        <v>232.52999999999997</v>
      </c>
      <c r="K31" s="211"/>
      <c r="L31" s="206" t="s">
        <v>75</v>
      </c>
      <c r="M31" s="210">
        <f>J31*(K2/H2)</f>
        <v>355.88719112211976</v>
      </c>
    </row>
    <row r="32" spans="1:13" ht="25.5">
      <c r="A32" s="100"/>
      <c r="B32" s="91"/>
      <c r="C32" s="95"/>
      <c r="D32" s="93"/>
      <c r="E32" s="96"/>
      <c r="F32" s="96"/>
      <c r="G32" s="96"/>
      <c r="H32" s="139"/>
      <c r="I32" s="206" t="s">
        <v>76</v>
      </c>
      <c r="J32" s="207">
        <v>3083.34</v>
      </c>
      <c r="K32" s="211"/>
      <c r="L32" s="206" t="s">
        <v>76</v>
      </c>
      <c r="M32" s="210">
        <f>J32*(K2/H2)</f>
        <v>4719.052216378433</v>
      </c>
    </row>
    <row r="33" spans="1:13" ht="25.5">
      <c r="A33" s="100"/>
      <c r="B33" s="91"/>
      <c r="C33" s="95"/>
      <c r="D33" s="93"/>
      <c r="E33" s="96"/>
      <c r="F33" s="96"/>
      <c r="G33" s="96"/>
      <c r="H33" s="139"/>
      <c r="I33" s="206" t="s">
        <v>77</v>
      </c>
      <c r="J33" s="207">
        <v>432.73</v>
      </c>
      <c r="K33" s="211"/>
      <c r="L33" s="206" t="s">
        <v>77</v>
      </c>
      <c r="M33" s="210">
        <f>J33*(K2/H2)</f>
        <v>662.2933136123291</v>
      </c>
    </row>
    <row r="34" spans="1:13" ht="25.5">
      <c r="A34" s="100"/>
      <c r="B34" s="91"/>
      <c r="C34" s="95"/>
      <c r="D34" s="93"/>
      <c r="E34" s="96"/>
      <c r="F34" s="96"/>
      <c r="G34" s="96"/>
      <c r="H34" s="139"/>
      <c r="I34" s="206" t="s">
        <v>78</v>
      </c>
      <c r="J34" s="207">
        <v>333</v>
      </c>
      <c r="K34" s="211"/>
      <c r="L34" s="206" t="s">
        <v>78</v>
      </c>
      <c r="M34" s="210">
        <f>J38*(K2/H2)</f>
        <v>344.48496528519644</v>
      </c>
    </row>
    <row r="35" spans="1:13" ht="25.5">
      <c r="A35" s="100"/>
      <c r="B35" s="91"/>
      <c r="C35" s="95"/>
      <c r="D35" s="93"/>
      <c r="E35" s="96"/>
      <c r="F35" s="96"/>
      <c r="G35" s="96"/>
      <c r="H35" s="139"/>
      <c r="I35" s="206" t="s">
        <v>78</v>
      </c>
      <c r="J35" s="207">
        <v>-107.92</v>
      </c>
      <c r="K35" s="211"/>
      <c r="L35" s="206"/>
      <c r="M35" s="210">
        <f>J39*(K2/H2)</f>
        <v>4719.052216378433</v>
      </c>
    </row>
    <row r="36" spans="1:13" ht="25.5">
      <c r="A36" s="100"/>
      <c r="B36" s="91"/>
      <c r="C36" s="95"/>
      <c r="D36" s="93"/>
      <c r="E36" s="96"/>
      <c r="F36" s="96"/>
      <c r="G36" s="96"/>
      <c r="H36" s="139"/>
      <c r="I36" s="206" t="s">
        <v>79</v>
      </c>
      <c r="J36" s="207">
        <v>3083.34</v>
      </c>
      <c r="K36" s="211"/>
      <c r="L36" s="206" t="s">
        <v>79</v>
      </c>
      <c r="M36" s="210">
        <f>J36*(K2/H2)</f>
        <v>4719.052216378433</v>
      </c>
    </row>
    <row r="37" spans="1:13" ht="25.5">
      <c r="A37" s="100"/>
      <c r="B37" s="91"/>
      <c r="C37" s="95"/>
      <c r="D37" s="93"/>
      <c r="E37" s="96"/>
      <c r="F37" s="96"/>
      <c r="G37" s="96"/>
      <c r="H37" s="139"/>
      <c r="I37" s="206" t="s">
        <v>80</v>
      </c>
      <c r="J37" s="207">
        <v>322.15</v>
      </c>
      <c r="K37" s="211"/>
      <c r="L37" s="206" t="s">
        <v>80</v>
      </c>
      <c r="M37" s="210">
        <f>J37*(K2/H2)</f>
        <v>493.0506111899148</v>
      </c>
    </row>
    <row r="38" spans="1:13" ht="25.5">
      <c r="A38" s="100"/>
      <c r="B38" s="91"/>
      <c r="C38" s="95"/>
      <c r="D38" s="93"/>
      <c r="E38" s="96"/>
      <c r="F38" s="96"/>
      <c r="G38" s="96"/>
      <c r="H38" s="139"/>
      <c r="I38" s="206" t="s">
        <v>81</v>
      </c>
      <c r="J38" s="207">
        <v>225.08</v>
      </c>
      <c r="K38" s="211"/>
      <c r="L38" s="206" t="s">
        <v>81</v>
      </c>
      <c r="M38" s="210">
        <f>J38*(K2/H2)</f>
        <v>344.48496528519644</v>
      </c>
    </row>
    <row r="39" spans="1:13" ht="25.5">
      <c r="A39" s="100"/>
      <c r="B39" s="91"/>
      <c r="C39" s="95"/>
      <c r="D39" s="93"/>
      <c r="E39" s="96"/>
      <c r="F39" s="96"/>
      <c r="G39" s="96"/>
      <c r="H39" s="139"/>
      <c r="I39" s="206" t="s">
        <v>128</v>
      </c>
      <c r="J39" s="207">
        <v>3083.34</v>
      </c>
      <c r="K39" s="211"/>
      <c r="L39" s="206" t="s">
        <v>128</v>
      </c>
      <c r="M39" s="210">
        <f>J39*(K2/H2)</f>
        <v>4719.052216378433</v>
      </c>
    </row>
    <row r="40" spans="1:13" ht="25.5">
      <c r="A40" s="100"/>
      <c r="B40" s="91"/>
      <c r="C40" s="95"/>
      <c r="D40" s="93"/>
      <c r="E40" s="96"/>
      <c r="F40" s="96"/>
      <c r="G40" s="96"/>
      <c r="H40" s="139"/>
      <c r="I40" s="206" t="s">
        <v>129</v>
      </c>
      <c r="J40" s="207">
        <v>322.15</v>
      </c>
      <c r="K40" s="211"/>
      <c r="L40" s="206" t="s">
        <v>129</v>
      </c>
      <c r="M40" s="210">
        <f>J40*(K2/H2)</f>
        <v>493.0506111899148</v>
      </c>
    </row>
    <row r="41" spans="1:13" ht="25.5">
      <c r="A41" s="100"/>
      <c r="B41" s="91"/>
      <c r="C41" s="95"/>
      <c r="D41" s="93"/>
      <c r="E41" s="96"/>
      <c r="F41" s="96"/>
      <c r="G41" s="96"/>
      <c r="H41" s="139"/>
      <c r="I41" s="206" t="s">
        <v>82</v>
      </c>
      <c r="J41" s="207">
        <v>232.53</v>
      </c>
      <c r="K41" s="211"/>
      <c r="L41" s="206" t="s">
        <v>82</v>
      </c>
      <c r="M41" s="210">
        <f>J41*(K2/H2)</f>
        <v>355.8871911221198</v>
      </c>
    </row>
    <row r="42" spans="1:13" ht="25.5">
      <c r="A42" s="100"/>
      <c r="B42" s="91"/>
      <c r="C42" s="95"/>
      <c r="D42" s="93"/>
      <c r="E42" s="96"/>
      <c r="F42" s="96"/>
      <c r="G42" s="96"/>
      <c r="H42" s="139"/>
      <c r="I42" s="206" t="s">
        <v>114</v>
      </c>
      <c r="J42" s="207">
        <v>3168.17</v>
      </c>
      <c r="K42" s="209"/>
      <c r="L42" s="206" t="s">
        <v>114</v>
      </c>
      <c r="M42" s="210">
        <f>J42*(K2/H2)</f>
        <v>4848.884540908125</v>
      </c>
    </row>
    <row r="43" spans="1:13" ht="25.5">
      <c r="A43" s="100"/>
      <c r="B43" s="91"/>
      <c r="C43" s="95"/>
      <c r="D43" s="93"/>
      <c r="E43" s="96"/>
      <c r="F43" s="96"/>
      <c r="G43" s="96"/>
      <c r="H43" s="139"/>
      <c r="I43" s="206" t="s">
        <v>119</v>
      </c>
      <c r="J43" s="207">
        <v>330.41</v>
      </c>
      <c r="K43" s="209"/>
      <c r="L43" s="206" t="s">
        <v>119</v>
      </c>
      <c r="M43" s="210">
        <f>J43*(K2/H2)</f>
        <v>505.6925421178326</v>
      </c>
    </row>
    <row r="44" spans="1:13" ht="25.5">
      <c r="A44" s="100"/>
      <c r="B44" s="91"/>
      <c r="C44" s="95"/>
      <c r="D44" s="93"/>
      <c r="E44" s="96"/>
      <c r="F44" s="96"/>
      <c r="G44" s="96"/>
      <c r="H44" s="139"/>
      <c r="I44" s="206" t="s">
        <v>123</v>
      </c>
      <c r="J44" s="207">
        <v>231.27</v>
      </c>
      <c r="K44" s="209"/>
      <c r="L44" s="206" t="s">
        <v>124</v>
      </c>
      <c r="M44" s="210">
        <f>J44*(K2/H2)</f>
        <v>353.95876098057306</v>
      </c>
    </row>
    <row r="45" spans="1:13" ht="25.5">
      <c r="A45" s="100"/>
      <c r="B45" s="91"/>
      <c r="C45" s="95"/>
      <c r="D45" s="93"/>
      <c r="E45" s="96"/>
      <c r="F45" s="96"/>
      <c r="G45" s="96"/>
      <c r="H45" s="139"/>
      <c r="I45" s="228" t="s">
        <v>183</v>
      </c>
      <c r="J45" s="223">
        <f>2745.54+7.18</f>
        <v>2752.72</v>
      </c>
      <c r="K45" s="229"/>
      <c r="L45" s="228" t="s">
        <v>183</v>
      </c>
      <c r="M45" s="210">
        <f>J45*(K2/H2)</f>
        <v>4213.0382692370085</v>
      </c>
    </row>
    <row r="46" spans="1:13" ht="25.5">
      <c r="A46" s="100"/>
      <c r="B46" s="91"/>
      <c r="C46" s="95"/>
      <c r="D46" s="93"/>
      <c r="E46" s="96"/>
      <c r="F46" s="96"/>
      <c r="G46" s="96"/>
      <c r="H46" s="139"/>
      <c r="I46" s="230" t="s">
        <v>184</v>
      </c>
      <c r="J46" s="225">
        <f>3168.17-J45</f>
        <v>415.4500000000003</v>
      </c>
      <c r="K46" s="231"/>
      <c r="L46" s="230" t="s">
        <v>184</v>
      </c>
      <c r="M46" s="84">
        <f>J46*(K3/H3)</f>
        <v>670.6609832540582</v>
      </c>
    </row>
    <row r="47" spans="1:13" ht="25.5">
      <c r="A47" s="100"/>
      <c r="B47" s="91"/>
      <c r="C47" s="95"/>
      <c r="D47" s="93"/>
      <c r="E47" s="96"/>
      <c r="F47" s="96"/>
      <c r="G47" s="96"/>
      <c r="H47" s="139"/>
      <c r="I47" s="230" t="s">
        <v>178</v>
      </c>
      <c r="J47" s="278">
        <v>-110.89</v>
      </c>
      <c r="K47" s="279"/>
      <c r="L47" s="230" t="s">
        <v>178</v>
      </c>
      <c r="M47" s="280">
        <f>J47*(K3/H3)</f>
        <v>-179.0097398797508</v>
      </c>
    </row>
    <row r="48" spans="1:13" ht="25.5">
      <c r="A48" s="100"/>
      <c r="B48" s="91"/>
      <c r="C48" s="95"/>
      <c r="D48" s="93"/>
      <c r="E48" s="96"/>
      <c r="F48" s="96"/>
      <c r="G48" s="96"/>
      <c r="H48" s="139"/>
      <c r="I48" s="230" t="s">
        <v>120</v>
      </c>
      <c r="J48" s="225">
        <v>330.41</v>
      </c>
      <c r="K48" s="231"/>
      <c r="L48" s="230" t="s">
        <v>120</v>
      </c>
      <c r="M48" s="84">
        <f>J48*(K3/H3)</f>
        <v>533.3809013767559</v>
      </c>
    </row>
    <row r="49" spans="1:13" ht="25.5">
      <c r="A49" s="100"/>
      <c r="B49" s="91"/>
      <c r="C49" s="95"/>
      <c r="D49" s="93"/>
      <c r="E49" s="96"/>
      <c r="F49" s="96"/>
      <c r="G49" s="96"/>
      <c r="H49" s="139"/>
      <c r="I49" s="230" t="s">
        <v>125</v>
      </c>
      <c r="J49" s="225">
        <v>342.16</v>
      </c>
      <c r="K49" s="231"/>
      <c r="L49" s="230" t="s">
        <v>125</v>
      </c>
      <c r="M49" s="84">
        <f>J49*(K3/H3)</f>
        <v>552.3489277415055</v>
      </c>
    </row>
    <row r="50" spans="1:13" ht="25.5">
      <c r="A50" s="100"/>
      <c r="B50" s="91"/>
      <c r="C50" s="95"/>
      <c r="D50" s="93"/>
      <c r="E50" s="96"/>
      <c r="F50" s="96"/>
      <c r="G50" s="96"/>
      <c r="H50" s="139"/>
      <c r="I50" s="230" t="s">
        <v>142</v>
      </c>
      <c r="J50" s="225">
        <v>3168.17</v>
      </c>
      <c r="K50" s="231"/>
      <c r="L50" s="230" t="s">
        <v>142</v>
      </c>
      <c r="M50" s="84">
        <f>J50*(K3/H3)</f>
        <v>5114.3771989794395</v>
      </c>
    </row>
    <row r="51" spans="1:13" ht="25.5">
      <c r="A51" s="100"/>
      <c r="B51" s="91"/>
      <c r="C51" s="95"/>
      <c r="D51" s="93"/>
      <c r="E51" s="96"/>
      <c r="F51" s="96"/>
      <c r="G51" s="96"/>
      <c r="H51" s="139"/>
      <c r="I51" s="230" t="s">
        <v>177</v>
      </c>
      <c r="J51" s="278">
        <v>-110.89</v>
      </c>
      <c r="K51" s="279"/>
      <c r="L51" s="230" t="s">
        <v>177</v>
      </c>
      <c r="M51" s="280">
        <f>J51*(K3/H3)</f>
        <v>-179.0097398797508</v>
      </c>
    </row>
    <row r="52" spans="1:13" ht="25.5">
      <c r="A52" s="100"/>
      <c r="B52" s="91"/>
      <c r="C52" s="95"/>
      <c r="D52" s="93"/>
      <c r="E52" s="96"/>
      <c r="F52" s="96"/>
      <c r="G52" s="96"/>
      <c r="H52" s="139"/>
      <c r="I52" s="230" t="s">
        <v>143</v>
      </c>
      <c r="J52" s="225">
        <v>330.41</v>
      </c>
      <c r="K52" s="231"/>
      <c r="L52" s="230" t="s">
        <v>143</v>
      </c>
      <c r="M52" s="84">
        <f>J52*(K3/H3)</f>
        <v>533.3809013767559</v>
      </c>
    </row>
    <row r="53" spans="1:13" ht="25.5">
      <c r="A53" s="100"/>
      <c r="B53" s="91"/>
      <c r="C53" s="95"/>
      <c r="D53" s="93"/>
      <c r="E53" s="96"/>
      <c r="F53" s="96"/>
      <c r="G53" s="96"/>
      <c r="H53" s="139"/>
      <c r="I53" s="230" t="s">
        <v>144</v>
      </c>
      <c r="J53" s="225">
        <v>342.16</v>
      </c>
      <c r="K53" s="231"/>
      <c r="L53" s="230" t="s">
        <v>144</v>
      </c>
      <c r="M53" s="84">
        <f>J53*(K3/H3)</f>
        <v>552.3489277415055</v>
      </c>
    </row>
    <row r="54" spans="1:13" ht="25.5">
      <c r="A54" s="100"/>
      <c r="B54" s="91"/>
      <c r="C54" s="95"/>
      <c r="D54" s="93"/>
      <c r="E54" s="96"/>
      <c r="F54" s="96"/>
      <c r="G54" s="96"/>
      <c r="H54" s="139"/>
      <c r="I54" s="230" t="s">
        <v>147</v>
      </c>
      <c r="J54" s="225">
        <v>3168.17</v>
      </c>
      <c r="K54" s="231"/>
      <c r="L54" s="230" t="s">
        <v>147</v>
      </c>
      <c r="M54" s="84">
        <f>J54*(K3/H3)</f>
        <v>5114.3771989794395</v>
      </c>
    </row>
    <row r="55" spans="1:13" ht="25.5">
      <c r="A55" s="100"/>
      <c r="B55" s="91"/>
      <c r="C55" s="95"/>
      <c r="D55" s="93"/>
      <c r="E55" s="96"/>
      <c r="F55" s="96"/>
      <c r="G55" s="96"/>
      <c r="H55" s="139"/>
      <c r="I55" s="230" t="s">
        <v>179</v>
      </c>
      <c r="J55" s="278">
        <v>-110.89</v>
      </c>
      <c r="K55" s="279"/>
      <c r="L55" s="230" t="s">
        <v>179</v>
      </c>
      <c r="M55" s="280">
        <f>J55*(K3/H3)</f>
        <v>-179.0097398797508</v>
      </c>
    </row>
    <row r="56" spans="1:13" ht="12.75">
      <c r="A56" s="100"/>
      <c r="B56" s="91"/>
      <c r="C56" s="95"/>
      <c r="D56" s="93"/>
      <c r="E56" s="96"/>
      <c r="F56" s="96"/>
      <c r="G56" s="96"/>
      <c r="H56" s="139"/>
      <c r="I56" s="230" t="s">
        <v>145</v>
      </c>
      <c r="J56" s="225">
        <v>330.41</v>
      </c>
      <c r="K56" s="231"/>
      <c r="L56" s="230" t="s">
        <v>145</v>
      </c>
      <c r="M56" s="84">
        <f>J56*(K3/H3)</f>
        <v>533.3809013767559</v>
      </c>
    </row>
    <row r="57" spans="1:13" ht="25.5">
      <c r="A57" s="100"/>
      <c r="B57" s="91"/>
      <c r="C57" s="95"/>
      <c r="D57" s="93"/>
      <c r="E57" s="96"/>
      <c r="F57" s="96"/>
      <c r="G57" s="96"/>
      <c r="H57" s="139"/>
      <c r="I57" s="230" t="s">
        <v>146</v>
      </c>
      <c r="J57" s="225">
        <v>342.16</v>
      </c>
      <c r="K57" s="231"/>
      <c r="L57" s="230" t="s">
        <v>146</v>
      </c>
      <c r="M57" s="84">
        <f>J57*(K3/H3)</f>
        <v>552.3489277415055</v>
      </c>
    </row>
    <row r="58" spans="1:13" ht="12.75">
      <c r="A58" s="100"/>
      <c r="B58" s="91"/>
      <c r="C58" s="95"/>
      <c r="D58" s="93"/>
      <c r="E58" s="96"/>
      <c r="F58" s="96"/>
      <c r="G58" s="96"/>
      <c r="H58" s="139"/>
      <c r="I58" s="297" t="s">
        <v>300</v>
      </c>
      <c r="J58" s="310">
        <v>198.72</v>
      </c>
      <c r="K58" s="231"/>
      <c r="L58" s="297" t="s">
        <v>300</v>
      </c>
      <c r="M58" s="310">
        <f>J58*(K5/H5)</f>
        <v>336.4329339264476</v>
      </c>
    </row>
    <row r="59" spans="1:13" ht="38.25">
      <c r="A59" s="100"/>
      <c r="B59" s="91"/>
      <c r="C59" s="95"/>
      <c r="D59" s="93"/>
      <c r="E59" s="96"/>
      <c r="F59" s="96"/>
      <c r="G59" s="96"/>
      <c r="H59" s="139"/>
      <c r="I59" s="281" t="s">
        <v>202</v>
      </c>
      <c r="J59" s="282">
        <v>241.68</v>
      </c>
      <c r="K59" s="283"/>
      <c r="L59" s="281" t="s">
        <v>194</v>
      </c>
      <c r="M59" s="273">
        <f>J59*(K4/H4)</f>
        <v>398.5544649874652</v>
      </c>
    </row>
    <row r="60" spans="1:13" ht="25.5">
      <c r="A60" s="100"/>
      <c r="B60" s="91"/>
      <c r="C60" s="95"/>
      <c r="D60" s="93"/>
      <c r="E60" s="96"/>
      <c r="F60" s="96"/>
      <c r="G60" s="96"/>
      <c r="H60" s="139"/>
      <c r="I60" s="281" t="s">
        <v>194</v>
      </c>
      <c r="J60" s="282">
        <f>3750</f>
        <v>3750</v>
      </c>
      <c r="K60" s="283"/>
      <c r="L60" s="281" t="s">
        <v>194</v>
      </c>
      <c r="M60" s="273">
        <f>J60*(K4/H4)</f>
        <v>6184.124642928643</v>
      </c>
    </row>
    <row r="61" spans="1:13" ht="38.25">
      <c r="A61" s="100"/>
      <c r="B61" s="91"/>
      <c r="C61" s="95"/>
      <c r="D61" s="93"/>
      <c r="E61" s="96"/>
      <c r="F61" s="96"/>
      <c r="G61" s="96"/>
      <c r="H61" s="139"/>
      <c r="I61" s="281" t="s">
        <v>195</v>
      </c>
      <c r="J61" s="282">
        <f>-139.71</f>
        <v>-139.71</v>
      </c>
      <c r="K61" s="283"/>
      <c r="L61" s="284" t="s">
        <v>195</v>
      </c>
      <c r="M61" s="273">
        <f>J61*(K4/H4)</f>
        <v>-230.39574769694954</v>
      </c>
    </row>
    <row r="62" spans="1:13" ht="25.5">
      <c r="A62" s="100"/>
      <c r="B62" s="91"/>
      <c r="C62" s="95"/>
      <c r="D62" s="93"/>
      <c r="E62" s="96"/>
      <c r="F62" s="96"/>
      <c r="G62" s="96"/>
      <c r="H62" s="139"/>
      <c r="I62" s="281" t="s">
        <v>196</v>
      </c>
      <c r="J62" s="282">
        <v>440.08</v>
      </c>
      <c r="K62" s="283"/>
      <c r="L62" s="281" t="s">
        <v>196</v>
      </c>
      <c r="M62" s="273">
        <f>J62*(K4/H4)</f>
        <v>725.73588609601</v>
      </c>
    </row>
    <row r="63" spans="1:13" ht="25.5">
      <c r="A63" s="100"/>
      <c r="B63" s="91"/>
      <c r="C63" s="95"/>
      <c r="D63" s="93"/>
      <c r="E63" s="96"/>
      <c r="F63" s="96"/>
      <c r="G63" s="96"/>
      <c r="H63" s="139"/>
      <c r="I63" s="281" t="s">
        <v>197</v>
      </c>
      <c r="J63" s="282">
        <v>431.11</v>
      </c>
      <c r="K63" s="283"/>
      <c r="L63" s="281" t="s">
        <v>197</v>
      </c>
      <c r="M63" s="273">
        <f>J63*(K4/H4)</f>
        <v>710.9434599501246</v>
      </c>
    </row>
    <row r="64" spans="1:13" ht="25.5">
      <c r="A64" s="100"/>
      <c r="B64" s="91"/>
      <c r="C64" s="95"/>
      <c r="D64" s="93"/>
      <c r="E64" s="96"/>
      <c r="F64" s="96"/>
      <c r="G64" s="96"/>
      <c r="H64" s="139"/>
      <c r="I64" s="281" t="s">
        <v>198</v>
      </c>
      <c r="J64" s="282">
        <f>3750</f>
        <v>3750</v>
      </c>
      <c r="K64" s="283"/>
      <c r="L64" s="281" t="s">
        <v>198</v>
      </c>
      <c r="M64" s="273">
        <f>J64*(K4/H4)</f>
        <v>6184.124642928643</v>
      </c>
    </row>
    <row r="65" spans="1:13" ht="25.5">
      <c r="A65" s="100"/>
      <c r="B65" s="91"/>
      <c r="C65" s="95"/>
      <c r="D65" s="93"/>
      <c r="E65" s="96"/>
      <c r="F65" s="96"/>
      <c r="G65" s="96"/>
      <c r="H65" s="139"/>
      <c r="I65" s="281" t="s">
        <v>199</v>
      </c>
      <c r="J65" s="282">
        <v>407.89</v>
      </c>
      <c r="K65" s="283"/>
      <c r="L65" s="281" t="s">
        <v>199</v>
      </c>
      <c r="M65" s="273">
        <f>J65*(K4/H4)</f>
        <v>672.6513601611105</v>
      </c>
    </row>
    <row r="66" spans="1:13" ht="25.5">
      <c r="A66" s="100"/>
      <c r="B66" s="91"/>
      <c r="C66" s="95"/>
      <c r="D66" s="93"/>
      <c r="E66" s="96"/>
      <c r="F66" s="96"/>
      <c r="G66" s="96"/>
      <c r="H66" s="139"/>
      <c r="I66" s="281" t="s">
        <v>221</v>
      </c>
      <c r="J66" s="282">
        <v>405</v>
      </c>
      <c r="K66" s="283"/>
      <c r="L66" s="281" t="s">
        <v>221</v>
      </c>
      <c r="M66" s="273">
        <f>J66*(K4/H4)</f>
        <v>667.8854614362934</v>
      </c>
    </row>
    <row r="67" spans="1:13" ht="38.25">
      <c r="A67" s="100"/>
      <c r="B67" s="91"/>
      <c r="C67" s="95"/>
      <c r="D67" s="93"/>
      <c r="E67" s="96"/>
      <c r="F67" s="96"/>
      <c r="G67" s="96"/>
      <c r="H67" s="139"/>
      <c r="I67" s="297" t="s">
        <v>223</v>
      </c>
      <c r="J67" s="310">
        <v>-131.25</v>
      </c>
      <c r="K67" s="311"/>
      <c r="L67" s="297" t="s">
        <v>223</v>
      </c>
      <c r="M67" s="277">
        <f>J67*(K5/H5)</f>
        <v>-222.20623277901694</v>
      </c>
    </row>
    <row r="68" spans="1:13" ht="25.5">
      <c r="A68" s="100"/>
      <c r="B68" s="91"/>
      <c r="C68" s="95"/>
      <c r="D68" s="93"/>
      <c r="E68" s="96"/>
      <c r="F68" s="96"/>
      <c r="G68" s="96"/>
      <c r="H68" s="139"/>
      <c r="I68" s="297" t="s">
        <v>224</v>
      </c>
      <c r="J68" s="310">
        <v>3750</v>
      </c>
      <c r="K68" s="311"/>
      <c r="L68" s="297" t="s">
        <v>224</v>
      </c>
      <c r="M68" s="277">
        <f>J68*(K5/H5)</f>
        <v>6348.749507971913</v>
      </c>
    </row>
    <row r="69" spans="1:13" ht="25.5">
      <c r="A69" s="100"/>
      <c r="B69" s="91"/>
      <c r="C69" s="95"/>
      <c r="D69" s="93"/>
      <c r="E69" s="96"/>
      <c r="F69" s="96"/>
      <c r="G69" s="96"/>
      <c r="H69" s="139"/>
      <c r="I69" s="297" t="s">
        <v>222</v>
      </c>
      <c r="J69" s="310">
        <v>407.89</v>
      </c>
      <c r="K69" s="311"/>
      <c r="L69" s="297" t="s">
        <v>222</v>
      </c>
      <c r="M69" s="277">
        <f>J69*(K5/H5)</f>
        <v>690.5577164817769</v>
      </c>
    </row>
    <row r="70" spans="1:13" ht="25.5">
      <c r="A70" s="100"/>
      <c r="B70" s="91"/>
      <c r="C70" s="95"/>
      <c r="D70" s="93"/>
      <c r="E70" s="96"/>
      <c r="F70" s="96"/>
      <c r="G70" s="96"/>
      <c r="H70" s="139"/>
      <c r="I70" s="297" t="s">
        <v>240</v>
      </c>
      <c r="J70" s="310">
        <v>405</v>
      </c>
      <c r="K70" s="311"/>
      <c r="L70" s="297" t="s">
        <v>240</v>
      </c>
      <c r="M70" s="277">
        <f>J70*(K5/H5)</f>
        <v>685.6649468609666</v>
      </c>
    </row>
    <row r="71" spans="1:13" ht="38.25">
      <c r="A71" s="100"/>
      <c r="B71" s="91"/>
      <c r="C71" s="95"/>
      <c r="D71" s="93"/>
      <c r="E71" s="96"/>
      <c r="F71" s="96"/>
      <c r="G71" s="96"/>
      <c r="H71" s="139"/>
      <c r="I71" s="297" t="s">
        <v>236</v>
      </c>
      <c r="J71" s="310">
        <v>-131.25</v>
      </c>
      <c r="K71" s="311"/>
      <c r="L71" s="297" t="s">
        <v>236</v>
      </c>
      <c r="M71" s="277">
        <f>J71*(K5/H5)</f>
        <v>-222.20623277901694</v>
      </c>
    </row>
    <row r="72" spans="1:13" ht="25.5">
      <c r="A72" s="100"/>
      <c r="B72" s="91"/>
      <c r="C72" s="95"/>
      <c r="D72" s="93"/>
      <c r="E72" s="96"/>
      <c r="F72" s="96"/>
      <c r="G72" s="96"/>
      <c r="H72" s="139"/>
      <c r="I72" s="297" t="s">
        <v>238</v>
      </c>
      <c r="J72" s="310">
        <v>3750</v>
      </c>
      <c r="K72" s="311"/>
      <c r="L72" s="297" t="s">
        <v>238</v>
      </c>
      <c r="M72" s="277">
        <f>J72*(K5/H5)</f>
        <v>6348.749507971913</v>
      </c>
    </row>
    <row r="73" spans="1:13" ht="38.25">
      <c r="A73" s="100"/>
      <c r="B73" s="91"/>
      <c r="C73" s="95"/>
      <c r="D73" s="93"/>
      <c r="E73" s="96"/>
      <c r="F73" s="96"/>
      <c r="G73" s="96"/>
      <c r="H73" s="139"/>
      <c r="I73" s="297" t="s">
        <v>237</v>
      </c>
      <c r="J73" s="310">
        <v>-131.25</v>
      </c>
      <c r="K73" s="311"/>
      <c r="L73" s="297" t="s">
        <v>237</v>
      </c>
      <c r="M73" s="277">
        <f>J73*(K5/H5)</f>
        <v>-222.20623277901694</v>
      </c>
    </row>
    <row r="74" spans="1:13" ht="25.5">
      <c r="A74" s="100"/>
      <c r="B74" s="91"/>
      <c r="C74" s="95"/>
      <c r="D74" s="93"/>
      <c r="E74" s="96"/>
      <c r="F74" s="96"/>
      <c r="G74" s="96"/>
      <c r="H74" s="139"/>
      <c r="I74" s="297" t="s">
        <v>239</v>
      </c>
      <c r="J74" s="310">
        <v>407.89</v>
      </c>
      <c r="K74" s="311"/>
      <c r="L74" s="297" t="s">
        <v>239</v>
      </c>
      <c r="M74" s="277">
        <f>J74*(K5/H5)</f>
        <v>690.5577164817769</v>
      </c>
    </row>
    <row r="75" spans="1:13" ht="25.5">
      <c r="A75" s="100"/>
      <c r="B75" s="91"/>
      <c r="C75" s="95"/>
      <c r="D75" s="93"/>
      <c r="E75" s="96"/>
      <c r="F75" s="96"/>
      <c r="G75" s="96"/>
      <c r="H75" s="139"/>
      <c r="I75" s="297" t="s">
        <v>241</v>
      </c>
      <c r="J75" s="310">
        <v>405</v>
      </c>
      <c r="K75" s="311"/>
      <c r="L75" s="297" t="s">
        <v>241</v>
      </c>
      <c r="M75" s="277">
        <f>J75*(K5/H5)</f>
        <v>685.6649468609666</v>
      </c>
    </row>
    <row r="76" spans="1:13" ht="12.75">
      <c r="A76" s="100"/>
      <c r="B76" s="91"/>
      <c r="C76" s="95"/>
      <c r="D76" s="93"/>
      <c r="E76" s="96"/>
      <c r="F76" s="96"/>
      <c r="G76" s="96"/>
      <c r="H76" s="139"/>
      <c r="I76" s="297" t="s">
        <v>293</v>
      </c>
      <c r="J76" s="310">
        <v>7.65</v>
      </c>
      <c r="K76" s="311"/>
      <c r="L76" s="297" t="s">
        <v>293</v>
      </c>
      <c r="M76" s="277">
        <f>J76*(K5/H5)</f>
        <v>12.951448996262704</v>
      </c>
    </row>
    <row r="77" spans="1:13" ht="12.75">
      <c r="A77" s="100"/>
      <c r="B77" s="91"/>
      <c r="C77" s="95"/>
      <c r="D77" s="93"/>
      <c r="E77" s="96"/>
      <c r="F77" s="96"/>
      <c r="G77" s="96"/>
      <c r="H77" s="139"/>
      <c r="I77" s="297" t="s">
        <v>293</v>
      </c>
      <c r="J77" s="310">
        <v>7.65</v>
      </c>
      <c r="K77" s="311"/>
      <c r="L77" s="297" t="s">
        <v>293</v>
      </c>
      <c r="M77" s="277">
        <f>J77*(K5/H5)</f>
        <v>12.951448996262704</v>
      </c>
    </row>
    <row r="78" spans="1:13" ht="12.75">
      <c r="A78" s="100"/>
      <c r="B78" s="91"/>
      <c r="C78" s="95"/>
      <c r="D78" s="93"/>
      <c r="E78" s="96"/>
      <c r="F78" s="96"/>
      <c r="G78" s="96"/>
      <c r="H78" s="139"/>
      <c r="I78" s="297" t="s">
        <v>293</v>
      </c>
      <c r="J78" s="310">
        <v>9.64</v>
      </c>
      <c r="K78" s="311"/>
      <c r="L78" s="297" t="s">
        <v>293</v>
      </c>
      <c r="M78" s="277">
        <f>J78*(K5/H5)</f>
        <v>16.320518735159798</v>
      </c>
    </row>
    <row r="79" spans="1:13" ht="12.75">
      <c r="A79" s="100"/>
      <c r="B79" s="91"/>
      <c r="C79" s="95"/>
      <c r="D79" s="93"/>
      <c r="E79" s="96"/>
      <c r="F79" s="96"/>
      <c r="G79" s="96"/>
      <c r="H79" s="139"/>
      <c r="I79" s="297" t="s">
        <v>293</v>
      </c>
      <c r="J79" s="310">
        <v>9.06</v>
      </c>
      <c r="K79" s="311"/>
      <c r="L79" s="297" t="s">
        <v>293</v>
      </c>
      <c r="M79" s="277">
        <f>J79*(K5/H5)</f>
        <v>15.338578811260142</v>
      </c>
    </row>
    <row r="80" spans="1:13" ht="12.75">
      <c r="A80" s="100"/>
      <c r="B80" s="91"/>
      <c r="C80" s="95"/>
      <c r="D80" s="93"/>
      <c r="E80" s="96"/>
      <c r="F80" s="96"/>
      <c r="G80" s="96"/>
      <c r="H80" s="139"/>
      <c r="I80" s="297" t="s">
        <v>293</v>
      </c>
      <c r="J80" s="310">
        <v>9.06</v>
      </c>
      <c r="K80" s="311"/>
      <c r="L80" s="297" t="s">
        <v>293</v>
      </c>
      <c r="M80" s="277">
        <f>J80*(K5/H5)</f>
        <v>15.338578811260142</v>
      </c>
    </row>
    <row r="81" spans="1:13" ht="12.75">
      <c r="A81" s="100"/>
      <c r="B81" s="91"/>
      <c r="C81" s="95"/>
      <c r="D81" s="93"/>
      <c r="E81" s="96"/>
      <c r="F81" s="96"/>
      <c r="G81" s="96"/>
      <c r="H81" s="139"/>
      <c r="I81" s="297" t="s">
        <v>293</v>
      </c>
      <c r="J81" s="310">
        <v>9.06</v>
      </c>
      <c r="K81" s="311"/>
      <c r="L81" s="297" t="s">
        <v>293</v>
      </c>
      <c r="M81" s="277">
        <f>J81*(K5/H5)</f>
        <v>15.338578811260142</v>
      </c>
    </row>
    <row r="82" spans="1:13" s="150" customFormat="1" ht="25.5">
      <c r="A82" s="254"/>
      <c r="B82" s="255"/>
      <c r="C82" s="92"/>
      <c r="D82" s="256"/>
      <c r="E82" s="94"/>
      <c r="F82" s="94"/>
      <c r="G82" s="94"/>
      <c r="H82" s="146"/>
      <c r="I82" s="336" t="s">
        <v>270</v>
      </c>
      <c r="J82" s="310">
        <v>3750</v>
      </c>
      <c r="K82" s="311"/>
      <c r="L82" s="336" t="s">
        <v>238</v>
      </c>
      <c r="M82" s="277">
        <f>J82*(K5/H5)</f>
        <v>6348.749507971913</v>
      </c>
    </row>
    <row r="83" spans="1:13" s="150" customFormat="1" ht="38.25">
      <c r="A83" s="254"/>
      <c r="B83" s="255"/>
      <c r="C83" s="92"/>
      <c r="D83" s="256"/>
      <c r="E83" s="94"/>
      <c r="F83" s="94"/>
      <c r="G83" s="94"/>
      <c r="H83" s="146"/>
      <c r="I83" s="336" t="s">
        <v>271</v>
      </c>
      <c r="J83" s="310">
        <v>-131.25</v>
      </c>
      <c r="K83" s="311"/>
      <c r="L83" s="336" t="s">
        <v>237</v>
      </c>
      <c r="M83" s="277">
        <f>J83*(K5/H5)</f>
        <v>-222.20623277901694</v>
      </c>
    </row>
    <row r="84" spans="1:13" ht="12.75">
      <c r="A84" s="100"/>
      <c r="B84" s="91"/>
      <c r="C84" s="95"/>
      <c r="D84" s="93"/>
      <c r="E84" s="96"/>
      <c r="F84" s="96"/>
      <c r="G84" s="96"/>
      <c r="H84" s="139"/>
      <c r="I84" s="297" t="s">
        <v>293</v>
      </c>
      <c r="J84" s="310">
        <v>9.06</v>
      </c>
      <c r="K84" s="311"/>
      <c r="L84" s="297" t="s">
        <v>293</v>
      </c>
      <c r="M84" s="277">
        <f>J84*(K5/H5)</f>
        <v>15.338578811260142</v>
      </c>
    </row>
    <row r="85" spans="1:13" s="150" customFormat="1" ht="25.5">
      <c r="A85" s="254"/>
      <c r="B85" s="255"/>
      <c r="C85" s="92"/>
      <c r="D85" s="256"/>
      <c r="E85" s="94"/>
      <c r="F85" s="94"/>
      <c r="G85" s="94"/>
      <c r="H85" s="146"/>
      <c r="I85" s="336" t="s">
        <v>272</v>
      </c>
      <c r="J85" s="310">
        <v>407.89</v>
      </c>
      <c r="K85" s="311"/>
      <c r="L85" s="336" t="s">
        <v>272</v>
      </c>
      <c r="M85" s="277">
        <f>J85*(K5/H5)</f>
        <v>690.5577164817769</v>
      </c>
    </row>
    <row r="86" spans="1:13" s="150" customFormat="1" ht="25.5">
      <c r="A86" s="254"/>
      <c r="B86" s="255"/>
      <c r="C86" s="92"/>
      <c r="D86" s="256"/>
      <c r="E86" s="94"/>
      <c r="F86" s="94"/>
      <c r="G86" s="94"/>
      <c r="H86" s="146"/>
      <c r="I86" s="336" t="s">
        <v>273</v>
      </c>
      <c r="J86" s="310">
        <v>405</v>
      </c>
      <c r="K86" s="311"/>
      <c r="L86" s="336" t="s">
        <v>273</v>
      </c>
      <c r="M86" s="277">
        <f>J86*(K5/H5)</f>
        <v>685.6649468609666</v>
      </c>
    </row>
    <row r="87" spans="1:13" s="150" customFormat="1" ht="25.5">
      <c r="A87" s="254"/>
      <c r="B87" s="255"/>
      <c r="C87" s="92"/>
      <c r="D87" s="256"/>
      <c r="E87" s="94"/>
      <c r="F87" s="94"/>
      <c r="G87" s="94"/>
      <c r="H87" s="146"/>
      <c r="I87" s="336" t="s">
        <v>296</v>
      </c>
      <c r="J87" s="310">
        <v>194.4</v>
      </c>
      <c r="K87" s="311"/>
      <c r="L87" s="336" t="s">
        <v>296</v>
      </c>
      <c r="M87" s="277">
        <f>J87*(K5/H5)</f>
        <v>329.119174493264</v>
      </c>
    </row>
    <row r="88" spans="1:13" s="150" customFormat="1" ht="38.25">
      <c r="A88" s="254"/>
      <c r="B88" s="255"/>
      <c r="C88" s="92"/>
      <c r="D88" s="256"/>
      <c r="E88" s="94"/>
      <c r="F88" s="94"/>
      <c r="G88" s="94"/>
      <c r="H88" s="368"/>
      <c r="I88" s="336" t="s">
        <v>298</v>
      </c>
      <c r="J88" s="310">
        <v>4440.7</v>
      </c>
      <c r="K88" s="311"/>
      <c r="L88" s="336" t="s">
        <v>298</v>
      </c>
      <c r="M88" s="277">
        <f>J88*(K5/H5)</f>
        <v>7518.104517346899</v>
      </c>
    </row>
    <row r="89" spans="1:13" s="150" customFormat="1" ht="38.25">
      <c r="A89" s="254"/>
      <c r="B89" s="255"/>
      <c r="C89" s="92"/>
      <c r="D89" s="256"/>
      <c r="E89" s="94"/>
      <c r="F89" s="94"/>
      <c r="G89" s="94"/>
      <c r="H89" s="368"/>
      <c r="I89" s="336" t="s">
        <v>299</v>
      </c>
      <c r="J89" s="310">
        <v>4440.7</v>
      </c>
      <c r="K89" s="311"/>
      <c r="L89" s="336" t="s">
        <v>299</v>
      </c>
      <c r="M89" s="277">
        <f>J89*(K5/H5)</f>
        <v>7518.104517346899</v>
      </c>
    </row>
    <row r="90" spans="1:13" s="150" customFormat="1" ht="38.25">
      <c r="A90" s="254"/>
      <c r="B90" s="255"/>
      <c r="C90" s="92"/>
      <c r="D90" s="256"/>
      <c r="E90" s="94"/>
      <c r="F90" s="94"/>
      <c r="G90" s="94"/>
      <c r="H90" s="368"/>
      <c r="I90" s="336" t="s">
        <v>301</v>
      </c>
      <c r="J90" s="310">
        <v>4440.7</v>
      </c>
      <c r="K90" s="311"/>
      <c r="L90" s="336" t="s">
        <v>301</v>
      </c>
      <c r="M90" s="277">
        <f>J90*(K5/H5)</f>
        <v>7518.104517346899</v>
      </c>
    </row>
    <row r="91" spans="1:13" s="150" customFormat="1" ht="38.25">
      <c r="A91" s="254"/>
      <c r="B91" s="255"/>
      <c r="C91" s="92"/>
      <c r="D91" s="256"/>
      <c r="E91" s="94"/>
      <c r="F91" s="94"/>
      <c r="G91" s="94"/>
      <c r="H91" s="368"/>
      <c r="I91" s="336" t="s">
        <v>302</v>
      </c>
      <c r="J91" s="310">
        <v>3817.9</v>
      </c>
      <c r="K91" s="311"/>
      <c r="L91" s="336" t="s">
        <v>302</v>
      </c>
      <c r="M91" s="277">
        <f>J91*(K5/H5)</f>
        <v>6463.704199062924</v>
      </c>
    </row>
    <row r="92" spans="1:13" s="150" customFormat="1" ht="38.25">
      <c r="A92" s="254"/>
      <c r="B92" s="255"/>
      <c r="C92" s="92"/>
      <c r="D92" s="256"/>
      <c r="E92" s="94"/>
      <c r="F92" s="94"/>
      <c r="G92" s="94"/>
      <c r="H92" s="368"/>
      <c r="I92" s="336" t="s">
        <v>310</v>
      </c>
      <c r="J92" s="310">
        <v>3817.9</v>
      </c>
      <c r="K92" s="311"/>
      <c r="L92" s="336" t="s">
        <v>310</v>
      </c>
      <c r="M92" s="277">
        <f>J92*(K5/H5)</f>
        <v>6463.704199062924</v>
      </c>
    </row>
    <row r="93" spans="1:13" s="150" customFormat="1" ht="38.25">
      <c r="A93" s="254"/>
      <c r="B93" s="255"/>
      <c r="C93" s="92"/>
      <c r="D93" s="256"/>
      <c r="E93" s="94"/>
      <c r="F93" s="94"/>
      <c r="G93" s="94"/>
      <c r="H93" s="368"/>
      <c r="I93" s="336" t="s">
        <v>302</v>
      </c>
      <c r="J93" s="310">
        <v>745.69</v>
      </c>
      <c r="K93" s="311"/>
      <c r="L93" s="336" t="s">
        <v>302</v>
      </c>
      <c r="M93" s="277">
        <f>J93*(K5/H5)</f>
        <v>1262.453072159887</v>
      </c>
    </row>
    <row r="94" spans="1:13" s="150" customFormat="1" ht="38.25">
      <c r="A94" s="254"/>
      <c r="B94" s="255"/>
      <c r="C94" s="92"/>
      <c r="D94" s="256"/>
      <c r="E94" s="94"/>
      <c r="F94" s="94"/>
      <c r="G94" s="94"/>
      <c r="H94" s="368"/>
      <c r="I94" s="336" t="s">
        <v>310</v>
      </c>
      <c r="J94" s="310">
        <v>745.69</v>
      </c>
      <c r="K94" s="311"/>
      <c r="L94" s="336" t="s">
        <v>310</v>
      </c>
      <c r="M94" s="277">
        <f>J94*(K5/H5)</f>
        <v>1262.453072159887</v>
      </c>
    </row>
    <row r="95" spans="1:13" ht="13.5" thickBot="1">
      <c r="A95" s="101"/>
      <c r="B95" s="102"/>
      <c r="C95" s="103"/>
      <c r="D95" s="104"/>
      <c r="E95" s="105"/>
      <c r="F95" s="105"/>
      <c r="G95" s="105"/>
      <c r="H95" s="142"/>
      <c r="I95" s="143"/>
      <c r="J95" s="142"/>
      <c r="K95" s="144"/>
      <c r="L95" s="143"/>
      <c r="M95" s="145"/>
    </row>
    <row r="96" spans="1:13" ht="51">
      <c r="A96" s="128" t="s">
        <v>57</v>
      </c>
      <c r="B96" s="97" t="s">
        <v>38</v>
      </c>
      <c r="C96" s="129" t="s">
        <v>23</v>
      </c>
      <c r="D96" s="98">
        <v>65100</v>
      </c>
      <c r="E96" s="99">
        <v>21700</v>
      </c>
      <c r="F96" s="99">
        <v>28933.33</v>
      </c>
      <c r="G96" s="99">
        <v>14466.66</v>
      </c>
      <c r="H96" s="135"/>
      <c r="I96" s="136"/>
      <c r="J96" s="135"/>
      <c r="K96" s="137"/>
      <c r="L96" s="136"/>
      <c r="M96" s="138"/>
    </row>
    <row r="97" spans="1:13" ht="25.5">
      <c r="A97" s="100"/>
      <c r="B97" s="91"/>
      <c r="C97" s="95"/>
      <c r="D97" s="93"/>
      <c r="E97" s="96"/>
      <c r="F97" s="96"/>
      <c r="G97" s="96"/>
      <c r="H97" s="139"/>
      <c r="I97" s="230" t="s">
        <v>83</v>
      </c>
      <c r="J97" s="207">
        <v>2100</v>
      </c>
      <c r="K97" s="211"/>
      <c r="L97" s="230" t="s">
        <v>83</v>
      </c>
      <c r="M97" s="210">
        <f>J97*(K2/H2)</f>
        <v>3214.050235911287</v>
      </c>
    </row>
    <row r="98" spans="1:13" ht="25.5">
      <c r="A98" s="100"/>
      <c r="B98" s="91"/>
      <c r="C98" s="95"/>
      <c r="D98" s="93"/>
      <c r="E98" s="96"/>
      <c r="F98" s="96"/>
      <c r="G98" s="96"/>
      <c r="H98" s="139"/>
      <c r="I98" s="230" t="s">
        <v>83</v>
      </c>
      <c r="J98" s="207">
        <v>2413.4</v>
      </c>
      <c r="K98" s="211"/>
      <c r="L98" s="230" t="s">
        <v>83</v>
      </c>
      <c r="M98" s="210">
        <f>J98*(K2/H2)</f>
        <v>3693.7089711182384</v>
      </c>
    </row>
    <row r="99" spans="1:13" s="344" customFormat="1" ht="51">
      <c r="A99" s="338"/>
      <c r="B99" s="339"/>
      <c r="C99" s="340"/>
      <c r="D99" s="341"/>
      <c r="E99" s="342"/>
      <c r="F99" s="342"/>
      <c r="G99" s="342"/>
      <c r="H99" s="351" t="s">
        <v>297</v>
      </c>
      <c r="I99" s="346" t="s">
        <v>308</v>
      </c>
      <c r="J99" s="337">
        <v>536.21</v>
      </c>
      <c r="K99" s="292"/>
      <c r="L99" s="343" t="s">
        <v>308</v>
      </c>
      <c r="M99" s="293">
        <f>J99*(K5/H5)</f>
        <v>907.8034596452319</v>
      </c>
    </row>
    <row r="100" spans="1:13" ht="13.5" thickBot="1">
      <c r="A100" s="101"/>
      <c r="B100" s="102"/>
      <c r="C100" s="103"/>
      <c r="D100" s="104"/>
      <c r="E100" s="105"/>
      <c r="F100" s="105"/>
      <c r="G100" s="105"/>
      <c r="H100" s="142"/>
      <c r="I100" s="232"/>
      <c r="J100" s="142"/>
      <c r="K100" s="144"/>
      <c r="L100" s="143"/>
      <c r="M100" s="145"/>
    </row>
    <row r="101" spans="1:13" ht="255">
      <c r="A101" s="100" t="s">
        <v>58</v>
      </c>
      <c r="B101" s="91" t="s">
        <v>39</v>
      </c>
      <c r="C101" s="95" t="s">
        <v>18</v>
      </c>
      <c r="D101" s="93">
        <v>34100</v>
      </c>
      <c r="E101" s="96">
        <v>11366.67</v>
      </c>
      <c r="F101" s="96">
        <v>15155.56</v>
      </c>
      <c r="G101" s="96">
        <v>7577.78</v>
      </c>
      <c r="H101" s="139"/>
      <c r="I101" s="131"/>
      <c r="J101" s="139"/>
      <c r="K101" s="140"/>
      <c r="L101" s="131"/>
      <c r="M101" s="141"/>
    </row>
    <row r="102" spans="1:13" ht="12.75">
      <c r="A102" s="100"/>
      <c r="B102" s="91"/>
      <c r="C102" s="95"/>
      <c r="D102" s="93"/>
      <c r="E102" s="96"/>
      <c r="F102" s="96"/>
      <c r="G102" s="96"/>
      <c r="H102" s="139"/>
      <c r="I102" s="233" t="s">
        <v>84</v>
      </c>
      <c r="J102" s="223">
        <v>1089.65</v>
      </c>
      <c r="K102" s="234"/>
      <c r="L102" s="233" t="s">
        <v>84</v>
      </c>
      <c r="M102" s="235">
        <f>J102*(K2/H2)</f>
        <v>1667.7094474098733</v>
      </c>
    </row>
    <row r="103" spans="1:13" ht="25.5">
      <c r="A103" s="100"/>
      <c r="B103" s="91"/>
      <c r="C103" s="95"/>
      <c r="D103" s="93"/>
      <c r="E103" s="96"/>
      <c r="F103" s="96"/>
      <c r="G103" s="96"/>
      <c r="H103" s="139"/>
      <c r="I103" s="233" t="s">
        <v>85</v>
      </c>
      <c r="J103" s="223">
        <v>226.84</v>
      </c>
      <c r="K103" s="234"/>
      <c r="L103" s="233" t="s">
        <v>85</v>
      </c>
      <c r="M103" s="235">
        <f>J103*(K2/H2)</f>
        <v>347.17864548291254</v>
      </c>
    </row>
    <row r="104" spans="1:13" ht="51">
      <c r="A104" s="100"/>
      <c r="B104" s="91"/>
      <c r="C104" s="95"/>
      <c r="D104" s="93"/>
      <c r="E104" s="96"/>
      <c r="F104" s="96"/>
      <c r="G104" s="96"/>
      <c r="H104" s="139"/>
      <c r="I104" s="236" t="s">
        <v>86</v>
      </c>
      <c r="J104" s="285">
        <v>964.97</v>
      </c>
      <c r="K104" s="238"/>
      <c r="L104" s="236" t="s">
        <v>86</v>
      </c>
      <c r="M104" s="235">
        <f>J104*(K2/H2)</f>
        <v>1476.8866934034832</v>
      </c>
    </row>
    <row r="105" spans="1:13" ht="63.75">
      <c r="A105" s="100"/>
      <c r="B105" s="91"/>
      <c r="C105" s="95"/>
      <c r="D105" s="93"/>
      <c r="E105" s="96"/>
      <c r="F105" s="96"/>
      <c r="G105" s="96"/>
      <c r="H105" s="139"/>
      <c r="I105" s="236" t="s">
        <v>87</v>
      </c>
      <c r="J105" s="237">
        <v>145.09</v>
      </c>
      <c r="K105" s="238"/>
      <c r="L105" s="236" t="s">
        <v>87</v>
      </c>
      <c r="M105" s="235">
        <f>J105*(K2/H2)</f>
        <v>222.06026129922316</v>
      </c>
    </row>
    <row r="106" spans="1:13" ht="25.5">
      <c r="A106" s="100"/>
      <c r="B106" s="91"/>
      <c r="C106" s="95"/>
      <c r="D106" s="93"/>
      <c r="E106" s="96"/>
      <c r="F106" s="96"/>
      <c r="G106" s="96"/>
      <c r="H106" s="139"/>
      <c r="I106" s="233" t="s">
        <v>88</v>
      </c>
      <c r="J106" s="237">
        <v>389.34</v>
      </c>
      <c r="K106" s="238"/>
      <c r="L106" s="233" t="s">
        <v>88</v>
      </c>
      <c r="M106" s="235">
        <f>J106*(K2/H2)</f>
        <v>595.8849137379526</v>
      </c>
    </row>
    <row r="107" spans="1:13" ht="25.5">
      <c r="A107" s="100"/>
      <c r="B107" s="91"/>
      <c r="C107" s="95"/>
      <c r="D107" s="93"/>
      <c r="E107" s="96"/>
      <c r="F107" s="96"/>
      <c r="G107" s="96"/>
      <c r="H107" s="139"/>
      <c r="I107" s="236" t="s">
        <v>89</v>
      </c>
      <c r="J107" s="237">
        <v>136.94</v>
      </c>
      <c r="K107" s="238"/>
      <c r="L107" s="236" t="s">
        <v>89</v>
      </c>
      <c r="M107" s="235">
        <f>J107*(K2/H2)</f>
        <v>209.58668538366268</v>
      </c>
    </row>
    <row r="108" spans="1:13" ht="38.25">
      <c r="A108" s="100"/>
      <c r="B108" s="91"/>
      <c r="C108" s="95"/>
      <c r="D108" s="93"/>
      <c r="E108" s="96"/>
      <c r="F108" s="96"/>
      <c r="G108" s="96"/>
      <c r="H108" s="139"/>
      <c r="I108" s="236" t="s">
        <v>90</v>
      </c>
      <c r="J108" s="237">
        <v>78.13</v>
      </c>
      <c r="K108" s="238"/>
      <c r="L108" s="236" t="s">
        <v>90</v>
      </c>
      <c r="M108" s="235">
        <f>J108*(K2/H2)</f>
        <v>119.57797377702326</v>
      </c>
    </row>
    <row r="109" spans="1:13" ht="38.25">
      <c r="A109" s="100"/>
      <c r="B109" s="91"/>
      <c r="C109" s="95"/>
      <c r="D109" s="93"/>
      <c r="E109" s="96"/>
      <c r="F109" s="96"/>
      <c r="G109" s="96"/>
      <c r="H109" s="139"/>
      <c r="I109" s="236" t="s">
        <v>91</v>
      </c>
      <c r="J109" s="237">
        <v>812.61</v>
      </c>
      <c r="K109" s="238"/>
      <c r="L109" s="236" t="s">
        <v>91</v>
      </c>
      <c r="M109" s="235">
        <f>J109*(K2/H2)</f>
        <v>1243.6996962875576</v>
      </c>
    </row>
    <row r="110" spans="1:13" ht="38.25">
      <c r="A110" s="100"/>
      <c r="B110" s="91"/>
      <c r="C110" s="95"/>
      <c r="D110" s="93"/>
      <c r="E110" s="96"/>
      <c r="F110" s="96"/>
      <c r="G110" s="96"/>
      <c r="H110" s="139"/>
      <c r="I110" s="291" t="s">
        <v>245</v>
      </c>
      <c r="J110" s="323">
        <v>119.52</v>
      </c>
      <c r="K110" s="334"/>
      <c r="L110" s="291" t="s">
        <v>245</v>
      </c>
      <c r="M110" s="326">
        <f>J110*(K5/H5)</f>
        <v>202.3473443180808</v>
      </c>
    </row>
    <row r="111" spans="1:13" ht="51">
      <c r="A111" s="100"/>
      <c r="B111" s="91"/>
      <c r="C111" s="95"/>
      <c r="D111" s="93"/>
      <c r="E111" s="96"/>
      <c r="F111" s="96"/>
      <c r="G111" s="96"/>
      <c r="H111" s="139"/>
      <c r="I111" s="236" t="s">
        <v>92</v>
      </c>
      <c r="J111" s="237">
        <v>435.89</v>
      </c>
      <c r="K111" s="238"/>
      <c r="L111" s="236" t="s">
        <v>92</v>
      </c>
      <c r="M111" s="235">
        <f>J111*(K2/H2)</f>
        <v>667.1296939673194</v>
      </c>
    </row>
    <row r="112" spans="1:18" ht="51">
      <c r="A112" s="100"/>
      <c r="B112" s="91"/>
      <c r="C112" s="95"/>
      <c r="D112" s="93"/>
      <c r="E112" s="96"/>
      <c r="F112" s="96"/>
      <c r="G112" s="96"/>
      <c r="H112" s="139"/>
      <c r="I112" s="236" t="s">
        <v>93</v>
      </c>
      <c r="J112" s="237">
        <v>128.03</v>
      </c>
      <c r="K112" s="238"/>
      <c r="L112" s="236" t="s">
        <v>93</v>
      </c>
      <c r="M112" s="235">
        <f>J112*(K2/H2)</f>
        <v>195.9499293827248</v>
      </c>
      <c r="N112" s="150"/>
      <c r="O112" s="150"/>
      <c r="P112" s="150"/>
      <c r="Q112" s="150"/>
      <c r="R112" s="150"/>
    </row>
    <row r="113" spans="1:13" s="150" customFormat="1" ht="38.25">
      <c r="A113" s="254"/>
      <c r="B113" s="255"/>
      <c r="C113" s="92"/>
      <c r="D113" s="256"/>
      <c r="E113" s="94"/>
      <c r="F113" s="94"/>
      <c r="G113" s="94"/>
      <c r="H113" s="146"/>
      <c r="I113" s="257" t="s">
        <v>189</v>
      </c>
      <c r="J113" s="287">
        <f>422.09-154.56-59.15</f>
        <v>208.37999999999997</v>
      </c>
      <c r="K113" s="209"/>
      <c r="L113" s="257" t="s">
        <v>189</v>
      </c>
      <c r="M113" s="288">
        <f>J113*(710/422.09)</f>
        <v>350.51718827738154</v>
      </c>
    </row>
    <row r="114" spans="1:18" ht="25.5">
      <c r="A114" s="100"/>
      <c r="B114" s="91"/>
      <c r="C114" s="95"/>
      <c r="D114" s="93"/>
      <c r="E114" s="96"/>
      <c r="F114" s="96"/>
      <c r="G114" s="96"/>
      <c r="H114" s="139"/>
      <c r="I114" s="239" t="s">
        <v>135</v>
      </c>
      <c r="J114" s="240">
        <v>574.63</v>
      </c>
      <c r="K114" s="227"/>
      <c r="L114" s="239" t="s">
        <v>135</v>
      </c>
      <c r="M114" s="241">
        <f>J114*(K3/H3)</f>
        <v>927.6252757426387</v>
      </c>
      <c r="N114" s="150"/>
      <c r="O114" s="150"/>
      <c r="P114" s="150"/>
      <c r="Q114" s="150"/>
      <c r="R114" s="150"/>
    </row>
    <row r="115" spans="1:18" ht="25.5">
      <c r="A115" s="100"/>
      <c r="B115" s="91"/>
      <c r="C115" s="95"/>
      <c r="D115" s="93"/>
      <c r="E115" s="96"/>
      <c r="F115" s="96"/>
      <c r="G115" s="96"/>
      <c r="H115" s="139"/>
      <c r="I115" s="239" t="s">
        <v>136</v>
      </c>
      <c r="J115" s="240">
        <v>735.93</v>
      </c>
      <c r="K115" s="227"/>
      <c r="L115" s="239" t="s">
        <v>136</v>
      </c>
      <c r="M115" s="241">
        <f>J115*(K3/H3)</f>
        <v>1188.0118844774552</v>
      </c>
      <c r="N115" s="150"/>
      <c r="O115" s="150"/>
      <c r="P115" s="150"/>
      <c r="Q115" s="150"/>
      <c r="R115" s="150"/>
    </row>
    <row r="116" spans="1:18" ht="38.25">
      <c r="A116" s="100"/>
      <c r="B116" s="91"/>
      <c r="C116" s="95"/>
      <c r="D116" s="93"/>
      <c r="E116" s="96"/>
      <c r="F116" s="96"/>
      <c r="G116" s="96"/>
      <c r="H116" s="157"/>
      <c r="I116" s="236" t="s">
        <v>137</v>
      </c>
      <c r="J116" s="242">
        <v>65.25</v>
      </c>
      <c r="K116" s="226"/>
      <c r="L116" s="236" t="s">
        <v>137</v>
      </c>
      <c r="M116" s="243">
        <f>J116*(K3/H3)</f>
        <v>105.33308257871529</v>
      </c>
      <c r="N116" s="157"/>
      <c r="O116" s="156"/>
      <c r="P116" s="150"/>
      <c r="Q116" s="150"/>
      <c r="R116" s="150"/>
    </row>
    <row r="117" spans="1:18" ht="51">
      <c r="A117" s="100"/>
      <c r="B117" s="91"/>
      <c r="C117" s="200"/>
      <c r="D117" s="199"/>
      <c r="E117" s="199"/>
      <c r="F117" s="201"/>
      <c r="G117" s="199"/>
      <c r="H117" s="139"/>
      <c r="I117" s="236" t="s">
        <v>138</v>
      </c>
      <c r="J117" s="242">
        <v>137.3</v>
      </c>
      <c r="K117" s="226"/>
      <c r="L117" s="236" t="s">
        <v>138</v>
      </c>
      <c r="M117" s="243">
        <f>J117*(K3/H3)</f>
        <v>221.64340594724308</v>
      </c>
      <c r="N117" s="157"/>
      <c r="O117" s="156"/>
      <c r="P117" s="150"/>
      <c r="Q117" s="150"/>
      <c r="R117" s="150"/>
    </row>
    <row r="118" spans="1:18" ht="38.25">
      <c r="A118" s="100"/>
      <c r="B118" s="91"/>
      <c r="C118" s="200"/>
      <c r="D118" s="199"/>
      <c r="E118" s="199"/>
      <c r="F118" s="201"/>
      <c r="G118" s="199"/>
      <c r="H118" s="139"/>
      <c r="I118" s="236" t="s">
        <v>139</v>
      </c>
      <c r="J118" s="242">
        <v>8.16</v>
      </c>
      <c r="K118" s="226"/>
      <c r="L118" s="236" t="s">
        <v>139</v>
      </c>
      <c r="M118" s="243">
        <f>J118*(K3/H3)</f>
        <v>13.17268894777497</v>
      </c>
      <c r="N118" s="157"/>
      <c r="O118" s="156"/>
      <c r="P118" s="150"/>
      <c r="Q118" s="150"/>
      <c r="R118" s="150"/>
    </row>
    <row r="119" spans="1:18" ht="76.5">
      <c r="A119" s="100"/>
      <c r="B119" s="91"/>
      <c r="C119" s="202"/>
      <c r="D119" s="199"/>
      <c r="E119" s="199"/>
      <c r="F119" s="201"/>
      <c r="G119" s="199"/>
      <c r="H119" s="139"/>
      <c r="I119" s="239" t="s">
        <v>150</v>
      </c>
      <c r="J119" s="240">
        <f>148.77</f>
        <v>148.77</v>
      </c>
      <c r="K119" s="227"/>
      <c r="L119" s="239" t="s">
        <v>148</v>
      </c>
      <c r="M119" s="241">
        <f>J119*(K3/H3)</f>
        <v>240.1594282794709</v>
      </c>
      <c r="N119" s="157"/>
      <c r="O119" s="156"/>
      <c r="P119" s="150"/>
      <c r="Q119" s="150"/>
      <c r="R119" s="150"/>
    </row>
    <row r="120" spans="1:18" ht="89.25">
      <c r="A120" s="100"/>
      <c r="B120" s="91"/>
      <c r="C120" s="202"/>
      <c r="D120" s="199"/>
      <c r="E120" s="199"/>
      <c r="F120" s="201"/>
      <c r="G120" s="199"/>
      <c r="H120" s="139"/>
      <c r="I120" s="239" t="s">
        <v>151</v>
      </c>
      <c r="J120" s="240">
        <f>-123.77</f>
        <v>-123.77</v>
      </c>
      <c r="K120" s="227"/>
      <c r="L120" s="239" t="s">
        <v>148</v>
      </c>
      <c r="M120" s="241">
        <f>J120*(K3/H3)</f>
        <v>-199.80192537574854</v>
      </c>
      <c r="N120" s="157"/>
      <c r="O120" s="156"/>
      <c r="P120" s="150"/>
      <c r="Q120" s="150"/>
      <c r="R120" s="150"/>
    </row>
    <row r="121" spans="1:18" ht="76.5">
      <c r="A121" s="100"/>
      <c r="B121" s="91"/>
      <c r="C121" s="202"/>
      <c r="D121" s="199"/>
      <c r="E121" s="199"/>
      <c r="F121" s="201"/>
      <c r="G121" s="199"/>
      <c r="H121" s="139"/>
      <c r="I121" s="239" t="s">
        <v>152</v>
      </c>
      <c r="J121" s="240">
        <f>99.16</f>
        <v>99.16</v>
      </c>
      <c r="K121" s="227"/>
      <c r="L121" s="239" t="s">
        <v>149</v>
      </c>
      <c r="M121" s="241">
        <f>J121*(K3/H3)</f>
        <v>160.07399951732427</v>
      </c>
      <c r="N121" s="157"/>
      <c r="O121" s="156"/>
      <c r="P121" s="150"/>
      <c r="Q121" s="150"/>
      <c r="R121" s="150"/>
    </row>
    <row r="122" spans="1:18" ht="89.25">
      <c r="A122" s="100"/>
      <c r="B122" s="91"/>
      <c r="C122" s="202"/>
      <c r="D122" s="199"/>
      <c r="E122" s="199"/>
      <c r="F122" s="201"/>
      <c r="G122" s="199"/>
      <c r="H122" s="139"/>
      <c r="I122" s="239" t="s">
        <v>153</v>
      </c>
      <c r="J122" s="240">
        <f>-74.16</f>
        <v>-74.16</v>
      </c>
      <c r="K122" s="227"/>
      <c r="L122" s="239" t="s">
        <v>153</v>
      </c>
      <c r="M122" s="241">
        <f>J122*(K3/H3)</f>
        <v>-119.71649661360193</v>
      </c>
      <c r="N122" s="157"/>
      <c r="O122" s="156"/>
      <c r="P122" s="150"/>
      <c r="Q122" s="150"/>
      <c r="R122" s="150"/>
    </row>
    <row r="123" spans="1:18" ht="38.25">
      <c r="A123" s="100"/>
      <c r="B123" s="91"/>
      <c r="C123" s="202"/>
      <c r="D123" s="199"/>
      <c r="E123" s="199"/>
      <c r="F123" s="201"/>
      <c r="G123" s="199"/>
      <c r="H123" s="139"/>
      <c r="I123" s="236" t="s">
        <v>154</v>
      </c>
      <c r="J123" s="242">
        <v>1491.51</v>
      </c>
      <c r="K123" s="226"/>
      <c r="L123" s="236" t="s">
        <v>154</v>
      </c>
      <c r="M123" s="243">
        <f>J123*(K3/H3)</f>
        <v>2407.744766237236</v>
      </c>
      <c r="N123" s="157"/>
      <c r="O123" s="156"/>
      <c r="P123" s="150"/>
      <c r="Q123" s="150"/>
      <c r="R123" s="150"/>
    </row>
    <row r="124" spans="1:18" ht="38.25">
      <c r="A124" s="100"/>
      <c r="B124" s="91"/>
      <c r="C124" s="202"/>
      <c r="D124" s="199"/>
      <c r="E124" s="199"/>
      <c r="F124" s="201"/>
      <c r="G124" s="199"/>
      <c r="H124" s="139"/>
      <c r="I124" s="236" t="s">
        <v>155</v>
      </c>
      <c r="J124" s="242">
        <v>51.69</v>
      </c>
      <c r="K124" s="226"/>
      <c r="L124" s="236" t="s">
        <v>155</v>
      </c>
      <c r="M124" s="243">
        <f>J124*(K3/H3)</f>
        <v>83.4431730037363</v>
      </c>
      <c r="N124" s="157"/>
      <c r="O124" s="156"/>
      <c r="P124" s="150"/>
      <c r="Q124" s="150"/>
      <c r="R124" s="150"/>
    </row>
    <row r="125" spans="1:18" ht="38.25">
      <c r="A125" s="100"/>
      <c r="B125" s="91"/>
      <c r="C125" s="202"/>
      <c r="D125" s="199"/>
      <c r="E125" s="199"/>
      <c r="F125" s="201"/>
      <c r="G125" s="199"/>
      <c r="H125" s="139"/>
      <c r="I125" s="236" t="s">
        <v>156</v>
      </c>
      <c r="J125" s="242">
        <v>29.86</v>
      </c>
      <c r="K125" s="226"/>
      <c r="L125" s="236" t="s">
        <v>156</v>
      </c>
      <c r="M125" s="243">
        <v>50</v>
      </c>
      <c r="N125" s="157"/>
      <c r="O125" s="156"/>
      <c r="P125" s="150"/>
      <c r="Q125" s="150"/>
      <c r="R125" s="150"/>
    </row>
    <row r="126" spans="1:18" ht="25.5">
      <c r="A126" s="100"/>
      <c r="B126" s="91"/>
      <c r="C126" s="202"/>
      <c r="D126" s="199"/>
      <c r="E126" s="199"/>
      <c r="F126" s="201"/>
      <c r="G126" s="199"/>
      <c r="H126" s="139"/>
      <c r="I126" s="236" t="s">
        <v>157</v>
      </c>
      <c r="J126" s="242">
        <v>1151.59</v>
      </c>
      <c r="K126" s="226"/>
      <c r="L126" s="236" t="s">
        <v>157</v>
      </c>
      <c r="M126" s="243">
        <f>J126*(K3/H3)</f>
        <v>1859.011870755904</v>
      </c>
      <c r="N126" s="157"/>
      <c r="O126" s="156"/>
      <c r="P126" s="150"/>
      <c r="Q126" s="150"/>
      <c r="R126" s="150"/>
    </row>
    <row r="127" spans="1:18" ht="25.5">
      <c r="A127" s="100"/>
      <c r="B127" s="91"/>
      <c r="C127" s="202"/>
      <c r="D127" s="199"/>
      <c r="E127" s="199"/>
      <c r="F127" s="201"/>
      <c r="G127" s="199"/>
      <c r="H127" s="139"/>
      <c r="I127" s="236" t="s">
        <v>158</v>
      </c>
      <c r="J127" s="242">
        <v>429.1</v>
      </c>
      <c r="K127" s="226"/>
      <c r="L127" s="236" t="s">
        <v>158</v>
      </c>
      <c r="M127" s="243">
        <f>J127*(K3/H3)</f>
        <v>692.6961798394902</v>
      </c>
      <c r="N127" s="157"/>
      <c r="O127" s="156"/>
      <c r="P127" s="150"/>
      <c r="Q127" s="150"/>
      <c r="R127" s="150"/>
    </row>
    <row r="128" spans="1:18" ht="25.5">
      <c r="A128" s="100"/>
      <c r="B128" s="91"/>
      <c r="C128" s="202"/>
      <c r="D128" s="199"/>
      <c r="E128" s="199"/>
      <c r="F128" s="201"/>
      <c r="G128" s="199"/>
      <c r="H128" s="139"/>
      <c r="I128" s="236" t="s">
        <v>159</v>
      </c>
      <c r="J128" s="242">
        <v>176.19</v>
      </c>
      <c r="K128" s="226"/>
      <c r="L128" s="236" t="s">
        <v>159</v>
      </c>
      <c r="M128" s="243">
        <v>295</v>
      </c>
      <c r="N128" s="157"/>
      <c r="O128" s="156"/>
      <c r="P128" s="150"/>
      <c r="Q128" s="150"/>
      <c r="R128" s="150"/>
    </row>
    <row r="129" spans="1:18" ht="25.5">
      <c r="A129" s="100"/>
      <c r="B129" s="91"/>
      <c r="C129" s="202"/>
      <c r="D129" s="199"/>
      <c r="E129" s="199"/>
      <c r="F129" s="201"/>
      <c r="G129" s="199"/>
      <c r="H129" s="139"/>
      <c r="I129" s="236" t="s">
        <v>160</v>
      </c>
      <c r="J129" s="242">
        <v>32.39</v>
      </c>
      <c r="K129" s="226"/>
      <c r="L129" s="236" t="s">
        <v>160</v>
      </c>
      <c r="M129" s="243">
        <f>J129*(K3/H3)</f>
        <v>52.28718076206266</v>
      </c>
      <c r="N129" s="157"/>
      <c r="O129" s="156"/>
      <c r="P129" s="150"/>
      <c r="Q129" s="150"/>
      <c r="R129" s="150"/>
    </row>
    <row r="130" spans="1:18" ht="25.5">
      <c r="A130" s="100"/>
      <c r="B130" s="91"/>
      <c r="C130" s="202"/>
      <c r="D130" s="199"/>
      <c r="E130" s="199"/>
      <c r="F130" s="201"/>
      <c r="G130" s="199"/>
      <c r="H130" s="139"/>
      <c r="I130" s="291" t="s">
        <v>161</v>
      </c>
      <c r="J130" s="242">
        <v>79.4</v>
      </c>
      <c r="K130" s="226"/>
      <c r="L130" s="236" t="s">
        <v>161</v>
      </c>
      <c r="M130" s="243">
        <f>J130*(K3/H3)</f>
        <v>128.17542922222216</v>
      </c>
      <c r="N130" s="157"/>
      <c r="O130" s="156"/>
      <c r="P130" s="150"/>
      <c r="Q130" s="150"/>
      <c r="R130" s="150"/>
    </row>
    <row r="131" spans="1:18" ht="25.5">
      <c r="A131" s="100"/>
      <c r="B131" s="91"/>
      <c r="C131" s="202"/>
      <c r="D131" s="199"/>
      <c r="E131" s="199"/>
      <c r="F131" s="201"/>
      <c r="G131" s="199"/>
      <c r="H131" s="139"/>
      <c r="I131" s="236" t="s">
        <v>162</v>
      </c>
      <c r="J131" s="242">
        <v>958.39</v>
      </c>
      <c r="K131" s="226"/>
      <c r="L131" s="236" t="s">
        <v>162</v>
      </c>
      <c r="M131" s="243">
        <f>J131*(K3/H3)</f>
        <v>1547.129088315938</v>
      </c>
      <c r="N131" s="157"/>
      <c r="O131" s="156"/>
      <c r="P131" s="150"/>
      <c r="Q131" s="150"/>
      <c r="R131" s="150"/>
    </row>
    <row r="132" spans="1:18" ht="25.5">
      <c r="A132" s="100"/>
      <c r="B132" s="91"/>
      <c r="C132" s="202"/>
      <c r="D132" s="199"/>
      <c r="E132" s="199"/>
      <c r="F132" s="201"/>
      <c r="G132" s="199"/>
      <c r="H132" s="139"/>
      <c r="I132" s="236" t="s">
        <v>163</v>
      </c>
      <c r="J132" s="242">
        <v>209.04</v>
      </c>
      <c r="K132" s="226"/>
      <c r="L132" s="236" t="s">
        <v>163</v>
      </c>
      <c r="M132" s="243">
        <v>350</v>
      </c>
      <c r="N132" s="157"/>
      <c r="O132" s="156"/>
      <c r="P132" s="150"/>
      <c r="Q132" s="150"/>
      <c r="R132" s="150"/>
    </row>
    <row r="133" spans="1:18" s="269" customFormat="1" ht="38.25">
      <c r="A133" s="259"/>
      <c r="B133" s="260"/>
      <c r="C133" s="261"/>
      <c r="D133" s="262"/>
      <c r="E133" s="262"/>
      <c r="F133" s="263"/>
      <c r="G133" s="262"/>
      <c r="H133" s="264"/>
      <c r="I133" s="265" t="s">
        <v>192</v>
      </c>
      <c r="J133" s="266">
        <v>12.34</v>
      </c>
      <c r="K133" s="267"/>
      <c r="L133" s="265" t="s">
        <v>192</v>
      </c>
      <c r="M133" s="268">
        <f>J133*(K4/H4)</f>
        <v>20.349892824997188</v>
      </c>
      <c r="N133" s="270"/>
      <c r="O133" s="271"/>
      <c r="P133" s="272"/>
      <c r="Q133" s="272"/>
      <c r="R133" s="272"/>
    </row>
    <row r="134" spans="1:18" ht="25.5">
      <c r="A134" s="100"/>
      <c r="B134" s="91"/>
      <c r="C134" s="202"/>
      <c r="D134" s="199"/>
      <c r="E134" s="199"/>
      <c r="F134" s="201"/>
      <c r="G134" s="199"/>
      <c r="H134" s="139"/>
      <c r="I134" s="236" t="s">
        <v>166</v>
      </c>
      <c r="J134" s="242">
        <f>122.5</f>
        <v>122.5</v>
      </c>
      <c r="K134" s="226"/>
      <c r="L134" s="236" t="s">
        <v>166</v>
      </c>
      <c r="M134" s="243">
        <f>J134*(K3/H3)</f>
        <v>197.75176422823944</v>
      </c>
      <c r="N134" s="157"/>
      <c r="O134" s="156"/>
      <c r="P134" s="150"/>
      <c r="Q134" s="150"/>
      <c r="R134" s="150"/>
    </row>
    <row r="135" spans="1:18" ht="38.25">
      <c r="A135" s="100"/>
      <c r="B135" s="91"/>
      <c r="C135" s="202"/>
      <c r="D135" s="199"/>
      <c r="E135" s="199"/>
      <c r="F135" s="201"/>
      <c r="G135" s="199"/>
      <c r="H135" s="139"/>
      <c r="I135" s="236" t="s">
        <v>167</v>
      </c>
      <c r="J135" s="242">
        <f>35+7</f>
        <v>42</v>
      </c>
      <c r="K135" s="226"/>
      <c r="L135" s="236" t="s">
        <v>167</v>
      </c>
      <c r="M135" s="243">
        <f>J135*(K3/H3)</f>
        <v>67.80060487825352</v>
      </c>
      <c r="N135" s="157"/>
      <c r="O135" s="156"/>
      <c r="P135" s="150"/>
      <c r="Q135" s="150"/>
      <c r="R135" s="150"/>
    </row>
    <row r="136" spans="1:18" ht="25.5">
      <c r="A136" s="100"/>
      <c r="B136" s="91"/>
      <c r="C136" s="202"/>
      <c r="D136" s="199"/>
      <c r="E136" s="199"/>
      <c r="F136" s="201"/>
      <c r="G136" s="199"/>
      <c r="H136" s="139"/>
      <c r="I136" s="236" t="s">
        <v>165</v>
      </c>
      <c r="J136" s="242">
        <v>40.69</v>
      </c>
      <c r="K136" s="226"/>
      <c r="L136" s="236" t="s">
        <v>165</v>
      </c>
      <c r="M136" s="243">
        <f>J136*(K3/H3)</f>
        <v>65.68587172609847</v>
      </c>
      <c r="N136" s="157"/>
      <c r="O136" s="156"/>
      <c r="P136" s="150"/>
      <c r="Q136" s="150"/>
      <c r="R136" s="150"/>
    </row>
    <row r="137" spans="1:18" ht="25.5">
      <c r="A137" s="100"/>
      <c r="B137" s="91"/>
      <c r="C137" s="202"/>
      <c r="D137" s="199"/>
      <c r="E137" s="199"/>
      <c r="F137" s="201"/>
      <c r="G137" s="199"/>
      <c r="H137" s="139"/>
      <c r="I137" s="236" t="s">
        <v>164</v>
      </c>
      <c r="J137" s="242">
        <v>52.16</v>
      </c>
      <c r="K137" s="226"/>
      <c r="L137" s="236" t="s">
        <v>164</v>
      </c>
      <c r="M137" s="243">
        <f>J137*(K3/H3)</f>
        <v>84.20189405832627</v>
      </c>
      <c r="N137" s="157"/>
      <c r="O137" s="156"/>
      <c r="P137" s="150"/>
      <c r="Q137" s="150"/>
      <c r="R137" s="150"/>
    </row>
    <row r="138" spans="1:18" ht="25.5">
      <c r="A138" s="100"/>
      <c r="B138" s="91"/>
      <c r="C138" s="202"/>
      <c r="D138" s="199"/>
      <c r="E138" s="199"/>
      <c r="F138" s="201"/>
      <c r="G138" s="199"/>
      <c r="H138" s="139"/>
      <c r="I138" s="236" t="s">
        <v>168</v>
      </c>
      <c r="J138" s="242">
        <v>206.67</v>
      </c>
      <c r="K138" s="226"/>
      <c r="L138" s="236" t="s">
        <v>168</v>
      </c>
      <c r="M138" s="243">
        <f>J138*(K3/H3)</f>
        <v>333.6274050044918</v>
      </c>
      <c r="N138" s="157"/>
      <c r="O138" s="156"/>
      <c r="P138" s="150"/>
      <c r="Q138" s="150"/>
      <c r="R138" s="150"/>
    </row>
    <row r="139" spans="1:18" ht="25.5">
      <c r="A139" s="100"/>
      <c r="B139" s="91"/>
      <c r="C139" s="202"/>
      <c r="D139" s="199"/>
      <c r="E139" s="199"/>
      <c r="F139" s="201"/>
      <c r="G139" s="199"/>
      <c r="H139" s="139"/>
      <c r="I139" s="236" t="s">
        <v>170</v>
      </c>
      <c r="J139" s="242">
        <v>90.96</v>
      </c>
      <c r="K139" s="226"/>
      <c r="L139" s="236" t="s">
        <v>170</v>
      </c>
      <c r="M139" s="243">
        <f>J139*(K3/H3)</f>
        <v>146.83673856490333</v>
      </c>
      <c r="N139" s="157"/>
      <c r="O139" s="156"/>
      <c r="P139" s="150"/>
      <c r="Q139" s="150"/>
      <c r="R139" s="150"/>
    </row>
    <row r="140" spans="1:18" ht="25.5">
      <c r="A140" s="100"/>
      <c r="B140" s="91"/>
      <c r="C140" s="202"/>
      <c r="D140" s="199"/>
      <c r="E140" s="199"/>
      <c r="F140" s="201"/>
      <c r="G140" s="199"/>
      <c r="H140" s="139"/>
      <c r="I140" s="236" t="s">
        <v>169</v>
      </c>
      <c r="J140" s="242">
        <v>99.5</v>
      </c>
      <c r="K140" s="226"/>
      <c r="L140" s="236" t="s">
        <v>169</v>
      </c>
      <c r="M140" s="243">
        <f>J140*(K3/H3)</f>
        <v>160.6228615568149</v>
      </c>
      <c r="N140" s="157"/>
      <c r="O140" s="156"/>
      <c r="P140" s="150"/>
      <c r="Q140" s="150"/>
      <c r="R140" s="150"/>
    </row>
    <row r="141" spans="1:18" ht="25.5">
      <c r="A141" s="100"/>
      <c r="B141" s="91"/>
      <c r="C141" s="202"/>
      <c r="D141" s="199"/>
      <c r="E141" s="199"/>
      <c r="F141" s="201"/>
      <c r="G141" s="199"/>
      <c r="H141" s="139"/>
      <c r="I141" s="236" t="s">
        <v>171</v>
      </c>
      <c r="J141" s="242">
        <v>18.5</v>
      </c>
      <c r="K141" s="226"/>
      <c r="L141" s="236" t="s">
        <v>171</v>
      </c>
      <c r="M141" s="243">
        <f>J141*(K3/H3)</f>
        <v>29.86455214875453</v>
      </c>
      <c r="N141" s="157"/>
      <c r="O141" s="156"/>
      <c r="P141" s="150"/>
      <c r="Q141" s="150"/>
      <c r="R141" s="150"/>
    </row>
    <row r="142" spans="1:18" ht="38.25">
      <c r="A142" s="100"/>
      <c r="B142" s="91"/>
      <c r="C142" s="202"/>
      <c r="D142" s="199"/>
      <c r="E142" s="199"/>
      <c r="F142" s="201"/>
      <c r="G142" s="199"/>
      <c r="H142" s="139"/>
      <c r="I142" s="236" t="s">
        <v>172</v>
      </c>
      <c r="J142" s="242">
        <v>36.55</v>
      </c>
      <c r="K142" s="226"/>
      <c r="L142" s="236" t="s">
        <v>172</v>
      </c>
      <c r="M142" s="243">
        <f>J142*(K3/H3)</f>
        <v>59.00266924524205</v>
      </c>
      <c r="N142" s="157"/>
      <c r="O142" s="156"/>
      <c r="P142" s="150"/>
      <c r="Q142" s="150"/>
      <c r="R142" s="150"/>
    </row>
    <row r="143" spans="1:18" ht="38.25">
      <c r="A143" s="100"/>
      <c r="B143" s="91"/>
      <c r="C143" s="202"/>
      <c r="D143" s="199"/>
      <c r="E143" s="199"/>
      <c r="F143" s="201"/>
      <c r="G143" s="199"/>
      <c r="H143" s="139"/>
      <c r="I143" s="236" t="s">
        <v>185</v>
      </c>
      <c r="J143" s="289">
        <v>976.43</v>
      </c>
      <c r="K143" s="226"/>
      <c r="L143" s="236" t="s">
        <v>185</v>
      </c>
      <c r="M143" s="290">
        <f>J143*(K3/H3)</f>
        <v>1576.251062411264</v>
      </c>
      <c r="N143" s="157"/>
      <c r="O143" s="156"/>
      <c r="P143" s="150"/>
      <c r="Q143" s="150"/>
      <c r="R143" s="150"/>
    </row>
    <row r="144" spans="1:13" ht="25.5">
      <c r="A144" s="100"/>
      <c r="B144" s="91"/>
      <c r="C144" s="95"/>
      <c r="D144" s="93"/>
      <c r="E144" s="96"/>
      <c r="F144" s="96"/>
      <c r="G144" s="96"/>
      <c r="H144" s="139"/>
      <c r="I144" s="322" t="s">
        <v>212</v>
      </c>
      <c r="J144" s="323">
        <v>200.78</v>
      </c>
      <c r="K144" s="324"/>
      <c r="L144" s="325" t="s">
        <v>212</v>
      </c>
      <c r="M144" s="326">
        <f>J144*(K5/H5)</f>
        <v>339.92051365616015</v>
      </c>
    </row>
    <row r="145" spans="1:13" ht="25.5">
      <c r="A145" s="100"/>
      <c r="B145" s="91"/>
      <c r="C145" s="95"/>
      <c r="D145" s="93"/>
      <c r="E145" s="96"/>
      <c r="F145" s="96"/>
      <c r="G145" s="96"/>
      <c r="H145" s="139"/>
      <c r="I145" s="322" t="s">
        <v>213</v>
      </c>
      <c r="J145" s="323">
        <v>234.5</v>
      </c>
      <c r="K145" s="324"/>
      <c r="L145" s="325" t="s">
        <v>213</v>
      </c>
      <c r="M145" s="326">
        <f>J145*(K5/H5)</f>
        <v>397.0084692318436</v>
      </c>
    </row>
    <row r="146" spans="1:15" s="303" customFormat="1" ht="38.25">
      <c r="A146" s="298"/>
      <c r="B146" s="299"/>
      <c r="C146" s="305"/>
      <c r="D146" s="300"/>
      <c r="E146" s="300"/>
      <c r="F146" s="306"/>
      <c r="G146" s="300"/>
      <c r="H146" s="301"/>
      <c r="I146" s="307" t="s">
        <v>217</v>
      </c>
      <c r="J146" s="302">
        <v>85.26</v>
      </c>
      <c r="K146" s="307"/>
      <c r="L146" s="307" t="s">
        <v>217</v>
      </c>
      <c r="M146" s="304">
        <f>J146*(K5/H5)</f>
        <v>144.34516881324942</v>
      </c>
      <c r="N146" s="308"/>
      <c r="O146" s="308"/>
    </row>
    <row r="147" spans="1:18" ht="51">
      <c r="A147" s="100"/>
      <c r="B147" s="91"/>
      <c r="C147" s="95"/>
      <c r="D147" s="93"/>
      <c r="E147" s="96"/>
      <c r="F147" s="96"/>
      <c r="G147" s="96"/>
      <c r="H147" s="139"/>
      <c r="I147" s="322" t="s">
        <v>218</v>
      </c>
      <c r="J147" s="323">
        <v>112.6</v>
      </c>
      <c r="K147" s="324"/>
      <c r="L147" s="322" t="s">
        <v>218</v>
      </c>
      <c r="M147" s="326">
        <f>J147*(K5/H5)</f>
        <v>190.6317852260366</v>
      </c>
      <c r="N147" s="157"/>
      <c r="O147" s="156"/>
      <c r="P147" s="150"/>
      <c r="Q147" s="150"/>
      <c r="R147" s="150"/>
    </row>
    <row r="148" spans="1:15" s="150" customFormat="1" ht="63.75">
      <c r="A148" s="254"/>
      <c r="B148" s="255"/>
      <c r="C148" s="92"/>
      <c r="D148" s="256"/>
      <c r="E148" s="94"/>
      <c r="F148" s="94"/>
      <c r="G148" s="94"/>
      <c r="H148" s="146"/>
      <c r="I148" s="328" t="s">
        <v>219</v>
      </c>
      <c r="J148" s="323">
        <v>60.75</v>
      </c>
      <c r="K148" s="324"/>
      <c r="L148" s="328" t="s">
        <v>219</v>
      </c>
      <c r="M148" s="326">
        <f>J148*(K5/H5)</f>
        <v>102.84974202914499</v>
      </c>
      <c r="N148" s="157"/>
      <c r="O148" s="156"/>
    </row>
    <row r="149" spans="1:15" s="150" customFormat="1" ht="25.5">
      <c r="A149" s="254"/>
      <c r="B149" s="255"/>
      <c r="C149" s="92"/>
      <c r="D149" s="256"/>
      <c r="E149" s="94"/>
      <c r="F149" s="94"/>
      <c r="G149" s="94"/>
      <c r="H149" s="146"/>
      <c r="I149" s="328" t="s">
        <v>294</v>
      </c>
      <c r="J149" s="312">
        <v>43.08</v>
      </c>
      <c r="K149" s="324"/>
      <c r="L149" s="325" t="s">
        <v>278</v>
      </c>
      <c r="M149" s="326">
        <f>J149*(K5/H5)</f>
        <v>72.93443434758133</v>
      </c>
      <c r="N149" s="157"/>
      <c r="O149" s="156"/>
    </row>
    <row r="150" spans="1:15" s="150" customFormat="1" ht="15">
      <c r="A150" s="254"/>
      <c r="B150" s="255"/>
      <c r="C150" s="92"/>
      <c r="D150" s="256"/>
      <c r="E150" s="94"/>
      <c r="F150" s="94"/>
      <c r="G150" s="94"/>
      <c r="H150" s="146"/>
      <c r="I150" s="328" t="s">
        <v>294</v>
      </c>
      <c r="J150" s="312">
        <v>10.32</v>
      </c>
      <c r="K150" s="324"/>
      <c r="L150" s="325" t="s">
        <v>279</v>
      </c>
      <c r="M150" s="326">
        <f>J150*(K5/H5)</f>
        <v>17.471758645938703</v>
      </c>
      <c r="N150" s="157"/>
      <c r="O150" s="156"/>
    </row>
    <row r="151" spans="1:15" s="150" customFormat="1" ht="15">
      <c r="A151" s="254"/>
      <c r="B151" s="255"/>
      <c r="C151" s="92"/>
      <c r="D151" s="256"/>
      <c r="E151" s="94"/>
      <c r="F151" s="94"/>
      <c r="G151" s="94"/>
      <c r="H151" s="146"/>
      <c r="I151" s="328" t="s">
        <v>294</v>
      </c>
      <c r="J151" s="312">
        <v>57.75</v>
      </c>
      <c r="K151" s="324"/>
      <c r="L151" s="325" t="s">
        <v>280</v>
      </c>
      <c r="M151" s="326">
        <f>J151*(K5/H5)</f>
        <v>97.77074242276746</v>
      </c>
      <c r="N151" s="157"/>
      <c r="O151" s="156"/>
    </row>
    <row r="152" spans="1:15" s="150" customFormat="1" ht="15">
      <c r="A152" s="254"/>
      <c r="B152" s="255"/>
      <c r="C152" s="92"/>
      <c r="D152" s="256"/>
      <c r="E152" s="94"/>
      <c r="F152" s="94"/>
      <c r="G152" s="94"/>
      <c r="H152" s="146"/>
      <c r="I152" s="328" t="s">
        <v>294</v>
      </c>
      <c r="J152" s="312">
        <v>2.95</v>
      </c>
      <c r="K152" s="324"/>
      <c r="L152" s="325" t="s">
        <v>234</v>
      </c>
      <c r="M152" s="326">
        <f>J152*(K5/H5)</f>
        <v>4.9943496129379055</v>
      </c>
      <c r="N152" s="157"/>
      <c r="O152" s="156"/>
    </row>
    <row r="153" spans="1:15" s="150" customFormat="1" ht="25.5">
      <c r="A153" s="254"/>
      <c r="B153" s="255"/>
      <c r="C153" s="92"/>
      <c r="D153" s="256"/>
      <c r="E153" s="94"/>
      <c r="F153" s="94"/>
      <c r="G153" s="94"/>
      <c r="H153" s="146"/>
      <c r="I153" s="328" t="s">
        <v>294</v>
      </c>
      <c r="J153" s="312">
        <v>28.38</v>
      </c>
      <c r="K153" s="324"/>
      <c r="L153" s="325" t="s">
        <v>281</v>
      </c>
      <c r="M153" s="326">
        <f>J153*(K5/H5)</f>
        <v>48.047336276331436</v>
      </c>
      <c r="N153" s="157"/>
      <c r="O153" s="156"/>
    </row>
    <row r="154" spans="1:15" s="150" customFormat="1" ht="15">
      <c r="A154" s="254"/>
      <c r="B154" s="255"/>
      <c r="C154" s="92"/>
      <c r="D154" s="256"/>
      <c r="E154" s="94"/>
      <c r="F154" s="94"/>
      <c r="G154" s="94"/>
      <c r="H154" s="146"/>
      <c r="I154" s="328" t="s">
        <v>294</v>
      </c>
      <c r="J154" s="312">
        <v>3.27</v>
      </c>
      <c r="K154" s="324"/>
      <c r="L154" s="325" t="s">
        <v>282</v>
      </c>
      <c r="M154" s="326">
        <f>J154*(K5/H5)</f>
        <v>5.536109570951508</v>
      </c>
      <c r="N154" s="157"/>
      <c r="O154" s="156"/>
    </row>
    <row r="155" spans="1:15" s="150" customFormat="1" ht="15">
      <c r="A155" s="254"/>
      <c r="B155" s="255"/>
      <c r="C155" s="92"/>
      <c r="D155" s="256"/>
      <c r="E155" s="94"/>
      <c r="F155" s="94"/>
      <c r="G155" s="94"/>
      <c r="H155" s="146"/>
      <c r="I155" s="328" t="s">
        <v>294</v>
      </c>
      <c r="J155" s="312">
        <v>62.8</v>
      </c>
      <c r="K155" s="324"/>
      <c r="L155" s="325" t="s">
        <v>283</v>
      </c>
      <c r="M155" s="326">
        <f>J155*(K5/H5)</f>
        <v>106.32039176016963</v>
      </c>
      <c r="N155" s="157"/>
      <c r="O155" s="156"/>
    </row>
    <row r="156" spans="1:15" s="150" customFormat="1" ht="15">
      <c r="A156" s="254"/>
      <c r="B156" s="255"/>
      <c r="C156" s="92"/>
      <c r="D156" s="256"/>
      <c r="E156" s="94"/>
      <c r="F156" s="94"/>
      <c r="G156" s="94"/>
      <c r="H156" s="146"/>
      <c r="I156" s="328" t="s">
        <v>294</v>
      </c>
      <c r="J156" s="312">
        <v>2.05</v>
      </c>
      <c r="K156" s="324"/>
      <c r="L156" s="325" t="s">
        <v>284</v>
      </c>
      <c r="M156" s="326">
        <f>J156*(K5/H5)</f>
        <v>3.470649731024645</v>
      </c>
      <c r="N156" s="157"/>
      <c r="O156" s="156"/>
    </row>
    <row r="157" spans="1:15" s="150" customFormat="1" ht="25.5">
      <c r="A157" s="254"/>
      <c r="B157" s="255"/>
      <c r="C157" s="92"/>
      <c r="D157" s="256"/>
      <c r="E157" s="94"/>
      <c r="F157" s="94"/>
      <c r="G157" s="94"/>
      <c r="H157" s="146"/>
      <c r="I157" s="328" t="s">
        <v>294</v>
      </c>
      <c r="J157" s="312">
        <v>8.18</v>
      </c>
      <c r="K157" s="324"/>
      <c r="L157" s="325" t="s">
        <v>285</v>
      </c>
      <c r="M157" s="326">
        <f>J157*(K5/H5)</f>
        <v>13.848738926722731</v>
      </c>
      <c r="N157" s="157"/>
      <c r="O157" s="156"/>
    </row>
    <row r="158" spans="1:15" s="150" customFormat="1" ht="15">
      <c r="A158" s="254"/>
      <c r="B158" s="255"/>
      <c r="C158" s="92"/>
      <c r="D158" s="256"/>
      <c r="E158" s="94"/>
      <c r="F158" s="94"/>
      <c r="G158" s="94"/>
      <c r="H158" s="146"/>
      <c r="I158" s="328" t="s">
        <v>294</v>
      </c>
      <c r="J158" s="312">
        <v>15.6</v>
      </c>
      <c r="K158" s="324"/>
      <c r="L158" s="325" t="s">
        <v>286</v>
      </c>
      <c r="M158" s="326">
        <f>J158*(K5/H5)</f>
        <v>26.410797953163158</v>
      </c>
      <c r="N158" s="157"/>
      <c r="O158" s="156"/>
    </row>
    <row r="159" spans="1:15" s="150" customFormat="1" ht="25.5">
      <c r="A159" s="254"/>
      <c r="B159" s="255"/>
      <c r="C159" s="92"/>
      <c r="D159" s="256"/>
      <c r="E159" s="94"/>
      <c r="F159" s="94"/>
      <c r="G159" s="94"/>
      <c r="H159" s="146"/>
      <c r="I159" s="328" t="s">
        <v>294</v>
      </c>
      <c r="J159" s="312">
        <v>15.2</v>
      </c>
      <c r="K159" s="324"/>
      <c r="L159" s="325" t="s">
        <v>287</v>
      </c>
      <c r="M159" s="326">
        <f>J159*(K5/H5)</f>
        <v>25.73359800564615</v>
      </c>
      <c r="N159" s="157"/>
      <c r="O159" s="156"/>
    </row>
    <row r="160" spans="1:15" s="150" customFormat="1" ht="15">
      <c r="A160" s="254"/>
      <c r="B160" s="255"/>
      <c r="C160" s="92"/>
      <c r="D160" s="256"/>
      <c r="E160" s="94"/>
      <c r="F160" s="94"/>
      <c r="G160" s="94"/>
      <c r="H160" s="146"/>
      <c r="I160" s="328" t="s">
        <v>294</v>
      </c>
      <c r="J160" s="312">
        <v>15.61</v>
      </c>
      <c r="K160" s="324"/>
      <c r="L160" s="325" t="s">
        <v>288</v>
      </c>
      <c r="M160" s="326">
        <f>J160*(K5/H5)</f>
        <v>26.427727951851082</v>
      </c>
      <c r="N160" s="157"/>
      <c r="O160" s="156"/>
    </row>
    <row r="161" spans="1:15" s="150" customFormat="1" ht="15">
      <c r="A161" s="254"/>
      <c r="B161" s="255"/>
      <c r="C161" s="92"/>
      <c r="D161" s="256"/>
      <c r="E161" s="94"/>
      <c r="F161" s="94"/>
      <c r="G161" s="94"/>
      <c r="H161" s="146"/>
      <c r="I161" s="328" t="s">
        <v>294</v>
      </c>
      <c r="J161" s="312">
        <v>9</v>
      </c>
      <c r="K161" s="324"/>
      <c r="L161" s="325" t="s">
        <v>286</v>
      </c>
      <c r="M161" s="326">
        <f>J161*(K5/H5)</f>
        <v>15.236998819132591</v>
      </c>
      <c r="N161" s="157"/>
      <c r="O161" s="156"/>
    </row>
    <row r="162" spans="1:15" s="150" customFormat="1" ht="15">
      <c r="A162" s="254"/>
      <c r="B162" s="255"/>
      <c r="C162" s="92"/>
      <c r="D162" s="256"/>
      <c r="E162" s="94"/>
      <c r="F162" s="94"/>
      <c r="G162" s="94"/>
      <c r="H162" s="146"/>
      <c r="I162" s="328" t="s">
        <v>294</v>
      </c>
      <c r="J162" s="312">
        <v>6.12</v>
      </c>
      <c r="K162" s="324"/>
      <c r="L162" s="325" t="s">
        <v>286</v>
      </c>
      <c r="M162" s="326">
        <f>J162*(K5/H5)</f>
        <v>10.361159197010162</v>
      </c>
      <c r="N162" s="157"/>
      <c r="O162" s="156"/>
    </row>
    <row r="163" spans="1:15" s="150" customFormat="1" ht="15">
      <c r="A163" s="254"/>
      <c r="B163" s="255"/>
      <c r="C163" s="92"/>
      <c r="D163" s="256"/>
      <c r="E163" s="94"/>
      <c r="F163" s="94"/>
      <c r="G163" s="94"/>
      <c r="H163" s="146"/>
      <c r="I163" s="328" t="s">
        <v>294</v>
      </c>
      <c r="J163" s="312">
        <v>14.3</v>
      </c>
      <c r="K163" s="324"/>
      <c r="L163" s="325" t="s">
        <v>289</v>
      </c>
      <c r="M163" s="326">
        <f>J163*(K5/H5)</f>
        <v>24.209898123732895</v>
      </c>
      <c r="N163" s="157"/>
      <c r="O163" s="156"/>
    </row>
    <row r="164" spans="1:15" s="150" customFormat="1" ht="15">
      <c r="A164" s="254"/>
      <c r="B164" s="255"/>
      <c r="C164" s="92"/>
      <c r="D164" s="256"/>
      <c r="E164" s="94"/>
      <c r="F164" s="94"/>
      <c r="G164" s="94"/>
      <c r="H164" s="146"/>
      <c r="I164" s="328" t="s">
        <v>294</v>
      </c>
      <c r="J164" s="312">
        <v>2.95</v>
      </c>
      <c r="K164" s="324"/>
      <c r="L164" s="325" t="s">
        <v>234</v>
      </c>
      <c r="M164" s="326">
        <f>J164*(K5/H5)</f>
        <v>4.9943496129379055</v>
      </c>
      <c r="N164" s="157"/>
      <c r="O164" s="156"/>
    </row>
    <row r="165" spans="1:15" s="150" customFormat="1" ht="15">
      <c r="A165" s="254"/>
      <c r="B165" s="255"/>
      <c r="C165" s="92"/>
      <c r="D165" s="256"/>
      <c r="E165" s="94"/>
      <c r="F165" s="94"/>
      <c r="G165" s="94"/>
      <c r="H165" s="146"/>
      <c r="I165" s="328" t="s">
        <v>294</v>
      </c>
      <c r="J165" s="312">
        <v>6.8</v>
      </c>
      <c r="K165" s="324"/>
      <c r="L165" s="325" t="s">
        <v>279</v>
      </c>
      <c r="M165" s="326">
        <f>J165*(K5/H5)</f>
        <v>11.512399107789069</v>
      </c>
      <c r="N165" s="157"/>
      <c r="O165" s="156"/>
    </row>
    <row r="166" spans="1:15" s="150" customFormat="1" ht="15">
      <c r="A166" s="254"/>
      <c r="B166" s="255"/>
      <c r="C166" s="92"/>
      <c r="D166" s="256"/>
      <c r="E166" s="94"/>
      <c r="F166" s="94"/>
      <c r="G166" s="94"/>
      <c r="H166" s="146"/>
      <c r="I166" s="328" t="s">
        <v>294</v>
      </c>
      <c r="J166" s="312">
        <v>3.61</v>
      </c>
      <c r="K166" s="324"/>
      <c r="L166" s="325" t="s">
        <v>234</v>
      </c>
      <c r="M166" s="326">
        <f>J166*(K5/H5)</f>
        <v>6.1117295263409614</v>
      </c>
      <c r="N166" s="157"/>
      <c r="O166" s="156"/>
    </row>
    <row r="167" spans="1:15" s="150" customFormat="1" ht="25.5">
      <c r="A167" s="254"/>
      <c r="B167" s="255"/>
      <c r="C167" s="92"/>
      <c r="D167" s="256"/>
      <c r="E167" s="94"/>
      <c r="F167" s="94"/>
      <c r="G167" s="94"/>
      <c r="H167" s="146"/>
      <c r="I167" s="328" t="s">
        <v>294</v>
      </c>
      <c r="J167" s="312">
        <v>31.98</v>
      </c>
      <c r="K167" s="324"/>
      <c r="L167" s="325" t="s">
        <v>290</v>
      </c>
      <c r="M167" s="326">
        <f>J167*(K5/H5)</f>
        <v>54.14213580398447</v>
      </c>
      <c r="N167" s="157"/>
      <c r="O167" s="156"/>
    </row>
    <row r="168" spans="1:15" s="150" customFormat="1" ht="25.5">
      <c r="A168" s="254"/>
      <c r="B168" s="255"/>
      <c r="C168" s="92"/>
      <c r="D168" s="256"/>
      <c r="E168" s="94"/>
      <c r="F168" s="94"/>
      <c r="G168" s="94"/>
      <c r="H168" s="146"/>
      <c r="I168" s="328" t="s">
        <v>294</v>
      </c>
      <c r="J168" s="312">
        <v>2.49</v>
      </c>
      <c r="K168" s="324"/>
      <c r="L168" s="325" t="s">
        <v>291</v>
      </c>
      <c r="M168" s="326">
        <f>J168*(K5/H5)</f>
        <v>4.21556967329335</v>
      </c>
      <c r="N168" s="157"/>
      <c r="O168" s="156"/>
    </row>
    <row r="169" spans="1:15" s="150" customFormat="1" ht="15">
      <c r="A169" s="254"/>
      <c r="B169" s="255"/>
      <c r="C169" s="92"/>
      <c r="D169" s="256"/>
      <c r="E169" s="94"/>
      <c r="F169" s="94"/>
      <c r="G169" s="94"/>
      <c r="H169" s="146"/>
      <c r="I169" s="328" t="s">
        <v>294</v>
      </c>
      <c r="J169" s="312">
        <v>3.5</v>
      </c>
      <c r="K169" s="324"/>
      <c r="L169" s="325" t="s">
        <v>292</v>
      </c>
      <c r="M169" s="326">
        <f>J169*(K5/H5)</f>
        <v>5.925499540773785</v>
      </c>
      <c r="N169" s="157"/>
      <c r="O169" s="156"/>
    </row>
    <row r="170" spans="1:15" s="150" customFormat="1" ht="15">
      <c r="A170" s="254"/>
      <c r="B170" s="255"/>
      <c r="C170" s="92"/>
      <c r="D170" s="256"/>
      <c r="E170" s="94"/>
      <c r="F170" s="94"/>
      <c r="G170" s="94"/>
      <c r="H170" s="146"/>
      <c r="I170" s="328" t="s">
        <v>294</v>
      </c>
      <c r="J170" s="312">
        <v>-3.31</v>
      </c>
      <c r="K170" s="324"/>
      <c r="L170" s="325" t="s">
        <v>292</v>
      </c>
      <c r="M170" s="326">
        <f>J170*(K5/H5)</f>
        <v>-5.603829565703208</v>
      </c>
      <c r="N170" s="157"/>
      <c r="O170" s="156"/>
    </row>
    <row r="171" spans="1:15" s="150" customFormat="1" ht="51">
      <c r="A171" s="254"/>
      <c r="B171" s="255"/>
      <c r="C171" s="92"/>
      <c r="D171" s="256"/>
      <c r="E171" s="94"/>
      <c r="F171" s="94"/>
      <c r="G171" s="94"/>
      <c r="H171" s="368"/>
      <c r="I171" s="328" t="s">
        <v>260</v>
      </c>
      <c r="J171" s="323">
        <v>308.58</v>
      </c>
      <c r="K171" s="324"/>
      <c r="L171" s="325" t="s">
        <v>260</v>
      </c>
      <c r="M171" s="326">
        <f>J171*(K5/H5)</f>
        <v>522.4258995119927</v>
      </c>
      <c r="N171" s="157"/>
      <c r="O171" s="156"/>
    </row>
    <row r="172" spans="1:15" s="150" customFormat="1" ht="51">
      <c r="A172" s="254"/>
      <c r="B172" s="255"/>
      <c r="C172" s="92"/>
      <c r="D172" s="256"/>
      <c r="E172" s="94"/>
      <c r="F172" s="94"/>
      <c r="G172" s="94"/>
      <c r="H172" s="368"/>
      <c r="I172" s="328" t="s">
        <v>261</v>
      </c>
      <c r="J172" s="323">
        <v>273.5</v>
      </c>
      <c r="K172" s="324"/>
      <c r="L172" s="325" t="s">
        <v>261</v>
      </c>
      <c r="M172" s="326">
        <f>J172*(K5/H5)</f>
        <v>463.0354641147515</v>
      </c>
      <c r="N172" s="157"/>
      <c r="O172" s="156"/>
    </row>
    <row r="173" spans="1:15" s="150" customFormat="1" ht="90.75" customHeight="1">
      <c r="A173" s="254"/>
      <c r="B173" s="255"/>
      <c r="C173" s="92"/>
      <c r="D173" s="256"/>
      <c r="E173" s="94"/>
      <c r="F173" s="94"/>
      <c r="G173" s="94"/>
      <c r="H173" s="374" t="s">
        <v>312</v>
      </c>
      <c r="I173" s="328" t="s">
        <v>277</v>
      </c>
      <c r="J173" s="323">
        <v>72.97</v>
      </c>
      <c r="K173" s="324"/>
      <c r="L173" s="325" t="s">
        <v>277</v>
      </c>
      <c r="M173" s="326">
        <f>J173*(K5/H5)</f>
        <v>123.53820042578946</v>
      </c>
      <c r="N173" s="157"/>
      <c r="O173" s="156"/>
    </row>
    <row r="174" spans="1:15" s="150" customFormat="1" ht="38.25">
      <c r="A174" s="254"/>
      <c r="B174" s="255"/>
      <c r="C174" s="92"/>
      <c r="D174" s="256"/>
      <c r="E174" s="94"/>
      <c r="F174" s="94"/>
      <c r="G174" s="94"/>
      <c r="H174" s="368"/>
      <c r="I174" s="328" t="s">
        <v>262</v>
      </c>
      <c r="J174" s="323">
        <v>339.08</v>
      </c>
      <c r="K174" s="324"/>
      <c r="L174" s="325" t="s">
        <v>262</v>
      </c>
      <c r="M174" s="326">
        <f>J174*(K5/H5)</f>
        <v>574.0623955101643</v>
      </c>
      <c r="N174" s="157"/>
      <c r="O174" s="156"/>
    </row>
    <row r="175" spans="1:15" s="150" customFormat="1" ht="38.25">
      <c r="A175" s="254"/>
      <c r="B175" s="255"/>
      <c r="C175" s="92"/>
      <c r="D175" s="256"/>
      <c r="E175" s="94"/>
      <c r="F175" s="94"/>
      <c r="G175" s="94"/>
      <c r="H175" s="368"/>
      <c r="I175" s="328" t="s">
        <v>263</v>
      </c>
      <c r="J175" s="323">
        <v>145</v>
      </c>
      <c r="K175" s="324"/>
      <c r="L175" s="325" t="s">
        <v>263</v>
      </c>
      <c r="M175" s="326">
        <f>J175*(K5/H5)</f>
        <v>245.48498097491395</v>
      </c>
      <c r="N175" s="157"/>
      <c r="O175" s="156"/>
    </row>
    <row r="176" spans="1:15" s="150" customFormat="1" ht="38.25">
      <c r="A176" s="254"/>
      <c r="B176" s="255"/>
      <c r="C176" s="92"/>
      <c r="D176" s="256"/>
      <c r="E176" s="94"/>
      <c r="F176" s="94"/>
      <c r="G176" s="94"/>
      <c r="H176" s="368"/>
      <c r="I176" s="328" t="s">
        <v>264</v>
      </c>
      <c r="J176" s="323">
        <v>-127</v>
      </c>
      <c r="K176" s="324"/>
      <c r="L176" s="325" t="s">
        <v>264</v>
      </c>
      <c r="M176" s="326">
        <f>J176*(K5/H5)</f>
        <v>-215.0109833366488</v>
      </c>
      <c r="N176" s="157"/>
      <c r="O176" s="156"/>
    </row>
    <row r="177" spans="1:15" s="150" customFormat="1" ht="38.25">
      <c r="A177" s="254"/>
      <c r="B177" s="255"/>
      <c r="C177" s="92"/>
      <c r="D177" s="256"/>
      <c r="E177" s="94"/>
      <c r="F177" s="94"/>
      <c r="G177" s="94"/>
      <c r="H177" s="368"/>
      <c r="I177" s="328" t="s">
        <v>265</v>
      </c>
      <c r="J177" s="323">
        <v>122.7</v>
      </c>
      <c r="K177" s="324"/>
      <c r="L177" s="325" t="s">
        <v>265</v>
      </c>
      <c r="M177" s="326">
        <f>J177*(K5/H5)</f>
        <v>207.73108390084099</v>
      </c>
      <c r="N177" s="157"/>
      <c r="O177" s="156"/>
    </row>
    <row r="178" spans="1:15" s="150" customFormat="1" ht="96" customHeight="1">
      <c r="A178" s="254"/>
      <c r="B178" s="255"/>
      <c r="C178" s="92"/>
      <c r="D178" s="256"/>
      <c r="E178" s="94"/>
      <c r="F178" s="94"/>
      <c r="G178" s="94"/>
      <c r="H178" s="374" t="s">
        <v>312</v>
      </c>
      <c r="I178" s="328" t="s">
        <v>276</v>
      </c>
      <c r="J178" s="323">
        <v>60.62</v>
      </c>
      <c r="K178" s="324"/>
      <c r="L178" s="325" t="s">
        <v>276</v>
      </c>
      <c r="M178" s="326">
        <f>J178*(K5/H5)</f>
        <v>102.62965204620195</v>
      </c>
      <c r="N178" s="157"/>
      <c r="O178" s="156"/>
    </row>
    <row r="179" spans="1:15" s="150" customFormat="1" ht="15">
      <c r="A179" s="254"/>
      <c r="B179" s="255"/>
      <c r="C179" s="92"/>
      <c r="D179" s="256"/>
      <c r="E179" s="94"/>
      <c r="F179" s="94"/>
      <c r="G179" s="94"/>
      <c r="H179" s="94"/>
      <c r="I179" s="328" t="s">
        <v>269</v>
      </c>
      <c r="J179" s="323">
        <v>655.6</v>
      </c>
      <c r="K179" s="324"/>
      <c r="L179" s="325" t="s">
        <v>269</v>
      </c>
      <c r="M179" s="326">
        <f>J179*(K5/H5)</f>
        <v>1109.9307139803695</v>
      </c>
      <c r="N179" s="157"/>
      <c r="O179" s="156"/>
    </row>
    <row r="180" spans="1:15" s="150" customFormat="1" ht="15">
      <c r="A180" s="254"/>
      <c r="B180" s="255"/>
      <c r="C180" s="92"/>
      <c r="D180" s="256"/>
      <c r="E180" s="94"/>
      <c r="F180" s="94"/>
      <c r="G180" s="94"/>
      <c r="H180" s="368"/>
      <c r="I180" s="328" t="s">
        <v>275</v>
      </c>
      <c r="J180" s="323">
        <v>392.19</v>
      </c>
      <c r="K180" s="324"/>
      <c r="L180" s="325" t="s">
        <v>275</v>
      </c>
      <c r="M180" s="326">
        <f>J180*(K5/H5)</f>
        <v>663.9776185417345</v>
      </c>
      <c r="N180" s="157"/>
      <c r="O180" s="156"/>
    </row>
    <row r="181" spans="1:15" s="150" customFormat="1" ht="103.5" customHeight="1">
      <c r="A181" s="254"/>
      <c r="B181" s="255"/>
      <c r="C181" s="92"/>
      <c r="D181" s="256"/>
      <c r="E181" s="94"/>
      <c r="F181" s="94"/>
      <c r="G181" s="94"/>
      <c r="H181" s="374" t="s">
        <v>312</v>
      </c>
      <c r="I181" s="328" t="s">
        <v>306</v>
      </c>
      <c r="J181" s="323">
        <v>45</v>
      </c>
      <c r="K181" s="324"/>
      <c r="L181" s="325" t="s">
        <v>306</v>
      </c>
      <c r="M181" s="326">
        <f>J181*(K5/H5)</f>
        <v>76.18499409566296</v>
      </c>
      <c r="N181" s="345"/>
      <c r="O181" s="156"/>
    </row>
    <row r="182" spans="1:15" s="150" customFormat="1" ht="15">
      <c r="A182" s="254"/>
      <c r="B182" s="255"/>
      <c r="C182" s="92"/>
      <c r="D182" s="256"/>
      <c r="E182" s="94"/>
      <c r="F182" s="94"/>
      <c r="G182" s="94"/>
      <c r="I182" s="328"/>
      <c r="J182" s="323"/>
      <c r="K182" s="324"/>
      <c r="L182" s="328"/>
      <c r="M182" s="326"/>
      <c r="N182" s="157"/>
      <c r="O182" s="156"/>
    </row>
    <row r="183" spans="1:15" s="150" customFormat="1" ht="15">
      <c r="A183" s="254"/>
      <c r="B183" s="255"/>
      <c r="C183" s="92"/>
      <c r="D183" s="256"/>
      <c r="E183" s="94"/>
      <c r="F183" s="94"/>
      <c r="G183" s="94"/>
      <c r="H183" s="146"/>
      <c r="I183" s="328"/>
      <c r="J183" s="323"/>
      <c r="K183" s="324"/>
      <c r="L183" s="328"/>
      <c r="M183" s="326"/>
      <c r="N183" s="157"/>
      <c r="O183" s="156"/>
    </row>
    <row r="184" spans="1:18" ht="15.75" thickBot="1">
      <c r="A184" s="101"/>
      <c r="B184" s="102"/>
      <c r="C184" s="103"/>
      <c r="D184" s="104"/>
      <c r="E184" s="105"/>
      <c r="F184" s="105"/>
      <c r="G184" s="105"/>
      <c r="H184" s="142"/>
      <c r="I184" s="143"/>
      <c r="J184" s="142"/>
      <c r="K184" s="144"/>
      <c r="L184" s="143"/>
      <c r="M184" s="145"/>
      <c r="N184" s="157"/>
      <c r="O184" s="156"/>
      <c r="P184" s="150"/>
      <c r="Q184" s="150"/>
      <c r="R184" s="150"/>
    </row>
    <row r="185" spans="1:18" ht="63.75">
      <c r="A185" s="128" t="s">
        <v>57</v>
      </c>
      <c r="B185" s="348" t="s">
        <v>39</v>
      </c>
      <c r="C185" s="349" t="s">
        <v>50</v>
      </c>
      <c r="D185" s="350">
        <v>37500</v>
      </c>
      <c r="E185" s="99">
        <v>0</v>
      </c>
      <c r="F185" s="99">
        <v>37500</v>
      </c>
      <c r="G185" s="99">
        <v>0</v>
      </c>
      <c r="H185" s="135"/>
      <c r="I185" s="136"/>
      <c r="J185" s="135"/>
      <c r="K185" s="137"/>
      <c r="L185" s="136"/>
      <c r="M185" s="138"/>
      <c r="N185" s="157"/>
      <c r="O185" s="156"/>
      <c r="P185" s="150"/>
      <c r="Q185" s="150"/>
      <c r="R185" s="150"/>
    </row>
    <row r="186" spans="1:18" ht="15">
      <c r="A186" s="100"/>
      <c r="B186" s="91"/>
      <c r="C186" s="95"/>
      <c r="D186" s="93"/>
      <c r="E186" s="96"/>
      <c r="F186" s="96"/>
      <c r="G186" s="96"/>
      <c r="H186" s="139"/>
      <c r="I186" s="236" t="s">
        <v>175</v>
      </c>
      <c r="J186" s="242">
        <v>3093.95</v>
      </c>
      <c r="K186" s="226"/>
      <c r="L186" s="236" t="s">
        <v>175</v>
      </c>
      <c r="M186" s="243">
        <f>J186*(37500/(J187+J186))</f>
        <v>5180.200442729564</v>
      </c>
      <c r="N186" s="157"/>
      <c r="O186" s="156"/>
      <c r="P186" s="150"/>
      <c r="Q186" s="150"/>
      <c r="R186" s="150"/>
    </row>
    <row r="187" spans="1:18" ht="15">
      <c r="A187" s="100"/>
      <c r="B187" s="91"/>
      <c r="C187" s="95"/>
      <c r="D187" s="93"/>
      <c r="E187" s="96"/>
      <c r="F187" s="96"/>
      <c r="G187" s="96"/>
      <c r="H187" s="139"/>
      <c r="I187" s="236" t="s">
        <v>175</v>
      </c>
      <c r="J187" s="244">
        <f>22397.42-J186</f>
        <v>19303.469999999998</v>
      </c>
      <c r="K187" s="245"/>
      <c r="L187" s="236" t="s">
        <v>175</v>
      </c>
      <c r="M187" s="246">
        <f>J187*(37500/(J187+J186))</f>
        <v>32319.79955727043</v>
      </c>
      <c r="N187" s="157"/>
      <c r="O187" s="156"/>
      <c r="P187" s="150"/>
      <c r="Q187" s="150"/>
      <c r="R187" s="150"/>
    </row>
    <row r="188" spans="1:13" ht="25.5">
      <c r="A188" s="100"/>
      <c r="B188" s="91"/>
      <c r="C188" s="95"/>
      <c r="D188" s="93"/>
      <c r="E188" s="96"/>
      <c r="F188" s="96"/>
      <c r="G188" s="96"/>
      <c r="H188" s="139"/>
      <c r="I188" s="219" t="s">
        <v>176</v>
      </c>
      <c r="J188" s="220">
        <v>12.32</v>
      </c>
      <c r="K188" s="221"/>
      <c r="L188" s="219" t="s">
        <v>176</v>
      </c>
      <c r="M188" s="222">
        <f>J188*(37500/(J187+J186))</f>
        <v>20.627375831680613</v>
      </c>
    </row>
    <row r="189" spans="1:13" s="150" customFormat="1" ht="12.75">
      <c r="A189" s="254"/>
      <c r="B189" s="255"/>
      <c r="C189" s="92"/>
      <c r="D189" s="256"/>
      <c r="E189" s="94"/>
      <c r="F189" s="94"/>
      <c r="G189" s="94"/>
      <c r="H189" s="146"/>
      <c r="I189" s="369" t="s">
        <v>266</v>
      </c>
      <c r="J189" s="335">
        <v>-9705.28</v>
      </c>
      <c r="K189" s="276"/>
      <c r="L189" s="370" t="s">
        <v>266</v>
      </c>
      <c r="M189" s="371">
        <v>-14620.03</v>
      </c>
    </row>
    <row r="190" spans="1:13" s="150" customFormat="1" ht="25.5">
      <c r="A190" s="254"/>
      <c r="B190" s="255"/>
      <c r="C190" s="92"/>
      <c r="D190" s="256"/>
      <c r="E190" s="94"/>
      <c r="F190" s="94"/>
      <c r="G190" s="94"/>
      <c r="H190" s="146"/>
      <c r="I190" s="291" t="s">
        <v>267</v>
      </c>
      <c r="J190" s="335">
        <f>M190/(M189/J189)</f>
        <v>179.6734401228999</v>
      </c>
      <c r="K190" s="276"/>
      <c r="L190" s="274" t="s">
        <v>267</v>
      </c>
      <c r="M190" s="333">
        <f>259.74+10.92</f>
        <v>270.66</v>
      </c>
    </row>
    <row r="191" spans="1:13" s="150" customFormat="1" ht="25.5">
      <c r="A191" s="254"/>
      <c r="B191" s="255"/>
      <c r="C191" s="92"/>
      <c r="D191" s="256"/>
      <c r="E191" s="94"/>
      <c r="F191" s="94"/>
      <c r="G191" s="94"/>
      <c r="H191" s="146"/>
      <c r="I191" s="291" t="s">
        <v>267</v>
      </c>
      <c r="J191" s="335">
        <v>26.55</v>
      </c>
      <c r="K191" s="276"/>
      <c r="L191" s="274" t="s">
        <v>267</v>
      </c>
      <c r="M191" s="333">
        <v>40</v>
      </c>
    </row>
    <row r="192" spans="1:13" ht="13.5" thickBot="1">
      <c r="A192" s="101"/>
      <c r="B192" s="102"/>
      <c r="C192" s="103"/>
      <c r="D192" s="104"/>
      <c r="E192" s="105"/>
      <c r="F192" s="105"/>
      <c r="G192" s="105"/>
      <c r="H192" s="142"/>
      <c r="I192" s="143"/>
      <c r="J192" s="142"/>
      <c r="K192" s="144"/>
      <c r="L192" s="143"/>
      <c r="M192" s="145"/>
    </row>
    <row r="193" spans="1:13" ht="76.5">
      <c r="A193" s="130" t="s">
        <v>57</v>
      </c>
      <c r="B193" s="111" t="s">
        <v>38</v>
      </c>
      <c r="C193" s="112" t="s">
        <v>48</v>
      </c>
      <c r="D193" s="113">
        <v>10000</v>
      </c>
      <c r="E193" s="96">
        <v>0</v>
      </c>
      <c r="F193" s="96">
        <v>10000</v>
      </c>
      <c r="G193" s="96">
        <v>0</v>
      </c>
      <c r="H193" s="139"/>
      <c r="I193" s="131"/>
      <c r="J193" s="139"/>
      <c r="K193" s="140"/>
      <c r="L193" s="131"/>
      <c r="M193" s="141"/>
    </row>
    <row r="194" spans="1:13" s="150" customFormat="1" ht="38.25">
      <c r="A194" s="254"/>
      <c r="B194" s="255"/>
      <c r="C194" s="92"/>
      <c r="D194" s="256"/>
      <c r="E194" s="94"/>
      <c r="F194" s="94"/>
      <c r="G194" s="94"/>
      <c r="H194" s="368"/>
      <c r="I194" s="328" t="s">
        <v>305</v>
      </c>
      <c r="J194" s="335">
        <v>3500</v>
      </c>
      <c r="K194" s="276"/>
      <c r="L194" s="336" t="s">
        <v>305</v>
      </c>
      <c r="M194" s="333">
        <f>J194*(K5/H5)</f>
        <v>5925.499540773785</v>
      </c>
    </row>
    <row r="195" spans="1:13" ht="12.75">
      <c r="A195" s="100"/>
      <c r="B195" s="91"/>
      <c r="C195" s="95"/>
      <c r="D195" s="93"/>
      <c r="E195" s="96"/>
      <c r="F195" s="96"/>
      <c r="G195" s="96"/>
      <c r="H195" s="139"/>
      <c r="I195" s="131"/>
      <c r="J195" s="139"/>
      <c r="K195" s="140"/>
      <c r="L195" s="131"/>
      <c r="M195" s="141"/>
    </row>
    <row r="196" spans="1:13" ht="12.75">
      <c r="A196" s="100"/>
      <c r="B196" s="91"/>
      <c r="C196" s="95"/>
      <c r="D196" s="93"/>
      <c r="E196" s="96"/>
      <c r="F196" s="96"/>
      <c r="G196" s="96"/>
      <c r="H196" s="139"/>
      <c r="I196" s="131"/>
      <c r="J196" s="139"/>
      <c r="K196" s="140"/>
      <c r="L196" s="131"/>
      <c r="M196" s="141"/>
    </row>
    <row r="197" spans="1:13" ht="12.75">
      <c r="A197" s="100"/>
      <c r="B197" s="91"/>
      <c r="C197" s="95"/>
      <c r="D197" s="93"/>
      <c r="E197" s="96"/>
      <c r="F197" s="96"/>
      <c r="G197" s="96"/>
      <c r="H197" s="139"/>
      <c r="I197" s="131"/>
      <c r="J197" s="139"/>
      <c r="K197" s="140"/>
      <c r="L197" s="131"/>
      <c r="M197" s="141"/>
    </row>
    <row r="198" spans="1:13" ht="12.75">
      <c r="A198" s="100"/>
      <c r="B198" s="91"/>
      <c r="C198" s="95"/>
      <c r="D198" s="93"/>
      <c r="E198" s="96"/>
      <c r="F198" s="96"/>
      <c r="G198" s="96"/>
      <c r="H198" s="139"/>
      <c r="I198" s="131"/>
      <c r="J198" s="139"/>
      <c r="K198" s="140"/>
      <c r="L198" s="131"/>
      <c r="M198" s="141"/>
    </row>
    <row r="199" spans="1:13" ht="12.75">
      <c r="A199" s="100"/>
      <c r="B199" s="91"/>
      <c r="C199" s="95"/>
      <c r="D199" s="93"/>
      <c r="E199" s="96"/>
      <c r="F199" s="96"/>
      <c r="G199" s="96"/>
      <c r="H199" s="139"/>
      <c r="I199" s="131"/>
      <c r="J199" s="139"/>
      <c r="K199" s="140"/>
      <c r="L199" s="131"/>
      <c r="M199" s="141"/>
    </row>
    <row r="200" spans="1:13" ht="13.5" thickBot="1">
      <c r="A200" s="101"/>
      <c r="B200" s="102"/>
      <c r="C200" s="103"/>
      <c r="D200" s="104"/>
      <c r="E200" s="105"/>
      <c r="F200" s="105"/>
      <c r="G200" s="105"/>
      <c r="H200" s="142"/>
      <c r="I200" s="143"/>
      <c r="J200" s="142"/>
      <c r="K200" s="144"/>
      <c r="L200" s="143"/>
      <c r="M200" s="145"/>
    </row>
    <row r="201" spans="1:13" ht="51">
      <c r="A201" s="130" t="s">
        <v>57</v>
      </c>
      <c r="B201" s="111" t="s">
        <v>39</v>
      </c>
      <c r="C201" s="112" t="s">
        <v>52</v>
      </c>
      <c r="D201" s="113">
        <v>10500</v>
      </c>
      <c r="E201" s="96">
        <v>0</v>
      </c>
      <c r="F201" s="96">
        <v>0</v>
      </c>
      <c r="G201" s="96">
        <v>10500</v>
      </c>
      <c r="H201" s="139"/>
      <c r="I201" s="131"/>
      <c r="J201" s="139"/>
      <c r="K201" s="140"/>
      <c r="L201" s="131"/>
      <c r="M201" s="141"/>
    </row>
    <row r="202" spans="1:13" ht="12.75">
      <c r="A202" s="100"/>
      <c r="B202" s="91"/>
      <c r="C202" s="95"/>
      <c r="D202" s="93"/>
      <c r="E202" s="96"/>
      <c r="F202" s="96"/>
      <c r="G202" s="96"/>
      <c r="H202" s="139"/>
      <c r="I202" s="131"/>
      <c r="J202" s="139"/>
      <c r="K202" s="140"/>
      <c r="L202" s="131"/>
      <c r="M202" s="141"/>
    </row>
    <row r="203" spans="1:13" ht="12.75">
      <c r="A203" s="100"/>
      <c r="B203" s="91"/>
      <c r="C203" s="95"/>
      <c r="D203" s="93"/>
      <c r="E203" s="96"/>
      <c r="F203" s="96"/>
      <c r="G203" s="96"/>
      <c r="H203" s="139"/>
      <c r="I203" s="131"/>
      <c r="J203" s="139"/>
      <c r="K203" s="140"/>
      <c r="L203" s="131"/>
      <c r="M203" s="141"/>
    </row>
    <row r="204" spans="1:13" ht="12.75">
      <c r="A204" s="100"/>
      <c r="B204" s="91"/>
      <c r="C204" s="95"/>
      <c r="D204" s="93"/>
      <c r="E204" s="96"/>
      <c r="F204" s="96"/>
      <c r="G204" s="96"/>
      <c r="H204" s="139"/>
      <c r="I204" s="131"/>
      <c r="J204" s="139"/>
      <c r="K204" s="140"/>
      <c r="L204" s="131"/>
      <c r="M204" s="141"/>
    </row>
    <row r="205" spans="1:13" ht="12.75">
      <c r="A205" s="100"/>
      <c r="B205" s="91"/>
      <c r="C205" s="95"/>
      <c r="D205" s="93"/>
      <c r="E205" s="96"/>
      <c r="F205" s="96"/>
      <c r="G205" s="96"/>
      <c r="H205" s="139"/>
      <c r="I205" s="131"/>
      <c r="J205" s="139"/>
      <c r="K205" s="140"/>
      <c r="L205" s="131"/>
      <c r="M205" s="141"/>
    </row>
    <row r="206" spans="1:13" ht="12.75">
      <c r="A206" s="100"/>
      <c r="B206" s="91"/>
      <c r="C206" s="95"/>
      <c r="D206" s="93"/>
      <c r="E206" s="96"/>
      <c r="F206" s="96"/>
      <c r="G206" s="96"/>
      <c r="H206" s="139"/>
      <c r="I206" s="131"/>
      <c r="J206" s="139"/>
      <c r="K206" s="140"/>
      <c r="L206" s="131"/>
      <c r="M206" s="141"/>
    </row>
    <row r="207" spans="1:13" ht="12.75">
      <c r="A207" s="100"/>
      <c r="B207" s="91"/>
      <c r="C207" s="95"/>
      <c r="D207" s="93"/>
      <c r="E207" s="96"/>
      <c r="F207" s="96"/>
      <c r="G207" s="96"/>
      <c r="H207" s="139"/>
      <c r="I207" s="131"/>
      <c r="J207" s="139"/>
      <c r="K207" s="140"/>
      <c r="L207" s="131"/>
      <c r="M207" s="141"/>
    </row>
    <row r="208" spans="1:13" ht="13.5" thickBot="1">
      <c r="A208" s="101"/>
      <c r="B208" s="102"/>
      <c r="C208" s="103"/>
      <c r="D208" s="104"/>
      <c r="E208" s="105"/>
      <c r="F208" s="105"/>
      <c r="G208" s="105"/>
      <c r="H208" s="142"/>
      <c r="I208" s="143"/>
      <c r="J208" s="142"/>
      <c r="K208" s="144"/>
      <c r="L208" s="143"/>
      <c r="M208" s="145"/>
    </row>
    <row r="209" spans="1:13" ht="204">
      <c r="A209" s="130" t="s">
        <v>57</v>
      </c>
      <c r="B209" s="111" t="s">
        <v>39</v>
      </c>
      <c r="C209" s="114" t="s">
        <v>53</v>
      </c>
      <c r="D209" s="115">
        <v>1675</v>
      </c>
      <c r="E209" s="96">
        <v>0</v>
      </c>
      <c r="F209" s="96">
        <v>1675</v>
      </c>
      <c r="G209" s="96">
        <v>0</v>
      </c>
      <c r="H209" s="139"/>
      <c r="I209" s="131"/>
      <c r="J209" s="139"/>
      <c r="K209" s="140"/>
      <c r="L209" s="131"/>
      <c r="M209" s="141"/>
    </row>
    <row r="210" spans="1:13" ht="12.75">
      <c r="A210" s="100"/>
      <c r="B210" s="91"/>
      <c r="C210" s="95"/>
      <c r="D210" s="93"/>
      <c r="E210" s="96"/>
      <c r="F210" s="96"/>
      <c r="G210" s="96"/>
      <c r="H210" s="139"/>
      <c r="I210" s="131"/>
      <c r="J210" s="139"/>
      <c r="K210" s="140"/>
      <c r="L210" s="131"/>
      <c r="M210" s="141"/>
    </row>
    <row r="211" spans="1:13" ht="12.75">
      <c r="A211" s="100"/>
      <c r="B211" s="91"/>
      <c r="C211" s="95"/>
      <c r="D211" s="93"/>
      <c r="E211" s="96"/>
      <c r="F211" s="96"/>
      <c r="G211" s="96"/>
      <c r="H211" s="139"/>
      <c r="I211" s="131"/>
      <c r="J211" s="139"/>
      <c r="K211" s="140"/>
      <c r="L211" s="131"/>
      <c r="M211" s="141"/>
    </row>
    <row r="212" spans="1:13" ht="12.75">
      <c r="A212" s="100"/>
      <c r="B212" s="91"/>
      <c r="C212" s="95"/>
      <c r="D212" s="93"/>
      <c r="E212" s="96"/>
      <c r="F212" s="96"/>
      <c r="G212" s="96"/>
      <c r="H212" s="139"/>
      <c r="I212" s="131"/>
      <c r="J212" s="139"/>
      <c r="K212" s="140"/>
      <c r="L212" s="131"/>
      <c r="M212" s="141"/>
    </row>
    <row r="213" spans="1:13" ht="12.75">
      <c r="A213" s="100"/>
      <c r="B213" s="91"/>
      <c r="C213" s="95"/>
      <c r="D213" s="93"/>
      <c r="E213" s="96"/>
      <c r="F213" s="96"/>
      <c r="G213" s="96"/>
      <c r="H213" s="139"/>
      <c r="I213" s="131"/>
      <c r="J213" s="139"/>
      <c r="K213" s="140"/>
      <c r="L213" s="131"/>
      <c r="M213" s="141"/>
    </row>
    <row r="214" spans="1:13" ht="12.75">
      <c r="A214" s="100"/>
      <c r="B214" s="91"/>
      <c r="C214" s="95"/>
      <c r="D214" s="93"/>
      <c r="E214" s="96"/>
      <c r="F214" s="96"/>
      <c r="G214" s="96"/>
      <c r="H214" s="139"/>
      <c r="I214" s="131"/>
      <c r="J214" s="139"/>
      <c r="K214" s="140"/>
      <c r="L214" s="131"/>
      <c r="M214" s="141"/>
    </row>
    <row r="215" spans="1:13" ht="12.75">
      <c r="A215" s="100"/>
      <c r="B215" s="91"/>
      <c r="C215" s="95"/>
      <c r="D215" s="93"/>
      <c r="E215" s="96"/>
      <c r="F215" s="96"/>
      <c r="G215" s="96"/>
      <c r="H215" s="139"/>
      <c r="I215" s="131"/>
      <c r="J215" s="139"/>
      <c r="K215" s="140"/>
      <c r="L215" s="131"/>
      <c r="M215" s="141"/>
    </row>
    <row r="216" spans="1:13" ht="12.75">
      <c r="A216" s="100"/>
      <c r="B216" s="91"/>
      <c r="C216" s="95"/>
      <c r="D216" s="93"/>
      <c r="E216" s="96"/>
      <c r="F216" s="96"/>
      <c r="G216" s="96"/>
      <c r="H216" s="139"/>
      <c r="I216" s="131"/>
      <c r="J216" s="139"/>
      <c r="K216" s="140"/>
      <c r="L216" s="131"/>
      <c r="M216" s="141"/>
    </row>
    <row r="217" spans="1:13" ht="13.5" thickBot="1">
      <c r="A217" s="101"/>
      <c r="B217" s="102"/>
      <c r="C217" s="103"/>
      <c r="D217" s="104"/>
      <c r="E217" s="105"/>
      <c r="F217" s="105"/>
      <c r="G217" s="105"/>
      <c r="H217" s="142"/>
      <c r="I217" s="143"/>
      <c r="J217" s="142"/>
      <c r="K217" s="144"/>
      <c r="L217" s="143"/>
      <c r="M217" s="145"/>
    </row>
    <row r="218" spans="1:13" ht="204">
      <c r="A218" s="130" t="s">
        <v>57</v>
      </c>
      <c r="B218" s="111" t="s">
        <v>39</v>
      </c>
      <c r="C218" s="114" t="s">
        <v>53</v>
      </c>
      <c r="D218" s="115">
        <f>2800-1675</f>
        <v>1125</v>
      </c>
      <c r="E218" s="96">
        <v>0</v>
      </c>
      <c r="F218" s="96">
        <v>1125</v>
      </c>
      <c r="G218" s="96">
        <v>0</v>
      </c>
      <c r="H218" s="139"/>
      <c r="I218" s="131"/>
      <c r="J218" s="139"/>
      <c r="K218" s="140"/>
      <c r="L218" s="131"/>
      <c r="M218" s="141"/>
    </row>
    <row r="219" spans="1:13" ht="12.75">
      <c r="A219" s="100"/>
      <c r="B219" s="91"/>
      <c r="C219" s="95"/>
      <c r="D219" s="93"/>
      <c r="E219" s="96"/>
      <c r="F219" s="96"/>
      <c r="G219" s="96"/>
      <c r="H219" s="139"/>
      <c r="I219" s="131"/>
      <c r="J219" s="139"/>
      <c r="K219" s="140"/>
      <c r="L219" s="131"/>
      <c r="M219" s="141"/>
    </row>
    <row r="220" spans="1:13" ht="12.75">
      <c r="A220" s="100"/>
      <c r="B220" s="91"/>
      <c r="C220" s="95"/>
      <c r="D220" s="93"/>
      <c r="E220" s="96"/>
      <c r="F220" s="96"/>
      <c r="G220" s="96"/>
      <c r="H220" s="139"/>
      <c r="I220" s="131"/>
      <c r="J220" s="139"/>
      <c r="K220" s="140"/>
      <c r="L220" s="131"/>
      <c r="M220" s="141"/>
    </row>
    <row r="221" spans="1:13" ht="12.75">
      <c r="A221" s="100"/>
      <c r="B221" s="91"/>
      <c r="C221" s="95"/>
      <c r="D221" s="93"/>
      <c r="E221" s="96"/>
      <c r="F221" s="96"/>
      <c r="G221" s="96"/>
      <c r="H221" s="139"/>
      <c r="I221" s="131"/>
      <c r="J221" s="139"/>
      <c r="K221" s="140"/>
      <c r="L221" s="131"/>
      <c r="M221" s="141"/>
    </row>
    <row r="222" spans="1:13" ht="12.75">
      <c r="A222" s="100"/>
      <c r="B222" s="91"/>
      <c r="C222" s="95"/>
      <c r="D222" s="93"/>
      <c r="E222" s="96"/>
      <c r="F222" s="96"/>
      <c r="G222" s="96"/>
      <c r="H222" s="139"/>
      <c r="I222" s="131"/>
      <c r="J222" s="139"/>
      <c r="K222" s="140"/>
      <c r="L222" s="131"/>
      <c r="M222" s="141"/>
    </row>
    <row r="223" spans="1:13" ht="12.75">
      <c r="A223" s="100"/>
      <c r="B223" s="91"/>
      <c r="C223" s="95"/>
      <c r="D223" s="93"/>
      <c r="E223" s="96"/>
      <c r="F223" s="96"/>
      <c r="G223" s="96"/>
      <c r="H223" s="139"/>
      <c r="I223" s="131"/>
      <c r="J223" s="139"/>
      <c r="K223" s="140"/>
      <c r="L223" s="131"/>
      <c r="M223" s="141"/>
    </row>
    <row r="224" spans="1:13" ht="12.75">
      <c r="A224" s="100"/>
      <c r="B224" s="91"/>
      <c r="C224" s="95"/>
      <c r="D224" s="93"/>
      <c r="E224" s="96"/>
      <c r="F224" s="96"/>
      <c r="G224" s="96"/>
      <c r="H224" s="139"/>
      <c r="I224" s="131"/>
      <c r="J224" s="139"/>
      <c r="K224" s="140"/>
      <c r="L224" s="131"/>
      <c r="M224" s="141"/>
    </row>
    <row r="225" spans="1:13" ht="12.75">
      <c r="A225" s="100"/>
      <c r="B225" s="91"/>
      <c r="C225" s="95"/>
      <c r="D225" s="93"/>
      <c r="E225" s="96"/>
      <c r="F225" s="96"/>
      <c r="G225" s="96"/>
      <c r="H225" s="139"/>
      <c r="I225" s="131"/>
      <c r="J225" s="139"/>
      <c r="K225" s="140"/>
      <c r="L225" s="131"/>
      <c r="M225" s="141"/>
    </row>
    <row r="226" spans="1:13" ht="12.75">
      <c r="A226" s="100"/>
      <c r="B226" s="91"/>
      <c r="C226" s="95"/>
      <c r="D226" s="93"/>
      <c r="E226" s="96"/>
      <c r="F226" s="96"/>
      <c r="G226" s="96"/>
      <c r="H226" s="139"/>
      <c r="I226" s="131"/>
      <c r="J226" s="139"/>
      <c r="K226" s="140"/>
      <c r="L226" s="131"/>
      <c r="M226" s="141"/>
    </row>
    <row r="227" spans="1:13" ht="13.5" thickBot="1">
      <c r="A227" s="101"/>
      <c r="B227" s="102"/>
      <c r="C227" s="103"/>
      <c r="D227" s="104"/>
      <c r="E227" s="105"/>
      <c r="F227" s="105"/>
      <c r="G227" s="105"/>
      <c r="H227" s="142"/>
      <c r="I227" s="143"/>
      <c r="J227" s="142"/>
      <c r="K227" s="144"/>
      <c r="L227" s="143"/>
      <c r="M227" s="145"/>
    </row>
    <row r="228" spans="1:13" ht="51">
      <c r="A228" s="130" t="s">
        <v>57</v>
      </c>
      <c r="B228" s="111" t="s">
        <v>39</v>
      </c>
      <c r="C228" s="116" t="s">
        <v>9</v>
      </c>
      <c r="D228" s="113">
        <v>28600</v>
      </c>
      <c r="E228" s="96"/>
      <c r="F228" s="96">
        <v>14300</v>
      </c>
      <c r="G228" s="96">
        <v>14300</v>
      </c>
      <c r="H228" s="139"/>
      <c r="I228" s="131"/>
      <c r="J228" s="139"/>
      <c r="K228" s="140"/>
      <c r="L228" s="131"/>
      <c r="M228" s="141"/>
    </row>
    <row r="229" spans="1:13" ht="12.75">
      <c r="A229" s="100"/>
      <c r="B229" s="91"/>
      <c r="C229" s="95"/>
      <c r="D229" s="93"/>
      <c r="E229" s="96"/>
      <c r="F229" s="96"/>
      <c r="G229" s="96"/>
      <c r="H229" s="139"/>
      <c r="I229" s="131"/>
      <c r="J229" s="139"/>
      <c r="K229" s="140"/>
      <c r="L229" s="131"/>
      <c r="M229" s="141"/>
    </row>
    <row r="230" spans="1:13" ht="12.75">
      <c r="A230" s="100"/>
      <c r="B230" s="91"/>
      <c r="C230" s="95"/>
      <c r="D230" s="93"/>
      <c r="E230" s="96"/>
      <c r="F230" s="96"/>
      <c r="G230" s="96"/>
      <c r="H230" s="139"/>
      <c r="I230" s="131"/>
      <c r="J230" s="139"/>
      <c r="K230" s="140"/>
      <c r="L230" s="131"/>
      <c r="M230" s="141"/>
    </row>
    <row r="231" spans="1:13" ht="12.75">
      <c r="A231" s="100"/>
      <c r="B231" s="91"/>
      <c r="C231" s="95"/>
      <c r="D231" s="93"/>
      <c r="E231" s="96"/>
      <c r="F231" s="96"/>
      <c r="G231" s="96"/>
      <c r="H231" s="139"/>
      <c r="I231" s="131"/>
      <c r="J231" s="139"/>
      <c r="K231" s="140"/>
      <c r="L231" s="131"/>
      <c r="M231" s="141"/>
    </row>
    <row r="232" spans="1:13" ht="12.75">
      <c r="A232" s="100"/>
      <c r="B232" s="91"/>
      <c r="C232" s="95"/>
      <c r="D232" s="93"/>
      <c r="E232" s="96"/>
      <c r="F232" s="96"/>
      <c r="G232" s="96"/>
      <c r="H232" s="139"/>
      <c r="I232" s="131"/>
      <c r="J232" s="139"/>
      <c r="K232" s="140"/>
      <c r="L232" s="131"/>
      <c r="M232" s="141"/>
    </row>
    <row r="233" spans="1:13" ht="12.75">
      <c r="A233" s="100"/>
      <c r="B233" s="91"/>
      <c r="C233" s="95"/>
      <c r="D233" s="93"/>
      <c r="E233" s="96"/>
      <c r="F233" s="96"/>
      <c r="G233" s="96"/>
      <c r="H233" s="139"/>
      <c r="I233" s="131"/>
      <c r="J233" s="139"/>
      <c r="K233" s="140"/>
      <c r="L233" s="131"/>
      <c r="M233" s="141"/>
    </row>
    <row r="234" spans="1:13" ht="12.75">
      <c r="A234" s="100"/>
      <c r="B234" s="91"/>
      <c r="C234" s="95"/>
      <c r="D234" s="93"/>
      <c r="E234" s="96"/>
      <c r="F234" s="96"/>
      <c r="G234" s="96"/>
      <c r="H234" s="139"/>
      <c r="I234" s="131"/>
      <c r="J234" s="139"/>
      <c r="K234" s="140"/>
      <c r="L234" s="131"/>
      <c r="M234" s="141"/>
    </row>
    <row r="235" spans="1:13" ht="12.75">
      <c r="A235" s="100"/>
      <c r="B235" s="91"/>
      <c r="C235" s="95"/>
      <c r="D235" s="93"/>
      <c r="E235" s="96"/>
      <c r="F235" s="96"/>
      <c r="G235" s="96"/>
      <c r="H235" s="139"/>
      <c r="I235" s="131"/>
      <c r="J235" s="139"/>
      <c r="K235" s="140"/>
      <c r="L235" s="131"/>
      <c r="M235" s="141"/>
    </row>
    <row r="236" spans="1:13" ht="12.75">
      <c r="A236" s="100"/>
      <c r="B236" s="91"/>
      <c r="C236" s="95"/>
      <c r="D236" s="93"/>
      <c r="E236" s="96"/>
      <c r="F236" s="96"/>
      <c r="G236" s="96"/>
      <c r="H236" s="139"/>
      <c r="I236" s="131"/>
      <c r="J236" s="139"/>
      <c r="K236" s="140"/>
      <c r="L236" s="131"/>
      <c r="M236" s="141"/>
    </row>
    <row r="237" spans="1:13" ht="12.75">
      <c r="A237" s="100"/>
      <c r="B237" s="91"/>
      <c r="C237" s="95"/>
      <c r="D237" s="93"/>
      <c r="E237" s="96"/>
      <c r="F237" s="96"/>
      <c r="G237" s="96"/>
      <c r="H237" s="139"/>
      <c r="I237" s="131"/>
      <c r="J237" s="139"/>
      <c r="K237" s="140"/>
      <c r="L237" s="131"/>
      <c r="M237" s="141"/>
    </row>
    <row r="238" spans="1:13" ht="13.5" thickBot="1">
      <c r="A238" s="101"/>
      <c r="B238" s="102"/>
      <c r="C238" s="103"/>
      <c r="D238" s="104"/>
      <c r="E238" s="105"/>
      <c r="F238" s="105"/>
      <c r="G238" s="105"/>
      <c r="H238" s="142"/>
      <c r="I238" s="143"/>
      <c r="J238" s="142"/>
      <c r="K238" s="144"/>
      <c r="L238" s="143"/>
      <c r="M238" s="145"/>
    </row>
    <row r="239" spans="1:13" ht="114.75">
      <c r="A239" s="100" t="s">
        <v>56</v>
      </c>
      <c r="B239" s="111" t="s">
        <v>39</v>
      </c>
      <c r="C239" s="112" t="s">
        <v>49</v>
      </c>
      <c r="D239" s="113">
        <v>31000</v>
      </c>
      <c r="E239" s="96"/>
      <c r="F239" s="96">
        <v>31000</v>
      </c>
      <c r="G239" s="96"/>
      <c r="H239" s="139"/>
      <c r="I239" s="131"/>
      <c r="J239" s="139"/>
      <c r="K239" s="140"/>
      <c r="L239" s="131"/>
      <c r="M239" s="141"/>
    </row>
    <row r="240" spans="1:13" ht="12.75">
      <c r="A240" s="100"/>
      <c r="B240" s="91"/>
      <c r="C240" s="95"/>
      <c r="D240" s="93"/>
      <c r="E240" s="96"/>
      <c r="F240" s="96"/>
      <c r="G240" s="96"/>
      <c r="H240" s="139"/>
      <c r="I240" s="236" t="s">
        <v>173</v>
      </c>
      <c r="J240" s="220">
        <f>18310.69</f>
        <v>18310.69</v>
      </c>
      <c r="K240" s="221"/>
      <c r="L240" s="236" t="s">
        <v>173</v>
      </c>
      <c r="M240" s="222">
        <v>31000</v>
      </c>
    </row>
    <row r="241" spans="1:13" ht="25.5">
      <c r="A241" s="100"/>
      <c r="B241" s="91"/>
      <c r="C241" s="95"/>
      <c r="D241" s="93"/>
      <c r="E241" s="96"/>
      <c r="F241" s="96"/>
      <c r="G241" s="96"/>
      <c r="H241" s="139"/>
      <c r="I241" s="219" t="s">
        <v>174</v>
      </c>
      <c r="J241" s="220">
        <v>12.12</v>
      </c>
      <c r="K241" s="221"/>
      <c r="L241" s="219" t="s">
        <v>174</v>
      </c>
      <c r="M241" s="222">
        <f>J241*(K4/H4)</f>
        <v>19.987090845945374</v>
      </c>
    </row>
    <row r="242" spans="1:13" s="150" customFormat="1" ht="25.5">
      <c r="A242" s="254"/>
      <c r="B242" s="255"/>
      <c r="C242" s="92"/>
      <c r="D242" s="256"/>
      <c r="E242" s="94"/>
      <c r="F242" s="94"/>
      <c r="G242" s="94"/>
      <c r="H242" s="146"/>
      <c r="I242" s="372" t="s">
        <v>256</v>
      </c>
      <c r="J242" s="146">
        <v>-4904.86</v>
      </c>
      <c r="K242" s="148"/>
      <c r="L242" s="373" t="s">
        <v>256</v>
      </c>
      <c r="M242" s="149">
        <v>-7619.2</v>
      </c>
    </row>
    <row r="243" spans="1:13" ht="12.75">
      <c r="A243" s="100"/>
      <c r="B243" s="91"/>
      <c r="C243" s="95"/>
      <c r="D243" s="93"/>
      <c r="E243" s="96"/>
      <c r="F243" s="96"/>
      <c r="G243" s="96"/>
      <c r="H243" s="139"/>
      <c r="I243" s="131"/>
      <c r="J243" s="139"/>
      <c r="K243" s="140"/>
      <c r="L243" s="131"/>
      <c r="M243" s="141"/>
    </row>
    <row r="244" spans="1:13" ht="12.75">
      <c r="A244" s="100"/>
      <c r="B244" s="91"/>
      <c r="C244" s="95"/>
      <c r="D244" s="93"/>
      <c r="E244" s="96"/>
      <c r="F244" s="96"/>
      <c r="G244" s="96"/>
      <c r="H244" s="139"/>
      <c r="I244" s="131"/>
      <c r="J244" s="139"/>
      <c r="K244" s="140"/>
      <c r="L244" s="131"/>
      <c r="M244" s="141"/>
    </row>
    <row r="245" spans="1:13" ht="12.75">
      <c r="A245" s="100"/>
      <c r="B245" s="91"/>
      <c r="C245" s="95"/>
      <c r="D245" s="93"/>
      <c r="E245" s="96"/>
      <c r="F245" s="96"/>
      <c r="G245" s="96"/>
      <c r="H245" s="139"/>
      <c r="I245" s="131"/>
      <c r="J245" s="139"/>
      <c r="K245" s="140"/>
      <c r="L245" s="131"/>
      <c r="M245" s="141"/>
    </row>
    <row r="246" spans="1:13" ht="12.75">
      <c r="A246" s="100"/>
      <c r="B246" s="91"/>
      <c r="C246" s="95"/>
      <c r="D246" s="93"/>
      <c r="E246" s="96"/>
      <c r="F246" s="96"/>
      <c r="G246" s="96"/>
      <c r="H246" s="139"/>
      <c r="I246" s="131"/>
      <c r="J246" s="139"/>
      <c r="K246" s="140"/>
      <c r="L246" s="131"/>
      <c r="M246" s="141"/>
    </row>
    <row r="247" spans="1:13" ht="12.75">
      <c r="A247" s="100"/>
      <c r="B247" s="91"/>
      <c r="C247" s="95"/>
      <c r="D247" s="93"/>
      <c r="E247" s="96"/>
      <c r="F247" s="96"/>
      <c r="G247" s="96"/>
      <c r="H247" s="139"/>
      <c r="I247" s="131"/>
      <c r="J247" s="139"/>
      <c r="K247" s="140"/>
      <c r="L247" s="131"/>
      <c r="M247" s="141"/>
    </row>
    <row r="248" spans="1:13" ht="12.75">
      <c r="A248" s="100"/>
      <c r="B248" s="91"/>
      <c r="C248" s="95"/>
      <c r="D248" s="93"/>
      <c r="E248" s="96"/>
      <c r="F248" s="96"/>
      <c r="G248" s="96"/>
      <c r="H248" s="139"/>
      <c r="I248" s="131"/>
      <c r="J248" s="139"/>
      <c r="K248" s="140"/>
      <c r="L248" s="131"/>
      <c r="M248" s="141"/>
    </row>
    <row r="249" spans="1:13" ht="12.75">
      <c r="A249" s="100"/>
      <c r="B249" s="91"/>
      <c r="C249" s="95"/>
      <c r="D249" s="93"/>
      <c r="E249" s="96"/>
      <c r="F249" s="96"/>
      <c r="G249" s="96"/>
      <c r="H249" s="139"/>
      <c r="I249" s="131"/>
      <c r="J249" s="139"/>
      <c r="K249" s="140"/>
      <c r="L249" s="131"/>
      <c r="M249" s="141"/>
    </row>
    <row r="250" spans="1:13" ht="12.75">
      <c r="A250" s="100"/>
      <c r="B250" s="91"/>
      <c r="C250" s="95"/>
      <c r="D250" s="93"/>
      <c r="E250" s="96"/>
      <c r="F250" s="96"/>
      <c r="G250" s="96"/>
      <c r="H250" s="139"/>
      <c r="I250" s="131"/>
      <c r="J250" s="139"/>
      <c r="K250" s="140"/>
      <c r="L250" s="131"/>
      <c r="M250" s="141"/>
    </row>
    <row r="251" spans="1:13" ht="13.5" thickBot="1">
      <c r="A251" s="101"/>
      <c r="B251" s="102"/>
      <c r="C251" s="103"/>
      <c r="D251" s="104"/>
      <c r="E251" s="105"/>
      <c r="F251" s="105"/>
      <c r="G251" s="105"/>
      <c r="H251" s="142"/>
      <c r="I251" s="143"/>
      <c r="J251" s="142"/>
      <c r="K251" s="144"/>
      <c r="L251" s="143"/>
      <c r="M251" s="145"/>
    </row>
    <row r="252" spans="1:13" ht="51">
      <c r="A252" s="130" t="s">
        <v>57</v>
      </c>
      <c r="B252" s="111" t="s">
        <v>39</v>
      </c>
      <c r="C252" s="112" t="s">
        <v>51</v>
      </c>
      <c r="D252" s="113">
        <v>14000</v>
      </c>
      <c r="E252" s="96"/>
      <c r="F252" s="96">
        <v>14000</v>
      </c>
      <c r="G252" s="96"/>
      <c r="H252" s="139"/>
      <c r="I252" s="131"/>
      <c r="J252" s="139"/>
      <c r="K252" s="140"/>
      <c r="L252" s="131"/>
      <c r="M252" s="141"/>
    </row>
    <row r="253" spans="1:13" ht="12.75">
      <c r="A253" s="100"/>
      <c r="B253" s="91"/>
      <c r="C253" s="95"/>
      <c r="D253" s="93"/>
      <c r="E253" s="96"/>
      <c r="F253" s="96"/>
      <c r="G253" s="96"/>
      <c r="H253" s="139"/>
      <c r="I253" s="131"/>
      <c r="J253" s="139"/>
      <c r="K253" s="140"/>
      <c r="L253" s="131"/>
      <c r="M253" s="141"/>
    </row>
    <row r="254" spans="1:13" ht="12.75">
      <c r="A254" s="100"/>
      <c r="B254" s="91"/>
      <c r="C254" s="95"/>
      <c r="D254" s="93"/>
      <c r="E254" s="96"/>
      <c r="F254" s="96"/>
      <c r="G254" s="96"/>
      <c r="H254" s="139"/>
      <c r="I254" s="131"/>
      <c r="J254" s="139"/>
      <c r="K254" s="140"/>
      <c r="L254" s="131"/>
      <c r="M254" s="141"/>
    </row>
    <row r="255" spans="1:13" ht="12.75">
      <c r="A255" s="100"/>
      <c r="B255" s="91"/>
      <c r="C255" s="95"/>
      <c r="D255" s="93"/>
      <c r="E255" s="96"/>
      <c r="F255" s="96"/>
      <c r="G255" s="96"/>
      <c r="H255" s="139"/>
      <c r="I255" s="131"/>
      <c r="J255" s="139"/>
      <c r="K255" s="140"/>
      <c r="L255" s="131"/>
      <c r="M255" s="141"/>
    </row>
    <row r="256" spans="1:13" ht="12.75">
      <c r="A256" s="100"/>
      <c r="B256" s="91"/>
      <c r="C256" s="95"/>
      <c r="D256" s="93"/>
      <c r="E256" s="96"/>
      <c r="F256" s="96"/>
      <c r="G256" s="96"/>
      <c r="H256" s="139"/>
      <c r="I256" s="131"/>
      <c r="J256" s="139"/>
      <c r="K256" s="140"/>
      <c r="L256" s="131"/>
      <c r="M256" s="141"/>
    </row>
    <row r="257" spans="1:13" ht="12.75">
      <c r="A257" s="100"/>
      <c r="B257" s="91"/>
      <c r="C257" s="95"/>
      <c r="D257" s="93"/>
      <c r="E257" s="96"/>
      <c r="F257" s="96"/>
      <c r="G257" s="96"/>
      <c r="H257" s="139"/>
      <c r="I257" s="131"/>
      <c r="J257" s="139"/>
      <c r="K257" s="140"/>
      <c r="L257" s="131"/>
      <c r="M257" s="141"/>
    </row>
    <row r="258" spans="1:13" ht="12.75">
      <c r="A258" s="100"/>
      <c r="B258" s="91"/>
      <c r="C258" s="95"/>
      <c r="D258" s="93"/>
      <c r="E258" s="96"/>
      <c r="F258" s="96"/>
      <c r="G258" s="96"/>
      <c r="H258" s="139"/>
      <c r="I258" s="131"/>
      <c r="J258" s="139"/>
      <c r="K258" s="140"/>
      <c r="L258" s="131"/>
      <c r="M258" s="141"/>
    </row>
    <row r="259" spans="1:13" ht="12.75">
      <c r="A259" s="100"/>
      <c r="B259" s="91"/>
      <c r="C259" s="95"/>
      <c r="D259" s="93"/>
      <c r="E259" s="96"/>
      <c r="F259" s="96"/>
      <c r="G259" s="96"/>
      <c r="H259" s="139"/>
      <c r="I259" s="131"/>
      <c r="J259" s="139"/>
      <c r="K259" s="140"/>
      <c r="L259" s="131"/>
      <c r="M259" s="141"/>
    </row>
    <row r="260" spans="1:13" ht="12.75">
      <c r="A260" s="100"/>
      <c r="B260" s="91"/>
      <c r="C260" s="95"/>
      <c r="D260" s="93"/>
      <c r="E260" s="96"/>
      <c r="F260" s="96"/>
      <c r="G260" s="96"/>
      <c r="H260" s="139"/>
      <c r="I260" s="131"/>
      <c r="J260" s="139"/>
      <c r="K260" s="140"/>
      <c r="L260" s="131"/>
      <c r="M260" s="141"/>
    </row>
    <row r="261" spans="1:13" ht="12.75">
      <c r="A261" s="100"/>
      <c r="B261" s="91"/>
      <c r="C261" s="95"/>
      <c r="D261" s="93"/>
      <c r="E261" s="96"/>
      <c r="F261" s="96"/>
      <c r="G261" s="96"/>
      <c r="H261" s="139"/>
      <c r="I261" s="131"/>
      <c r="J261" s="139"/>
      <c r="K261" s="140"/>
      <c r="L261" s="131"/>
      <c r="M261" s="141"/>
    </row>
    <row r="262" spans="1:13" ht="12.75">
      <c r="A262" s="100"/>
      <c r="B262" s="91"/>
      <c r="C262" s="95"/>
      <c r="D262" s="93"/>
      <c r="E262" s="96"/>
      <c r="F262" s="96"/>
      <c r="G262" s="96"/>
      <c r="H262" s="139"/>
      <c r="I262" s="131"/>
      <c r="J262" s="139"/>
      <c r="K262" s="140"/>
      <c r="L262" s="131"/>
      <c r="M262" s="141"/>
    </row>
    <row r="263" spans="1:13" ht="13.5" thickBot="1">
      <c r="A263" s="101"/>
      <c r="B263" s="102"/>
      <c r="C263" s="103"/>
      <c r="D263" s="104"/>
      <c r="E263" s="105"/>
      <c r="F263" s="105"/>
      <c r="G263" s="105"/>
      <c r="H263" s="142"/>
      <c r="I263" s="143"/>
      <c r="J263" s="142"/>
      <c r="K263" s="144"/>
      <c r="L263" s="143"/>
      <c r="M263" s="145"/>
    </row>
    <row r="264" spans="1:13" ht="51">
      <c r="A264" s="130" t="s">
        <v>57</v>
      </c>
      <c r="B264" s="111" t="s">
        <v>39</v>
      </c>
      <c r="C264" s="112" t="s">
        <v>54</v>
      </c>
      <c r="D264" s="113">
        <v>5875</v>
      </c>
      <c r="E264" s="96"/>
      <c r="F264" s="96">
        <f>5875/2</f>
        <v>2937.5</v>
      </c>
      <c r="G264" s="96">
        <f>5875/2</f>
        <v>2937.5</v>
      </c>
      <c r="H264" s="139"/>
      <c r="I264" s="131"/>
      <c r="J264" s="139"/>
      <c r="K264" s="140"/>
      <c r="L264" s="131"/>
      <c r="M264" s="141"/>
    </row>
    <row r="265" spans="1:13" ht="12.75">
      <c r="A265" s="100"/>
      <c r="B265" s="91"/>
      <c r="C265" s="95"/>
      <c r="D265" s="93"/>
      <c r="E265" s="96"/>
      <c r="F265" s="96"/>
      <c r="G265" s="96"/>
      <c r="H265" s="139"/>
      <c r="I265" s="131"/>
      <c r="J265" s="139"/>
      <c r="K265" s="140"/>
      <c r="L265" s="131"/>
      <c r="M265" s="141"/>
    </row>
    <row r="266" spans="1:13" ht="12.75">
      <c r="A266" s="100"/>
      <c r="B266" s="91"/>
      <c r="C266" s="95"/>
      <c r="D266" s="93"/>
      <c r="E266" s="96"/>
      <c r="F266" s="96"/>
      <c r="G266" s="96"/>
      <c r="H266" s="139"/>
      <c r="I266" s="131"/>
      <c r="J266" s="139"/>
      <c r="K266" s="140"/>
      <c r="L266" s="131"/>
      <c r="M266" s="141"/>
    </row>
    <row r="267" spans="1:13" ht="12.75">
      <c r="A267" s="100"/>
      <c r="B267" s="91"/>
      <c r="C267" s="95"/>
      <c r="D267" s="93"/>
      <c r="E267" s="96"/>
      <c r="F267" s="96"/>
      <c r="G267" s="96"/>
      <c r="H267" s="139"/>
      <c r="I267" s="131"/>
      <c r="J267" s="139"/>
      <c r="K267" s="140"/>
      <c r="L267" s="131"/>
      <c r="M267" s="141"/>
    </row>
    <row r="268" spans="1:13" ht="12.75">
      <c r="A268" s="100"/>
      <c r="B268" s="91"/>
      <c r="C268" s="95"/>
      <c r="D268" s="93"/>
      <c r="E268" s="96"/>
      <c r="F268" s="96"/>
      <c r="G268" s="96"/>
      <c r="H268" s="139"/>
      <c r="I268" s="131"/>
      <c r="J268" s="139"/>
      <c r="K268" s="140"/>
      <c r="L268" s="131"/>
      <c r="M268" s="141"/>
    </row>
    <row r="269" spans="1:13" ht="12.75">
      <c r="A269" s="100"/>
      <c r="B269" s="91"/>
      <c r="C269" s="95"/>
      <c r="D269" s="93"/>
      <c r="E269" s="96"/>
      <c r="F269" s="96"/>
      <c r="G269" s="96"/>
      <c r="H269" s="139"/>
      <c r="I269" s="131"/>
      <c r="J269" s="139"/>
      <c r="K269" s="140"/>
      <c r="L269" s="131"/>
      <c r="M269" s="141"/>
    </row>
    <row r="270" spans="1:13" ht="12.75">
      <c r="A270" s="100"/>
      <c r="B270" s="91"/>
      <c r="C270" s="95"/>
      <c r="D270" s="93"/>
      <c r="E270" s="96"/>
      <c r="F270" s="96"/>
      <c r="G270" s="96"/>
      <c r="H270" s="139"/>
      <c r="I270" s="131"/>
      <c r="J270" s="139"/>
      <c r="K270" s="140"/>
      <c r="L270" s="131"/>
      <c r="M270" s="141"/>
    </row>
    <row r="271" spans="1:13" ht="12.75">
      <c r="A271" s="100"/>
      <c r="B271" s="91"/>
      <c r="C271" s="95"/>
      <c r="D271" s="93"/>
      <c r="E271" s="96"/>
      <c r="F271" s="96"/>
      <c r="G271" s="96"/>
      <c r="H271" s="139"/>
      <c r="I271" s="131"/>
      <c r="J271" s="139"/>
      <c r="K271" s="140"/>
      <c r="L271" s="131"/>
      <c r="M271" s="141"/>
    </row>
    <row r="272" spans="1:13" ht="12.75">
      <c r="A272" s="100"/>
      <c r="B272" s="91"/>
      <c r="C272" s="95"/>
      <c r="D272" s="93"/>
      <c r="E272" s="96"/>
      <c r="F272" s="96"/>
      <c r="G272" s="96"/>
      <c r="H272" s="139"/>
      <c r="I272" s="131"/>
      <c r="J272" s="139"/>
      <c r="K272" s="140"/>
      <c r="L272" s="131"/>
      <c r="M272" s="141"/>
    </row>
    <row r="273" spans="1:13" ht="12.75">
      <c r="A273" s="100"/>
      <c r="B273" s="91"/>
      <c r="C273" s="95"/>
      <c r="D273" s="93"/>
      <c r="E273" s="96"/>
      <c r="F273" s="96"/>
      <c r="G273" s="96"/>
      <c r="H273" s="139"/>
      <c r="I273" s="131"/>
      <c r="J273" s="139"/>
      <c r="K273" s="140"/>
      <c r="L273" s="131"/>
      <c r="M273" s="141"/>
    </row>
    <row r="274" spans="1:13" ht="13.5" thickBot="1">
      <c r="A274" s="101"/>
      <c r="B274" s="102"/>
      <c r="C274" s="103"/>
      <c r="D274" s="104"/>
      <c r="E274" s="105"/>
      <c r="F274" s="105"/>
      <c r="G274" s="105"/>
      <c r="H274" s="142"/>
      <c r="I274" s="143"/>
      <c r="J274" s="142"/>
      <c r="K274" s="144"/>
      <c r="L274" s="143"/>
      <c r="M274" s="145"/>
    </row>
    <row r="275" spans="1:13" ht="51">
      <c r="A275" s="128" t="s">
        <v>57</v>
      </c>
      <c r="B275" s="97" t="s">
        <v>39</v>
      </c>
      <c r="C275" s="159" t="s">
        <v>22</v>
      </c>
      <c r="D275" s="98">
        <v>49600</v>
      </c>
      <c r="E275" s="99">
        <v>0</v>
      </c>
      <c r="F275" s="99">
        <v>24800</v>
      </c>
      <c r="G275" s="99">
        <v>24800</v>
      </c>
      <c r="H275" s="135"/>
      <c r="I275" s="136"/>
      <c r="J275" s="135"/>
      <c r="K275" s="137"/>
      <c r="L275" s="136"/>
      <c r="M275" s="138"/>
    </row>
    <row r="276" spans="1:13" ht="25.5">
      <c r="A276" s="100"/>
      <c r="B276" s="91"/>
      <c r="C276" s="95"/>
      <c r="D276" s="93"/>
      <c r="E276" s="96"/>
      <c r="F276" s="96"/>
      <c r="G276" s="96"/>
      <c r="H276" s="139"/>
      <c r="I276" s="233" t="s">
        <v>94</v>
      </c>
      <c r="J276" s="207">
        <v>793.1</v>
      </c>
      <c r="K276" s="211"/>
      <c r="L276" s="233" t="s">
        <v>94</v>
      </c>
      <c r="M276" s="210">
        <f>J276*(K2/H2)</f>
        <v>1213.8396390958294</v>
      </c>
    </row>
    <row r="277" spans="1:13" ht="51">
      <c r="A277" s="100"/>
      <c r="B277" s="91"/>
      <c r="C277" s="95"/>
      <c r="D277" s="93"/>
      <c r="E277" s="96"/>
      <c r="F277" s="96"/>
      <c r="G277" s="96"/>
      <c r="H277" s="139"/>
      <c r="I277" s="236" t="s">
        <v>97</v>
      </c>
      <c r="J277" s="213">
        <v>697.91</v>
      </c>
      <c r="K277" s="214"/>
      <c r="L277" s="236" t="s">
        <v>97</v>
      </c>
      <c r="M277" s="210">
        <f>J277*(K2/H2)</f>
        <v>1068.1513334023077</v>
      </c>
    </row>
    <row r="278" spans="1:13" ht="51">
      <c r="A278" s="100"/>
      <c r="B278" s="91"/>
      <c r="C278" s="95"/>
      <c r="D278" s="93"/>
      <c r="E278" s="96"/>
      <c r="F278" s="96"/>
      <c r="G278" s="96"/>
      <c r="H278" s="139"/>
      <c r="I278" s="236" t="s">
        <v>96</v>
      </c>
      <c r="J278" s="213">
        <v>697.91</v>
      </c>
      <c r="K278" s="214"/>
      <c r="L278" s="236" t="s">
        <v>96</v>
      </c>
      <c r="M278" s="210">
        <f>J278*(K2/H2)</f>
        <v>1068.1513334023077</v>
      </c>
    </row>
    <row r="279" spans="1:13" ht="63.75">
      <c r="A279" s="100"/>
      <c r="B279" s="91"/>
      <c r="C279" s="95"/>
      <c r="D279" s="93"/>
      <c r="E279" s="96"/>
      <c r="F279" s="96"/>
      <c r="G279" s="96"/>
      <c r="H279" s="139"/>
      <c r="I279" s="236" t="s">
        <v>105</v>
      </c>
      <c r="J279" s="213">
        <v>1594.5</v>
      </c>
      <c r="K279" s="214"/>
      <c r="L279" s="236" t="s">
        <v>105</v>
      </c>
      <c r="M279" s="210">
        <v>2574</v>
      </c>
    </row>
    <row r="280" spans="1:13" ht="76.5">
      <c r="A280" s="100"/>
      <c r="B280" s="91"/>
      <c r="C280" s="95"/>
      <c r="D280" s="93"/>
      <c r="E280" s="96"/>
      <c r="F280" s="96"/>
      <c r="G280" s="96"/>
      <c r="H280" s="139"/>
      <c r="I280" s="247" t="s">
        <v>106</v>
      </c>
      <c r="J280" s="213">
        <v>12.2</v>
      </c>
      <c r="K280" s="214"/>
      <c r="L280" s="247" t="s">
        <v>106</v>
      </c>
      <c r="M280" s="210">
        <f>J280*(K2/H2)</f>
        <v>18.67210137053224</v>
      </c>
    </row>
    <row r="281" spans="1:13" ht="51">
      <c r="A281" s="100"/>
      <c r="B281" s="91"/>
      <c r="C281" s="95"/>
      <c r="D281" s="93"/>
      <c r="E281" s="96"/>
      <c r="F281" s="96"/>
      <c r="G281" s="96"/>
      <c r="H281" s="139"/>
      <c r="I281" s="236" t="s">
        <v>98</v>
      </c>
      <c r="J281" s="286">
        <v>964.97</v>
      </c>
      <c r="K281" s="214"/>
      <c r="L281" s="236" t="s">
        <v>98</v>
      </c>
      <c r="M281" s="210">
        <f>J281*(K2/H2)</f>
        <v>1476.8866934034832</v>
      </c>
    </row>
    <row r="282" spans="1:13" ht="63.75">
      <c r="A282" s="100"/>
      <c r="B282" s="91"/>
      <c r="C282" s="95"/>
      <c r="D282" s="93"/>
      <c r="E282" s="96"/>
      <c r="F282" s="96"/>
      <c r="G282" s="96"/>
      <c r="H282" s="139"/>
      <c r="I282" s="236" t="s">
        <v>107</v>
      </c>
      <c r="J282" s="213">
        <v>1503.09</v>
      </c>
      <c r="K282" s="214"/>
      <c r="L282" s="236" t="s">
        <v>107</v>
      </c>
      <c r="M282" s="210">
        <v>2574</v>
      </c>
    </row>
    <row r="283" spans="1:13" ht="25.5">
      <c r="A283" s="100"/>
      <c r="B283" s="91"/>
      <c r="C283" s="95"/>
      <c r="D283" s="93"/>
      <c r="E283" s="96"/>
      <c r="F283" s="96"/>
      <c r="G283" s="96"/>
      <c r="H283" s="139"/>
      <c r="I283" s="233" t="s">
        <v>95</v>
      </c>
      <c r="J283" s="207">
        <v>1175</v>
      </c>
      <c r="K283" s="211"/>
      <c r="L283" s="233" t="s">
        <v>95</v>
      </c>
      <c r="M283" s="210">
        <f>J283*(K2/H2)</f>
        <v>1798.337631997982</v>
      </c>
    </row>
    <row r="284" spans="1:13" ht="51">
      <c r="A284" s="100"/>
      <c r="B284" s="91"/>
      <c r="C284" s="95"/>
      <c r="D284" s="93"/>
      <c r="E284" s="96"/>
      <c r="F284" s="96"/>
      <c r="G284" s="96"/>
      <c r="H284" s="139"/>
      <c r="I284" s="236" t="s">
        <v>99</v>
      </c>
      <c r="J284" s="213">
        <v>1246.78</v>
      </c>
      <c r="K284" s="214"/>
      <c r="L284" s="236" t="s">
        <v>99</v>
      </c>
      <c r="M284" s="210">
        <f>J284*(K2/H2)</f>
        <v>1908.1969300616545</v>
      </c>
    </row>
    <row r="285" spans="1:13" ht="51">
      <c r="A285" s="100"/>
      <c r="B285" s="91"/>
      <c r="C285" s="95"/>
      <c r="D285" s="93"/>
      <c r="E285" s="96"/>
      <c r="F285" s="96"/>
      <c r="G285" s="96"/>
      <c r="H285" s="139"/>
      <c r="I285" s="236" t="s">
        <v>101</v>
      </c>
      <c r="J285" s="213">
        <v>801.18</v>
      </c>
      <c r="K285" s="214"/>
      <c r="L285" s="236" t="s">
        <v>101</v>
      </c>
      <c r="M285" s="210">
        <f>J285*(K2/H2)</f>
        <v>1226.206080003526</v>
      </c>
    </row>
    <row r="286" spans="1:13" ht="89.25">
      <c r="A286" s="100"/>
      <c r="B286" s="91"/>
      <c r="C286" s="95"/>
      <c r="D286" s="93"/>
      <c r="E286" s="96"/>
      <c r="F286" s="96"/>
      <c r="G286" s="96"/>
      <c r="H286" s="139"/>
      <c r="I286" s="236" t="s">
        <v>102</v>
      </c>
      <c r="J286" s="213">
        <v>423.14</v>
      </c>
      <c r="K286" s="214"/>
      <c r="L286" s="236" t="s">
        <v>102</v>
      </c>
      <c r="M286" s="210">
        <f>J286*(K2/H2)</f>
        <v>647.6158175350009</v>
      </c>
    </row>
    <row r="287" spans="1:13" ht="51">
      <c r="A287" s="100"/>
      <c r="B287" s="91"/>
      <c r="C287" s="95"/>
      <c r="D287" s="93"/>
      <c r="E287" s="96"/>
      <c r="F287" s="96"/>
      <c r="G287" s="96"/>
      <c r="H287" s="139"/>
      <c r="I287" s="236" t="s">
        <v>100</v>
      </c>
      <c r="J287" s="286">
        <v>964.97</v>
      </c>
      <c r="K287" s="214"/>
      <c r="L287" s="236" t="s">
        <v>100</v>
      </c>
      <c r="M287" s="210">
        <f>J287*(K2/H2)</f>
        <v>1476.8866934034832</v>
      </c>
    </row>
    <row r="288" spans="1:13" ht="63.75">
      <c r="A288" s="100"/>
      <c r="B288" s="91"/>
      <c r="C288" s="95"/>
      <c r="D288" s="93"/>
      <c r="E288" s="96"/>
      <c r="F288" s="96"/>
      <c r="G288" s="96"/>
      <c r="H288" s="139"/>
      <c r="I288" s="236" t="s">
        <v>103</v>
      </c>
      <c r="J288" s="213">
        <v>714.72</v>
      </c>
      <c r="K288" s="214"/>
      <c r="L288" s="236" t="s">
        <v>103</v>
      </c>
      <c r="M288" s="210">
        <v>1153.78</v>
      </c>
    </row>
    <row r="289" spans="1:13" ht="76.5">
      <c r="A289" s="100"/>
      <c r="B289" s="91"/>
      <c r="C289" s="95"/>
      <c r="D289" s="93"/>
      <c r="E289" s="96"/>
      <c r="F289" s="96"/>
      <c r="G289" s="96"/>
      <c r="H289" s="139"/>
      <c r="I289" s="236" t="s">
        <v>104</v>
      </c>
      <c r="J289" s="213">
        <v>12.32</v>
      </c>
      <c r="K289" s="214"/>
      <c r="L289" s="236" t="s">
        <v>104</v>
      </c>
      <c r="M289" s="210">
        <f>J289*(K2/H2)</f>
        <v>18.855761384012883</v>
      </c>
    </row>
    <row r="290" spans="1:13" s="150" customFormat="1" ht="25.5">
      <c r="A290" s="254"/>
      <c r="B290" s="255"/>
      <c r="C290" s="92"/>
      <c r="D290" s="256"/>
      <c r="E290" s="94"/>
      <c r="F290" s="94"/>
      <c r="G290" s="94"/>
      <c r="H290" s="146"/>
      <c r="I290" s="236" t="s">
        <v>203</v>
      </c>
      <c r="J290" s="275">
        <v>453.4</v>
      </c>
      <c r="K290" s="274"/>
      <c r="L290" s="236" t="s">
        <v>203</v>
      </c>
      <c r="M290" s="277">
        <f>J290*(K5/H5)</f>
        <v>767.606140510524</v>
      </c>
    </row>
    <row r="291" spans="1:13" s="150" customFormat="1" ht="25.5">
      <c r="A291" s="254"/>
      <c r="B291" s="255"/>
      <c r="C291" s="92"/>
      <c r="D291" s="256"/>
      <c r="E291" s="94"/>
      <c r="F291" s="94"/>
      <c r="G291" s="94"/>
      <c r="H291" s="146"/>
      <c r="I291" s="322" t="s">
        <v>204</v>
      </c>
      <c r="J291" s="275">
        <v>326.35</v>
      </c>
      <c r="K291" s="274"/>
      <c r="L291" s="322" t="s">
        <v>204</v>
      </c>
      <c r="M291" s="277">
        <f>J291*(K5/H5)</f>
        <v>552.5105071804358</v>
      </c>
    </row>
    <row r="292" spans="1:13" s="150" customFormat="1" ht="38.25">
      <c r="A292" s="254"/>
      <c r="B292" s="255"/>
      <c r="C292" s="92"/>
      <c r="D292" s="256"/>
      <c r="E292" s="94"/>
      <c r="F292" s="94"/>
      <c r="G292" s="94"/>
      <c r="H292" s="146"/>
      <c r="I292" s="322" t="s">
        <v>205</v>
      </c>
      <c r="J292" s="275">
        <v>801.26</v>
      </c>
      <c r="K292" s="274"/>
      <c r="L292" s="322" t="s">
        <v>205</v>
      </c>
      <c r="M292" s="277">
        <f>J292*(K5/H5)</f>
        <v>1356.5330748686865</v>
      </c>
    </row>
    <row r="293" spans="1:13" s="150" customFormat="1" ht="38.25">
      <c r="A293" s="254"/>
      <c r="B293" s="255"/>
      <c r="C293" s="92"/>
      <c r="D293" s="256"/>
      <c r="E293" s="94"/>
      <c r="F293" s="94"/>
      <c r="G293" s="94"/>
      <c r="H293" s="146"/>
      <c r="I293" s="322" t="s">
        <v>206</v>
      </c>
      <c r="J293" s="275">
        <v>306.61</v>
      </c>
      <c r="K293" s="274"/>
      <c r="L293" s="322" t="s">
        <v>206</v>
      </c>
      <c r="M293" s="277">
        <f>J293*(K5/H5)</f>
        <v>519.0906897704715</v>
      </c>
    </row>
    <row r="294" spans="1:13" s="150" customFormat="1" ht="38.25">
      <c r="A294" s="254"/>
      <c r="B294" s="255"/>
      <c r="C294" s="92"/>
      <c r="D294" s="256"/>
      <c r="E294" s="94"/>
      <c r="F294" s="94"/>
      <c r="G294" s="94"/>
      <c r="H294" s="146"/>
      <c r="I294" s="322" t="s">
        <v>207</v>
      </c>
      <c r="J294" s="275">
        <v>326.35</v>
      </c>
      <c r="K294" s="274"/>
      <c r="L294" s="322" t="s">
        <v>207</v>
      </c>
      <c r="M294" s="277">
        <f>J294*(K5/H5)</f>
        <v>552.5105071804358</v>
      </c>
    </row>
    <row r="295" spans="1:13" s="150" customFormat="1" ht="38.25">
      <c r="A295" s="254"/>
      <c r="B295" s="255"/>
      <c r="C295" s="92"/>
      <c r="D295" s="256"/>
      <c r="E295" s="94"/>
      <c r="F295" s="94"/>
      <c r="G295" s="94"/>
      <c r="H295" s="146"/>
      <c r="I295" s="322" t="s">
        <v>208</v>
      </c>
      <c r="J295" s="275">
        <v>175.25</v>
      </c>
      <c r="K295" s="274"/>
      <c r="L295" s="322" t="s">
        <v>208</v>
      </c>
      <c r="M295" s="277">
        <f>J295*(K5/H5)</f>
        <v>296.6982270058874</v>
      </c>
    </row>
    <row r="296" spans="1:13" s="150" customFormat="1" ht="25.5">
      <c r="A296" s="254"/>
      <c r="B296" s="255"/>
      <c r="C296" s="92"/>
      <c r="D296" s="256"/>
      <c r="E296" s="94"/>
      <c r="F296" s="94"/>
      <c r="G296" s="94"/>
      <c r="H296" s="146"/>
      <c r="I296" s="322" t="s">
        <v>209</v>
      </c>
      <c r="J296" s="275">
        <v>246.13</v>
      </c>
      <c r="K296" s="274"/>
      <c r="L296" s="322" t="s">
        <v>209</v>
      </c>
      <c r="M296" s="277">
        <f>J296*(K5/H5)</f>
        <v>416.6980577059005</v>
      </c>
    </row>
    <row r="297" spans="1:13" s="150" customFormat="1" ht="51">
      <c r="A297" s="254"/>
      <c r="B297" s="255"/>
      <c r="C297" s="92"/>
      <c r="D297" s="256"/>
      <c r="E297" s="94"/>
      <c r="F297" s="94"/>
      <c r="G297" s="94"/>
      <c r="H297" s="146"/>
      <c r="I297" s="328" t="s">
        <v>210</v>
      </c>
      <c r="J297" s="275">
        <v>246.13</v>
      </c>
      <c r="K297" s="274"/>
      <c r="L297" s="329" t="s">
        <v>210</v>
      </c>
      <c r="M297" s="277">
        <f>J297*(K5/H5)</f>
        <v>416.6980577059005</v>
      </c>
    </row>
    <row r="298" spans="1:13" s="150" customFormat="1" ht="38.25">
      <c r="A298" s="254"/>
      <c r="B298" s="255"/>
      <c r="C298" s="92"/>
      <c r="D298" s="256"/>
      <c r="E298" s="94"/>
      <c r="F298" s="94"/>
      <c r="G298" s="94"/>
      <c r="H298" s="146"/>
      <c r="I298" s="328" t="s">
        <v>211</v>
      </c>
      <c r="J298" s="275">
        <v>246.13</v>
      </c>
      <c r="K298" s="274"/>
      <c r="L298" s="329" t="s">
        <v>210</v>
      </c>
      <c r="M298" s="277">
        <f>J298*(K5/H5)</f>
        <v>416.6980577059005</v>
      </c>
    </row>
    <row r="299" spans="1:13" s="150" customFormat="1" ht="89.25">
      <c r="A299" s="254"/>
      <c r="B299" s="255"/>
      <c r="C299" s="92"/>
      <c r="D299" s="256"/>
      <c r="E299" s="94"/>
      <c r="F299" s="94"/>
      <c r="G299" s="94"/>
      <c r="H299" s="146"/>
      <c r="I299" s="330" t="s">
        <v>233</v>
      </c>
      <c r="J299" s="327">
        <v>-246.13</v>
      </c>
      <c r="K299" s="274"/>
      <c r="L299" s="331" t="s">
        <v>233</v>
      </c>
      <c r="M299" s="332">
        <f>J299*(K5/H5)</f>
        <v>-416.6980577059005</v>
      </c>
    </row>
    <row r="300" spans="1:13" s="150" customFormat="1" ht="25.5">
      <c r="A300" s="254"/>
      <c r="B300" s="255"/>
      <c r="C300" s="92"/>
      <c r="D300" s="256"/>
      <c r="E300" s="94"/>
      <c r="F300" s="94"/>
      <c r="G300" s="94"/>
      <c r="H300" s="146"/>
      <c r="I300" s="291" t="s">
        <v>214</v>
      </c>
      <c r="J300" s="275">
        <v>578.8</v>
      </c>
      <c r="K300" s="276"/>
      <c r="L300" s="329" t="s">
        <v>214</v>
      </c>
      <c r="M300" s="333">
        <f>J300*(K5/H5)</f>
        <v>979.9083240571048</v>
      </c>
    </row>
    <row r="301" spans="1:13" s="150" customFormat="1" ht="38.25">
      <c r="A301" s="254"/>
      <c r="B301" s="255"/>
      <c r="C301" s="92"/>
      <c r="D301" s="256"/>
      <c r="E301" s="94"/>
      <c r="F301" s="94"/>
      <c r="G301" s="94"/>
      <c r="H301" s="146"/>
      <c r="I301" s="328" t="s">
        <v>215</v>
      </c>
      <c r="J301" s="275">
        <v>175.5</v>
      </c>
      <c r="K301" s="276"/>
      <c r="L301" s="329" t="s">
        <v>215</v>
      </c>
      <c r="M301" s="333">
        <f>J301*(K5/H5)</f>
        <v>297.1214769730855</v>
      </c>
    </row>
    <row r="302" spans="1:13" s="150" customFormat="1" ht="51">
      <c r="A302" s="254"/>
      <c r="B302" s="255"/>
      <c r="C302" s="92"/>
      <c r="D302" s="256"/>
      <c r="E302" s="94"/>
      <c r="F302" s="94"/>
      <c r="G302" s="94"/>
      <c r="H302" s="146"/>
      <c r="I302" s="347" t="s">
        <v>232</v>
      </c>
      <c r="J302" s="275">
        <v>15.8</v>
      </c>
      <c r="K302" s="274"/>
      <c r="L302" s="329" t="s">
        <v>232</v>
      </c>
      <c r="M302" s="277">
        <f>J302*(K5/H5)</f>
        <v>26.74939792692166</v>
      </c>
    </row>
    <row r="303" spans="1:13" s="150" customFormat="1" ht="25.5">
      <c r="A303" s="254"/>
      <c r="B303" s="255"/>
      <c r="C303" s="92"/>
      <c r="D303" s="256"/>
      <c r="E303" s="94"/>
      <c r="F303" s="94"/>
      <c r="G303" s="94"/>
      <c r="H303" s="146"/>
      <c r="I303" s="347" t="s">
        <v>311</v>
      </c>
      <c r="J303" s="275">
        <v>135.3</v>
      </c>
      <c r="K303" s="274"/>
      <c r="L303" s="329" t="s">
        <v>311</v>
      </c>
      <c r="M303" s="277">
        <f>J303*(K5/H5)</f>
        <v>229.06288224762665</v>
      </c>
    </row>
    <row r="304" spans="1:13" s="150" customFormat="1" ht="25.5">
      <c r="A304" s="254"/>
      <c r="B304" s="255"/>
      <c r="C304" s="92"/>
      <c r="D304" s="256"/>
      <c r="E304" s="94"/>
      <c r="F304" s="94"/>
      <c r="G304" s="94"/>
      <c r="H304" s="146"/>
      <c r="I304" s="347" t="s">
        <v>313</v>
      </c>
      <c r="J304" s="275">
        <v>1314.42</v>
      </c>
      <c r="K304" s="274"/>
      <c r="L304" s="329" t="s">
        <v>313</v>
      </c>
      <c r="M304" s="277">
        <f>J304*(K5/H5)</f>
        <v>2225.3128875382513</v>
      </c>
    </row>
    <row r="305" spans="1:13" ht="13.5" thickBot="1">
      <c r="A305" s="101"/>
      <c r="B305" s="102"/>
      <c r="C305" s="103"/>
      <c r="D305" s="104"/>
      <c r="E305" s="105"/>
      <c r="F305" s="105"/>
      <c r="G305" s="105"/>
      <c r="H305" s="142"/>
      <c r="I305" s="143"/>
      <c r="J305" s="142"/>
      <c r="K305" s="144"/>
      <c r="L305" s="143"/>
      <c r="M305" s="145"/>
    </row>
    <row r="306" spans="1:13" s="150" customFormat="1" ht="255">
      <c r="A306" s="100" t="s">
        <v>58</v>
      </c>
      <c r="B306" s="91" t="s">
        <v>41</v>
      </c>
      <c r="C306" s="92" t="s">
        <v>13</v>
      </c>
      <c r="D306" s="93">
        <v>21312.5</v>
      </c>
      <c r="E306" s="94">
        <v>7104.17</v>
      </c>
      <c r="F306" s="94">
        <v>9472.22</v>
      </c>
      <c r="G306" s="94">
        <v>4736.11</v>
      </c>
      <c r="H306" s="146"/>
      <c r="I306" s="147"/>
      <c r="J306" s="146"/>
      <c r="K306" s="148"/>
      <c r="L306" s="147"/>
      <c r="M306" s="149"/>
    </row>
    <row r="307" spans="1:13" ht="51">
      <c r="A307" s="100"/>
      <c r="B307" s="91"/>
      <c r="C307" s="95"/>
      <c r="D307" s="93"/>
      <c r="E307" s="96"/>
      <c r="F307" s="96"/>
      <c r="G307" s="96"/>
      <c r="H307" s="139"/>
      <c r="I307" s="224" t="s">
        <v>108</v>
      </c>
      <c r="J307" s="207">
        <v>506.92</v>
      </c>
      <c r="K307" s="211"/>
      <c r="L307" s="224" t="s">
        <v>108</v>
      </c>
      <c r="M307" s="210">
        <f>J307*(K2/H2)</f>
        <v>775.8411169467379</v>
      </c>
    </row>
    <row r="308" spans="1:13" ht="38.25">
      <c r="A308" s="100"/>
      <c r="B308" s="91"/>
      <c r="C308" s="95"/>
      <c r="D308" s="93"/>
      <c r="E308" s="96"/>
      <c r="F308" s="96"/>
      <c r="G308" s="96"/>
      <c r="H308" s="139"/>
      <c r="I308" s="224" t="s">
        <v>130</v>
      </c>
      <c r="J308" s="207">
        <v>358</v>
      </c>
      <c r="K308" s="211"/>
      <c r="L308" s="224" t="s">
        <v>130</v>
      </c>
      <c r="M308" s="210">
        <f>J308*(K2/H2)</f>
        <v>547.9190402172575</v>
      </c>
    </row>
    <row r="309" spans="1:13" ht="51">
      <c r="A309" s="100"/>
      <c r="B309" s="91"/>
      <c r="C309" s="95"/>
      <c r="D309" s="93"/>
      <c r="E309" s="96"/>
      <c r="F309" s="96"/>
      <c r="G309" s="96"/>
      <c r="H309" s="139"/>
      <c r="I309" s="224" t="s">
        <v>109</v>
      </c>
      <c r="J309" s="207">
        <v>840</v>
      </c>
      <c r="K309" s="211"/>
      <c r="L309" s="224" t="s">
        <v>109</v>
      </c>
      <c r="M309" s="210">
        <f>J309*(K2/H2)</f>
        <v>1285.620094364515</v>
      </c>
    </row>
    <row r="310" spans="1:13" ht="51">
      <c r="A310" s="100"/>
      <c r="B310" s="91"/>
      <c r="C310" s="95"/>
      <c r="D310" s="93"/>
      <c r="E310" s="96"/>
      <c r="F310" s="96"/>
      <c r="G310" s="96"/>
      <c r="H310" s="139"/>
      <c r="I310" s="224" t="s">
        <v>109</v>
      </c>
      <c r="J310" s="207">
        <v>214.97</v>
      </c>
      <c r="K310" s="211"/>
      <c r="L310" s="224" t="s">
        <v>109</v>
      </c>
      <c r="M310" s="210">
        <f>J310*(K2/H2)</f>
        <v>329.01160914945206</v>
      </c>
    </row>
    <row r="311" spans="1:13" ht="38.25">
      <c r="A311" s="100"/>
      <c r="B311" s="91"/>
      <c r="C311" s="95"/>
      <c r="D311" s="93"/>
      <c r="E311" s="96"/>
      <c r="F311" s="96"/>
      <c r="G311" s="96"/>
      <c r="H311" s="139"/>
      <c r="I311" s="224" t="s">
        <v>186</v>
      </c>
      <c r="J311" s="207">
        <f>250</f>
        <v>250</v>
      </c>
      <c r="K311" s="211"/>
      <c r="L311" s="224" t="s">
        <v>186</v>
      </c>
      <c r="M311" s="210">
        <f>J311*(K2/H2)</f>
        <v>382.625028084677</v>
      </c>
    </row>
    <row r="312" spans="1:13" ht="51">
      <c r="A312" s="100"/>
      <c r="B312" s="91"/>
      <c r="C312" s="95"/>
      <c r="D312" s="93"/>
      <c r="E312" s="96"/>
      <c r="F312" s="96"/>
      <c r="G312" s="96"/>
      <c r="H312" s="139"/>
      <c r="I312" s="224" t="s">
        <v>187</v>
      </c>
      <c r="J312" s="215">
        <f>54.7+60.6</f>
        <v>115.30000000000001</v>
      </c>
      <c r="K312" s="211"/>
      <c r="L312" s="224" t="s">
        <v>187</v>
      </c>
      <c r="M312" s="216">
        <f>J312*(K2/H2)</f>
        <v>176.46666295265305</v>
      </c>
    </row>
    <row r="313" spans="1:13" ht="25.5">
      <c r="A313" s="100"/>
      <c r="B313" s="91"/>
      <c r="C313" s="95"/>
      <c r="D313" s="93"/>
      <c r="E313" s="96"/>
      <c r="F313" s="96"/>
      <c r="G313" s="96"/>
      <c r="H313" s="139"/>
      <c r="I313" s="224" t="s">
        <v>110</v>
      </c>
      <c r="J313" s="215">
        <v>381.22</v>
      </c>
      <c r="K313" s="211"/>
      <c r="L313" s="224" t="s">
        <v>110</v>
      </c>
      <c r="M313" s="216">
        <f>J313*(K2/H2)</f>
        <v>583.4572528257623</v>
      </c>
    </row>
    <row r="314" spans="1:13" ht="38.25">
      <c r="A314" s="100"/>
      <c r="B314" s="91"/>
      <c r="C314" s="95"/>
      <c r="D314" s="93"/>
      <c r="E314" s="96"/>
      <c r="F314" s="96"/>
      <c r="G314" s="96"/>
      <c r="H314" s="139"/>
      <c r="I314" s="224" t="s">
        <v>111</v>
      </c>
      <c r="J314" s="215">
        <v>808.95</v>
      </c>
      <c r="K314" s="211"/>
      <c r="L314" s="224" t="s">
        <v>111</v>
      </c>
      <c r="M314" s="216">
        <f>J314*(K2/H2)</f>
        <v>1238.0980658763979</v>
      </c>
    </row>
    <row r="315" spans="1:13" ht="25.5">
      <c r="A315" s="100"/>
      <c r="B315" s="91"/>
      <c r="C315" s="95"/>
      <c r="D315" s="93"/>
      <c r="E315" s="96"/>
      <c r="F315" s="96"/>
      <c r="G315" s="96"/>
      <c r="H315" s="139"/>
      <c r="I315" s="224" t="s">
        <v>112</v>
      </c>
      <c r="J315" s="215">
        <v>161.79</v>
      </c>
      <c r="K315" s="211"/>
      <c r="L315" s="224" t="s">
        <v>112</v>
      </c>
      <c r="M315" s="216">
        <f>J315*(K2/H2)</f>
        <v>247.61961317527957</v>
      </c>
    </row>
    <row r="316" spans="1:13" ht="38.25">
      <c r="A316" s="100"/>
      <c r="B316" s="91"/>
      <c r="C316" s="95"/>
      <c r="D316" s="93"/>
      <c r="E316" s="96"/>
      <c r="F316" s="96"/>
      <c r="G316" s="96"/>
      <c r="H316" s="139"/>
      <c r="I316" s="224" t="s">
        <v>113</v>
      </c>
      <c r="J316" s="215">
        <v>353.29</v>
      </c>
      <c r="K316" s="211"/>
      <c r="L316" s="224" t="s">
        <v>113</v>
      </c>
      <c r="M316" s="216">
        <f>J316*(K2/H2)</f>
        <v>540.7103846881422</v>
      </c>
    </row>
    <row r="317" spans="1:13" ht="25.5">
      <c r="A317" s="100"/>
      <c r="B317" s="91"/>
      <c r="C317" s="95"/>
      <c r="D317" s="93"/>
      <c r="E317" s="96"/>
      <c r="F317" s="96"/>
      <c r="G317" s="96"/>
      <c r="H317" s="139"/>
      <c r="I317" s="248" t="s">
        <v>132</v>
      </c>
      <c r="J317" s="213">
        <v>5</v>
      </c>
      <c r="K317" s="214"/>
      <c r="L317" s="248" t="s">
        <v>132</v>
      </c>
      <c r="M317" s="210">
        <f>J317*(K2/H2)</f>
        <v>7.65250056169354</v>
      </c>
    </row>
    <row r="318" spans="1:13" ht="51">
      <c r="A318" s="100"/>
      <c r="B318" s="91"/>
      <c r="C318" s="95"/>
      <c r="D318" s="93"/>
      <c r="E318" s="96"/>
      <c r="F318" s="96"/>
      <c r="G318" s="96"/>
      <c r="H318" s="139"/>
      <c r="I318" s="258" t="s">
        <v>190</v>
      </c>
      <c r="J318" s="139">
        <v>990.75</v>
      </c>
      <c r="K318" s="140"/>
      <c r="L318" s="106" t="s">
        <v>190</v>
      </c>
      <c r="M318" s="141">
        <f>J318*(K3/H3)</f>
        <v>1599.3678400745162</v>
      </c>
    </row>
    <row r="319" spans="1:13" ht="38.25">
      <c r="A319" s="100"/>
      <c r="B319" s="91"/>
      <c r="C319" s="95"/>
      <c r="D319" s="93"/>
      <c r="E319" s="96"/>
      <c r="F319" s="96"/>
      <c r="G319" s="96"/>
      <c r="H319" s="139"/>
      <c r="I319" s="258" t="s">
        <v>191</v>
      </c>
      <c r="J319" s="139">
        <v>234.68</v>
      </c>
      <c r="K319" s="140"/>
      <c r="L319" s="106" t="s">
        <v>191</v>
      </c>
      <c r="M319" s="141">
        <f>J319*(K3/H3)</f>
        <v>378.8439512578223</v>
      </c>
    </row>
    <row r="320" spans="1:13" ht="63.75">
      <c r="A320" s="100"/>
      <c r="B320" s="91"/>
      <c r="C320" s="95"/>
      <c r="D320" s="93"/>
      <c r="E320" s="96"/>
      <c r="F320" s="96"/>
      <c r="G320" s="96"/>
      <c r="H320" s="139"/>
      <c r="I320" s="309" t="s">
        <v>225</v>
      </c>
      <c r="J320" s="294">
        <v>312.25</v>
      </c>
      <c r="K320" s="295"/>
      <c r="L320" s="313" t="s">
        <v>225</v>
      </c>
      <c r="M320" s="296">
        <f>J320*(K5/H5)</f>
        <v>528.6392090304613</v>
      </c>
    </row>
    <row r="321" spans="1:13" ht="51">
      <c r="A321" s="100"/>
      <c r="B321" s="91"/>
      <c r="C321" s="95"/>
      <c r="D321" s="93"/>
      <c r="E321" s="96"/>
      <c r="F321" s="96"/>
      <c r="G321" s="96"/>
      <c r="H321" s="139"/>
      <c r="I321" s="309" t="s">
        <v>226</v>
      </c>
      <c r="J321" s="294">
        <v>33</v>
      </c>
      <c r="K321" s="295"/>
      <c r="L321" s="313" t="s">
        <v>226</v>
      </c>
      <c r="M321" s="296">
        <f>J321*(K5/H5)</f>
        <v>55.868995670152835</v>
      </c>
    </row>
    <row r="322" spans="1:13" ht="63.75">
      <c r="A322" s="100"/>
      <c r="B322" s="91"/>
      <c r="C322" s="95"/>
      <c r="D322" s="93"/>
      <c r="E322" s="96"/>
      <c r="F322" s="96"/>
      <c r="G322" s="96"/>
      <c r="H322" s="139"/>
      <c r="I322" s="309" t="s">
        <v>227</v>
      </c>
      <c r="J322" s="294">
        <v>5.28</v>
      </c>
      <c r="K322" s="295"/>
      <c r="L322" s="313" t="s">
        <v>227</v>
      </c>
      <c r="M322" s="296">
        <f>J322*(K5/H5)</f>
        <v>8.939039307224453</v>
      </c>
    </row>
    <row r="323" spans="1:13" ht="38.25">
      <c r="A323" s="100"/>
      <c r="B323" s="91"/>
      <c r="C323" s="95"/>
      <c r="D323" s="93"/>
      <c r="E323" s="96"/>
      <c r="F323" s="96"/>
      <c r="G323" s="96"/>
      <c r="H323" s="139"/>
      <c r="I323" s="309" t="s">
        <v>228</v>
      </c>
      <c r="J323" s="294">
        <v>46</v>
      </c>
      <c r="K323" s="295"/>
      <c r="L323" s="313" t="s">
        <v>228</v>
      </c>
      <c r="M323" s="296">
        <f>J323*(K5/H5)</f>
        <v>77.87799396445547</v>
      </c>
    </row>
    <row r="324" spans="1:13" ht="38.25">
      <c r="A324" s="100"/>
      <c r="B324" s="91"/>
      <c r="C324" s="95"/>
      <c r="D324" s="93"/>
      <c r="E324" s="96"/>
      <c r="F324" s="96"/>
      <c r="G324" s="96"/>
      <c r="H324" s="139"/>
      <c r="I324" s="309" t="s">
        <v>229</v>
      </c>
      <c r="J324" s="294">
        <v>74</v>
      </c>
      <c r="K324" s="295"/>
      <c r="L324" s="313" t="s">
        <v>229</v>
      </c>
      <c r="M324" s="296">
        <f>J324*(K5/H5)</f>
        <v>125.28199029064575</v>
      </c>
    </row>
    <row r="325" spans="1:13" ht="25.5">
      <c r="A325" s="100"/>
      <c r="B325" s="91"/>
      <c r="C325" s="95"/>
      <c r="D325" s="93"/>
      <c r="E325" s="96"/>
      <c r="F325" s="96"/>
      <c r="G325" s="96"/>
      <c r="H325" s="139"/>
      <c r="I325" s="309" t="s">
        <v>230</v>
      </c>
      <c r="J325" s="294">
        <v>148.13</v>
      </c>
      <c r="K325" s="295"/>
      <c r="L325" s="313" t="s">
        <v>230</v>
      </c>
      <c r="M325" s="296">
        <f>J325*(K5/H5)</f>
        <v>250.7840705642345</v>
      </c>
    </row>
    <row r="326" spans="1:13" ht="38.25">
      <c r="A326" s="100"/>
      <c r="B326" s="91"/>
      <c r="C326" s="95"/>
      <c r="D326" s="93"/>
      <c r="E326" s="96"/>
      <c r="F326" s="96"/>
      <c r="G326" s="96"/>
      <c r="H326" s="139"/>
      <c r="I326" s="309" t="s">
        <v>231</v>
      </c>
      <c r="J326" s="294">
        <v>9.45</v>
      </c>
      <c r="K326" s="295"/>
      <c r="L326" s="313" t="s">
        <v>231</v>
      </c>
      <c r="M326" s="296">
        <f>J326*(K5/H5)</f>
        <v>15.998848760089219</v>
      </c>
    </row>
    <row r="327" spans="1:13" ht="51">
      <c r="A327" s="100"/>
      <c r="B327" s="91"/>
      <c r="C327" s="95"/>
      <c r="D327" s="93"/>
      <c r="E327" s="96"/>
      <c r="F327" s="96"/>
      <c r="G327" s="96"/>
      <c r="H327" s="139"/>
      <c r="I327" s="258" t="s">
        <v>216</v>
      </c>
      <c r="J327" s="294">
        <v>67.15</v>
      </c>
      <c r="K327" s="295"/>
      <c r="L327" s="297" t="s">
        <v>216</v>
      </c>
      <c r="M327" s="296">
        <f>J327*(K5/H5)</f>
        <v>113.68494118941706</v>
      </c>
    </row>
    <row r="328" spans="1:13" ht="25.5">
      <c r="A328" s="100"/>
      <c r="B328" s="91"/>
      <c r="C328" s="95"/>
      <c r="D328" s="93"/>
      <c r="E328" s="96"/>
      <c r="F328" s="96"/>
      <c r="G328" s="96"/>
      <c r="H328" s="139"/>
      <c r="I328" s="258" t="s">
        <v>242</v>
      </c>
      <c r="J328" s="294">
        <v>825.1</v>
      </c>
      <c r="K328" s="295"/>
      <c r="L328" s="297" t="s">
        <v>242</v>
      </c>
      <c r="M328" s="296">
        <f>J328*(K5/H5)</f>
        <v>1396.8941917407</v>
      </c>
    </row>
    <row r="329" spans="1:13" ht="25.5">
      <c r="A329" s="100"/>
      <c r="B329" s="91"/>
      <c r="C329" s="95"/>
      <c r="D329" s="93"/>
      <c r="E329" s="96"/>
      <c r="F329" s="96"/>
      <c r="G329" s="96"/>
      <c r="H329" s="139"/>
      <c r="I329" s="258" t="s">
        <v>243</v>
      </c>
      <c r="J329" s="294">
        <v>810</v>
      </c>
      <c r="K329" s="295"/>
      <c r="L329" s="297" t="s">
        <v>243</v>
      </c>
      <c r="M329" s="296">
        <f>J329*(K6/H6)</f>
        <v>1295.7570887377647</v>
      </c>
    </row>
    <row r="330" spans="1:13" ht="25.5">
      <c r="A330" s="100"/>
      <c r="B330" s="91"/>
      <c r="C330" s="95"/>
      <c r="D330" s="93"/>
      <c r="E330" s="96"/>
      <c r="F330" s="96"/>
      <c r="G330" s="96"/>
      <c r="H330" s="139"/>
      <c r="I330" s="309" t="s">
        <v>220</v>
      </c>
      <c r="J330" s="294">
        <v>25.98</v>
      </c>
      <c r="K330" s="295"/>
      <c r="L330" s="297" t="s">
        <v>220</v>
      </c>
      <c r="M330" s="296">
        <f>J330*(K5/H5)</f>
        <v>43.984136591229415</v>
      </c>
    </row>
    <row r="331" spans="1:13" ht="12.75">
      <c r="A331" s="100"/>
      <c r="B331" s="91"/>
      <c r="C331" s="95"/>
      <c r="D331" s="93"/>
      <c r="E331" s="96"/>
      <c r="F331" s="96"/>
      <c r="G331" s="96"/>
      <c r="H331" s="139"/>
      <c r="I331" s="309" t="s">
        <v>295</v>
      </c>
      <c r="J331" s="294">
        <v>90</v>
      </c>
      <c r="K331" s="295"/>
      <c r="L331" s="297" t="s">
        <v>295</v>
      </c>
      <c r="M331" s="296">
        <f>J331*(K5/H5)</f>
        <v>152.36998819132592</v>
      </c>
    </row>
    <row r="332" spans="1:13" ht="25.5">
      <c r="A332" s="100"/>
      <c r="B332" s="91"/>
      <c r="C332" s="95"/>
      <c r="D332" s="93"/>
      <c r="E332" s="96"/>
      <c r="F332" s="96"/>
      <c r="G332" s="96"/>
      <c r="H332" s="139"/>
      <c r="I332" s="328" t="s">
        <v>246</v>
      </c>
      <c r="J332" s="335">
        <v>400.5</v>
      </c>
      <c r="K332" s="276"/>
      <c r="L332" s="336" t="s">
        <v>246</v>
      </c>
      <c r="M332" s="333">
        <f>J332*(K5/H5)</f>
        <v>678.0464474514002</v>
      </c>
    </row>
    <row r="333" spans="1:13" ht="25.5">
      <c r="A333" s="100"/>
      <c r="B333" s="91"/>
      <c r="C333" s="95"/>
      <c r="D333" s="93"/>
      <c r="E333" s="96"/>
      <c r="F333" s="96"/>
      <c r="G333" s="96"/>
      <c r="H333" s="139"/>
      <c r="I333" s="328" t="s">
        <v>243</v>
      </c>
      <c r="J333" s="335">
        <v>209.85</v>
      </c>
      <c r="K333" s="276"/>
      <c r="L333" s="336" t="s">
        <v>243</v>
      </c>
      <c r="M333" s="333">
        <f>J333*(K6/H6)</f>
        <v>335.6970679896542</v>
      </c>
    </row>
    <row r="334" spans="1:13" ht="25.5">
      <c r="A334" s="100"/>
      <c r="B334" s="91"/>
      <c r="C334" s="95"/>
      <c r="D334" s="93"/>
      <c r="E334" s="96"/>
      <c r="F334" s="96"/>
      <c r="G334" s="96"/>
      <c r="H334" s="139"/>
      <c r="I334" s="328" t="s">
        <v>247</v>
      </c>
      <c r="J334" s="335">
        <v>70.45</v>
      </c>
      <c r="K334" s="276"/>
      <c r="L334" s="336" t="s">
        <v>247</v>
      </c>
      <c r="M334" s="333">
        <f>J334*(K5/H5)</f>
        <v>119.27184075643234</v>
      </c>
    </row>
    <row r="335" spans="1:13" ht="25.5">
      <c r="A335" s="100"/>
      <c r="B335" s="91"/>
      <c r="C335" s="95"/>
      <c r="D335" s="93"/>
      <c r="E335" s="96"/>
      <c r="F335" s="96"/>
      <c r="G335" s="96"/>
      <c r="H335" s="139"/>
      <c r="I335" s="328" t="s">
        <v>248</v>
      </c>
      <c r="J335" s="335">
        <v>60.27</v>
      </c>
      <c r="K335" s="276"/>
      <c r="L335" s="336" t="s">
        <v>248</v>
      </c>
      <c r="M335" s="333">
        <f>J335*(K5/H5)</f>
        <v>102.03710209212458</v>
      </c>
    </row>
    <row r="336" spans="1:13" ht="25.5">
      <c r="A336" s="100"/>
      <c r="B336" s="91"/>
      <c r="C336" s="95"/>
      <c r="D336" s="93"/>
      <c r="E336" s="96"/>
      <c r="F336" s="96"/>
      <c r="G336" s="96"/>
      <c r="H336" s="139"/>
      <c r="I336" s="328" t="s">
        <v>249</v>
      </c>
      <c r="J336" s="335">
        <v>132.08</v>
      </c>
      <c r="K336" s="276"/>
      <c r="L336" s="336" t="s">
        <v>249</v>
      </c>
      <c r="M336" s="333">
        <f>J336*(K5/H5)</f>
        <v>223.61142267011476</v>
      </c>
    </row>
    <row r="337" spans="1:13" ht="25.5">
      <c r="A337" s="100"/>
      <c r="B337" s="91"/>
      <c r="C337" s="95"/>
      <c r="D337" s="93"/>
      <c r="E337" s="96"/>
      <c r="F337" s="96"/>
      <c r="G337" s="96"/>
      <c r="H337" s="139"/>
      <c r="I337" s="328" t="s">
        <v>248</v>
      </c>
      <c r="J337" s="335">
        <v>42</v>
      </c>
      <c r="K337" s="276"/>
      <c r="L337" s="336" t="s">
        <v>248</v>
      </c>
      <c r="M337" s="333">
        <f>J337*(K5/H5)</f>
        <v>71.10599448928542</v>
      </c>
    </row>
    <row r="338" spans="1:13" ht="38.25">
      <c r="A338" s="100"/>
      <c r="B338" s="91"/>
      <c r="C338" s="95"/>
      <c r="D338" s="93"/>
      <c r="E338" s="96"/>
      <c r="F338" s="96"/>
      <c r="G338" s="96"/>
      <c r="H338" s="139"/>
      <c r="I338" s="328" t="s">
        <v>250</v>
      </c>
      <c r="J338" s="335">
        <v>104.02</v>
      </c>
      <c r="K338" s="276"/>
      <c r="L338" s="336" t="s">
        <v>250</v>
      </c>
      <c r="M338" s="333">
        <f>J338*(K5/H5)</f>
        <v>176.10584635179688</v>
      </c>
    </row>
    <row r="339" spans="1:13" ht="25.5">
      <c r="A339" s="100"/>
      <c r="B339" s="91"/>
      <c r="C339" s="95"/>
      <c r="D339" s="93"/>
      <c r="E339" s="96"/>
      <c r="F339" s="96"/>
      <c r="G339" s="96"/>
      <c r="H339" s="139"/>
      <c r="I339" s="328" t="s">
        <v>248</v>
      </c>
      <c r="J339" s="335">
        <v>40</v>
      </c>
      <c r="K339" s="276"/>
      <c r="L339" s="336" t="s">
        <v>248</v>
      </c>
      <c r="M339" s="333">
        <f>J339*(K5/H5)</f>
        <v>67.7199947517004</v>
      </c>
    </row>
    <row r="340" spans="1:13" ht="25.5">
      <c r="A340" s="100"/>
      <c r="B340" s="91"/>
      <c r="C340" s="95"/>
      <c r="D340" s="93"/>
      <c r="E340" s="96"/>
      <c r="F340" s="96"/>
      <c r="G340" s="96"/>
      <c r="H340" s="139"/>
      <c r="I340" s="328" t="s">
        <v>251</v>
      </c>
      <c r="J340" s="335">
        <v>252.92</v>
      </c>
      <c r="K340" s="276"/>
      <c r="L340" s="336" t="s">
        <v>251</v>
      </c>
      <c r="M340" s="333">
        <f>J340*(K5/H5)</f>
        <v>428.19352681500163</v>
      </c>
    </row>
    <row r="341" spans="1:13" ht="25.5">
      <c r="A341" s="100"/>
      <c r="B341" s="91"/>
      <c r="C341" s="95"/>
      <c r="D341" s="93"/>
      <c r="E341" s="96"/>
      <c r="F341" s="96"/>
      <c r="G341" s="96"/>
      <c r="H341" s="139"/>
      <c r="I341" s="328" t="s">
        <v>252</v>
      </c>
      <c r="J341" s="335">
        <v>60.98</v>
      </c>
      <c r="K341" s="276"/>
      <c r="L341" s="336" t="s">
        <v>252</v>
      </c>
      <c r="M341" s="333">
        <f>J341*(K5/H5)</f>
        <v>103.23913199896725</v>
      </c>
    </row>
    <row r="342" spans="1:13" ht="25.5">
      <c r="A342" s="100"/>
      <c r="B342" s="91"/>
      <c r="C342" s="95"/>
      <c r="D342" s="93"/>
      <c r="E342" s="96"/>
      <c r="F342" s="96"/>
      <c r="G342" s="96"/>
      <c r="H342" s="139"/>
      <c r="I342" s="328" t="s">
        <v>253</v>
      </c>
      <c r="J342" s="335">
        <v>155.03</v>
      </c>
      <c r="K342" s="276"/>
      <c r="L342" s="336" t="s">
        <v>253</v>
      </c>
      <c r="M342" s="333">
        <f>J342*(K5/H5)</f>
        <v>262.46576965890284</v>
      </c>
    </row>
    <row r="343" spans="1:13" ht="25.5">
      <c r="A343" s="100"/>
      <c r="B343" s="91"/>
      <c r="C343" s="95"/>
      <c r="D343" s="93"/>
      <c r="E343" s="96"/>
      <c r="F343" s="96"/>
      <c r="G343" s="96"/>
      <c r="H343" s="139"/>
      <c r="I343" s="309" t="s">
        <v>254</v>
      </c>
      <c r="J343" s="335">
        <v>64.58</v>
      </c>
      <c r="K343" s="276"/>
      <c r="L343" s="336" t="s">
        <v>254</v>
      </c>
      <c r="M343" s="333">
        <f>J343*(K5/H5)</f>
        <v>109.3339315266203</v>
      </c>
    </row>
    <row r="344" spans="1:13" s="150" customFormat="1" ht="118.5" customHeight="1">
      <c r="A344" s="254"/>
      <c r="B344" s="255"/>
      <c r="C344" s="92"/>
      <c r="D344" s="256"/>
      <c r="E344" s="94"/>
      <c r="F344" s="94"/>
      <c r="G344" s="94"/>
      <c r="H344" s="352" t="s">
        <v>314</v>
      </c>
      <c r="I344" s="328" t="s">
        <v>255</v>
      </c>
      <c r="J344" s="335">
        <v>118</v>
      </c>
      <c r="K344" s="276"/>
      <c r="L344" s="336" t="s">
        <v>255</v>
      </c>
      <c r="M344" s="333">
        <f>J344*(K5/H5)</f>
        <v>199.7739845175162</v>
      </c>
    </row>
    <row r="345" spans="1:13" s="150" customFormat="1" ht="118.5" customHeight="1">
      <c r="A345" s="254"/>
      <c r="B345" s="255"/>
      <c r="C345" s="92"/>
      <c r="D345" s="256"/>
      <c r="E345" s="94"/>
      <c r="F345" s="94"/>
      <c r="G345" s="94"/>
      <c r="H345" s="352" t="s">
        <v>314</v>
      </c>
      <c r="I345" s="328" t="s">
        <v>257</v>
      </c>
      <c r="J345" s="335">
        <v>70.52</v>
      </c>
      <c r="K345" s="276"/>
      <c r="L345" s="336" t="s">
        <v>257</v>
      </c>
      <c r="M345" s="333">
        <f>J345*(K5/H5)</f>
        <v>119.39035074724781</v>
      </c>
    </row>
    <row r="346" spans="1:13" s="150" customFormat="1" ht="118.5" customHeight="1">
      <c r="A346" s="254"/>
      <c r="B346" s="255"/>
      <c r="C346" s="92"/>
      <c r="D346" s="256"/>
      <c r="E346" s="94"/>
      <c r="F346" s="94"/>
      <c r="G346" s="94"/>
      <c r="H346" s="352" t="s">
        <v>314</v>
      </c>
      <c r="I346" s="328" t="s">
        <v>258</v>
      </c>
      <c r="J346" s="335">
        <v>78.9</v>
      </c>
      <c r="K346" s="276"/>
      <c r="L346" s="336" t="s">
        <v>258</v>
      </c>
      <c r="M346" s="333">
        <f>J346*(K5/H5)</f>
        <v>133.57768964772904</v>
      </c>
    </row>
    <row r="347" spans="1:13" s="150" customFormat="1" ht="16.5" customHeight="1">
      <c r="A347" s="254"/>
      <c r="B347" s="255"/>
      <c r="C347" s="92"/>
      <c r="D347" s="256"/>
      <c r="E347" s="94"/>
      <c r="F347" s="94"/>
      <c r="G347" s="94"/>
      <c r="H347" s="368"/>
      <c r="I347" s="328" t="s">
        <v>259</v>
      </c>
      <c r="J347" s="335">
        <v>68.17</v>
      </c>
      <c r="K347" s="276"/>
      <c r="L347" s="336" t="s">
        <v>259</v>
      </c>
      <c r="M347" s="333">
        <f>J347*(K5/H5)</f>
        <v>115.41180105558541</v>
      </c>
    </row>
    <row r="348" spans="1:13" s="150" customFormat="1" ht="25.5" hidden="1">
      <c r="A348" s="254"/>
      <c r="B348" s="255"/>
      <c r="C348" s="92"/>
      <c r="D348" s="256"/>
      <c r="E348" s="94"/>
      <c r="F348" s="94"/>
      <c r="G348" s="94"/>
      <c r="H348" s="146"/>
      <c r="I348" s="328" t="s">
        <v>268</v>
      </c>
      <c r="J348" s="335">
        <v>409</v>
      </c>
      <c r="K348" s="276"/>
      <c r="L348" s="336" t="s">
        <v>268</v>
      </c>
      <c r="M348" s="333">
        <f>J348*(K5/H5)</f>
        <v>692.4369463361367</v>
      </c>
    </row>
    <row r="349" spans="1:13" s="150" customFormat="1" ht="25.5">
      <c r="A349" s="254"/>
      <c r="B349" s="255"/>
      <c r="C349" s="92"/>
      <c r="D349" s="256"/>
      <c r="E349" s="94"/>
      <c r="F349" s="94"/>
      <c r="G349" s="94"/>
      <c r="H349" s="368"/>
      <c r="I349" s="328" t="s">
        <v>274</v>
      </c>
      <c r="J349" s="335">
        <v>418.7</v>
      </c>
      <c r="K349" s="276"/>
      <c r="L349" s="336" t="s">
        <v>274</v>
      </c>
      <c r="M349" s="333">
        <f>J349*(K5/H5)</f>
        <v>708.859045063424</v>
      </c>
    </row>
    <row r="350" spans="1:13" s="150" customFormat="1" ht="38.25">
      <c r="A350" s="254"/>
      <c r="B350" s="255"/>
      <c r="C350" s="92"/>
      <c r="D350" s="256"/>
      <c r="E350" s="94"/>
      <c r="F350" s="94"/>
      <c r="G350" s="94"/>
      <c r="H350" s="368"/>
      <c r="I350" s="328" t="s">
        <v>303</v>
      </c>
      <c r="J350" s="335">
        <v>574.93</v>
      </c>
      <c r="K350" s="276"/>
      <c r="L350" s="336" t="s">
        <v>303</v>
      </c>
      <c r="M350" s="333">
        <f>J350*(K5/H5)</f>
        <v>973.3564145648777</v>
      </c>
    </row>
    <row r="351" spans="1:13" s="150" customFormat="1" ht="38.25">
      <c r="A351" s="254"/>
      <c r="B351" s="255"/>
      <c r="C351" s="92"/>
      <c r="D351" s="256"/>
      <c r="E351" s="94"/>
      <c r="F351" s="94"/>
      <c r="G351" s="94"/>
      <c r="H351" s="368"/>
      <c r="I351" s="328" t="s">
        <v>304</v>
      </c>
      <c r="J351" s="335">
        <v>160.13</v>
      </c>
      <c r="K351" s="276"/>
      <c r="L351" s="336" t="s">
        <v>304</v>
      </c>
      <c r="M351" s="333">
        <f>J351*(K5/H5)</f>
        <v>271.1000689897446</v>
      </c>
    </row>
    <row r="352" spans="1:13" s="150" customFormat="1" ht="12.75">
      <c r="A352" s="254"/>
      <c r="B352" s="255"/>
      <c r="C352" s="92"/>
      <c r="D352" s="256"/>
      <c r="E352" s="94"/>
      <c r="F352" s="94"/>
      <c r="G352" s="94"/>
      <c r="H352" s="368"/>
      <c r="I352" s="328" t="s">
        <v>307</v>
      </c>
      <c r="J352" s="335">
        <v>152.81</v>
      </c>
      <c r="K352" s="276"/>
      <c r="L352" s="336" t="s">
        <v>307</v>
      </c>
      <c r="M352" s="333">
        <f>J352*(K5/H5)</f>
        <v>258.70730995018346</v>
      </c>
    </row>
    <row r="353" spans="1:15" s="150" customFormat="1" ht="102" customHeight="1">
      <c r="A353" s="254"/>
      <c r="B353" s="255"/>
      <c r="C353" s="92"/>
      <c r="D353" s="256"/>
      <c r="E353" s="94"/>
      <c r="F353" s="94"/>
      <c r="G353" s="94"/>
      <c r="H353" s="381"/>
      <c r="I353" s="375" t="s">
        <v>315</v>
      </c>
      <c r="J353" s="376">
        <v>274.76</v>
      </c>
      <c r="K353" s="377"/>
      <c r="L353" s="378" t="s">
        <v>315</v>
      </c>
      <c r="M353" s="379">
        <v>399</v>
      </c>
      <c r="N353" s="380"/>
      <c r="O353" s="380"/>
    </row>
    <row r="354" spans="1:15" s="150" customFormat="1" ht="102" customHeight="1">
      <c r="A354" s="254"/>
      <c r="B354" s="255"/>
      <c r="C354" s="92"/>
      <c r="D354" s="256"/>
      <c r="E354" s="94"/>
      <c r="F354" s="94"/>
      <c r="G354" s="94"/>
      <c r="H354" s="381"/>
      <c r="I354" s="291" t="s">
        <v>316</v>
      </c>
      <c r="J354" s="382">
        <v>123.75</v>
      </c>
      <c r="K354" s="383"/>
      <c r="L354" s="384" t="s">
        <v>316</v>
      </c>
      <c r="M354" s="385">
        <f>J354*(K5/H5)</f>
        <v>209.5087337630731</v>
      </c>
      <c r="N354" s="380"/>
      <c r="O354" s="380"/>
    </row>
    <row r="355" spans="1:15" s="150" customFormat="1" ht="102" customHeight="1">
      <c r="A355" s="254"/>
      <c r="B355" s="255"/>
      <c r="C355" s="92"/>
      <c r="D355" s="256"/>
      <c r="E355" s="94"/>
      <c r="F355" s="94"/>
      <c r="G355" s="94"/>
      <c r="H355" s="381"/>
      <c r="I355" s="328" t="s">
        <v>317</v>
      </c>
      <c r="J355" s="382">
        <v>41.97</v>
      </c>
      <c r="K355" s="383"/>
      <c r="L355" s="386" t="s">
        <v>317</v>
      </c>
      <c r="M355" s="385">
        <f>J355*(K5/H5)</f>
        <v>71.05520449322165</v>
      </c>
      <c r="N355" s="380"/>
      <c r="O355" s="380"/>
    </row>
    <row r="356" spans="1:15" s="150" customFormat="1" ht="102" customHeight="1" thickBot="1">
      <c r="A356" s="254"/>
      <c r="B356" s="255"/>
      <c r="C356" s="92"/>
      <c r="D356" s="256"/>
      <c r="E356" s="94"/>
      <c r="F356" s="94"/>
      <c r="G356" s="94"/>
      <c r="H356" s="381"/>
      <c r="I356" s="375"/>
      <c r="J356" s="376"/>
      <c r="K356" s="377"/>
      <c r="L356" s="378"/>
      <c r="M356" s="379"/>
      <c r="N356" s="380"/>
      <c r="O356" s="380"/>
    </row>
    <row r="357" spans="1:13" s="150" customFormat="1" ht="12.75">
      <c r="A357" s="158"/>
      <c r="B357" s="97" t="s">
        <v>41</v>
      </c>
      <c r="C357" s="159" t="s">
        <v>11</v>
      </c>
      <c r="D357" s="98">
        <v>20141.31</v>
      </c>
      <c r="E357" s="160">
        <v>6713.77</v>
      </c>
      <c r="F357" s="160">
        <v>8951.69</v>
      </c>
      <c r="G357" s="160">
        <v>4475.85</v>
      </c>
      <c r="H357" s="161"/>
      <c r="I357" s="162"/>
      <c r="J357" s="161"/>
      <c r="K357" s="163"/>
      <c r="L357" s="162"/>
      <c r="M357" s="164"/>
    </row>
    <row r="358" spans="1:13" ht="25.5">
      <c r="A358" s="100"/>
      <c r="B358" s="91"/>
      <c r="C358" s="95"/>
      <c r="D358" s="93"/>
      <c r="E358" s="96"/>
      <c r="F358" s="96"/>
      <c r="G358" s="96"/>
      <c r="H358" s="139"/>
      <c r="I358" s="212" t="s">
        <v>133</v>
      </c>
      <c r="J358" s="213">
        <v>7.17</v>
      </c>
      <c r="K358" s="214"/>
      <c r="L358" s="212" t="s">
        <v>133</v>
      </c>
      <c r="M358" s="210">
        <f>J358*(K2/H2)</f>
        <v>10.973685805468536</v>
      </c>
    </row>
    <row r="359" spans="1:13" ht="25.5">
      <c r="A359" s="100"/>
      <c r="B359" s="91"/>
      <c r="C359" s="95"/>
      <c r="D359" s="93"/>
      <c r="E359" s="96"/>
      <c r="F359" s="96"/>
      <c r="G359" s="96"/>
      <c r="H359" s="139"/>
      <c r="I359" s="212" t="s">
        <v>134</v>
      </c>
      <c r="J359" s="213">
        <v>7.16</v>
      </c>
      <c r="K359" s="209"/>
      <c r="L359" s="212" t="s">
        <v>134</v>
      </c>
      <c r="M359" s="210">
        <f>J359*(K2/H2)</f>
        <v>10.95838080434515</v>
      </c>
    </row>
    <row r="360" spans="1:13" ht="25.5">
      <c r="A360" s="100"/>
      <c r="B360" s="91"/>
      <c r="C360" s="95"/>
      <c r="D360" s="93"/>
      <c r="E360" s="96"/>
      <c r="F360" s="96"/>
      <c r="G360" s="96"/>
      <c r="H360" s="139"/>
      <c r="I360" s="212" t="s">
        <v>140</v>
      </c>
      <c r="J360" s="213">
        <v>7.15</v>
      </c>
      <c r="K360" s="214"/>
      <c r="L360" s="212" t="s">
        <v>133</v>
      </c>
      <c r="M360" s="210">
        <f>J360*(K2/H2)</f>
        <v>10.943075803221763</v>
      </c>
    </row>
    <row r="361" spans="1:13" ht="25.5">
      <c r="A361" s="100"/>
      <c r="B361" s="91"/>
      <c r="C361" s="95"/>
      <c r="D361" s="93"/>
      <c r="E361" s="96"/>
      <c r="F361" s="96"/>
      <c r="G361" s="96"/>
      <c r="H361" s="139"/>
      <c r="I361" s="274" t="s">
        <v>193</v>
      </c>
      <c r="J361" s="275">
        <v>7.02</v>
      </c>
      <c r="K361" s="276"/>
      <c r="L361" s="274" t="s">
        <v>193</v>
      </c>
      <c r="M361" s="277">
        <f>J361*(K5/H5)</f>
        <v>11.88485907892342</v>
      </c>
    </row>
    <row r="362" spans="1:13" ht="25.5">
      <c r="A362" s="100"/>
      <c r="B362" s="91"/>
      <c r="C362" s="95"/>
      <c r="D362" s="93"/>
      <c r="E362" s="96"/>
      <c r="F362" s="96"/>
      <c r="G362" s="96"/>
      <c r="H362" s="139"/>
      <c r="I362" s="274" t="s">
        <v>244</v>
      </c>
      <c r="J362" s="275">
        <v>7</v>
      </c>
      <c r="K362" s="276"/>
      <c r="L362" s="274" t="s">
        <v>244</v>
      </c>
      <c r="M362" s="277">
        <f>J362*(K6/H6)</f>
        <v>11.197900766869571</v>
      </c>
    </row>
    <row r="363" spans="1:13" ht="15">
      <c r="A363" s="100"/>
      <c r="B363" s="91"/>
      <c r="C363" s="95"/>
      <c r="D363" s="93"/>
      <c r="E363" s="96"/>
      <c r="F363" s="96"/>
      <c r="G363" s="96"/>
      <c r="H363" s="139"/>
      <c r="I363" s="165"/>
      <c r="J363" s="166"/>
      <c r="K363" s="166"/>
      <c r="L363" s="167"/>
      <c r="M363" s="168"/>
    </row>
    <row r="364" spans="1:13" ht="15">
      <c r="A364" s="100"/>
      <c r="B364" s="91"/>
      <c r="C364" s="95"/>
      <c r="D364" s="93"/>
      <c r="E364" s="96"/>
      <c r="F364" s="96"/>
      <c r="G364" s="96"/>
      <c r="H364" s="139"/>
      <c r="I364" s="165"/>
      <c r="J364" s="166"/>
      <c r="K364" s="166"/>
      <c r="L364" s="167"/>
      <c r="M364" s="168"/>
    </row>
    <row r="365" spans="1:13" ht="15">
      <c r="A365" s="100"/>
      <c r="B365" s="91"/>
      <c r="C365" s="95"/>
      <c r="D365" s="93"/>
      <c r="E365" s="96"/>
      <c r="F365" s="96"/>
      <c r="G365" s="96"/>
      <c r="H365" s="139"/>
      <c r="I365" s="165"/>
      <c r="J365" s="166"/>
      <c r="K365" s="166"/>
      <c r="L365" s="167"/>
      <c r="M365" s="277"/>
    </row>
    <row r="366" spans="1:13" ht="25.5">
      <c r="A366" s="100"/>
      <c r="B366" s="91"/>
      <c r="C366" s="95"/>
      <c r="D366" s="93"/>
      <c r="E366" s="96"/>
      <c r="F366" s="96"/>
      <c r="G366" s="96"/>
      <c r="H366" s="139"/>
      <c r="I366" s="274" t="s">
        <v>200</v>
      </c>
      <c r="J366" s="275">
        <f>SUM(J9:J365)*4.02/100</f>
        <v>6962.571798292945</v>
      </c>
      <c r="K366" s="276"/>
      <c r="L366" s="274" t="s">
        <v>193</v>
      </c>
      <c r="M366" s="277">
        <f>SUM(M9:M365)*4.02/100</f>
        <v>11578.298458537305</v>
      </c>
    </row>
    <row r="367" spans="1:13" ht="13.5" thickBot="1">
      <c r="A367" s="151"/>
      <c r="B367" s="102"/>
      <c r="C367" s="143"/>
      <c r="D367" s="152"/>
      <c r="E367" s="153"/>
      <c r="F367" s="153"/>
      <c r="G367" s="153"/>
      <c r="H367" s="142"/>
      <c r="I367" s="143"/>
      <c r="J367" s="142"/>
      <c r="K367" s="144"/>
      <c r="L367" s="143"/>
      <c r="M367" s="145"/>
    </row>
    <row r="368" spans="3:7" ht="12.75">
      <c r="C368" s="117" t="s">
        <v>1</v>
      </c>
      <c r="D368" s="118">
        <f>SUM(D9:D357)</f>
        <v>500000</v>
      </c>
      <c r="E368" s="119">
        <f>SUM(E9:E357)</f>
        <v>72282.83</v>
      </c>
      <c r="F368" s="119">
        <f>SUM(F9:F357)</f>
        <v>295898.95</v>
      </c>
      <c r="G368" s="119">
        <f>SUM(G9:G357)</f>
        <v>131818.22</v>
      </c>
    </row>
    <row r="369" spans="3:9" ht="12.75">
      <c r="C369" s="95" t="s">
        <v>2</v>
      </c>
      <c r="D369" s="93"/>
      <c r="E369" s="96"/>
      <c r="F369" s="96"/>
      <c r="G369" s="96"/>
      <c r="I369" s="217"/>
    </row>
    <row r="370" spans="3:7" ht="12.75">
      <c r="C370" s="120" t="s">
        <v>3</v>
      </c>
      <c r="D370" s="121">
        <f>D368+D369</f>
        <v>500000</v>
      </c>
      <c r="E370" s="122">
        <f>E368+E369</f>
        <v>72282.83</v>
      </c>
      <c r="F370" s="122">
        <f>F368+F369</f>
        <v>295898.95</v>
      </c>
      <c r="G370" s="122">
        <f>G368+G369</f>
        <v>131818.22</v>
      </c>
    </row>
    <row r="372" spans="1:13" s="189" customFormat="1" ht="12.75">
      <c r="A372" s="185"/>
      <c r="B372" s="185"/>
      <c r="C372" s="186" t="s">
        <v>141</v>
      </c>
      <c r="D372" s="187"/>
      <c r="E372" s="187"/>
      <c r="F372" s="187"/>
      <c r="G372" s="187"/>
      <c r="H372" s="188"/>
      <c r="J372" s="190">
        <f>H2+H3+H4+H5+H6+H7</f>
        <v>293570.76</v>
      </c>
      <c r="K372" s="191"/>
      <c r="M372" s="191">
        <f>K2+K3+K4+K5+K6+K7</f>
        <v>470000</v>
      </c>
    </row>
    <row r="373" spans="1:13" s="196" customFormat="1" ht="12.75">
      <c r="A373" s="192"/>
      <c r="B373" s="192"/>
      <c r="C373" s="193" t="s">
        <v>201</v>
      </c>
      <c r="D373" s="194"/>
      <c r="E373" s="194"/>
      <c r="F373" s="194"/>
      <c r="G373" s="194"/>
      <c r="H373" s="195"/>
      <c r="J373" s="197">
        <f>SUM(J9:J367)</f>
        <v>180160.87523841596</v>
      </c>
      <c r="K373" s="198"/>
      <c r="M373" s="198">
        <f>SUM(M9:M367)</f>
        <v>299595.6730490176</v>
      </c>
    </row>
    <row r="374" spans="1:13" s="189" customFormat="1" ht="12.75">
      <c r="A374" s="185"/>
      <c r="B374" s="185"/>
      <c r="C374" s="186" t="s">
        <v>127</v>
      </c>
      <c r="D374" s="187"/>
      <c r="E374" s="187"/>
      <c r="F374" s="187"/>
      <c r="G374" s="187"/>
      <c r="H374" s="188"/>
      <c r="J374" s="190">
        <f>J372-J373</f>
        <v>113409.88476158405</v>
      </c>
      <c r="K374" s="191"/>
      <c r="M374" s="191">
        <f>M372-M373</f>
        <v>170404.3269509824</v>
      </c>
    </row>
    <row r="376" spans="5:13" ht="33" customHeight="1">
      <c r="E376" s="389" t="s">
        <v>318</v>
      </c>
      <c r="F376" s="389"/>
      <c r="G376" s="389"/>
      <c r="H376" s="389"/>
      <c r="I376" s="389"/>
      <c r="J376" s="389"/>
      <c r="K376" s="389"/>
      <c r="L376" s="389"/>
      <c r="M376" s="389"/>
    </row>
  </sheetData>
  <sheetProtection/>
  <mergeCells count="1">
    <mergeCell ref="E376:M376"/>
  </mergeCells>
  <hyperlinks>
    <hyperlink ref="I45" r:id="rId1" display="Claire Blanchard Salary - May 2014 part 1"/>
    <hyperlink ref="I46" r:id="rId2" display="Claire Blanchard Salary - May 2014 part 2"/>
    <hyperlink ref="I47" r:id="rId3" display="Claire Blanchard Sal EX Allowance - May 2014"/>
    <hyperlink ref="I48" r:id="rId4" display="Employer's NI -  May 2014"/>
    <hyperlink ref="I49" r:id="rId5" display="Employer's Pension -  May 2014"/>
    <hyperlink ref="I50" r:id="rId6" display="Claire Blanchard Salary - June 2014"/>
    <hyperlink ref="I51" r:id="rId7" display="Claire Blanchard Sal EX Allowance - June 2014"/>
    <hyperlink ref="I52" r:id="rId8" display="Employer's NI -  June 2014"/>
    <hyperlink ref="I53" r:id="rId9" display="Employer's Pension -  June 2014"/>
    <hyperlink ref="I54" r:id="rId10" display="Claire Blanchard Salary - July 2014"/>
    <hyperlink ref="I55" r:id="rId11" display="Claire Blanchard Sal EX Allowance - July 2014"/>
    <hyperlink ref="I56" r:id="rId12" display="Employer's NI -  July 2014"/>
    <hyperlink ref="I57" r:id="rId13" display="Employer's Pension -  July 2014"/>
    <hyperlink ref="L45" r:id="rId14" display="Claire Blanchard Salary - May 2014 part 1"/>
    <hyperlink ref="L46" r:id="rId15" display="Claire Blanchard Salary - May 2014 part 2"/>
    <hyperlink ref="L47" r:id="rId16" display="Claire Blanchard Sal EX Allowance - May 2014"/>
    <hyperlink ref="L48" r:id="rId17" display="Employer's NI -  May 2014"/>
    <hyperlink ref="L49" r:id="rId18" display="Employer's Pension -  May 2014"/>
    <hyperlink ref="L50" r:id="rId19" display="Claire Blanchard Salary - June 2014"/>
    <hyperlink ref="L51" r:id="rId20" display="Claire Blanchard Sal EX Allowance - June 2014"/>
    <hyperlink ref="L52" r:id="rId21" display="Employer's NI -  June 2014"/>
    <hyperlink ref="L53" r:id="rId22" display="Employer's Pension -  June 2014"/>
    <hyperlink ref="L54" r:id="rId23" display="Claire Blanchard Salary - July 2014"/>
    <hyperlink ref="L55" r:id="rId24" display="Claire Blanchard Sal EX Allowance - July 2014"/>
    <hyperlink ref="L56" r:id="rId25" display="Employer's NI -  July 2014"/>
    <hyperlink ref="L57" r:id="rId26" display="Employer's Pension -  July 2014"/>
    <hyperlink ref="I97" r:id="rId27" display="Invoice 1 Gabrielle Schembri - MAPPING"/>
    <hyperlink ref="L97" r:id="rId28" display="Invoice 1 Gabrielle Schembri - MAPPING"/>
    <hyperlink ref="I98" r:id="rId29" display="Invoice 1 Gabrielle Schembri - MAPPING"/>
    <hyperlink ref="L98" r:id="rId30" display="Invoice 1 Gabrielle Schembri - MAPPING"/>
    <hyperlink ref="I102" r:id="rId31" display="CB flight to Senegal "/>
    <hyperlink ref="L102" r:id="rId32" display="CB flight to Senegal "/>
    <hyperlink ref="I103" r:id="rId33" display="CB susbistence costs Senegal "/>
    <hyperlink ref="L103" r:id="rId34" display="CB susbistence costs Senegal "/>
    <hyperlink ref="I104" r:id="rId35" display="Claire Blanchard - Hotel cost – New York – SUN global gathering (Sep 2013)"/>
    <hyperlink ref="L104" r:id="rId36" display="Claire Blanchard - Hotel cost – New York – SUN global gathering (Sep 2013)"/>
    <hyperlink ref="I105" r:id="rId37" display="Claire Blanchard - Subsistence and ground travel costs – New York – SUN global gathering (Sep 2013)"/>
    <hyperlink ref="L105" r:id="rId38" display="Claire Blanchard - Subsistence and ground travel costs – New York – SUN global gathering (Sep 2013)"/>
    <hyperlink ref="I106" r:id="rId39" display="Claire Blanchard  hotel for CFS Rome"/>
    <hyperlink ref="L106" r:id="rId40" display="Claire Blanchard  hotel for CFS Rome"/>
    <hyperlink ref="I107" r:id="rId41" display="Claire Blanchard - Flight costs CFS Rome"/>
    <hyperlink ref="L107" r:id="rId42" display="Claire Blanchard - Flight costs CFS Rome"/>
    <hyperlink ref="I108" r:id="rId43" display="Claire Blanchard - Subsistenc costs CFS Rome"/>
    <hyperlink ref="L108" r:id="rId44" display="Claire Blanchard - Subsistenc costs CFS Rome"/>
    <hyperlink ref="I109" r:id="rId45" display="Claire Blanchard - Flights Zambia - Site visit + ACTION training"/>
    <hyperlink ref="L109" r:id="rId46" display="Claire Blanchard - Flights Zambia - Site visit + ACTION training"/>
    <hyperlink ref="I111" r:id="rId47" display="Claire Blanchard - Flights &amp; Hotel Geneva - Site visit SMS and Facilitators F2F meeting"/>
    <hyperlink ref="L111" r:id="rId48" display="Claire Blanchard - Flights &amp; Hotel Geneva - Site visit SMS and Facilitators F2F meeting"/>
    <hyperlink ref="I112" r:id="rId49" display="Claire Blanchard - expenses Geneva - Site visit SMS and Facilitators F2F meeting"/>
    <hyperlink ref="L112" r:id="rId50" display="Claire Blanchard - expenses Geneva - Site visit SMS and Facilitators F2F meeting"/>
    <hyperlink ref="I114" r:id="rId51" display="Claire Blanchard - Flights Kenya - site visit"/>
    <hyperlink ref="L114" r:id="rId52" display="Claire Blanchard - Flights Kenya - site visit"/>
    <hyperlink ref="I119" r:id="rId53" display="Claire Blanchard - health care costs Kenya - site visit -HOTEL BOOKING 1 "/>
    <hyperlink ref="L119" r:id="rId54" display="Claire Blanchard - health care costs Kenya - site visit -HOTEL BOOKING 1 CANCELLED  FOR SECURITY REASONS - CANCELLATION FEES"/>
    <hyperlink ref="I120" r:id="rId55" display="Claire Blanchard - health care costs Kenya - site visit -HOTEL BOOKING 1 CANCELLED  FOR SECURITY REASONS - REIMBURSEMENT MINUS CANCELLATION FEES"/>
    <hyperlink ref="L120" r:id="rId56" display="Claire Blanchard - health care costs Kenya - site visit -HOTEL BOOKING 1 CANCELLED  FOR SECURITY REASONS - CANCELLATION FEES"/>
    <hyperlink ref="I121" r:id="rId57" display="Claire Blanchard - health care costs Kenya - site visit -HOTEL BOOKING 2"/>
    <hyperlink ref="L121" r:id="rId58" display="Claire Blanchard - health care costs Kenya - site visit -HOTEL BOOKING 2 CANCELLED  FOR SECURITY REASONS - CANCELLATION FEES"/>
    <hyperlink ref="I122" r:id="rId59" display="Claire Blanchard - health care costs Kenya - site visit -HOTEL BOOKING 2 CANCELLED  FOR SECURITY REASONS - REIMBURSEMENT MINUS CANCELLATION FEES"/>
    <hyperlink ref="L122" r:id="rId60" display="Claire Blanchard - health care costs Kenya - site visit -HOTEL BOOKING 2 CANCELLED  FOR SECURITY REASONS - REIMBURSEMENT MINUS CANCELLATION FEES"/>
    <hyperlink ref="I123" r:id="rId61" display="Washington - flights - Claire Blanchard - Interaction"/>
    <hyperlink ref="L123" r:id="rId62" display="Washington - flights - Claire Blanchard - Interaction"/>
    <hyperlink ref="I124" r:id="rId63" display="Washington - Expenses - Claire Blanchard - Interaction"/>
    <hyperlink ref="L124" r:id="rId64" display="Washington - Expenses - Claire Blanchard - Interaction"/>
    <hyperlink ref="I125" r:id="rId65" display="Washington - Float - Claire Blanchard - Interaction"/>
    <hyperlink ref="L125" r:id="rId66" display="Washington - Float - Claire Blanchard - Interaction"/>
    <hyperlink ref="I126" r:id="rId67" display="Madagascar- flights - Claire Blanchard "/>
    <hyperlink ref="L126" r:id="rId68" display="Madagascar- flights - Claire Blanchard "/>
    <hyperlink ref="I127" r:id="rId69" display="Madagascar- Hotel - Claire Blanchard "/>
    <hyperlink ref="L127" r:id="rId70" display="Madagascar- Hotel - Claire Blanchard "/>
    <hyperlink ref="I128" r:id="rId71" display="Madagascar- Float - Claire Blanchard "/>
    <hyperlink ref="L128" r:id="rId72" display="Madagascar- Float - Claire Blanchard "/>
    <hyperlink ref="I129" r:id="rId73" display="Madagascar- Expenses - Claire Blanchard "/>
    <hyperlink ref="L129" r:id="rId74" display="Madagascar- Expenses - Claire Blanchard "/>
    <hyperlink ref="I130" r:id="rId75" display="Madagascar- Health - Claire Blanchard "/>
    <hyperlink ref="L130" r:id="rId76" display="Madagascar- Health - Claire Blanchard "/>
    <hyperlink ref="I131" r:id="rId77" display="Ghana- flights - Claire Blanchard "/>
    <hyperlink ref="L131" r:id="rId78" display="Ghana- flights - Claire Blanchard "/>
    <hyperlink ref="I132" r:id="rId79" display="Ghana- Registration - Claire Blanchard "/>
    <hyperlink ref="L132" r:id="rId80" display="Ghana- Registration - Claire Blanchard "/>
    <hyperlink ref="I134" r:id="rId81" display="Ghana Visa - Key travel - Claire Blanchard "/>
    <hyperlink ref="L134" r:id="rId82" display="Ghana Visa - Key travel - Claire Blanchard "/>
    <hyperlink ref="I135" r:id="rId83" display="Ghana Visa - Key travel BOOKING FEE  - Claire Blanchard "/>
    <hyperlink ref="L135" r:id="rId84" display="Ghana Visa - Key travel BOOKING FEE  - Claire Blanchard "/>
    <hyperlink ref="I136" r:id="rId85" display="Ghana- Expenses - Claire Blanchard "/>
    <hyperlink ref="L136" r:id="rId86" display="Ghana- Expenses - Claire Blanchard "/>
    <hyperlink ref="I137" r:id="rId87" display="Ghana- Health - Claire Blanchard "/>
    <hyperlink ref="L137" r:id="rId88" display="Ghana- Health - Claire Blanchard "/>
    <hyperlink ref="I138" r:id="rId89" display="Geneva- flights - Claire Blanchard "/>
    <hyperlink ref="L138" r:id="rId90" display="Geneva- flights - Claire Blanchard "/>
    <hyperlink ref="I140" r:id="rId91" display="Geneva- train - Claire Blanchard "/>
    <hyperlink ref="L140" r:id="rId92" display="Geneva- train - Claire Blanchard "/>
    <hyperlink ref="I139" r:id="rId93" display="Geneva- Hotel - Claire Blanchard "/>
    <hyperlink ref="L139" r:id="rId94" display="Geneva- Hotel - Claire Blanchard "/>
    <hyperlink ref="I141" r:id="rId95" display="Geneva- Expenses - Claire Blanchard "/>
    <hyperlink ref="L141" r:id="rId96" display="Geneva- Expenses - Claire Blanchard "/>
    <hyperlink ref="I142" r:id="rId97" display="Geneva- Credit card payment - Claire Blanchard "/>
    <hyperlink ref="L142" r:id="rId98" display="Geneva- Credit card payment - Claire Blanchard "/>
    <hyperlink ref="I143" r:id="rId99" display="Peru - Claire Blanchard - Flights - LEARNING ROUTES - PROVISIONAL "/>
    <hyperlink ref="L143" r:id="rId100" display="Peru - Claire Blanchard - Flights - LEARNING ROUTES - PROVISIONAL "/>
    <hyperlink ref="I186" r:id="rId101" display="Payment - ANEC VI"/>
    <hyperlink ref="L186" r:id="rId102" display="Payment - ANEC VI"/>
    <hyperlink ref="I187" r:id="rId103" display="Payment - ANEC VI"/>
    <hyperlink ref="L187" r:id="rId104" display="Payment - ANEC VI"/>
    <hyperlink ref="I240" r:id="rId105" display="Payment - WV Tanzania"/>
    <hyperlink ref="L240" r:id="rId106" display="Payment - WV Tanzania"/>
    <hyperlink ref="I276" r:id="rId107" display="Tadesse Million Shibeshi, travel to UNGA "/>
    <hyperlink ref="I277" r:id="rId108" display="Dr. / Mr. Million Shibeshi - Hotel cost – New York – SUN global gathering (Sep 2013)"/>
    <hyperlink ref="I278" r:id="rId109" display="Ms. Debora Niyeha - Hotel cost – New York – SUN global gathering (Sep 2013)"/>
    <hyperlink ref="I279" r:id="rId110" display="Deborah Niyeha - Flights, ground travel  and subsistence costs – New York – SUN global gathering (Sep 2013)"/>
    <hyperlink ref="I281" r:id="rId111" display="Ms. Tisungeni Agrina Zimpita - Hotel cost – New York – SUN global gathering (Sep 2013)"/>
    <hyperlink ref="I282" r:id="rId112" display="Ms. Tisungeni Agrina Zimpita - Flights and subsistence costs – New York – SUN global gathering (Sep 2013) "/>
    <hyperlink ref="I283" r:id="rId113" display="Flight for Lamine KOLLE, NY "/>
    <hyperlink ref="I284" r:id="rId114" display="Dr. / Ms. KOLLE Laminou - Hotel cost – New York – SUN global gathering (Sep 2013)"/>
    <hyperlink ref="I285" r:id="rId115" display="Mr. ATIDEGLA Aurélien - Hotel cost – New York – SUN global gathering (Sep 2013)"/>
    <hyperlink ref="I286" r:id="rId116" display="Mr. ATIDEGLA Aurélien - Hotel cost – New York – SUN global gathering (Sep 2013) - ADDITIONAL NIGHTS TO ENSURE THAT FLIGHT COSTS REMAIN MANAGEABLE"/>
    <hyperlink ref="I287" r:id="rId117" display="Mr. Milo Stanojevich - Hotel cost – New York – SUN global gathering (Sep 2013)"/>
    <hyperlink ref="I288" r:id="rId118" display="Mr. Milo Stanojevich - Flights, ground travel  and subsistence costs – New York – SUN global gathering (Sep 2013)"/>
    <hyperlink ref="I289" r:id="rId119" display="Mr. Milo Stanojevich - Flights, ground travel  and subsistence costs – New York – SUN global gathering (Sep 2013) - BANK CHARGES"/>
    <hyperlink ref="L276" r:id="rId120" display="Tadesse Million Shibeshi, travel to UNGA "/>
    <hyperlink ref="L277" r:id="rId121" display="Dr. / Mr. Million Shibeshi - Hotel cost – New York – SUN global gathering (Sep 2013)"/>
    <hyperlink ref="L278" r:id="rId122" display="Ms. Debora Niyeha - Hotel cost – New York – SUN global gathering (Sep 2013)"/>
    <hyperlink ref="L279" r:id="rId123" display="Deborah Niyeha - Flights, ground travel  and subsistence costs – New York – SUN global gathering (Sep 2013)"/>
    <hyperlink ref="L281" r:id="rId124" display="Ms. Tisungeni Agrina Zimpita - Hotel cost – New York – SUN global gathering (Sep 2013)"/>
    <hyperlink ref="L282" r:id="rId125" display="Ms. Tisungeni Agrina Zimpita - Flights and subsistence costs – New York – SUN global gathering (Sep 2013) "/>
    <hyperlink ref="L283" r:id="rId126" display="Flight for Lamine KOLLE, NY "/>
    <hyperlink ref="L284" r:id="rId127" display="Dr. / Ms. KOLLE Laminou - Hotel cost – New York – SUN global gathering (Sep 2013)"/>
    <hyperlink ref="L285" r:id="rId128" display="Mr. ATIDEGLA Aurélien - Hotel cost – New York – SUN global gathering (Sep 2013)"/>
    <hyperlink ref="L286" r:id="rId129" display="Mr. ATIDEGLA Aurélien - Hotel cost – New York – SUN global gathering (Sep 2013) - ADDITIONAL NIGHTS TO ENSURE THAT FLIGHT COSTS REMAIN MANAGEABLE"/>
    <hyperlink ref="L287" r:id="rId130" display="Mr. Milo Stanojevich - Hotel cost – New York – SUN global gathering (Sep 2013)"/>
    <hyperlink ref="L288" r:id="rId131" display="Mr. Milo Stanojevich - Flights, ground travel  and subsistence costs – New York – SUN global gathering (Sep 2013)"/>
    <hyperlink ref="L289" r:id="rId132" display="Mr. Milo Stanojevich - Flights, ground travel  and subsistence costs – New York – SUN global gathering (Sep 2013) - BANK CHARGES"/>
    <hyperlink ref="I307" r:id="rId133" display="TRANSLATION of 6 month activity plan and of the template report for the CSAs - SPANISH"/>
    <hyperlink ref="I308" r:id="rId134" display="TRANSLATION of What is the SUN CSN document -FRENCH &amp; SPANISH"/>
    <hyperlink ref="I309" r:id="rId135" display="TRANSLATION of Guidance note on how to establish a SUN CSA into French"/>
    <hyperlink ref="I310" r:id="rId136" display="TRANSLATION of Guidance note on how to establish a SUN CSA into French"/>
    <hyperlink ref="I311" r:id="rId137" display="TRANSLATION of Notes from New York - Spanish version translation"/>
    <hyperlink ref="I312" r:id="rId138" display="TRANSLATION of Notes from New York (review of French and Spanish versions)"/>
    <hyperlink ref="I313" r:id="rId139" display="Translation of Mapping report to French"/>
    <hyperlink ref="I314" r:id="rId140" display="Review of French translation of Mapping report"/>
    <hyperlink ref="I315" r:id="rId141" display="Translation of Mapping report to Spanish"/>
    <hyperlink ref="I316" r:id="rId142" display="Review of Spanish translation of Mapping report"/>
    <hyperlink ref="L307" r:id="rId143" display="TRANSLATION of 6 month activity plan and of the template report for the CSAs - SPANISH"/>
    <hyperlink ref="L308" r:id="rId144" display="TRANSLATION of What is the SUN CSN document -FRENCH &amp; SPANISH"/>
    <hyperlink ref="L309" r:id="rId145" display="TRANSLATION of Guidance note on how to establish a SUN CSA into French"/>
    <hyperlink ref="L310" r:id="rId146" display="TRANSLATION of Guidance note on how to establish a SUN CSA into French"/>
    <hyperlink ref="L311" r:id="rId147" display="TRANSLATION of Notes from New York - Spanish version translation"/>
    <hyperlink ref="L312" r:id="rId148" display="TRANSLATION of Notes from New York (review of French and Spanish versions)"/>
    <hyperlink ref="L313" r:id="rId149" display="Translation of Mapping report to French"/>
    <hyperlink ref="L314" r:id="rId150" display="Review of French translation of Mapping report"/>
    <hyperlink ref="L315" r:id="rId151" display="Translation of Mapping report to Spanish"/>
    <hyperlink ref="L316" r:id="rId152" display="Review of Spanish translation of Mapping report"/>
    <hyperlink ref="C2" r:id="rId153" display="Received from UNOPS (Received on the 06/08/2013 $100,000 @ 1.53 = £65,338.12)"/>
    <hyperlink ref="C3" r:id="rId154" display="Received from UNOPS (Received on the 21/10/2013 $60,000 @ 1.61 = £37,167.81)"/>
    <hyperlink ref="C4" r:id="rId155" display="Received from UNOPS (Received on the 22 January 2014 $100,000 @ 1.65 = £60,339.14)"/>
    <hyperlink ref="C5" r:id="rId156" display="Received from UNOPS (Received on the 26 August 2014 $60,000)"/>
    <hyperlink ref="I113" r:id="rId157" display="Claire Blanchard - FLOAT Kenya - site visit - for Claire &amp; Cara "/>
    <hyperlink ref="L113" r:id="rId158" display="Claire Blanchard - FLOAT Kenya - site visit - for Claire &amp; Cara "/>
    <hyperlink ref="I118" r:id="rId159" display="Claire Blanchard - health care costs Kenya - site visit - INSECT REPELLENT"/>
    <hyperlink ref="L118" r:id="rId160" display="Claire Blanchard - health care costs Kenya - site visit - INSECT REPELLENT"/>
    <hyperlink ref="I318" r:id="rId161" display="Translation - several of the Spanish translations completed at the start of the year"/>
    <hyperlink ref="I319" r:id="rId162" display="Translation -Global Day of Action Spanish translation"/>
    <hyperlink ref="I290" r:id="rId163" display="SUN GG 2014 - Aminata Mbodj (Senegal - FLIGHT)"/>
    <hyperlink ref="I291" r:id="rId164" display="SUN GG 2014 - Aminata Mbodj (Senegal - HOTEL)"/>
    <hyperlink ref="I292" r:id="rId165" display="SUN GG 2014 - Celestin Agoussounon (Benin - FLIGHT)"/>
    <hyperlink ref="I293" r:id="rId166" display="SUN GG 2014 - Celestin Agoussounon (Benin - HOTEL)"/>
    <hyperlink ref="I294" r:id="rId167" display="SUN GG 2014 - David Olayemi (Nigeria - HOTEL)"/>
    <hyperlink ref="I295" r:id="rId168" display="SUN GG 2014 - Milo Stanojevich (Peru - HOTEL)"/>
    <hyperlink ref="I296" r:id="rId169" display="SUN GG 2014 - Naman Camara (Guinea - HOTEL)"/>
    <hyperlink ref="L290" r:id="rId170" display="SUN GG 2014 - Aminata Mbodj (Senegal - FLIGHT)"/>
    <hyperlink ref="L291" r:id="rId171" display="SUN GG 2014 - Aminata Mbodj (Senegal - HOTEL)"/>
    <hyperlink ref="L292" r:id="rId172" display="SUN GG 2014 - Celestin Agoussounon (Benin - FLIGHT)"/>
    <hyperlink ref="L293" r:id="rId173" display="SUN GG 2014 - Celestin Agoussounon (Benin - HOTEL)"/>
    <hyperlink ref="L294" r:id="rId174" display="SUN GG 2014 - David Olayemi (Nigeria - HOTEL)"/>
    <hyperlink ref="L295" r:id="rId175" display="SUN GG 2014 - Milo Stanojevich (Peru - HOTEL)"/>
    <hyperlink ref="L296" r:id="rId176" display="SUN GG 2014 - Naman Camara (Guinea - HOTEL)"/>
    <hyperlink ref="I297" r:id="rId177" display="SUN GG 2014 - Shahida Akter Bangladesh (Bangladesh - HOTEL)"/>
    <hyperlink ref="I298" r:id="rId178" display="SUN GG 2014 - Virginia Mzunzu (Malawi - HOTEL)"/>
    <hyperlink ref="I144" r:id="rId179" display="SUN GG 2014 - Claire Blanchard - FLIGHT"/>
    <hyperlink ref="I145" r:id="rId180" display="SUN GG 2014 - Claire Blanchard - HOTEL"/>
    <hyperlink ref="I300" r:id="rId181" display="Laminou Kolle - Flights - rome SUN GG"/>
    <hyperlink ref="I301" r:id="rId182" display="SUN GG 2014 - Uma Koroira (Nepal - HOTEL)"/>
    <hyperlink ref="I327" r:id="rId183" display="Business cards order"/>
    <hyperlink ref="I146" r:id="rId184" display="Peru Learning Route- Credit card payment - Claire Blanchard "/>
    <hyperlink ref="L146" r:id="rId185" display="Peru Learning Route- Credit card payment - Claire Blanchard "/>
    <hyperlink ref="I147" r:id="rId186" display="SUN GG 2014 - Claire Blanchard - FLIGHT MODIFICATION FOR ATTENDING MPTF MC"/>
    <hyperlink ref="L147" r:id="rId187" display="SUN GG 2014 - Claire Blanchard - FLIGHT MODIFICATION FOR ATTENDING MPTF MC"/>
    <hyperlink ref="I148" r:id="rId188" display="SUN GG 2014 - Claire Blanchard - HOTEL ADDITIONAL NIGHT FOR ATTENDING MPTF MC"/>
    <hyperlink ref="L148" r:id="rId189" display="SUN GG 2014 - Claire Blanchard - HOTEL ADDITIONAL NIGHT FOR ATTENDING MPTF MC"/>
    <hyperlink ref="I328" r:id="rId190" display="TRANSLATION ToR SUN CSN FR &amp; SP"/>
    <hyperlink ref="I330" r:id="rId191" display="Security cable for laptop for SUN GG"/>
    <hyperlink ref="L330" r:id="rId192" display="Security cable for laptop for SUN GG"/>
    <hyperlink ref="I320" r:id="rId193" display="Transltion regularisation 1 - SUN post-2015 proof, Membership updates &amp; Webinar translation - Spanish"/>
    <hyperlink ref="I321" r:id="rId194" display="Transltion regularisation 2 - SUN webinar PowerPoint translation - proofread"/>
    <hyperlink ref="I322" r:id="rId195" display="Transltion regularisation 3 - SUN webinar PowerPoint translation - proofread - VAT reverse charge"/>
    <hyperlink ref="I323" r:id="rId196" display="Transltion regularisation 4 - SUN membership update French"/>
    <hyperlink ref="I324" r:id="rId197" display="Transltion regularisation 5 - SUN eval docs (6) FR proof"/>
    <hyperlink ref="I325" r:id="rId198" display="Transltion regularisation 6 - SUN email Spanish"/>
    <hyperlink ref="I326" r:id="rId199" display="Transltion regularisation 7 - SUN GG activities proposal SP proof"/>
    <hyperlink ref="I302" r:id="rId200" display="SUN GG 2014 - Celestin Agoussounon (Benin - FLIGHT MODIFICATION)"/>
    <hyperlink ref="I299" r:id="rId201" display="SUN GG 2014 - Virginia Mzunzu (Malawi - HOTEL) - REIMBURSEMENT FROM CONCERN AS NO LONGER NEEDING FINANCIAL SUPPORT"/>
    <hyperlink ref="C6" r:id="rId202" display="Received from UNOPS (Received on the 19 November 2014 $60,000 @1.60 = 37,507.03 GBP)"/>
    <hyperlink ref="I329" r:id="rId203" display="TRANSLATION ToR SUN CSN FR &amp; SP"/>
    <hyperlink ref="I110" r:id="rId204" display="Claire Blanchard - Expenses Zambia site visit"/>
    <hyperlink ref="L110" r:id="rId205" display="Claire Blanchard - Expenses Zambia site visit"/>
    <hyperlink ref="I332" r:id="rId206" display="TRANSLATION SUN documents FR"/>
    <hyperlink ref="I333" r:id="rId207" display="TRANSLATION ToR SUN CSN SP"/>
    <hyperlink ref="I334" r:id="rId208" display="TRANSLATION CSA update SP"/>
    <hyperlink ref="I335" r:id="rId209" display="TRANSLATION review SUN documents FR"/>
    <hyperlink ref="I336" r:id="rId210" display="TRANSLATION SUN documents SP"/>
    <hyperlink ref="I337" r:id="rId211" display="TRANSLATION review SUN documents FR"/>
    <hyperlink ref="I338" r:id="rId212" display="TRANSLATION August SUN CSA update SUN CSN FR"/>
    <hyperlink ref="I340" r:id="rId213" display="TRANSLATION Governance SP"/>
    <hyperlink ref="I339" r:id="rId214" display="TRANSLATION review SUN documents FR"/>
    <hyperlink ref="I342" r:id="rId215" display="Translation SUN GG blogSP"/>
    <hyperlink ref="I341" r:id="rId216" display="Translation SUN GG blog FR"/>
    <hyperlink ref="L342" r:id="rId217" display="Translation SUN GG blogSP"/>
    <hyperlink ref="L341" r:id="rId218" display="Translation SUN GG blog FR"/>
    <hyperlink ref="I343" r:id="rId219" display="Translation SUN CSA December update FR"/>
    <hyperlink ref="I344" r:id="rId220" display="Translation SUN CSA December update SP"/>
    <hyperlink ref="I242" r:id="rId221" display="Refund unspent funds from WV Tanzania"/>
    <hyperlink ref="I345" r:id="rId222" display="Translation review  SUN CSA December update FR"/>
    <hyperlink ref="I346" r:id="rId223" display="Translation review SUN CSA December update SP"/>
    <hyperlink ref="I347" r:id="rId224" display="Translation review SUN CSA December update SP"/>
    <hyperlink ref="I174" r:id="rId225" display="Flights Claire Blanchard - GSO CoI conf Feb16-17"/>
    <hyperlink ref="I175" r:id="rId226" display="Hotel 1 Claire Blanchard- GSO CoI conf Feb16-17"/>
    <hyperlink ref="I176" r:id="rId227" display="Cancelation Hotel 1 Claire Blanchard - GSO CoI conf Feb16-17"/>
    <hyperlink ref="I177" r:id="rId228" display="Hotel 2 Claire Blanchard - GSO CoI conf Feb16-17"/>
    <hyperlink ref="I171" r:id="rId229" display="Flights Claire Blanchard - Network Facilitator meeting - geneva - Feb 3"/>
    <hyperlink ref="I172" r:id="rId230" display="Hotel Claire Blanchard - Network Facilitator meeting - geneva - Feb 3"/>
    <hyperlink ref="I189" r:id="rId231" display="Refund of ANEC VI funds"/>
    <hyperlink ref="I190" r:id="rId232" display="Bank charges - Refund of ANEC VI funds"/>
    <hyperlink ref="I348" r:id="rId233" display="Translation governance note phase 2 FR"/>
    <hyperlink ref="I179" r:id="rId234" display="Flights ICE Tanzania"/>
    <hyperlink ref="I349" r:id="rId235" display="Translation governance note phase 2 FR"/>
    <hyperlink ref="I180" r:id="rId236" display="Hotel ICE Tanzania"/>
    <hyperlink ref="I173" r:id="rId237" display="Expenses NF meeting Geneva"/>
    <hyperlink ref="I178" r:id="rId238" display="Expenses CoI conference"/>
    <hyperlink ref="I149" r:id="rId239" display="SUN GG - expenses"/>
    <hyperlink ref="I150" r:id="rId240" display="SUN GG - expenses"/>
    <hyperlink ref="I151" r:id="rId241" display="SUN GG - expenses"/>
    <hyperlink ref="I152" r:id="rId242" display="SUN GG - expenses"/>
    <hyperlink ref="I153" r:id="rId243" display="SUN GG - expenses"/>
    <hyperlink ref="I154" r:id="rId244" display="SUN GG - expenses"/>
    <hyperlink ref="I155" r:id="rId245" display="SUN GG - expenses"/>
    <hyperlink ref="I156" r:id="rId246" display="SUN GG - expenses"/>
    <hyperlink ref="I157" r:id="rId247" display="SUN GG - expenses"/>
    <hyperlink ref="I158" r:id="rId248" display="SUN GG - expenses"/>
    <hyperlink ref="I159" r:id="rId249" display="SUN GG - expenses"/>
    <hyperlink ref="I160" r:id="rId250" display="SUN GG - expenses"/>
    <hyperlink ref="I161" r:id="rId251" display="SUN GG - expenses"/>
    <hyperlink ref="I162" r:id="rId252" display="SUN GG - expenses"/>
    <hyperlink ref="I163" r:id="rId253" display="SUN GG - expenses"/>
    <hyperlink ref="I164" r:id="rId254" display="SUN GG - expenses"/>
    <hyperlink ref="I165" r:id="rId255" display="SUN GG - expenses"/>
    <hyperlink ref="I166" r:id="rId256" display="SUN GG - expenses"/>
    <hyperlink ref="I167" r:id="rId257" display="SUN GG - expenses"/>
    <hyperlink ref="I168" r:id="rId258" display="SUN GG - expenses"/>
    <hyperlink ref="I169" r:id="rId259" display="SUN GG - expenses"/>
    <hyperlink ref="I331" r:id="rId260" display="SUN CSN banner"/>
    <hyperlink ref="I191" r:id="rId261" display="Bank charges - Refund of ANEC VI funds"/>
    <hyperlink ref="I115" r:id="rId262" display="Claire Blanchard - Hotel Kenya - site visit"/>
    <hyperlink ref="L115" r:id="rId263" display="Claire Blanchard - Hotel Kenya - site visit"/>
    <hyperlink ref="I170" r:id="rId264" display="SUN GG - expenses"/>
    <hyperlink ref="I350" r:id="rId265" display="Translation ICE response summary in FR"/>
    <hyperlink ref="I351" r:id="rId266" display="Translation ICE response summary in SP"/>
    <hyperlink ref="I194" r:id="rId267" display="Alignment consultancy - Payment 1 Chris Leather"/>
    <hyperlink ref="I181" r:id="rId268" display="Credit card charges"/>
    <hyperlink ref="I352" r:id="rId269" display="Proofing ICE in FR"/>
    <hyperlink ref="I99" r:id="rId270" display="Support for TA on budget analysis and advocacy - West Africa WS"/>
    <hyperlink ref="C7" r:id="rId271" display="Received from UNOPS (Received on $90,000)"/>
    <hyperlink ref="I303" r:id="rId272" display="Reimbursement SUN GG Celestin Benin"/>
    <hyperlink ref="I304" r:id="rId273" display="Reimbursement SUN GG Milo Stanojevich"/>
    <hyperlink ref="L304" r:id="rId274" display="Reimbursement SUN GG Celestin Benin"/>
    <hyperlink ref="I353" r:id="rId275" display="SMARTSHEET PURCHASE FOR 1 YEAR"/>
    <hyperlink ref="I354" r:id="rId276" display="Translation to SP - Country Support Framework overview &amp; CoP overview ppt for blog"/>
    <hyperlink ref="I355" r:id="rId277" display="Revision of translation to SP -Minutes advocacy group"/>
  </hyperlinks>
  <printOptions/>
  <pageMargins left="0.7480314960629921" right="0.7480314960629921" top="0.984251968503937" bottom="0.984251968503937" header="0.5118110236220472" footer="0.5118110236220472"/>
  <pageSetup fitToHeight="21" fitToWidth="1" horizontalDpi="600" verticalDpi="600" orientation="landscape" paperSize="9" scale="50" r:id="rId27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Save the Children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Gresham</dc:creator>
  <cp:keywords/>
  <dc:description/>
  <cp:lastModifiedBy>Claire Blanchard</cp:lastModifiedBy>
  <cp:lastPrinted>2015-03-18T15:42:27Z</cp:lastPrinted>
  <dcterms:created xsi:type="dcterms:W3CDTF">2011-09-02T09:23:18Z</dcterms:created>
  <dcterms:modified xsi:type="dcterms:W3CDTF">2015-07-13T15:51:10Z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