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hcr365-my.sharepoint.com/personal/shimura_unhcr_org/Documents/Documents/"/>
    </mc:Choice>
  </mc:AlternateContent>
  <xr:revisionPtr revIDLastSave="0" documentId="8_{38E86544-3B6B-4C14-AD7B-F5BE68421F69}" xr6:coauthVersionLast="47" xr6:coauthVersionMax="47" xr10:uidLastSave="{00000000-0000-0000-0000-000000000000}"/>
  <bookViews>
    <workbookView xWindow="-90" yWindow="-90" windowWidth="19380" windowHeight="10380" xr2:uid="{0924AEB0-4D7B-4450-8764-1BB27D35752C}"/>
  </bookViews>
  <sheets>
    <sheet name="RAP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9" i="1" l="1"/>
  <c r="H56" i="1"/>
  <c r="H51" i="1"/>
  <c r="I58" i="1"/>
  <c r="I57" i="1"/>
  <c r="I56" i="1"/>
  <c r="G56" i="1"/>
  <c r="E44" i="1" l="1"/>
  <c r="E43" i="1"/>
  <c r="E45" i="1" s="1"/>
  <c r="E10" i="1"/>
  <c r="H55" i="1"/>
  <c r="F55" i="1"/>
  <c r="D55" i="1"/>
  <c r="I51" i="1"/>
  <c r="G51" i="1"/>
  <c r="F51" i="1"/>
  <c r="E51" i="1"/>
  <c r="D51" i="1"/>
  <c r="K50" i="1"/>
  <c r="J50" i="1"/>
  <c r="K49" i="1"/>
  <c r="J49" i="1"/>
  <c r="K48" i="1"/>
  <c r="J48" i="1"/>
  <c r="K47" i="1"/>
  <c r="J47" i="1"/>
  <c r="I45" i="1"/>
  <c r="H45" i="1"/>
  <c r="F45" i="1"/>
  <c r="D45" i="1"/>
  <c r="J44" i="1"/>
  <c r="G44" i="1"/>
  <c r="G45" i="1" s="1"/>
  <c r="J43" i="1"/>
  <c r="K42" i="1"/>
  <c r="M42" i="1" s="1"/>
  <c r="J42" i="1"/>
  <c r="L45" i="1" s="1"/>
  <c r="I38" i="1"/>
  <c r="H38" i="1"/>
  <c r="G38" i="1"/>
  <c r="F38" i="1"/>
  <c r="E38" i="1"/>
  <c r="D38" i="1"/>
  <c r="J37" i="1"/>
  <c r="K37" i="1"/>
  <c r="M37" i="1" s="1"/>
  <c r="J36" i="1"/>
  <c r="L38" i="1" s="1"/>
  <c r="K36" i="1"/>
  <c r="I34" i="1"/>
  <c r="H34" i="1"/>
  <c r="G34" i="1"/>
  <c r="F34" i="1"/>
  <c r="E34" i="1"/>
  <c r="D34" i="1"/>
  <c r="M33" i="1"/>
  <c r="K33" i="1"/>
  <c r="J33" i="1"/>
  <c r="K32" i="1"/>
  <c r="M32" i="1" s="1"/>
  <c r="J32" i="1"/>
  <c r="M31" i="1"/>
  <c r="K31" i="1"/>
  <c r="J31" i="1"/>
  <c r="J34" i="1" s="1"/>
  <c r="L29" i="1"/>
  <c r="I29" i="1"/>
  <c r="H29" i="1"/>
  <c r="G29" i="1"/>
  <c r="F29" i="1"/>
  <c r="E29" i="1"/>
  <c r="D29" i="1"/>
  <c r="K28" i="1"/>
  <c r="M28" i="1" s="1"/>
  <c r="J28" i="1"/>
  <c r="M27" i="1"/>
  <c r="K27" i="1"/>
  <c r="J27" i="1"/>
  <c r="J29" i="1" s="1"/>
  <c r="K26" i="1"/>
  <c r="M26" i="1" s="1"/>
  <c r="J26" i="1"/>
  <c r="H22" i="1"/>
  <c r="G22" i="1"/>
  <c r="F22" i="1"/>
  <c r="E22" i="1"/>
  <c r="D22" i="1"/>
  <c r="J21" i="1"/>
  <c r="K21" i="1"/>
  <c r="M21" i="1" s="1"/>
  <c r="J20" i="1"/>
  <c r="J19" i="1"/>
  <c r="J18" i="1"/>
  <c r="L22" i="1" s="1"/>
  <c r="I16" i="1"/>
  <c r="H16" i="1"/>
  <c r="G16" i="1"/>
  <c r="F16" i="1"/>
  <c r="E16" i="1"/>
  <c r="D16" i="1"/>
  <c r="D56" i="1" s="1"/>
  <c r="K15" i="1"/>
  <c r="M15" i="1" s="1"/>
  <c r="J15" i="1"/>
  <c r="M14" i="1"/>
  <c r="K14" i="1"/>
  <c r="J14" i="1"/>
  <c r="L16" i="1" s="1"/>
  <c r="K13" i="1"/>
  <c r="K16" i="1" s="1"/>
  <c r="J13" i="1"/>
  <c r="I11" i="1"/>
  <c r="H11" i="1"/>
  <c r="G11" i="1"/>
  <c r="F11" i="1"/>
  <c r="F56" i="1" s="1"/>
  <c r="E11" i="1"/>
  <c r="D11" i="1"/>
  <c r="K10" i="1"/>
  <c r="M10" i="1" s="1"/>
  <c r="J10" i="1"/>
  <c r="K9" i="1"/>
  <c r="M9" i="1" s="1"/>
  <c r="J9" i="1"/>
  <c r="J11" i="1" s="1"/>
  <c r="J51" i="1" l="1"/>
  <c r="J56" i="1"/>
  <c r="K51" i="1"/>
  <c r="K43" i="1"/>
  <c r="M43" i="1" s="1"/>
  <c r="E56" i="1"/>
  <c r="E57" i="1" s="1"/>
  <c r="E58" i="1" s="1"/>
  <c r="M11" i="1"/>
  <c r="K11" i="1"/>
  <c r="G58" i="1"/>
  <c r="G57" i="1"/>
  <c r="D57" i="1"/>
  <c r="M34" i="1"/>
  <c r="K38" i="1"/>
  <c r="M36" i="1"/>
  <c r="M38" i="1" s="1"/>
  <c r="I22" i="1"/>
  <c r="M29" i="1"/>
  <c r="F58" i="1"/>
  <c r="F57" i="1"/>
  <c r="J16" i="1"/>
  <c r="M19" i="1"/>
  <c r="K34" i="1"/>
  <c r="K44" i="1"/>
  <c r="M44" i="1" s="1"/>
  <c r="M45" i="1" s="1"/>
  <c r="J45" i="1"/>
  <c r="L51" i="1"/>
  <c r="L11" i="1"/>
  <c r="M13" i="1"/>
  <c r="M16" i="1" s="1"/>
  <c r="M20" i="1"/>
  <c r="J22" i="1"/>
  <c r="K29" i="1"/>
  <c r="L34" i="1"/>
  <c r="J38" i="1"/>
  <c r="H57" i="1" l="1"/>
  <c r="H58" i="1" s="1"/>
  <c r="I59" i="1" s="1"/>
  <c r="K57" i="1"/>
  <c r="K56" i="1"/>
  <c r="K22" i="1"/>
  <c r="M18" i="1"/>
  <c r="M22" i="1" s="1"/>
  <c r="G59" i="1"/>
  <c r="D58" i="1"/>
  <c r="E59" i="1" s="1"/>
  <c r="K45" i="1"/>
  <c r="K58" i="1"/>
  <c r="J57" i="1" l="1"/>
  <c r="J58" i="1" s="1"/>
  <c r="K59" i="1" s="1"/>
</calcChain>
</file>

<file path=xl/sharedStrings.xml><?xml version="1.0" encoding="utf-8"?>
<sst xmlns="http://schemas.openxmlformats.org/spreadsheetml/2006/main" count="124" uniqueCount="110">
  <si>
    <t>Formulation du resultat/ produit/activite</t>
  </si>
  <si>
    <t>Total</t>
  </si>
  <si>
    <t xml:space="preserve">RESULTAT 1: </t>
  </si>
  <si>
    <t xml:space="preserve">Le potentiel d’insertion socio-économique de 300 jeunes hommes et femmes est renforcé en faveur de la construction de la paix </t>
  </si>
  <si>
    <t>Produit 1.1:</t>
  </si>
  <si>
    <t xml:space="preserve">Les centres de formation reçoivent un appui institutionnel et structurel pour fournir aux jeunes des compétences en lien aux besoins du marché du travail et en faveur de la cohabitation pacifique </t>
  </si>
  <si>
    <t>Activite 1.1.1:</t>
  </si>
  <si>
    <t>Activite 1.1.2:</t>
  </si>
  <si>
    <t>Produit total</t>
  </si>
  <si>
    <t>Produit 1.2:</t>
  </si>
  <si>
    <t>Les jeunes sont formés et équipés en vue d’œuvrer en faveur de la paix</t>
  </si>
  <si>
    <t>Activite 1.2.1</t>
  </si>
  <si>
    <t>Activite 1.2.2</t>
  </si>
  <si>
    <t>Activite 1.2.3</t>
  </si>
  <si>
    <t>Produit 1.3:</t>
  </si>
  <si>
    <t>Les jeunes sont accompagnés dans leur réinsertion socioéconomique.</t>
  </si>
  <si>
    <t>Activite 1.3.1</t>
  </si>
  <si>
    <t>Formation des jeunes sur les 5 modules du Youth Ready</t>
  </si>
  <si>
    <t>Activite 1.3.2</t>
  </si>
  <si>
    <t>Accompagnement des jeunes (CASH et kits de reinsertion)</t>
  </si>
  <si>
    <t>Activite 1.3.3</t>
  </si>
  <si>
    <t>Mise en place des groupes d'épargnes des jeunes (25 personnes par groupe) avec les IMF</t>
  </si>
  <si>
    <t>Activite 1.3.4</t>
  </si>
  <si>
    <t xml:space="preserve">RESULTAT 2: </t>
  </si>
  <si>
    <t>Produit 2.1</t>
  </si>
  <si>
    <t>Les capacités des jeunes juristes, y compris les femmes sont renforcées pour limiter l’impunité</t>
  </si>
  <si>
    <t>Activite 2.1.1</t>
  </si>
  <si>
    <t>Activite 2.1.2</t>
  </si>
  <si>
    <t xml:space="preserve">Formation des associations de femmes juristes et de jeunes sur la justice transitionnelle 
</t>
  </si>
  <si>
    <t>Activite 2.1.3</t>
  </si>
  <si>
    <t>Renforcement de la documentation, du suivi et de la prise en charge de victimes des violations.</t>
  </si>
  <si>
    <t>Produit 2.2</t>
  </si>
  <si>
    <t>Activite 2.2.1</t>
  </si>
  <si>
    <t>Activite 2.2.3</t>
  </si>
  <si>
    <t xml:space="preserve">Appui aux dossiers judiciaires pour les audiences foraines hors des sièges des juridictions dans les zones de forte concentration de déplacées et retournées </t>
  </si>
  <si>
    <t>Produit 2.3</t>
  </si>
  <si>
    <t>Le droit à la personnalité juridique est promu par les femmes et jeunes juristes</t>
  </si>
  <si>
    <t>Activite 2.3.1</t>
  </si>
  <si>
    <t xml:space="preserve">Formation des jeunes juristes et femmes juristes à la personnalité juridique et au droit à la documentation </t>
  </si>
  <si>
    <t>Activite 2.3.2</t>
  </si>
  <si>
    <t xml:space="preserve">Formation des auxiliaires de justice par les jeunes et femmes juristes sur la Protection nationale (notamment le droit de la famille et le droit conjugal) et internationale ainsi que contre la PSEA </t>
  </si>
  <si>
    <t xml:space="preserve">RESULTAT 3: </t>
  </si>
  <si>
    <t xml:space="preserve">Les jeunes, et en particulier les jeunes femmes sont des porteurs de paix, accentuant la cohésion sociale entre les différentes communautés. </t>
  </si>
  <si>
    <t>Produit 3.1</t>
  </si>
  <si>
    <t>Activite 3.1.1</t>
  </si>
  <si>
    <t>Organisation des  séances d'échange entre les moniteurs de protection, les jeunes juristes et les femmes juristes formés sur la protection communautaire et la protection des minorités comme les LGBTI pour le référencement des cas de violences (notamment VBG)</t>
  </si>
  <si>
    <t>Activite 3.1.2</t>
  </si>
  <si>
    <t>Formation des  chefs coutumiers, de comités locaux, et des autorités formés sur leurs responsabilités en faveur de la coexistence pacifique par les jeunes juristes et ceux bénéficiaires des programmes de formation, avec le soutien des organisations partenaires.</t>
  </si>
  <si>
    <t>Activite 3.1.3</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</si>
  <si>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</si>
  <si>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</si>
  <si>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</si>
  <si>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</si>
  <si>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</si>
  <si>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</si>
  <si>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</si>
  <si>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 xml:space="preserve">Réhabilitation et équipement des centres de formation professionnelle au Kasaï et Kasaï Central </t>
  </si>
  <si>
    <t>Organisation des campagnes de sensibilisation et information multimédias en s’appuyant sur les radios communautaires et locales (ex. feuilletons radiophoniques, entretiens avec des jeunes et femmes porteur d’expériences positives) et les médias sociaux pour véhiculer les messages de paix et engagement pour la redevabilité.</t>
  </si>
  <si>
    <t>Renforcement des capacités des médias locaux et communautaires sur les droits humains, le DIH, la consolidation de la paix et la participation inclusive de la population au développement économique et social.</t>
  </si>
  <si>
    <t>Projet PBF / GYPI KASAI/KASAI CENTRAL - Rapport Financier - Annuel 2022</t>
  </si>
  <si>
    <t>Nombre de resultat/ produit</t>
  </si>
  <si>
    <t xml:space="preserve">Budget planifié </t>
  </si>
  <si>
    <t>Total Budget Planifié</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</si>
  <si>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</si>
  <si>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</si>
  <si>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UNHCR</t>
  </si>
  <si>
    <t>BCNUDH</t>
  </si>
  <si>
    <t>World Vision</t>
  </si>
  <si>
    <t>Les jeunes filles et femmes demeurent sous-représentées dans les formations professionnelles. L'augmentation de la capacité d'accueil des centres de formation permettront plus d'accès des femmes aux formations.</t>
  </si>
  <si>
    <t>Renforcement des capacités des enseignants en termes de lutte contre les violences sexuelles et sexistes, et en faveur du respect des DH et de la protection internationale, notamment des minorités comme les LGBTI</t>
  </si>
  <si>
    <t>Cette activité contribue de créer des environnements sûrs, favorables et sensibles aux questions de genre et minorités comme LGBT et à la lutte contre les violences sexuelles et sexistes.</t>
  </si>
  <si>
    <t>Formation des ONG de jeunes, incluant jeunes femmes, sur les DH, DIH et surtout l’approche basée sur les droits humains dans la programmation/mise en œuvre d’activités.</t>
  </si>
  <si>
    <t>Les droits humains et leur approche donnent une base du respect de l'egalité entre les sexes, aux jeunes hommes et femmes formés.</t>
  </si>
  <si>
    <t>Ces campagnes d''information promeuvent les droits humains et le respect de l'egalité entre les sexes et l'inclusion des minorités comme les LGBTI, comme moteur de paix.</t>
  </si>
  <si>
    <t>Les capacités des medias locaux sur les droits humains, la participation inclusive, le développement social, contribuent à créer un environnement respectueux et promoteur du genre.</t>
  </si>
  <si>
    <t xml:space="preserve"> 60% minimum seront de sexe féminin </t>
  </si>
  <si>
    <t xml:space="preserve">Formation des jeunes aux métiers à fort potentiel d’auto-emploi  (gestions des ressources, des petites et micro entreprises) 
</t>
  </si>
  <si>
    <t xml:space="preserve">Il est estimé que 100 % des bénéficiaires directes recoivent les formations et sont accompagnés dans l'autonomisation économique dont minimum 120 jeunes femmes.  </t>
  </si>
  <si>
    <t>La protection des personnes vulnérables est améliorée avec l’implication et le soutien aux jeunes juristes, en particulier les juristes femmes.</t>
  </si>
  <si>
    <t xml:space="preserve">Formation et renforcement des capacités sur la Protection internationale, les DH et les genres
</t>
  </si>
  <si>
    <t>Le contenu de ces formations promeuvent les droits humains et l'egalité entre les sexes, et ciblent une majorité de femmes.</t>
  </si>
  <si>
    <t xml:space="preserve">Le contenu de ces formations promeut la justice transitionnelle, sensible au genre et minorités comme LGBTI, et ciblent plus de femmes. </t>
  </si>
  <si>
    <t xml:space="preserve">Cette activité permet d'accompagner des femmes à l'assistance d'autres femmes et jeunes, y compris des minorités, afin de les rehabiliter dans leurs droits. </t>
  </si>
  <si>
    <t>Les cliniques juridiques sont organisées pour et par les jeunes y compris pour les minorités comme les LGBTI.</t>
  </si>
  <si>
    <t xml:space="preserve">Appui aux ONG locales pour le fonctionnement de cliniques juridiques et l’information de la communauté sur les services juridiques </t>
  </si>
  <si>
    <t>Activite' 2.2.2</t>
  </si>
  <si>
    <t>Formation des moniteurs de protection sur la protection communautaire</t>
  </si>
  <si>
    <t xml:space="preserve">Le contenu de ces formations est sensible au genre, et ciblent plus de femmes. </t>
  </si>
  <si>
    <t>Cet appui permettra aux institutions de se pencher sur les femems, jeunes et minorités.</t>
  </si>
  <si>
    <t>Les jeunes juristes et femmes formés contibueront à promouvoir et protéger les droits fondamentaux particulièrement des femmes et des jeunes filles qui ne bénéficient pas souvent d'une protection juridique contre les violences sexuelles conjugales ou intrafamiliales.</t>
  </si>
  <si>
    <t>La formation se focalise sur le droit de la famille et le droit conjugal en vue de s'attaquer aux inégalites de genre et de renforcer les ripostes en faveur des femmes et des filles.</t>
  </si>
  <si>
    <t>La coexistence pacifique entre les communautés est promue et renforcée.</t>
  </si>
  <si>
    <t>Les mesures de protection des femmes et jeunes surtourt la réponse aux violences notamment aux VBG seront proposées et mises en œuvre</t>
  </si>
  <si>
    <t xml:space="preserve">Il est prevu d'assurer une participation active et équitable des femmes. Les session sur la promotion de l'égalié de genre, le droit des femmes, la PSEA sont prevues. </t>
  </si>
  <si>
    <t>Formation des  membres des forces de défenses et de sécurité formés sur la protection internationale,les droits humains et les violences sexuelles en conflit, COC et PSEA par les jeunes juristes et ceux bénéficiaires des programmes de formation, avec le soutien des organisations partenaires</t>
  </si>
  <si>
    <t>Le contenu de cette formation donne des connaissances et outils aux membres des FDS pour mieux respecter l'egalité de genre dans leur travail.</t>
  </si>
  <si>
    <t xml:space="preserve">Staff; DPC </t>
  </si>
  <si>
    <t xml:space="preserve">Fonctionnement; équipement </t>
  </si>
  <si>
    <t>S&amp;E (7%) + Communication (1%)</t>
  </si>
  <si>
    <t>Budget à la coordination</t>
  </si>
  <si>
    <t>Organisation recipiendiaire 1</t>
  </si>
  <si>
    <t>Organisation recipiendiaire 2</t>
  </si>
  <si>
    <t>Organisation recipiendiaire 3</t>
  </si>
  <si>
    <t>Total reçu</t>
  </si>
  <si>
    <t>Total dépensé</t>
  </si>
  <si>
    <t>Budget GEWE exécuté total (15/11/2021)</t>
  </si>
  <si>
    <t>Coûts indirects (7%; HCR: 6.5%):</t>
  </si>
  <si>
    <t>Taux de depenses (10/06/2022)</t>
  </si>
  <si>
    <t>Budget dépensé
(04/11/2022)</t>
  </si>
  <si>
    <t>Budget GEWE exécuté (04/11/2022)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</si>
</sst>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_(&quot;$&quot;* #,##0_);_(&quot;$&quot;* \(#,##0\);_(&quot;$&quot;* &quot;-&quot;??_);_(@_)"/>
    <numFmt numFmtId="165" formatCode="_-[$$-409]* #,##0.00_ ;_-[$$-409]* \-#,##0.00\ ;_-[$$-409]* &quot;-&quot;??_ ;_-@_ "/>
    <numFmt numFmtId="166" formatCode="[$$-409]#,##0.00_ ;\-[$$-409]#,##0.00\ "/>
    <numFmt numFmtId="167" formatCode="0.0%"/>
    <numFmt numFmtId="168" formatCode="_([$$-409]* #,##0.00_);_([$$-409]* \(#,##0.00\);_([$$-409]*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36"/>
      <color rgb="FF00B0F0"/>
      <name val="Calibri"/>
      <family val="2"/>
      <scheme val="minor"/>
    </font>
    <font>
      <b/>
      <sz val="20"/>
      <color theme="1"/>
      <name val="Calibri"/>
      <family val="2"/>
      <scheme val="minor"/>
    </font>
    <font>
      <b/>
      <sz val="12"/>
      <color theme="1"/>
      <name val="Calibri"/>
      <family val="2"/>
      <scheme val="minor"/>
    </font>
    <font>
      <b/>
      <sz val="12"/>
      <color rgb="FFFF0000"/>
      <name val="Calibri"/>
      <family val="2"/>
      <scheme val="minor"/>
    </font>
    <font>
      <sz val="14"/>
      <color theme="1"/>
      <name val="Calibri"/>
      <family val="2"/>
      <scheme val="minor"/>
    </font>
    <font>
      <sz val="12"/>
      <name val="Calibri"/>
      <family val="2"/>
      <scheme val="minor"/>
    </font>
    <font>
      <sz val="12"/>
      <color rgb="FFFF0000"/>
      <name val="Calibri"/>
      <family val="2"/>
      <scheme val="minor"/>
    </font>
    <font>
      <sz val="12"/>
      <color rgb="FF000000"/>
      <name val="Calibri"/>
      <family val="2"/>
    </font>
    <font>
      <sz val="14"/>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D9D9D9"/>
        <bgColor indexed="64"/>
      </patternFill>
    </fill>
    <fill>
      <patternFill patternType="solid">
        <fgColor theme="8" tint="0.79998168889431442"/>
        <bgColor indexed="64"/>
      </patternFill>
    </fill>
    <fill>
      <patternFill patternType="solid">
        <fgColor rgb="FFFFF2CC"/>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9">
    <xf numFmtId="0" fontId="0" fillId="0" borderId="0" xfId="0"/>
    <xf numFmtId="0" fontId="0" fillId="0" borderId="0" xfId="0" applyAlignment="1">
      <alignment vertical="center" wrapText="1"/>
    </xf>
    <xf numFmtId="0" fontId="4" fillId="0" borderId="0" xfId="0" applyFont="1" applyAlignment="1">
      <alignment vertical="center" wrapText="1"/>
    </xf>
    <xf numFmtId="0" fontId="7" fillId="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0" xfId="0" applyFont="1" applyAlignment="1">
      <alignment horizontal="center" vertical="center" wrapText="1"/>
    </xf>
    <xf numFmtId="0" fontId="4" fillId="2" borderId="1" xfId="0" applyFont="1" applyFill="1" applyBorder="1" applyAlignment="1">
      <alignment horizontal="center" vertical="center" wrapText="1"/>
    </xf>
    <xf numFmtId="0" fontId="9" fillId="0" borderId="0" xfId="0" applyFont="1" applyAlignment="1">
      <alignment horizontal="left" vertical="center" wrapText="1"/>
    </xf>
    <xf numFmtId="0" fontId="7"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10" fillId="7" borderId="1" xfId="0" applyFont="1" applyFill="1" applyBorder="1" applyAlignment="1" applyProtection="1">
      <alignment horizontal="left" vertical="center" wrapText="1"/>
      <protection locked="0"/>
    </xf>
    <xf numFmtId="44" fontId="10" fillId="0" borderId="1" xfId="1" applyFont="1" applyBorder="1" applyAlignment="1" applyProtection="1">
      <alignment horizontal="left" vertical="center" wrapText="1"/>
      <protection locked="0"/>
    </xf>
    <xf numFmtId="165" fontId="4" fillId="8" borderId="1" xfId="1" applyNumberFormat="1" applyFont="1" applyFill="1" applyBorder="1" applyAlignment="1" applyProtection="1">
      <alignment horizontal="center" vertical="center" wrapText="1"/>
      <protection locked="0"/>
    </xf>
    <xf numFmtId="165" fontId="4" fillId="0" borderId="1" xfId="1" applyNumberFormat="1" applyFont="1" applyBorder="1" applyAlignment="1" applyProtection="1">
      <alignment horizontal="center" vertical="center" wrapText="1"/>
      <protection locked="0"/>
    </xf>
    <xf numFmtId="165" fontId="4" fillId="2" borderId="1" xfId="1" applyNumberFormat="1" applyFont="1" applyFill="1" applyBorder="1" applyAlignment="1">
      <alignment horizontal="center" vertical="center" wrapText="1"/>
    </xf>
    <xf numFmtId="165" fontId="4" fillId="8" borderId="1" xfId="1" applyNumberFormat="1" applyFont="1" applyFill="1" applyBorder="1" applyAlignment="1">
      <alignment horizontal="center" vertical="center" wrapText="1"/>
    </xf>
    <xf numFmtId="9" fontId="4" fillId="0" borderId="1" xfId="2" applyFont="1" applyBorder="1" applyAlignment="1" applyProtection="1">
      <alignment horizontal="center" vertical="center" wrapText="1"/>
      <protection locked="0"/>
    </xf>
    <xf numFmtId="44" fontId="4" fillId="7" borderId="1" xfId="1" applyFont="1" applyFill="1" applyBorder="1" applyAlignment="1" applyProtection="1">
      <alignment horizontal="left" vertical="center" wrapText="1"/>
      <protection locked="0"/>
    </xf>
    <xf numFmtId="44" fontId="4" fillId="0" borderId="0" xfId="1" applyFont="1" applyAlignment="1">
      <alignment horizontal="center" vertical="center" wrapText="1"/>
    </xf>
    <xf numFmtId="0" fontId="4" fillId="7" borderId="1" xfId="0" applyFont="1" applyFill="1" applyBorder="1" applyAlignment="1" applyProtection="1">
      <alignment horizontal="left" vertical="top" wrapText="1"/>
      <protection locked="0"/>
    </xf>
    <xf numFmtId="44" fontId="10" fillId="7" borderId="1" xfId="1" applyFont="1" applyFill="1" applyBorder="1" applyAlignment="1" applyProtection="1">
      <alignment horizontal="left" vertical="center" wrapText="1"/>
      <protection locked="0"/>
    </xf>
    <xf numFmtId="0" fontId="0" fillId="7" borderId="0" xfId="0" applyFill="1" applyAlignment="1">
      <alignment vertical="center" wrapText="1"/>
    </xf>
    <xf numFmtId="0" fontId="4" fillId="0" borderId="1" xfId="0" applyFont="1" applyBorder="1" applyAlignment="1">
      <alignment vertical="center" wrapText="1"/>
    </xf>
    <xf numFmtId="0" fontId="7" fillId="2" borderId="1" xfId="0" applyFont="1" applyFill="1" applyBorder="1" applyAlignment="1">
      <alignment vertical="center" wrapText="1"/>
    </xf>
    <xf numFmtId="165" fontId="7" fillId="2" borderId="1" xfId="1" applyNumberFormat="1" applyFont="1" applyFill="1" applyBorder="1" applyAlignment="1">
      <alignment horizontal="center" vertical="center" wrapText="1"/>
    </xf>
    <xf numFmtId="165" fontId="7" fillId="8" borderId="1" xfId="1" applyNumberFormat="1" applyFont="1" applyFill="1" applyBorder="1" applyAlignment="1">
      <alignment horizontal="center" vertical="center" wrapText="1"/>
    </xf>
    <xf numFmtId="49" fontId="4" fillId="7" borderId="1" xfId="1" applyNumberFormat="1" applyFont="1" applyFill="1" applyBorder="1" applyAlignment="1" applyProtection="1">
      <alignment horizontal="left" vertical="center" wrapText="1"/>
      <protection locked="0"/>
    </xf>
    <xf numFmtId="44" fontId="7" fillId="0" borderId="0" xfId="1" applyFont="1" applyAlignment="1">
      <alignment horizontal="center" vertical="center" wrapText="1"/>
    </xf>
    <xf numFmtId="0" fontId="7" fillId="4" borderId="1" xfId="0" applyFont="1" applyFill="1" applyBorder="1" applyAlignment="1">
      <alignment vertical="center" wrapText="1"/>
    </xf>
    <xf numFmtId="44" fontId="7" fillId="0" borderId="0" xfId="1" applyFont="1" applyAlignment="1">
      <alignment vertical="center" wrapText="1"/>
    </xf>
    <xf numFmtId="0" fontId="4" fillId="4" borderId="1" xfId="0" applyFont="1" applyFill="1" applyBorder="1" applyAlignment="1">
      <alignment vertical="center" wrapText="1"/>
    </xf>
    <xf numFmtId="8" fontId="4" fillId="8" borderId="1" xfId="3" applyNumberFormat="1" applyFont="1" applyFill="1" applyBorder="1" applyAlignment="1" applyProtection="1">
      <alignment horizontal="center" vertical="center" wrapText="1"/>
      <protection locked="0"/>
    </xf>
    <xf numFmtId="44" fontId="10" fillId="0" borderId="1" xfId="1" applyFont="1" applyFill="1" applyBorder="1" applyAlignment="1" applyProtection="1">
      <alignment horizontal="left" vertical="center" wrapText="1"/>
      <protection locked="0"/>
    </xf>
    <xf numFmtId="49" fontId="4" fillId="7" borderId="7" xfId="1" applyNumberFormat="1" applyFont="1" applyFill="1" applyBorder="1" applyAlignment="1" applyProtection="1">
      <alignment horizontal="left" vertical="center" wrapText="1"/>
      <protection locked="0"/>
    </xf>
    <xf numFmtId="0" fontId="7" fillId="4" borderId="3" xfId="0" applyFont="1" applyFill="1" applyBorder="1" applyAlignment="1">
      <alignment vertical="center" wrapText="1"/>
    </xf>
    <xf numFmtId="0" fontId="10" fillId="0" borderId="1" xfId="0" applyFont="1" applyBorder="1" applyAlignment="1" applyProtection="1">
      <alignment horizontal="left" vertical="center" wrapText="1"/>
      <protection locked="0"/>
    </xf>
    <xf numFmtId="166" fontId="10" fillId="0" borderId="1" xfId="1" applyNumberFormat="1" applyFont="1" applyBorder="1" applyAlignment="1" applyProtection="1">
      <alignment horizontal="right" vertical="center" wrapText="1"/>
      <protection locked="0"/>
    </xf>
    <xf numFmtId="165" fontId="4" fillId="11" borderId="1" xfId="1" applyNumberFormat="1" applyFont="1" applyFill="1" applyBorder="1" applyAlignment="1" applyProtection="1">
      <alignment horizontal="center" vertical="center" wrapText="1"/>
      <protection locked="0"/>
    </xf>
    <xf numFmtId="44" fontId="4" fillId="7" borderId="7" xfId="1"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44" fontId="4" fillId="0" borderId="7" xfId="1" applyFont="1" applyFill="1" applyBorder="1" applyAlignment="1" applyProtection="1">
      <alignment horizontal="left" vertical="center" wrapText="1"/>
      <protection locked="0"/>
    </xf>
    <xf numFmtId="165" fontId="7" fillId="11" borderId="1" xfId="1" applyNumberFormat="1" applyFont="1" applyFill="1" applyBorder="1" applyAlignment="1">
      <alignment horizontal="center" vertical="center" wrapText="1"/>
    </xf>
    <xf numFmtId="0" fontId="4" fillId="7" borderId="0" xfId="0" applyFont="1" applyFill="1" applyAlignment="1" applyProtection="1">
      <alignment vertical="center" wrapText="1"/>
      <protection locked="0"/>
    </xf>
    <xf numFmtId="0" fontId="4" fillId="7" borderId="0" xfId="0" applyFont="1" applyFill="1" applyAlignment="1" applyProtection="1">
      <alignment horizontal="left" vertical="center" wrapText="1"/>
      <protection locked="0"/>
    </xf>
    <xf numFmtId="44" fontId="4" fillId="7" borderId="0" xfId="1" applyFont="1" applyFill="1" applyAlignment="1" applyProtection="1">
      <alignment horizontal="center" vertical="center" wrapText="1"/>
      <protection locked="0"/>
    </xf>
    <xf numFmtId="44" fontId="11" fillId="0" borderId="0" xfId="1" applyFont="1" applyAlignment="1">
      <alignment vertical="center" wrapText="1"/>
    </xf>
    <xf numFmtId="0" fontId="4" fillId="7" borderId="1" xfId="0" applyFont="1" applyFill="1" applyBorder="1" applyAlignment="1" applyProtection="1">
      <alignment horizontal="left" vertical="center" wrapText="1"/>
      <protection locked="0"/>
    </xf>
    <xf numFmtId="164" fontId="4" fillId="0" borderId="1" xfId="1" applyNumberFormat="1" applyFont="1" applyFill="1" applyBorder="1" applyAlignment="1" applyProtection="1">
      <alignment horizontal="left" vertical="center" wrapText="1"/>
      <protection locked="0"/>
    </xf>
    <xf numFmtId="164" fontId="4" fillId="8" borderId="1" xfId="3" applyNumberFormat="1" applyFont="1" applyFill="1" applyBorder="1" applyAlignment="1" applyProtection="1">
      <alignment horizontal="left" vertical="center" wrapText="1"/>
      <protection locked="0"/>
    </xf>
    <xf numFmtId="44" fontId="10" fillId="7" borderId="8" xfId="1" applyFont="1" applyFill="1" applyBorder="1" applyAlignment="1" applyProtection="1">
      <alignment horizontal="left" vertical="center" wrapText="1"/>
      <protection locked="0"/>
    </xf>
    <xf numFmtId="44" fontId="4" fillId="8" borderId="1" xfId="3" applyFont="1" applyFill="1" applyBorder="1" applyAlignment="1" applyProtection="1">
      <alignment horizontal="left" vertical="center" wrapText="1"/>
      <protection locked="0"/>
    </xf>
    <xf numFmtId="44" fontId="10" fillId="7" borderId="7" xfId="1" applyFont="1" applyFill="1" applyBorder="1" applyAlignment="1" applyProtection="1">
      <alignment horizontal="left" vertical="center" wrapText="1"/>
      <protection locked="0"/>
    </xf>
    <xf numFmtId="0" fontId="7" fillId="4" borderId="4" xfId="0" applyFont="1" applyFill="1" applyBorder="1" applyAlignment="1">
      <alignment vertical="center" wrapText="1"/>
    </xf>
    <xf numFmtId="0" fontId="4" fillId="7" borderId="2" xfId="0" applyFont="1" applyFill="1" applyBorder="1" applyAlignment="1" applyProtection="1">
      <alignment horizontal="left" vertical="center" wrapText="1"/>
      <protection locked="0"/>
    </xf>
    <xf numFmtId="0" fontId="4" fillId="7" borderId="7" xfId="1" applyNumberFormat="1" applyFont="1" applyFill="1" applyBorder="1" applyAlignment="1" applyProtection="1">
      <alignment horizontal="left" vertical="center" wrapText="1"/>
      <protection locked="0"/>
    </xf>
    <xf numFmtId="0" fontId="7" fillId="2" borderId="2" xfId="0" applyFont="1" applyFill="1" applyBorder="1" applyAlignment="1">
      <alignment vertical="center" wrapText="1"/>
    </xf>
    <xf numFmtId="0" fontId="4" fillId="7" borderId="0" xfId="0" applyFont="1" applyFill="1" applyAlignment="1">
      <alignment vertical="center" wrapText="1"/>
    </xf>
    <xf numFmtId="0" fontId="7" fillId="7" borderId="0" xfId="0" applyFont="1" applyFill="1" applyAlignment="1">
      <alignment vertical="center" wrapText="1"/>
    </xf>
    <xf numFmtId="165" fontId="7" fillId="7" borderId="0" xfId="1" applyNumberFormat="1" applyFont="1" applyFill="1" applyBorder="1" applyAlignment="1">
      <alignment horizontal="center" vertical="center" wrapText="1"/>
    </xf>
    <xf numFmtId="49" fontId="4" fillId="7" borderId="0" xfId="1" applyNumberFormat="1" applyFont="1" applyFill="1" applyBorder="1" applyAlignment="1" applyProtection="1">
      <alignment horizontal="left" vertical="center" wrapText="1"/>
      <protection locked="0"/>
    </xf>
    <xf numFmtId="44" fontId="7" fillId="7" borderId="0" xfId="1" applyFont="1" applyFill="1" applyAlignment="1">
      <alignment horizontal="center" vertical="center" wrapText="1"/>
    </xf>
    <xf numFmtId="44" fontId="4" fillId="0" borderId="1" xfId="1" applyFont="1" applyFill="1" applyBorder="1" applyAlignment="1" applyProtection="1">
      <alignment horizontal="left" vertical="center" wrapText="1"/>
      <protection locked="0"/>
    </xf>
    <xf numFmtId="44" fontId="10" fillId="8" borderId="1" xfId="3" applyFont="1" applyFill="1" applyBorder="1" applyAlignment="1" applyProtection="1">
      <alignment horizontal="left" vertical="center" wrapText="1"/>
      <protection locked="0"/>
    </xf>
    <xf numFmtId="44" fontId="4" fillId="7" borderId="0" xfId="1" applyFont="1" applyFill="1" applyAlignment="1" applyProtection="1">
      <alignment vertical="center" wrapText="1"/>
      <protection locked="0"/>
    </xf>
    <xf numFmtId="0" fontId="7" fillId="0" borderId="0" xfId="0" applyFont="1" applyAlignment="1" applyProtection="1">
      <alignment vertical="center" wrapText="1"/>
      <protection locked="0"/>
    </xf>
    <xf numFmtId="0" fontId="3" fillId="2" borderId="1" xfId="0" applyFont="1" applyFill="1" applyBorder="1" applyAlignment="1">
      <alignment vertical="center" wrapText="1"/>
    </xf>
    <xf numFmtId="0" fontId="9" fillId="7" borderId="1" xfId="0" applyFont="1" applyFill="1" applyBorder="1" applyAlignment="1" applyProtection="1">
      <alignment vertical="center" wrapText="1"/>
      <protection locked="0"/>
    </xf>
    <xf numFmtId="164" fontId="9" fillId="0" borderId="1" xfId="1" applyNumberFormat="1" applyFont="1" applyFill="1" applyBorder="1" applyAlignment="1" applyProtection="1">
      <alignment horizontal="left" vertical="center" wrapText="1"/>
      <protection locked="0"/>
    </xf>
    <xf numFmtId="165" fontId="9" fillId="8" borderId="1" xfId="1" applyNumberFormat="1" applyFont="1" applyFill="1" applyBorder="1" applyAlignment="1" applyProtection="1">
      <alignment vertical="center" wrapText="1"/>
      <protection locked="0"/>
    </xf>
    <xf numFmtId="165" fontId="9" fillId="2" borderId="1" xfId="1" applyNumberFormat="1" applyFont="1" applyFill="1" applyBorder="1" applyAlignment="1">
      <alignment vertical="center" wrapText="1"/>
    </xf>
    <xf numFmtId="165" fontId="9" fillId="0" borderId="1" xfId="2" applyNumberFormat="1" applyFont="1" applyBorder="1" applyAlignment="1" applyProtection="1">
      <alignment vertical="center" wrapText="1"/>
      <protection locked="0"/>
    </xf>
    <xf numFmtId="9" fontId="9" fillId="0" borderId="1" xfId="2" applyFont="1" applyBorder="1" applyAlignment="1" applyProtection="1">
      <alignment vertical="center" wrapText="1"/>
      <protection locked="0"/>
    </xf>
    <xf numFmtId="49" fontId="9" fillId="0" borderId="1" xfId="0" applyNumberFormat="1" applyFont="1" applyBorder="1" applyAlignment="1" applyProtection="1">
      <alignment horizontal="left" vertical="center" wrapText="1"/>
      <protection locked="0"/>
    </xf>
    <xf numFmtId="165" fontId="4" fillId="8" borderId="1" xfId="1" applyNumberFormat="1" applyFont="1" applyFill="1" applyBorder="1" applyAlignment="1" applyProtection="1">
      <alignment vertical="center" wrapText="1"/>
      <protection locked="0"/>
    </xf>
    <xf numFmtId="0" fontId="3" fillId="7" borderId="1" xfId="0" applyFont="1" applyFill="1" applyBorder="1" applyAlignment="1">
      <alignment vertical="center" wrapText="1"/>
    </xf>
    <xf numFmtId="0" fontId="3" fillId="3" borderId="1" xfId="0" applyFont="1" applyFill="1" applyBorder="1" applyAlignment="1" applyProtection="1">
      <alignment vertical="center" wrapText="1"/>
      <protection locked="0"/>
    </xf>
    <xf numFmtId="165" fontId="3" fillId="3" borderId="1" xfId="1" applyNumberFormat="1" applyFont="1" applyFill="1" applyBorder="1" applyAlignment="1">
      <alignment vertical="center" wrapText="1"/>
    </xf>
    <xf numFmtId="165" fontId="3" fillId="8" borderId="1" xfId="1" applyNumberFormat="1" applyFont="1" applyFill="1" applyBorder="1" applyAlignment="1">
      <alignment vertical="center" wrapText="1"/>
    </xf>
    <xf numFmtId="165" fontId="7" fillId="8" borderId="1" xfId="1" applyNumberFormat="1" applyFont="1" applyFill="1" applyBorder="1" applyAlignment="1">
      <alignment vertical="center" wrapText="1"/>
    </xf>
    <xf numFmtId="165" fontId="3" fillId="2" borderId="1" xfId="1"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0" fontId="7" fillId="7" borderId="0" xfId="0" applyFont="1" applyFill="1" applyAlignment="1" applyProtection="1">
      <alignment vertical="center" wrapText="1"/>
      <protection locked="0"/>
    </xf>
    <xf numFmtId="0" fontId="9" fillId="2" borderId="10" xfId="0" applyFont="1" applyFill="1" applyBorder="1" applyAlignment="1">
      <alignment vertical="center" wrapText="1"/>
    </xf>
    <xf numFmtId="44" fontId="9" fillId="2" borderId="10" xfId="0" applyNumberFormat="1" applyFont="1" applyFill="1" applyBorder="1" applyAlignment="1">
      <alignment vertical="center" wrapText="1"/>
    </xf>
    <xf numFmtId="44" fontId="9" fillId="8" borderId="10" xfId="0" applyNumberFormat="1" applyFont="1" applyFill="1" applyBorder="1" applyAlignment="1">
      <alignment vertical="center" wrapText="1"/>
    </xf>
    <xf numFmtId="0" fontId="4" fillId="0" borderId="0" xfId="0" applyFont="1" applyAlignment="1" applyProtection="1">
      <alignment vertical="center" wrapText="1"/>
      <protection locked="0"/>
    </xf>
    <xf numFmtId="0" fontId="3" fillId="2" borderId="10" xfId="0" applyFont="1" applyFill="1" applyBorder="1" applyAlignment="1">
      <alignment vertical="center" wrapText="1"/>
    </xf>
    <xf numFmtId="44" fontId="3" fillId="2" borderId="10" xfId="0" applyNumberFormat="1" applyFont="1" applyFill="1" applyBorder="1" applyAlignment="1">
      <alignment vertical="center" wrapText="1"/>
    </xf>
    <xf numFmtId="44" fontId="3" fillId="8" borderId="10" xfId="0" applyNumberFormat="1" applyFont="1" applyFill="1" applyBorder="1" applyAlignment="1">
      <alignment vertical="center" wrapText="1"/>
    </xf>
    <xf numFmtId="44" fontId="3" fillId="8" borderId="11" xfId="0" applyNumberFormat="1" applyFont="1" applyFill="1" applyBorder="1" applyAlignment="1">
      <alignment vertical="center" wrapText="1"/>
    </xf>
    <xf numFmtId="167" fontId="4" fillId="0" borderId="0" xfId="2" applyNumberFormat="1" applyFont="1" applyBorder="1" applyAlignment="1" applyProtection="1">
      <alignment vertical="center" wrapText="1"/>
      <protection locked="0"/>
    </xf>
    <xf numFmtId="0" fontId="9" fillId="0" borderId="0" xfId="0" applyFont="1" applyAlignment="1">
      <alignment vertical="center" wrapText="1"/>
    </xf>
    <xf numFmtId="0" fontId="9" fillId="0" borderId="0" xfId="0" applyFont="1" applyAlignment="1" applyProtection="1">
      <alignment vertical="center" wrapText="1"/>
      <protection locked="0"/>
    </xf>
    <xf numFmtId="167" fontId="3" fillId="8" borderId="10" xfId="2" applyNumberFormat="1" applyFont="1" applyFill="1" applyBorder="1" applyAlignment="1">
      <alignment vertical="center" wrapText="1"/>
    </xf>
    <xf numFmtId="9" fontId="3" fillId="2" borderId="10" xfId="2" applyFont="1" applyFill="1" applyBorder="1" applyAlignment="1">
      <alignment vertical="center" wrapText="1"/>
    </xf>
    <xf numFmtId="9" fontId="3" fillId="2" borderId="12" xfId="2" applyFont="1" applyFill="1" applyBorder="1" applyAlignment="1">
      <alignment vertical="center" wrapText="1"/>
    </xf>
    <xf numFmtId="168" fontId="9" fillId="12" borderId="0" xfId="0" applyNumberFormat="1" applyFont="1" applyFill="1" applyAlignment="1">
      <alignment vertical="center" wrapText="1"/>
    </xf>
    <xf numFmtId="168" fontId="3" fillId="11" borderId="10" xfId="0" applyNumberFormat="1" applyFont="1" applyFill="1" applyBorder="1" applyAlignment="1">
      <alignment vertical="center" wrapText="1"/>
    </xf>
    <xf numFmtId="0" fontId="3" fillId="0" borderId="0" xfId="0" applyFont="1" applyAlignment="1" applyProtection="1">
      <alignment vertical="center" wrapText="1"/>
      <protection locked="0"/>
    </xf>
    <xf numFmtId="44" fontId="13" fillId="7" borderId="1" xfId="1" applyFont="1" applyFill="1" applyBorder="1" applyAlignment="1" applyProtection="1">
      <alignment horizontal="left" vertical="center" wrapText="1"/>
      <protection locked="0"/>
    </xf>
    <xf numFmtId="44" fontId="9" fillId="0" borderId="1" xfId="1" applyFont="1" applyBorder="1" applyAlignment="1" applyProtection="1">
      <alignment horizontal="left" vertical="center" wrapText="1"/>
      <protection locked="0"/>
    </xf>
    <xf numFmtId="8" fontId="12" fillId="8" borderId="1" xfId="0" applyNumberFormat="1" applyFont="1" applyFill="1" applyBorder="1" applyAlignment="1">
      <alignment vertical="center" wrapText="1"/>
    </xf>
    <xf numFmtId="168" fontId="4" fillId="0" borderId="0" xfId="0" applyNumberFormat="1" applyFont="1" applyFill="1" applyBorder="1" applyAlignment="1" applyProtection="1">
      <alignment vertical="center" wrapText="1"/>
      <protection locked="0"/>
    </xf>
    <xf numFmtId="0" fontId="7" fillId="0" borderId="0" xfId="0" applyFont="1" applyAlignment="1">
      <alignment horizontal="center" vertical="center" wrapText="1"/>
    </xf>
    <xf numFmtId="0" fontId="5" fillId="0" borderId="1" xfId="0" applyFont="1" applyBorder="1" applyAlignment="1">
      <alignment horizontal="center" vertical="center" wrapText="1"/>
    </xf>
    <xf numFmtId="0" fontId="6" fillId="10" borderId="1" xfId="0" applyFont="1" applyFill="1" applyBorder="1" applyAlignment="1">
      <alignment horizontal="center" vertical="center" wrapText="1"/>
    </xf>
    <xf numFmtId="0" fontId="7" fillId="7" borderId="1" xfId="0"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vertical="center" wrapText="1"/>
      <protection locked="0"/>
    </xf>
    <xf numFmtId="49" fontId="3" fillId="6" borderId="1" xfId="0" applyNumberFormat="1" applyFont="1" applyFill="1" applyBorder="1" applyAlignment="1" applyProtection="1">
      <alignment vertical="center" wrapText="1"/>
      <protection locked="0"/>
    </xf>
    <xf numFmtId="0" fontId="3" fillId="6" borderId="1" xfId="0" applyFont="1" applyFill="1" applyBorder="1" applyAlignment="1" applyProtection="1">
      <alignment horizontal="left" vertical="center" wrapText="1"/>
      <protection locked="0"/>
    </xf>
    <xf numFmtId="0" fontId="3" fillId="6" borderId="5" xfId="0" applyFont="1" applyFill="1" applyBorder="1" applyAlignment="1" applyProtection="1">
      <alignment horizontal="left" vertical="center" wrapText="1"/>
      <protection locked="0"/>
    </xf>
    <xf numFmtId="0" fontId="3" fillId="6" borderId="6" xfId="0" applyFont="1" applyFill="1" applyBorder="1" applyAlignment="1" applyProtection="1">
      <alignment horizontal="left" vertical="center" wrapText="1"/>
      <protection locked="0"/>
    </xf>
    <xf numFmtId="0" fontId="3" fillId="6" borderId="0" xfId="0" applyFont="1" applyFill="1" applyAlignment="1" applyProtection="1">
      <alignment horizontal="left" vertical="center" wrapText="1"/>
      <protection locked="0"/>
    </xf>
    <xf numFmtId="0" fontId="3" fillId="6" borderId="9" xfId="0" applyFont="1" applyFill="1" applyBorder="1" applyAlignment="1" applyProtection="1">
      <alignment horizontal="left" vertical="center" wrapText="1"/>
      <protection locked="0"/>
    </xf>
    <xf numFmtId="0" fontId="2" fillId="9" borderId="1" xfId="0" applyFont="1" applyFill="1" applyBorder="1" applyAlignment="1">
      <alignment horizontal="center" vertical="center" wrapText="1"/>
    </xf>
    <xf numFmtId="0" fontId="3" fillId="2" borderId="10" xfId="1"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44" fontId="3" fillId="2" borderId="10" xfId="1" applyFont="1" applyFill="1" applyBorder="1" applyAlignment="1">
      <alignment horizontal="center" vertical="center" wrapText="1"/>
    </xf>
  </cellXfs>
  <cellStyles count="4">
    <cellStyle name="Currency" xfId="1" builtinId="4"/>
    <cellStyle name="Currency 2" xfId="3" xr:uid="{29A2A3F1-D0E4-44CE-91A5-6F20496C16F0}"/>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6E88A-E65A-4A72-8408-474D1167BAB3}">
  <dimension ref="A2:O72"/>
  <sheetViews>
    <sheetView tabSelected="1" topLeftCell="A49" zoomScale="70" zoomScaleNormal="70" workbookViewId="0">
      <selection activeCell="G44" sqref="G44"/>
    </sheetView>
  </sheetViews>
  <sheetFormatPr defaultColWidth="9.1328125" defaultRowHeight="16" x14ac:dyDescent="0.75"/>
  <cols>
    <col min="1" max="1" width="2.40625" style="1" customWidth="1"/>
    <col min="2" max="2" width="30.54296875" style="1" customWidth="1"/>
    <col min="3" max="3" width="47.86328125" style="1" customWidth="1"/>
    <col min="4" max="4" width="26.40625" style="1" customWidth="1"/>
    <col min="5" max="5" width="23.1328125" style="1" customWidth="1"/>
    <col min="6" max="6" width="26.40625" style="1" customWidth="1"/>
    <col min="7" max="7" width="23.1328125" style="2" customWidth="1"/>
    <col min="8" max="8" width="27" style="1" customWidth="1"/>
    <col min="9" max="9" width="23.1328125" style="1" customWidth="1"/>
    <col min="10" max="10" width="27" style="1" customWidth="1"/>
    <col min="11" max="11" width="23.1328125" style="1" customWidth="1"/>
    <col min="12" max="13" width="22.40625" style="1" customWidth="1"/>
    <col min="14" max="14" width="45.40625" style="1" customWidth="1"/>
    <col min="15" max="15" width="18.86328125" style="1" customWidth="1"/>
    <col min="16" max="16" width="9.1328125" style="1"/>
    <col min="17" max="17" width="17.54296875" style="1" customWidth="1"/>
    <col min="18" max="18" width="26.40625" style="1" customWidth="1"/>
    <col min="19" max="19" width="22.40625" style="1" customWidth="1"/>
    <col min="20" max="20" width="29.54296875" style="1" customWidth="1"/>
    <col min="21" max="21" width="23.40625" style="1" customWidth="1"/>
    <col min="22" max="22" width="18.40625" style="1" customWidth="1"/>
    <col min="23" max="23" width="17.40625" style="1" customWidth="1"/>
    <col min="24" max="24" width="25.1328125" style="1" customWidth="1"/>
    <col min="25" max="16384" width="9.1328125" style="1"/>
  </cols>
  <sheetData>
    <row r="2" spans="1:15" ht="47.25" customHeight="1" x14ac:dyDescent="0.75">
      <c r="B2" s="104" t="s">
        <v>59</v>
      </c>
      <c r="C2" s="104"/>
      <c r="D2" s="104"/>
      <c r="E2" s="104"/>
      <c r="F2" s="104"/>
      <c r="G2" s="104"/>
      <c r="H2" s="104"/>
      <c r="I2" s="104"/>
      <c r="J2" s="104"/>
      <c r="K2" s="104"/>
      <c r="L2" s="104"/>
      <c r="M2" s="104"/>
      <c r="N2" s="104"/>
    </row>
    <row r="3" spans="1:15" ht="27" customHeight="1" x14ac:dyDescent="0.75">
      <c r="B3" s="105"/>
      <c r="C3" s="105"/>
      <c r="D3" s="105"/>
      <c r="E3" s="105"/>
      <c r="F3" s="105"/>
      <c r="G3" s="105"/>
      <c r="H3" s="105"/>
      <c r="I3" s="105"/>
      <c r="J3" s="105"/>
      <c r="K3" s="105"/>
      <c r="L3" s="105"/>
      <c r="M3" s="105"/>
      <c r="N3" s="105"/>
    </row>
    <row r="5" spans="1:15" ht="213.75" customHeight="1" x14ac:dyDescent="0.75">
      <c r="B5" s="3" t="s">
        <v>60</v>
      </c>
      <c r="C5" s="3" t="s">
        <v>0</v>
      </c>
      <c r="D5" s="3" t="s">
        <v>61</v>
      </c>
      <c r="E5" s="4" t="s">
        <v>108</v>
      </c>
      <c r="F5" s="3" t="s">
        <v>61</v>
      </c>
      <c r="G5" s="4" t="s">
        <v>108</v>
      </c>
      <c r="H5" s="3" t="s">
        <v>61</v>
      </c>
      <c r="I5" s="4" t="s">
        <v>108</v>
      </c>
      <c r="J5" s="3" t="s">
        <v>62</v>
      </c>
      <c r="K5" s="4" t="s">
        <v>108</v>
      </c>
      <c r="L5" s="3" t="s">
        <v>63</v>
      </c>
      <c r="M5" s="4" t="s">
        <v>109</v>
      </c>
      <c r="N5" s="3" t="s">
        <v>64</v>
      </c>
      <c r="O5" s="5"/>
    </row>
    <row r="6" spans="1:15" ht="18.75" customHeight="1" x14ac:dyDescent="0.75">
      <c r="B6" s="6"/>
      <c r="C6" s="6"/>
      <c r="D6" s="106" t="s">
        <v>65</v>
      </c>
      <c r="E6" s="106"/>
      <c r="F6" s="106" t="s">
        <v>66</v>
      </c>
      <c r="G6" s="106"/>
      <c r="H6" s="106" t="s">
        <v>67</v>
      </c>
      <c r="I6" s="106"/>
      <c r="J6" s="3"/>
      <c r="K6" s="3"/>
      <c r="L6" s="6"/>
      <c r="M6" s="6"/>
      <c r="N6" s="6"/>
      <c r="O6" s="5"/>
    </row>
    <row r="7" spans="1:15" s="7" customFormat="1" ht="27" customHeight="1" x14ac:dyDescent="0.75">
      <c r="B7" s="8" t="s">
        <v>2</v>
      </c>
      <c r="C7" s="107" t="s">
        <v>3</v>
      </c>
      <c r="D7" s="107"/>
      <c r="E7" s="107"/>
      <c r="F7" s="107"/>
      <c r="G7" s="107"/>
      <c r="H7" s="107"/>
      <c r="I7" s="107"/>
      <c r="J7" s="107"/>
      <c r="K7" s="107"/>
      <c r="L7" s="107"/>
      <c r="M7" s="107"/>
      <c r="N7" s="107"/>
    </row>
    <row r="8" spans="1:15" s="7" customFormat="1" ht="26.15" customHeight="1" x14ac:dyDescent="0.75">
      <c r="B8" s="8" t="s">
        <v>4</v>
      </c>
      <c r="C8" s="108" t="s">
        <v>5</v>
      </c>
      <c r="D8" s="108"/>
      <c r="E8" s="108"/>
      <c r="F8" s="108"/>
      <c r="G8" s="108"/>
      <c r="H8" s="108"/>
      <c r="I8" s="108"/>
      <c r="J8" s="108"/>
      <c r="K8" s="108"/>
      <c r="L8" s="108"/>
      <c r="M8" s="108"/>
      <c r="N8" s="108"/>
    </row>
    <row r="9" spans="1:15" ht="87.65" customHeight="1" x14ac:dyDescent="0.75">
      <c r="B9" s="9" t="s">
        <v>6</v>
      </c>
      <c r="C9" s="10" t="s">
        <v>56</v>
      </c>
      <c r="D9" s="11">
        <v>200000</v>
      </c>
      <c r="E9" s="12">
        <v>158243.54</v>
      </c>
      <c r="F9" s="13"/>
      <c r="G9" s="12">
        <v>0</v>
      </c>
      <c r="H9" s="13">
        <v>0</v>
      </c>
      <c r="I9" s="12">
        <v>0</v>
      </c>
      <c r="J9" s="14">
        <f>SUM(D9,F9,H9)</f>
        <v>200000</v>
      </c>
      <c r="K9" s="15">
        <f>E9+G9+I9</f>
        <v>158243.54</v>
      </c>
      <c r="L9" s="16">
        <v>0.3</v>
      </c>
      <c r="M9" s="12">
        <f>K9*L9</f>
        <v>47473.061999999998</v>
      </c>
      <c r="N9" s="17" t="s">
        <v>68</v>
      </c>
      <c r="O9" s="18"/>
    </row>
    <row r="10" spans="1:15" ht="92.15" customHeight="1" x14ac:dyDescent="0.75">
      <c r="B10" s="9" t="s">
        <v>7</v>
      </c>
      <c r="C10" s="19" t="s">
        <v>69</v>
      </c>
      <c r="D10" s="20">
        <v>50000</v>
      </c>
      <c r="E10" s="12">
        <f>3640+2566.5+5360+15236+8750+((43260.54+7113.2)/2)</f>
        <v>60739.369999999995</v>
      </c>
      <c r="F10" s="13"/>
      <c r="G10" s="12">
        <v>0</v>
      </c>
      <c r="H10" s="13">
        <v>0</v>
      </c>
      <c r="I10" s="12">
        <v>0</v>
      </c>
      <c r="J10" s="14">
        <f>SUM(D10,F10,H10)</f>
        <v>50000</v>
      </c>
      <c r="K10" s="15">
        <f>E10+G10+I10</f>
        <v>60739.369999999995</v>
      </c>
      <c r="L10" s="16">
        <v>0.3</v>
      </c>
      <c r="M10" s="12">
        <f t="shared" ref="M10" si="0">K10*L10</f>
        <v>18221.810999999998</v>
      </c>
      <c r="N10" s="17" t="s">
        <v>70</v>
      </c>
      <c r="O10" s="18"/>
    </row>
    <row r="11" spans="1:15" x14ac:dyDescent="0.75">
      <c r="A11" s="21"/>
      <c r="B11" s="22"/>
      <c r="C11" s="23" t="s">
        <v>8</v>
      </c>
      <c r="D11" s="24">
        <f t="shared" ref="D11:K11" si="1">SUM(D9:D10)</f>
        <v>250000</v>
      </c>
      <c r="E11" s="25">
        <f>SUM(E9:E10)</f>
        <v>218982.91</v>
      </c>
      <c r="F11" s="24">
        <f t="shared" si="1"/>
        <v>0</v>
      </c>
      <c r="G11" s="25">
        <f t="shared" si="1"/>
        <v>0</v>
      </c>
      <c r="H11" s="24">
        <f t="shared" si="1"/>
        <v>0</v>
      </c>
      <c r="I11" s="25">
        <f t="shared" si="1"/>
        <v>0</v>
      </c>
      <c r="J11" s="24">
        <f t="shared" si="1"/>
        <v>250000</v>
      </c>
      <c r="K11" s="25">
        <f t="shared" si="1"/>
        <v>218982.91</v>
      </c>
      <c r="L11" s="25">
        <f>(L9*J9)+(L10*J10)</f>
        <v>75000</v>
      </c>
      <c r="M11" s="25">
        <f>SUM(M9:M10)</f>
        <v>65694.872999999992</v>
      </c>
      <c r="N11" s="26"/>
      <c r="O11" s="27"/>
    </row>
    <row r="12" spans="1:15" ht="37.5" customHeight="1" x14ac:dyDescent="0.75">
      <c r="A12" s="21"/>
      <c r="B12" s="28" t="s">
        <v>9</v>
      </c>
      <c r="C12" s="109" t="s">
        <v>10</v>
      </c>
      <c r="D12" s="109"/>
      <c r="E12" s="109"/>
      <c r="F12" s="109"/>
      <c r="G12" s="109"/>
      <c r="H12" s="109"/>
      <c r="I12" s="109"/>
      <c r="J12" s="109"/>
      <c r="K12" s="109"/>
      <c r="L12" s="109"/>
      <c r="M12" s="109"/>
      <c r="N12" s="109"/>
      <c r="O12" s="29"/>
    </row>
    <row r="13" spans="1:15" ht="77.150000000000006" customHeight="1" x14ac:dyDescent="0.75">
      <c r="A13" s="21"/>
      <c r="B13" s="30" t="s">
        <v>11</v>
      </c>
      <c r="C13" s="10" t="s">
        <v>71</v>
      </c>
      <c r="D13" s="13"/>
      <c r="E13" s="12">
        <v>0</v>
      </c>
      <c r="F13" s="13">
        <v>10000</v>
      </c>
      <c r="G13" s="31">
        <v>9161</v>
      </c>
      <c r="H13" s="13">
        <v>0</v>
      </c>
      <c r="I13" s="12"/>
      <c r="J13" s="14">
        <f>SUM(D13,F13,H13)</f>
        <v>10000</v>
      </c>
      <c r="K13" s="15">
        <f>E13+G13+I13</f>
        <v>9161</v>
      </c>
      <c r="L13" s="16">
        <v>0.5</v>
      </c>
      <c r="M13" s="12">
        <f>K13*L13</f>
        <v>4580.5</v>
      </c>
      <c r="N13" s="32" t="s">
        <v>72</v>
      </c>
      <c r="O13" s="18"/>
    </row>
    <row r="14" spans="1:15" ht="121.5" customHeight="1" x14ac:dyDescent="0.75">
      <c r="A14" s="21"/>
      <c r="B14" s="30" t="s">
        <v>12</v>
      </c>
      <c r="C14" s="10" t="s">
        <v>57</v>
      </c>
      <c r="D14" s="13"/>
      <c r="E14" s="12">
        <v>0</v>
      </c>
      <c r="F14" s="13">
        <v>10000</v>
      </c>
      <c r="G14" s="31">
        <v>9600</v>
      </c>
      <c r="H14" s="13">
        <v>0</v>
      </c>
      <c r="I14" s="12"/>
      <c r="J14" s="14">
        <f t="shared" ref="J14:J15" si="2">SUM(D14,F14,H14)</f>
        <v>10000</v>
      </c>
      <c r="K14" s="15">
        <f t="shared" ref="K14" si="3">E14+G14+I14</f>
        <v>9600</v>
      </c>
      <c r="L14" s="16">
        <v>0.5</v>
      </c>
      <c r="M14" s="12">
        <f t="shared" ref="M14:M15" si="4">K14*L14</f>
        <v>4800</v>
      </c>
      <c r="N14" s="32" t="s">
        <v>73</v>
      </c>
      <c r="O14" s="18"/>
    </row>
    <row r="15" spans="1:15" ht="92.15" customHeight="1" x14ac:dyDescent="0.75">
      <c r="A15" s="21"/>
      <c r="B15" s="30" t="s">
        <v>13</v>
      </c>
      <c r="C15" s="10" t="s">
        <v>58</v>
      </c>
      <c r="D15" s="13"/>
      <c r="E15" s="12">
        <v>0</v>
      </c>
      <c r="F15" s="13">
        <v>15000</v>
      </c>
      <c r="G15" s="31">
        <v>18745</v>
      </c>
      <c r="H15" s="13">
        <v>0</v>
      </c>
      <c r="I15" s="12"/>
      <c r="J15" s="14">
        <f t="shared" si="2"/>
        <v>15000</v>
      </c>
      <c r="K15" s="15">
        <f>E15+G15+I15</f>
        <v>18745</v>
      </c>
      <c r="L15" s="16">
        <v>0.5</v>
      </c>
      <c r="M15" s="12">
        <f t="shared" si="4"/>
        <v>9372.5</v>
      </c>
      <c r="N15" s="32" t="s">
        <v>74</v>
      </c>
      <c r="O15" s="18"/>
    </row>
    <row r="16" spans="1:15" ht="26.15" customHeight="1" x14ac:dyDescent="0.75">
      <c r="A16" s="21"/>
      <c r="B16" s="2"/>
      <c r="C16" s="23" t="s">
        <v>8</v>
      </c>
      <c r="D16" s="24">
        <f t="shared" ref="D16:K16" si="5">SUM(D13:D15)</f>
        <v>0</v>
      </c>
      <c r="E16" s="25">
        <f t="shared" si="5"/>
        <v>0</v>
      </c>
      <c r="F16" s="24">
        <f t="shared" si="5"/>
        <v>35000</v>
      </c>
      <c r="G16" s="25">
        <f t="shared" si="5"/>
        <v>37506</v>
      </c>
      <c r="H16" s="24">
        <f t="shared" si="5"/>
        <v>0</v>
      </c>
      <c r="I16" s="25">
        <f t="shared" si="5"/>
        <v>0</v>
      </c>
      <c r="J16" s="24">
        <f t="shared" si="5"/>
        <v>35000</v>
      </c>
      <c r="K16" s="25">
        <f t="shared" si="5"/>
        <v>37506</v>
      </c>
      <c r="L16" s="25">
        <f>(L13*J13)+(L14*J14)+(L15*J15)</f>
        <v>17500</v>
      </c>
      <c r="M16" s="25">
        <f>SUM(M13:M15)</f>
        <v>18753</v>
      </c>
      <c r="N16" s="33"/>
      <c r="O16" s="27"/>
    </row>
    <row r="17" spans="1:15" ht="32.25" customHeight="1" x14ac:dyDescent="0.75">
      <c r="A17" s="21"/>
      <c r="B17" s="34" t="s">
        <v>14</v>
      </c>
      <c r="C17" s="110" t="s">
        <v>15</v>
      </c>
      <c r="D17" s="110"/>
      <c r="E17" s="110"/>
      <c r="F17" s="110"/>
      <c r="G17" s="110"/>
      <c r="H17" s="110"/>
      <c r="I17" s="110"/>
      <c r="J17" s="110"/>
      <c r="K17" s="110"/>
      <c r="L17" s="110"/>
      <c r="M17" s="110"/>
      <c r="N17" s="109"/>
      <c r="O17" s="29"/>
    </row>
    <row r="18" spans="1:15" ht="32" x14ac:dyDescent="0.75">
      <c r="A18" s="21"/>
      <c r="B18" s="30" t="s">
        <v>16</v>
      </c>
      <c r="C18" s="35" t="s">
        <v>17</v>
      </c>
      <c r="D18" s="13"/>
      <c r="E18" s="12">
        <v>0</v>
      </c>
      <c r="F18" s="13"/>
      <c r="G18" s="12">
        <v>0</v>
      </c>
      <c r="H18" s="36">
        <v>89208.42</v>
      </c>
      <c r="I18" s="12">
        <v>32365.779999999995</v>
      </c>
      <c r="J18" s="14">
        <f>SUM(D18,F18,H18)</f>
        <v>89208.42</v>
      </c>
      <c r="K18" s="15"/>
      <c r="L18" s="16">
        <v>0.4</v>
      </c>
      <c r="M18" s="12">
        <f>K18*L18</f>
        <v>0</v>
      </c>
      <c r="N18" s="38" t="s">
        <v>75</v>
      </c>
      <c r="O18" s="18"/>
    </row>
    <row r="19" spans="1:15" ht="32" x14ac:dyDescent="0.75">
      <c r="A19" s="21"/>
      <c r="B19" s="30" t="s">
        <v>18</v>
      </c>
      <c r="C19" s="35" t="s">
        <v>19</v>
      </c>
      <c r="D19" s="13"/>
      <c r="E19" s="12">
        <v>0</v>
      </c>
      <c r="F19" s="13"/>
      <c r="G19" s="12">
        <v>0</v>
      </c>
      <c r="H19" s="36">
        <v>167559.84</v>
      </c>
      <c r="I19" s="12">
        <v>42222.670000000006</v>
      </c>
      <c r="J19" s="14">
        <f t="shared" ref="J19:K21" si="6">SUM(D19,F19,H19)</f>
        <v>167559.84</v>
      </c>
      <c r="K19" s="15"/>
      <c r="L19" s="16">
        <v>0.4</v>
      </c>
      <c r="M19" s="12">
        <f t="shared" ref="M19:M21" si="7">K19*L19</f>
        <v>0</v>
      </c>
      <c r="N19" s="38" t="s">
        <v>75</v>
      </c>
      <c r="O19" s="18"/>
    </row>
    <row r="20" spans="1:15" ht="32" x14ac:dyDescent="0.75">
      <c r="A20" s="21"/>
      <c r="B20" s="30" t="s">
        <v>20</v>
      </c>
      <c r="C20" s="35" t="s">
        <v>21</v>
      </c>
      <c r="D20" s="13"/>
      <c r="E20" s="12">
        <v>0</v>
      </c>
      <c r="F20" s="13"/>
      <c r="G20" s="12">
        <v>0</v>
      </c>
      <c r="H20" s="36">
        <v>39156.94</v>
      </c>
      <c r="I20" s="12">
        <v>10084.34</v>
      </c>
      <c r="J20" s="14">
        <f t="shared" si="6"/>
        <v>39156.94</v>
      </c>
      <c r="K20" s="15"/>
      <c r="L20" s="16">
        <v>0.4</v>
      </c>
      <c r="M20" s="12">
        <f t="shared" si="7"/>
        <v>0</v>
      </c>
      <c r="N20" s="38" t="s">
        <v>75</v>
      </c>
      <c r="O20" s="18"/>
    </row>
    <row r="21" spans="1:15" ht="80" x14ac:dyDescent="0.75">
      <c r="A21" s="21"/>
      <c r="B21" s="30" t="s">
        <v>22</v>
      </c>
      <c r="C21" s="39" t="s">
        <v>76</v>
      </c>
      <c r="D21" s="13">
        <v>150000</v>
      </c>
      <c r="E21" s="12">
        <v>114699</v>
      </c>
      <c r="F21" s="13"/>
      <c r="G21" s="12"/>
      <c r="H21" s="13"/>
      <c r="I21" s="37"/>
      <c r="J21" s="14">
        <f t="shared" si="6"/>
        <v>150000</v>
      </c>
      <c r="K21" s="15">
        <f t="shared" si="6"/>
        <v>114699</v>
      </c>
      <c r="L21" s="16">
        <v>0.4</v>
      </c>
      <c r="M21" s="12">
        <f t="shared" si="7"/>
        <v>45879.600000000006</v>
      </c>
      <c r="N21" s="40" t="s">
        <v>77</v>
      </c>
      <c r="O21" s="18"/>
    </row>
    <row r="22" spans="1:15" x14ac:dyDescent="0.75">
      <c r="B22" s="22"/>
      <c r="C22" s="23" t="s">
        <v>8</v>
      </c>
      <c r="D22" s="24">
        <f>SUM(D18:D21)</f>
        <v>150000</v>
      </c>
      <c r="E22" s="25">
        <f>SUM(E18:E21)</f>
        <v>114699</v>
      </c>
      <c r="F22" s="24">
        <f t="shared" ref="F22:K22" si="8">SUM(F18:F20)</f>
        <v>0</v>
      </c>
      <c r="G22" s="25">
        <f t="shared" si="8"/>
        <v>0</v>
      </c>
      <c r="H22" s="24">
        <f t="shared" si="8"/>
        <v>295925.2</v>
      </c>
      <c r="I22" s="41">
        <f>SUM(I18:I20)</f>
        <v>84672.79</v>
      </c>
      <c r="J22" s="24">
        <f>SUM(J18:J21)</f>
        <v>445925.2</v>
      </c>
      <c r="K22" s="25">
        <f t="shared" si="8"/>
        <v>0</v>
      </c>
      <c r="L22" s="25">
        <f>(L18*J18)+(L19*J19)+(L20*J20)+J21*L21</f>
        <v>178370.08000000002</v>
      </c>
      <c r="M22" s="25">
        <f>SUM(M18:M21)</f>
        <v>45879.600000000006</v>
      </c>
      <c r="N22" s="33"/>
      <c r="O22" s="27"/>
    </row>
    <row r="23" spans="1:15" x14ac:dyDescent="0.75">
      <c r="B23" s="42"/>
      <c r="C23" s="43"/>
      <c r="D23" s="44"/>
      <c r="E23" s="44"/>
      <c r="F23" s="44"/>
      <c r="G23" s="44"/>
      <c r="H23" s="44"/>
      <c r="I23" s="44"/>
      <c r="J23" s="44"/>
      <c r="K23" s="44"/>
      <c r="L23" s="44"/>
      <c r="M23" s="44"/>
      <c r="N23" s="44"/>
      <c r="O23" s="18"/>
    </row>
    <row r="24" spans="1:15" ht="27.65" customHeight="1" x14ac:dyDescent="0.75">
      <c r="B24" s="23" t="s">
        <v>23</v>
      </c>
      <c r="C24" s="107" t="s">
        <v>78</v>
      </c>
      <c r="D24" s="107"/>
      <c r="E24" s="107"/>
      <c r="F24" s="107"/>
      <c r="G24" s="107"/>
      <c r="H24" s="107"/>
      <c r="I24" s="107"/>
      <c r="J24" s="107"/>
      <c r="K24" s="107"/>
      <c r="L24" s="107"/>
      <c r="M24" s="107"/>
      <c r="N24" s="107"/>
      <c r="O24" s="45"/>
    </row>
    <row r="25" spans="1:15" ht="34.5" customHeight="1" x14ac:dyDescent="0.75">
      <c r="B25" s="28" t="s">
        <v>24</v>
      </c>
      <c r="C25" s="109" t="s">
        <v>25</v>
      </c>
      <c r="D25" s="109"/>
      <c r="E25" s="109"/>
      <c r="F25" s="109"/>
      <c r="G25" s="109"/>
      <c r="H25" s="109"/>
      <c r="I25" s="109"/>
      <c r="J25" s="109"/>
      <c r="K25" s="109"/>
      <c r="L25" s="109"/>
      <c r="M25" s="109"/>
      <c r="N25" s="109"/>
      <c r="O25" s="29"/>
    </row>
    <row r="26" spans="1:15" ht="64" x14ac:dyDescent="0.75">
      <c r="B26" s="9" t="s">
        <v>26</v>
      </c>
      <c r="C26" s="46" t="s">
        <v>79</v>
      </c>
      <c r="D26" s="13"/>
      <c r="E26" s="12"/>
      <c r="F26" s="47">
        <v>10000</v>
      </c>
      <c r="G26" s="48">
        <v>10000</v>
      </c>
      <c r="H26" s="13"/>
      <c r="I26" s="12"/>
      <c r="J26" s="14">
        <f>D26+F26+H26</f>
        <v>10000</v>
      </c>
      <c r="K26" s="15">
        <f>E26+G26+I26</f>
        <v>10000</v>
      </c>
      <c r="L26" s="16">
        <v>0.75</v>
      </c>
      <c r="M26" s="12">
        <f>K26*L26</f>
        <v>7500</v>
      </c>
      <c r="N26" s="49" t="s">
        <v>80</v>
      </c>
      <c r="O26" s="18"/>
    </row>
    <row r="27" spans="1:15" ht="64" x14ac:dyDescent="0.75">
      <c r="B27" s="9" t="s">
        <v>27</v>
      </c>
      <c r="C27" s="46" t="s">
        <v>28</v>
      </c>
      <c r="D27" s="13"/>
      <c r="E27" s="12"/>
      <c r="F27" s="47">
        <v>10000</v>
      </c>
      <c r="G27" s="50">
        <v>10000</v>
      </c>
      <c r="H27" s="13"/>
      <c r="I27" s="12"/>
      <c r="J27" s="14">
        <f t="shared" ref="J27:K28" si="9">D27+F27+H27</f>
        <v>10000</v>
      </c>
      <c r="K27" s="15">
        <f t="shared" si="9"/>
        <v>10000</v>
      </c>
      <c r="L27" s="16">
        <v>0.75</v>
      </c>
      <c r="M27" s="12">
        <f t="shared" ref="M27:M28" si="10">K27*L27</f>
        <v>7500</v>
      </c>
      <c r="N27" s="51" t="s">
        <v>81</v>
      </c>
      <c r="O27" s="18"/>
    </row>
    <row r="28" spans="1:15" ht="64" x14ac:dyDescent="0.75">
      <c r="B28" s="9" t="s">
        <v>29</v>
      </c>
      <c r="C28" s="46" t="s">
        <v>30</v>
      </c>
      <c r="D28" s="13"/>
      <c r="E28" s="12"/>
      <c r="F28" s="47">
        <v>80000</v>
      </c>
      <c r="G28" s="50">
        <v>39323.69</v>
      </c>
      <c r="H28" s="13"/>
      <c r="I28" s="12"/>
      <c r="J28" s="14">
        <f t="shared" si="9"/>
        <v>80000</v>
      </c>
      <c r="K28" s="15">
        <f t="shared" si="9"/>
        <v>39323.69</v>
      </c>
      <c r="L28" s="16">
        <v>0.75</v>
      </c>
      <c r="M28" s="12">
        <f t="shared" si="10"/>
        <v>29492.767500000002</v>
      </c>
      <c r="N28" s="51" t="s">
        <v>82</v>
      </c>
      <c r="O28" s="18"/>
    </row>
    <row r="29" spans="1:15" s="21" customFormat="1" ht="24.65" customHeight="1" x14ac:dyDescent="0.75">
      <c r="A29" s="1"/>
      <c r="B29" s="2"/>
      <c r="C29" s="23" t="s">
        <v>8</v>
      </c>
      <c r="D29" s="24">
        <f>SUM(D26:D28)</f>
        <v>0</v>
      </c>
      <c r="E29" s="25">
        <f t="shared" ref="E29:I29" si="11">SUM(E26:E28)</f>
        <v>0</v>
      </c>
      <c r="F29" s="24">
        <f t="shared" si="11"/>
        <v>100000</v>
      </c>
      <c r="G29" s="25">
        <f t="shared" si="11"/>
        <v>59323.69</v>
      </c>
      <c r="H29" s="24">
        <f t="shared" si="11"/>
        <v>0</v>
      </c>
      <c r="I29" s="25">
        <f t="shared" si="11"/>
        <v>0</v>
      </c>
      <c r="J29" s="24">
        <f>SUM(J26:J28)</f>
        <v>100000</v>
      </c>
      <c r="K29" s="25">
        <f>SUM(K26:K28)</f>
        <v>59323.69</v>
      </c>
      <c r="L29" s="25">
        <f>(L26*J26)+(L27*J27)+J28*L28</f>
        <v>75000</v>
      </c>
      <c r="M29" s="25">
        <f>SUM(M26:M28)</f>
        <v>44492.767500000002</v>
      </c>
      <c r="N29" s="33"/>
      <c r="O29" s="27"/>
    </row>
    <row r="30" spans="1:15" ht="34.5" customHeight="1" x14ac:dyDescent="0.75">
      <c r="B30" s="34" t="s">
        <v>31</v>
      </c>
      <c r="C30" s="110" t="s">
        <v>83</v>
      </c>
      <c r="D30" s="110"/>
      <c r="E30" s="110"/>
      <c r="F30" s="110"/>
      <c r="G30" s="110"/>
      <c r="H30" s="110"/>
      <c r="I30" s="110"/>
      <c r="J30" s="110"/>
      <c r="K30" s="110"/>
      <c r="L30" s="110"/>
      <c r="M30" s="110"/>
      <c r="N30" s="109"/>
      <c r="O30" s="29"/>
    </row>
    <row r="31" spans="1:15" ht="64.5" customHeight="1" x14ac:dyDescent="0.75">
      <c r="B31" s="30" t="s">
        <v>32</v>
      </c>
      <c r="C31" s="10" t="s">
        <v>84</v>
      </c>
      <c r="D31" s="13"/>
      <c r="E31" s="12"/>
      <c r="F31" s="13">
        <v>52000</v>
      </c>
      <c r="G31" s="48">
        <v>52000</v>
      </c>
      <c r="H31" s="13"/>
      <c r="I31" s="12"/>
      <c r="J31" s="14">
        <f>SUM(D31,F31,H31)</f>
        <v>52000</v>
      </c>
      <c r="K31" s="15">
        <f>SUM(E31,G31,I31)</f>
        <v>52000</v>
      </c>
      <c r="L31" s="16">
        <v>0.75</v>
      </c>
      <c r="M31" s="12">
        <f>K31*L31</f>
        <v>39000</v>
      </c>
      <c r="N31" s="51" t="s">
        <v>82</v>
      </c>
      <c r="O31" s="18"/>
    </row>
    <row r="32" spans="1:15" ht="32" x14ac:dyDescent="0.75">
      <c r="B32" s="30" t="s">
        <v>85</v>
      </c>
      <c r="C32" s="10" t="s">
        <v>86</v>
      </c>
      <c r="D32" s="13"/>
      <c r="E32" s="12"/>
      <c r="F32" s="13">
        <v>10000</v>
      </c>
      <c r="G32" s="50">
        <v>10000</v>
      </c>
      <c r="H32" s="13"/>
      <c r="I32" s="12"/>
      <c r="J32" s="14">
        <f t="shared" ref="J32:K33" si="12">SUM(D32,F32,H32)</f>
        <v>10000</v>
      </c>
      <c r="K32" s="15">
        <f t="shared" si="12"/>
        <v>10000</v>
      </c>
      <c r="L32" s="16">
        <v>0.75</v>
      </c>
      <c r="M32" s="12">
        <f t="shared" ref="M32:M33" si="13">K32*L32</f>
        <v>7500</v>
      </c>
      <c r="N32" s="51" t="s">
        <v>87</v>
      </c>
      <c r="O32" s="18"/>
    </row>
    <row r="33" spans="2:15" ht="64" x14ac:dyDescent="0.75">
      <c r="B33" s="30" t="s">
        <v>33</v>
      </c>
      <c r="C33" s="10" t="s">
        <v>34</v>
      </c>
      <c r="D33" s="13"/>
      <c r="E33" s="12"/>
      <c r="F33" s="13">
        <v>10000</v>
      </c>
      <c r="G33" s="50">
        <v>10000</v>
      </c>
      <c r="H33" s="13"/>
      <c r="I33" s="12"/>
      <c r="J33" s="14">
        <f t="shared" si="12"/>
        <v>10000</v>
      </c>
      <c r="K33" s="15">
        <f t="shared" si="12"/>
        <v>10000</v>
      </c>
      <c r="L33" s="16">
        <v>0</v>
      </c>
      <c r="M33" s="12">
        <f t="shared" si="13"/>
        <v>0</v>
      </c>
      <c r="N33" s="51" t="s">
        <v>88</v>
      </c>
      <c r="O33" s="18"/>
    </row>
    <row r="34" spans="2:15" ht="33.65" customHeight="1" x14ac:dyDescent="0.75">
      <c r="B34" s="22"/>
      <c r="C34" s="23" t="s">
        <v>8</v>
      </c>
      <c r="D34" s="24">
        <f t="shared" ref="D34:K34" si="14">SUM(D31:D33)</f>
        <v>0</v>
      </c>
      <c r="E34" s="25">
        <f t="shared" si="14"/>
        <v>0</v>
      </c>
      <c r="F34" s="24">
        <f t="shared" si="14"/>
        <v>72000</v>
      </c>
      <c r="G34" s="25">
        <f t="shared" si="14"/>
        <v>72000</v>
      </c>
      <c r="H34" s="24">
        <f t="shared" si="14"/>
        <v>0</v>
      </c>
      <c r="I34" s="25">
        <f t="shared" si="14"/>
        <v>0</v>
      </c>
      <c r="J34" s="24">
        <f t="shared" si="14"/>
        <v>72000</v>
      </c>
      <c r="K34" s="25">
        <f t="shared" si="14"/>
        <v>72000</v>
      </c>
      <c r="L34" s="25">
        <f>(L31*J31)+(L32*J32)+(L33*J33)</f>
        <v>46500</v>
      </c>
      <c r="M34" s="25">
        <f>SUM(M31:M33)</f>
        <v>46500</v>
      </c>
      <c r="N34" s="33"/>
      <c r="O34" s="27"/>
    </row>
    <row r="35" spans="2:15" ht="27.95" customHeight="1" x14ac:dyDescent="0.75">
      <c r="B35" s="52" t="s">
        <v>35</v>
      </c>
      <c r="C35" s="111" t="s">
        <v>36</v>
      </c>
      <c r="D35" s="112"/>
      <c r="E35" s="112"/>
      <c r="F35" s="112"/>
      <c r="G35" s="112"/>
      <c r="H35" s="112"/>
      <c r="I35" s="112"/>
      <c r="J35" s="112"/>
      <c r="K35" s="112"/>
      <c r="L35" s="112"/>
      <c r="M35" s="112"/>
      <c r="N35" s="113"/>
      <c r="O35" s="29"/>
    </row>
    <row r="36" spans="2:15" ht="112" x14ac:dyDescent="0.75">
      <c r="B36" s="30" t="s">
        <v>37</v>
      </c>
      <c r="C36" s="53" t="s">
        <v>38</v>
      </c>
      <c r="D36" s="13">
        <v>50000</v>
      </c>
      <c r="E36" s="12">
        <v>53260.54</v>
      </c>
      <c r="F36" s="13"/>
      <c r="G36" s="12"/>
      <c r="H36" s="13"/>
      <c r="I36" s="12"/>
      <c r="J36" s="14">
        <f>SUM(D36,F36,H36)</f>
        <v>50000</v>
      </c>
      <c r="K36" s="15">
        <f>SUM(E36,G36,I36)</f>
        <v>53260.54</v>
      </c>
      <c r="L36" s="16">
        <v>0.4</v>
      </c>
      <c r="M36" s="12">
        <f>K36*L36</f>
        <v>21304.216</v>
      </c>
      <c r="N36" s="54" t="s">
        <v>89</v>
      </c>
      <c r="O36" s="18"/>
    </row>
    <row r="37" spans="2:15" ht="64" x14ac:dyDescent="0.75">
      <c r="B37" s="30" t="s">
        <v>39</v>
      </c>
      <c r="C37" s="53" t="s">
        <v>40</v>
      </c>
      <c r="D37" s="13">
        <v>50000</v>
      </c>
      <c r="E37" s="12">
        <v>65782.5</v>
      </c>
      <c r="F37" s="13"/>
      <c r="G37" s="12"/>
      <c r="H37" s="13"/>
      <c r="I37" s="12"/>
      <c r="J37" s="14">
        <f>SUM(D37,F37,H37)</f>
        <v>50000</v>
      </c>
      <c r="K37" s="15">
        <f>SUM(E37,G37,I37)</f>
        <v>65782.5</v>
      </c>
      <c r="L37" s="16">
        <v>0.6</v>
      </c>
      <c r="M37" s="12">
        <f>K37*L37</f>
        <v>39469.5</v>
      </c>
      <c r="N37" s="38" t="s">
        <v>90</v>
      </c>
      <c r="O37" s="18"/>
    </row>
    <row r="38" spans="2:15" ht="23.15" customHeight="1" x14ac:dyDescent="0.75">
      <c r="B38" s="2"/>
      <c r="C38" s="55" t="s">
        <v>8</v>
      </c>
      <c r="D38" s="24">
        <f t="shared" ref="D38:K38" si="15">SUM(D36:D37)</f>
        <v>100000</v>
      </c>
      <c r="E38" s="25">
        <f>SUM(E36:E37)</f>
        <v>119043.04000000001</v>
      </c>
      <c r="F38" s="24">
        <f t="shared" si="15"/>
        <v>0</v>
      </c>
      <c r="G38" s="25">
        <f t="shared" si="15"/>
        <v>0</v>
      </c>
      <c r="H38" s="24">
        <f t="shared" si="15"/>
        <v>0</v>
      </c>
      <c r="I38" s="25">
        <f t="shared" si="15"/>
        <v>0</v>
      </c>
      <c r="J38" s="24">
        <f t="shared" si="15"/>
        <v>100000</v>
      </c>
      <c r="K38" s="25">
        <f t="shared" si="15"/>
        <v>119043.04000000001</v>
      </c>
      <c r="L38" s="25">
        <f>(L36*J36)+(L37*J37)</f>
        <v>50000</v>
      </c>
      <c r="M38" s="25">
        <f>SUM(M36:M37)</f>
        <v>60773.716</v>
      </c>
      <c r="N38" s="33"/>
      <c r="O38" s="27"/>
    </row>
    <row r="39" spans="2:15" s="21" customFormat="1" x14ac:dyDescent="0.75">
      <c r="B39" s="56"/>
      <c r="C39" s="57"/>
      <c r="D39" s="58"/>
      <c r="E39" s="58"/>
      <c r="F39" s="58"/>
      <c r="G39" s="58"/>
      <c r="H39" s="58"/>
      <c r="I39" s="58"/>
      <c r="J39" s="58"/>
      <c r="K39" s="58"/>
      <c r="L39" s="58"/>
      <c r="M39" s="58"/>
      <c r="N39" s="59"/>
      <c r="O39" s="60"/>
    </row>
    <row r="40" spans="2:15" ht="27.65" customHeight="1" x14ac:dyDescent="0.75">
      <c r="B40" s="23" t="s">
        <v>41</v>
      </c>
      <c r="C40" s="107" t="s">
        <v>42</v>
      </c>
      <c r="D40" s="107"/>
      <c r="E40" s="107"/>
      <c r="F40" s="107"/>
      <c r="G40" s="107"/>
      <c r="H40" s="107"/>
      <c r="I40" s="107"/>
      <c r="J40" s="107"/>
      <c r="K40" s="107"/>
      <c r="L40" s="107"/>
      <c r="M40" s="107"/>
      <c r="N40" s="107"/>
      <c r="O40" s="27"/>
    </row>
    <row r="41" spans="2:15" ht="39.65" customHeight="1" x14ac:dyDescent="0.75">
      <c r="B41" s="28" t="s">
        <v>43</v>
      </c>
      <c r="C41" s="109" t="s">
        <v>91</v>
      </c>
      <c r="D41" s="109"/>
      <c r="E41" s="109"/>
      <c r="F41" s="109"/>
      <c r="G41" s="109"/>
      <c r="H41" s="109"/>
      <c r="I41" s="109"/>
      <c r="J41" s="109"/>
      <c r="K41" s="109"/>
      <c r="L41" s="109"/>
      <c r="M41" s="109"/>
      <c r="N41" s="109"/>
      <c r="O41" s="27"/>
    </row>
    <row r="42" spans="2:15" ht="96" x14ac:dyDescent="0.75">
      <c r="B42" s="9" t="s">
        <v>44</v>
      </c>
      <c r="C42" s="46" t="s">
        <v>45</v>
      </c>
      <c r="D42" s="13">
        <v>30000</v>
      </c>
      <c r="E42" s="12">
        <v>29500</v>
      </c>
      <c r="F42" s="47"/>
      <c r="G42" s="12"/>
      <c r="H42" s="13"/>
      <c r="I42" s="12"/>
      <c r="J42" s="14">
        <f>D42+F42+H42</f>
        <v>30000</v>
      </c>
      <c r="K42" s="15">
        <f>E42+G42+I42</f>
        <v>29500</v>
      </c>
      <c r="L42" s="16">
        <v>0.3</v>
      </c>
      <c r="M42" s="12">
        <f>K42*L42</f>
        <v>8850</v>
      </c>
      <c r="N42" s="61" t="s">
        <v>92</v>
      </c>
      <c r="O42" s="27"/>
    </row>
    <row r="43" spans="2:15" ht="96" x14ac:dyDescent="0.75">
      <c r="B43" s="9" t="s">
        <v>46</v>
      </c>
      <c r="C43" s="39" t="s">
        <v>47</v>
      </c>
      <c r="D43" s="13">
        <v>50000</v>
      </c>
      <c r="E43" s="12">
        <f>40956.36+2100+12580.25</f>
        <v>55636.61</v>
      </c>
      <c r="F43" s="47"/>
      <c r="G43" s="12"/>
      <c r="H43" s="13"/>
      <c r="I43" s="12"/>
      <c r="J43" s="14">
        <f t="shared" ref="J43:K44" si="16">D43+F43+H43</f>
        <v>50000</v>
      </c>
      <c r="K43" s="15">
        <f t="shared" si="16"/>
        <v>55636.61</v>
      </c>
      <c r="L43" s="16">
        <v>0.2</v>
      </c>
      <c r="M43" s="12">
        <f t="shared" ref="M43:M44" si="17">K43*L43</f>
        <v>11127.322</v>
      </c>
      <c r="N43" s="61" t="s">
        <v>93</v>
      </c>
      <c r="O43" s="27"/>
    </row>
    <row r="44" spans="2:15" ht="117" customHeight="1" x14ac:dyDescent="0.75">
      <c r="B44" s="9" t="s">
        <v>48</v>
      </c>
      <c r="C44" s="35" t="s">
        <v>94</v>
      </c>
      <c r="D44" s="13">
        <v>50000</v>
      </c>
      <c r="E44" s="12">
        <f>(43260.54+7113.2)/2+25591.25</f>
        <v>50778.119999999995</v>
      </c>
      <c r="F44" s="47">
        <v>15000</v>
      </c>
      <c r="G44" s="62">
        <f>3305+3005</f>
        <v>6310</v>
      </c>
      <c r="H44" s="13"/>
      <c r="I44" s="12"/>
      <c r="J44" s="14">
        <f t="shared" si="16"/>
        <v>65000</v>
      </c>
      <c r="K44" s="15">
        <f t="shared" si="16"/>
        <v>57088.119999999995</v>
      </c>
      <c r="L44" s="16">
        <v>0.5</v>
      </c>
      <c r="M44" s="12">
        <f t="shared" si="17"/>
        <v>28544.059999999998</v>
      </c>
      <c r="N44" s="32" t="s">
        <v>95</v>
      </c>
      <c r="O44" s="27"/>
    </row>
    <row r="45" spans="2:15" ht="23.45" customHeight="1" x14ac:dyDescent="0.75">
      <c r="B45" s="2"/>
      <c r="C45" s="23" t="s">
        <v>8</v>
      </c>
      <c r="D45" s="24">
        <f>SUM(D42:D44)</f>
        <v>130000</v>
      </c>
      <c r="E45" s="25">
        <f>SUM(E42:E44)</f>
        <v>135914.72999999998</v>
      </c>
      <c r="F45" s="24">
        <f t="shared" ref="F45" si="18">SUM(F42:F44)</f>
        <v>15000</v>
      </c>
      <c r="G45" s="25">
        <f>SUM(G42:G44)</f>
        <v>6310</v>
      </c>
      <c r="H45" s="24">
        <f t="shared" ref="H45" si="19">SUM(H42:H44)</f>
        <v>0</v>
      </c>
      <c r="I45" s="25">
        <f>SUM(I42:I44)</f>
        <v>0</v>
      </c>
      <c r="J45" s="24">
        <f>SUM(J42:J44)</f>
        <v>145000</v>
      </c>
      <c r="K45" s="25">
        <f>SUM(K42:K44)</f>
        <v>142224.72999999998</v>
      </c>
      <c r="L45" s="25">
        <f>(L42*J42)+(L43*J43)+J44*L44</f>
        <v>51500</v>
      </c>
      <c r="M45" s="25">
        <f>SUM(M42:M44)</f>
        <v>48521.381999999998</v>
      </c>
      <c r="N45" s="33"/>
      <c r="O45" s="27"/>
    </row>
    <row r="46" spans="2:15" ht="15.75" customHeight="1" x14ac:dyDescent="0.75">
      <c r="B46" s="57"/>
      <c r="C46" s="42"/>
      <c r="D46" s="63"/>
      <c r="E46" s="63"/>
      <c r="F46" s="63"/>
      <c r="G46" s="63"/>
      <c r="H46" s="63"/>
      <c r="I46" s="63"/>
      <c r="J46" s="63"/>
      <c r="K46" s="63"/>
      <c r="L46" s="63"/>
      <c r="M46" s="63"/>
      <c r="N46" s="42"/>
      <c r="O46" s="64"/>
    </row>
    <row r="47" spans="2:15" ht="66" customHeight="1" x14ac:dyDescent="0.75">
      <c r="B47" s="65" t="s">
        <v>49</v>
      </c>
      <c r="C47" s="66" t="s">
        <v>96</v>
      </c>
      <c r="D47" s="67"/>
      <c r="E47" s="68"/>
      <c r="F47" s="67">
        <v>127352</v>
      </c>
      <c r="G47" s="50">
        <v>111712.34</v>
      </c>
      <c r="H47" s="99">
        <v>20184.93</v>
      </c>
      <c r="I47" s="101">
        <v>151026.41000000003</v>
      </c>
      <c r="J47" s="69">
        <f>SUM(D47,F47,H47)</f>
        <v>147536.93</v>
      </c>
      <c r="K47" s="68">
        <f>SUM(E47,G47,I47)</f>
        <v>262738.75</v>
      </c>
      <c r="L47" s="70"/>
      <c r="M47" s="71"/>
      <c r="N47" s="72"/>
      <c r="O47" s="27"/>
    </row>
    <row r="48" spans="2:15" ht="65.45" customHeight="1" x14ac:dyDescent="0.75">
      <c r="B48" s="65" t="s">
        <v>50</v>
      </c>
      <c r="C48" s="66" t="s">
        <v>97</v>
      </c>
      <c r="D48" s="67"/>
      <c r="E48" s="68"/>
      <c r="F48" s="67">
        <v>20000</v>
      </c>
      <c r="G48" s="73">
        <v>20000</v>
      </c>
      <c r="H48" s="100">
        <v>16640</v>
      </c>
      <c r="I48" s="68">
        <v>77932.070000000007</v>
      </c>
      <c r="J48" s="69">
        <f t="shared" ref="J48:K50" si="20">SUM(D48,F48,H48)</f>
        <v>36640</v>
      </c>
      <c r="K48" s="68">
        <f t="shared" si="20"/>
        <v>97932.07</v>
      </c>
      <c r="L48" s="70"/>
      <c r="M48" s="71"/>
      <c r="N48" s="72"/>
      <c r="O48" s="27"/>
    </row>
    <row r="49" spans="2:15" ht="29.15" customHeight="1" x14ac:dyDescent="0.75">
      <c r="B49" s="65" t="s">
        <v>51</v>
      </c>
      <c r="C49" s="66" t="s">
        <v>98</v>
      </c>
      <c r="D49" s="67">
        <v>12888</v>
      </c>
      <c r="E49" s="68">
        <v>10580</v>
      </c>
      <c r="F49" s="67">
        <v>5000</v>
      </c>
      <c r="G49" s="73"/>
      <c r="H49" s="100">
        <v>20000</v>
      </c>
      <c r="I49" s="68">
        <v>24417.319999999996</v>
      </c>
      <c r="J49" s="69">
        <f t="shared" si="20"/>
        <v>37888</v>
      </c>
      <c r="K49" s="68">
        <f t="shared" si="20"/>
        <v>34997.319999999992</v>
      </c>
      <c r="L49" s="70"/>
      <c r="M49" s="71"/>
      <c r="N49" s="72"/>
      <c r="O49" s="27"/>
    </row>
    <row r="50" spans="2:15" ht="47.15" customHeight="1" x14ac:dyDescent="0.75">
      <c r="B50" s="65" t="s">
        <v>52</v>
      </c>
      <c r="C50" s="66" t="s">
        <v>99</v>
      </c>
      <c r="D50" s="67">
        <v>25000</v>
      </c>
      <c r="E50" s="68">
        <v>25000</v>
      </c>
      <c r="F50" s="67"/>
      <c r="G50" s="73"/>
      <c r="H50" s="100">
        <v>10000</v>
      </c>
      <c r="I50" s="68"/>
      <c r="J50" s="69">
        <f t="shared" si="20"/>
        <v>35000</v>
      </c>
      <c r="K50" s="68">
        <f t="shared" si="20"/>
        <v>25000</v>
      </c>
      <c r="L50" s="70"/>
      <c r="M50" s="71"/>
      <c r="N50" s="72"/>
      <c r="O50" s="27"/>
    </row>
    <row r="51" spans="2:15" ht="27.65" customHeight="1" x14ac:dyDescent="0.75">
      <c r="B51" s="74"/>
      <c r="C51" s="75" t="s">
        <v>53</v>
      </c>
      <c r="D51" s="76">
        <f t="shared" ref="D51:J51" si="21">SUM(D47:D50)</f>
        <v>37888</v>
      </c>
      <c r="E51" s="77">
        <f>SUM(E47:E50)</f>
        <v>35580</v>
      </c>
      <c r="F51" s="76">
        <f t="shared" si="21"/>
        <v>152352</v>
      </c>
      <c r="G51" s="78">
        <f>SUM(G47:G50)</f>
        <v>131712.34</v>
      </c>
      <c r="H51" s="76">
        <f>SUM(H47:H50)</f>
        <v>66824.929999999993</v>
      </c>
      <c r="I51" s="77">
        <f>SUM(I47:I50)</f>
        <v>253375.80000000005</v>
      </c>
      <c r="J51" s="76">
        <f t="shared" si="21"/>
        <v>257064.93</v>
      </c>
      <c r="K51" s="77">
        <f>SUM(K47:K50)</f>
        <v>420668.14</v>
      </c>
      <c r="L51" s="79">
        <f>(L47*J47)+(L48*J48)+(L49*J49)+(L50*J50)</f>
        <v>0</v>
      </c>
      <c r="M51" s="80"/>
      <c r="N51" s="66"/>
      <c r="O51" s="81"/>
    </row>
    <row r="52" spans="2:15" ht="15.75" customHeight="1" x14ac:dyDescent="0.75">
      <c r="B52" s="57"/>
      <c r="C52" s="42"/>
      <c r="D52" s="63"/>
      <c r="E52" s="63"/>
      <c r="F52" s="63"/>
      <c r="G52" s="63"/>
      <c r="H52" s="63"/>
      <c r="I52" s="63"/>
      <c r="J52" s="63"/>
      <c r="K52" s="63"/>
      <c r="L52" s="63"/>
      <c r="M52" s="63"/>
      <c r="N52" s="42"/>
      <c r="O52" s="81"/>
    </row>
    <row r="53" spans="2:15" x14ac:dyDescent="0.75">
      <c r="B53" s="57"/>
      <c r="C53" s="116" t="s">
        <v>54</v>
      </c>
      <c r="D53" s="116"/>
      <c r="E53" s="116"/>
      <c r="F53" s="116"/>
      <c r="G53" s="116"/>
      <c r="H53" s="116"/>
      <c r="I53" s="116"/>
      <c r="J53" s="116"/>
      <c r="K53" s="116"/>
      <c r="L53" s="81"/>
      <c r="M53" s="81"/>
      <c r="N53" s="81"/>
    </row>
    <row r="54" spans="2:15" ht="40.5" customHeight="1" x14ac:dyDescent="0.75">
      <c r="B54" s="57"/>
      <c r="C54" s="117"/>
      <c r="D54" s="118" t="s">
        <v>100</v>
      </c>
      <c r="E54" s="118"/>
      <c r="F54" s="118" t="s">
        <v>101</v>
      </c>
      <c r="G54" s="118"/>
      <c r="H54" s="118" t="s">
        <v>102</v>
      </c>
      <c r="I54" s="118"/>
      <c r="J54" s="118" t="s">
        <v>103</v>
      </c>
      <c r="K54" s="118" t="s">
        <v>104</v>
      </c>
      <c r="L54" s="42"/>
      <c r="M54" s="114" t="s">
        <v>105</v>
      </c>
      <c r="N54" s="81"/>
    </row>
    <row r="55" spans="2:15" ht="24.75" customHeight="1" x14ac:dyDescent="0.75">
      <c r="B55" s="57"/>
      <c r="C55" s="117"/>
      <c r="D55" s="115" t="str">
        <f>D6</f>
        <v>UNHCR</v>
      </c>
      <c r="E55" s="115"/>
      <c r="F55" s="115" t="str">
        <f>F6</f>
        <v>BCNUDH</v>
      </c>
      <c r="G55" s="115"/>
      <c r="H55" s="115" t="str">
        <f>H6</f>
        <v>World Vision</v>
      </c>
      <c r="I55" s="115"/>
      <c r="J55" s="118"/>
      <c r="K55" s="118"/>
      <c r="L55" s="42"/>
      <c r="M55" s="114"/>
      <c r="N55" s="81"/>
    </row>
    <row r="56" spans="2:15" ht="41.25" customHeight="1" x14ac:dyDescent="0.75">
      <c r="B56" s="56"/>
      <c r="C56" s="82" t="s">
        <v>55</v>
      </c>
      <c r="D56" s="83">
        <f>SUM(D11,D16,D22,D29,D34,D38,D45,D51)</f>
        <v>667888</v>
      </c>
      <c r="E56" s="84">
        <f>SUM(E11,E16,E22,E29,E34,E38,E45,E51)</f>
        <v>624219.68000000005</v>
      </c>
      <c r="F56" s="83">
        <f>SUM(F11,F16,F22,F29,F34,F38,F45,F51)</f>
        <v>374352</v>
      </c>
      <c r="G56" s="84">
        <f>SUM(G11,G16,G22,G29,G34,G38,G51)</f>
        <v>300542.03000000003</v>
      </c>
      <c r="H56" s="83">
        <f>SUM(H11,H16,H22,H29,H34,H38,H51)</f>
        <v>362750.13</v>
      </c>
      <c r="I56" s="84">
        <f>I22+I51</f>
        <v>338048.59</v>
      </c>
      <c r="J56" s="83">
        <f>SUM(D56,F56,H56)</f>
        <v>1404990.13</v>
      </c>
      <c r="K56" s="84">
        <f>E56+G56+I56</f>
        <v>1262810.3</v>
      </c>
      <c r="L56" s="42"/>
      <c r="M56" s="102"/>
      <c r="N56" s="56"/>
    </row>
    <row r="57" spans="2:15" ht="51.75" customHeight="1" x14ac:dyDescent="0.75">
      <c r="B57" s="85"/>
      <c r="C57" s="82" t="s">
        <v>106</v>
      </c>
      <c r="D57" s="83">
        <f>D56*6.5%</f>
        <v>43412.72</v>
      </c>
      <c r="E57" s="84">
        <f>E56*6.5%</f>
        <v>40574.279200000004</v>
      </c>
      <c r="F57" s="83">
        <f t="shared" ref="F57:H57" si="22">F56*0.07</f>
        <v>26204.640000000003</v>
      </c>
      <c r="G57" s="84">
        <f t="shared" si="22"/>
        <v>21037.942100000004</v>
      </c>
      <c r="H57" s="83">
        <f t="shared" si="22"/>
        <v>25392.509100000003</v>
      </c>
      <c r="I57" s="84">
        <f>I56*0.07</f>
        <v>23663.401300000005</v>
      </c>
      <c r="J57" s="83">
        <f>SUM(D57,F57,H57)</f>
        <v>95009.869100000011</v>
      </c>
      <c r="K57" s="84">
        <f>E57+G57+I57</f>
        <v>85275.622600000002</v>
      </c>
      <c r="L57" s="85"/>
      <c r="M57" s="85"/>
      <c r="N57" s="2"/>
    </row>
    <row r="58" spans="2:15" ht="51.75" customHeight="1" x14ac:dyDescent="0.75">
      <c r="B58" s="85"/>
      <c r="C58" s="86" t="s">
        <v>1</v>
      </c>
      <c r="D58" s="87">
        <f t="shared" ref="D58:J58" si="23">SUM(D56:D57)</f>
        <v>711300.72</v>
      </c>
      <c r="E58" s="88">
        <f t="shared" si="23"/>
        <v>664793.95920000004</v>
      </c>
      <c r="F58" s="87">
        <f>SUM(F56:F57)</f>
        <v>400556.64</v>
      </c>
      <c r="G58" s="88">
        <f>SUM(G56:G57)</f>
        <v>321579.97210000001</v>
      </c>
      <c r="H58" s="87">
        <f t="shared" si="23"/>
        <v>388142.63910000003</v>
      </c>
      <c r="I58" s="88">
        <f>I56+I57</f>
        <v>361711.99130000005</v>
      </c>
      <c r="J58" s="87">
        <f t="shared" si="23"/>
        <v>1499999.9990999999</v>
      </c>
      <c r="K58" s="89">
        <f>E58+G58+I58</f>
        <v>1348085.9226000002</v>
      </c>
      <c r="L58" s="90"/>
      <c r="M58" s="85"/>
      <c r="N58" s="2"/>
    </row>
    <row r="59" spans="2:15" s="91" customFormat="1" ht="42" customHeight="1" x14ac:dyDescent="0.75">
      <c r="B59" s="92"/>
      <c r="C59" s="86" t="s">
        <v>107</v>
      </c>
      <c r="D59" s="87"/>
      <c r="E59" s="93">
        <f>E58/D58</f>
        <v>0.93461730110437691</v>
      </c>
      <c r="F59" s="87"/>
      <c r="G59" s="93">
        <f>G58/F58</f>
        <v>0.80283270825319486</v>
      </c>
      <c r="H59" s="94"/>
      <c r="I59" s="93">
        <f>I58/H58</f>
        <v>0.9319048073118541</v>
      </c>
      <c r="J59" s="95"/>
      <c r="K59" s="93">
        <f>K58/J58</f>
        <v>0.89872394893923457</v>
      </c>
      <c r="L59" s="96"/>
      <c r="M59" s="97">
        <f>(M11+M16+M22+M29+M34+M38+M45)*1.07</f>
        <v>353758.41219500004</v>
      </c>
      <c r="N59" s="98"/>
    </row>
    <row r="60" spans="2:15" ht="42.75" customHeight="1" x14ac:dyDescent="0.75">
      <c r="B60" s="103"/>
    </row>
    <row r="61" spans="2:15" ht="21.75" customHeight="1" x14ac:dyDescent="0.75">
      <c r="B61" s="103"/>
    </row>
    <row r="62" spans="2:15" ht="21.75" customHeight="1" x14ac:dyDescent="0.75">
      <c r="B62" s="103"/>
    </row>
    <row r="63" spans="2:15" ht="23.25" customHeight="1" x14ac:dyDescent="0.75">
      <c r="B63" s="103"/>
    </row>
    <row r="64" spans="2:15" ht="23.25" customHeight="1" x14ac:dyDescent="0.75"/>
    <row r="65" ht="21.75" customHeight="1" x14ac:dyDescent="0.75"/>
    <row r="66" ht="16.5" customHeight="1" x14ac:dyDescent="0.75"/>
    <row r="67" ht="29.25" customHeight="1" x14ac:dyDescent="0.75"/>
    <row r="68" ht="24.75" customHeight="1" x14ac:dyDescent="0.75"/>
    <row r="69" ht="33" customHeight="1" x14ac:dyDescent="0.75"/>
    <row r="71" ht="15" customHeight="1" x14ac:dyDescent="0.75"/>
    <row r="72" ht="25.5" customHeight="1" x14ac:dyDescent="0.75"/>
  </sheetData>
  <mergeCells count="27">
    <mergeCell ref="M54:M55"/>
    <mergeCell ref="D55:E55"/>
    <mergeCell ref="F55:G55"/>
    <mergeCell ref="H55:I55"/>
    <mergeCell ref="C53:K53"/>
    <mergeCell ref="C54:C55"/>
    <mergeCell ref="D54:E54"/>
    <mergeCell ref="F54:G54"/>
    <mergeCell ref="H54:I54"/>
    <mergeCell ref="J54:J55"/>
    <mergeCell ref="K54:K55"/>
    <mergeCell ref="B60:B63"/>
    <mergeCell ref="B2:N2"/>
    <mergeCell ref="B3:N3"/>
    <mergeCell ref="D6:E6"/>
    <mergeCell ref="F6:G6"/>
    <mergeCell ref="H6:I6"/>
    <mergeCell ref="C7:N7"/>
    <mergeCell ref="C8:N8"/>
    <mergeCell ref="C12:N12"/>
    <mergeCell ref="C17:N17"/>
    <mergeCell ref="C24:N24"/>
    <mergeCell ref="C25:N25"/>
    <mergeCell ref="C30:N30"/>
    <mergeCell ref="C35:N35"/>
    <mergeCell ref="C40:N40"/>
    <mergeCell ref="C41:N41"/>
  </mergeCells>
  <conditionalFormatting sqref="C71:F71">
    <cfRule type="cellIs" dxfId="2" priority="3" operator="lessThan">
      <formula>0.15</formula>
    </cfRule>
  </conditionalFormatting>
  <conditionalFormatting sqref="C74:F74">
    <cfRule type="cellIs" dxfId="1" priority="2" operator="lessThan">
      <formula>0.05</formula>
    </cfRule>
  </conditionalFormatting>
  <conditionalFormatting sqref="P68:R68">
    <cfRule type="cellIs" dxfId="0" priority="1" operator="greaterThan">
      <formula>1</formula>
    </cfRule>
  </conditionalFormatting>
  <dataValidations count="4">
    <dataValidation allowBlank="1" showInputMessage="1" showErrorMessage="1" prompt="Insert *text* description of Activity here" sqref="C31 C9 C13 C18 C26 C36 C42" xr:uid="{9DFFA6EF-39E5-4819-9879-C7F1639033F2}"/>
    <dataValidation allowBlank="1" showInputMessage="1" showErrorMessage="1" prompt="Insert *text* description of Output here" sqref="C35 C12 C17 C25 C30 C8 C41" xr:uid="{ECB38C93-ED03-40D9-AC54-64ACBA51A8E0}"/>
    <dataValidation allowBlank="1" showInputMessage="1" showErrorMessage="1" prompt="Insert *text* description of Outcome here" sqref="C7 C40:N40 C24:N24" xr:uid="{E6D90604-012C-4DE7-BFDF-7D2674FAC29B}"/>
    <dataValidation allowBlank="1" showInputMessage="1" showErrorMessage="1" prompt="Insert name of recipient agency here _x000a_" sqref="D6 F6 H6 J6:K6" xr:uid="{F7B5099D-080C-4275-BEFD-7AC4BCF1D347}"/>
  </dataValidations>
  <pageMargins left="0.7" right="0.7" top="0.75" bottom="0.75" header="0.3" footer="0.3"/>
  <pageSetup orientation="portrait" horizontalDpi="4294967295" verticalDpi="4294967295" r:id="rId1"/>
  <customProperties>
    <customPr name="layoutContext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DF9B930C-CF69-43B6-A5E5-B2064EB7DBAD}"/>
</file>

<file path=customXml/itemProps2.xml><?xml version="1.0" encoding="utf-8"?>
<ds:datastoreItem xmlns:ds="http://schemas.openxmlformats.org/officeDocument/2006/customXml" ds:itemID="{8030A8C9-2995-4D37-BE8C-B151204A677D}"/>
</file>

<file path=customXml/itemProps3.xml><?xml version="1.0" encoding="utf-8"?>
<ds:datastoreItem xmlns:ds="http://schemas.openxmlformats.org/officeDocument/2006/customXml" ds:itemID="{8F4E998C-B02C-42D8-A16B-F6DF01105D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DRC_00125913_Finance Report_nov22.xlsx</dc:title>
  <dc:creator>Charlotte Songue</dc:creator>
  <cp:lastModifiedBy>Nobuko Shimura</cp:lastModifiedBy>
  <dcterms:created xsi:type="dcterms:W3CDTF">2021-10-25T16:41:07Z</dcterms:created>
  <dcterms:modified xsi:type="dcterms:W3CDTF">2022-11-16T01:40:32Z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2022-11-10T19:31:08Z</vt:filetime>
  </property>
  <property fmtid="{D5CDD505-2E9C-101B-9397-08002B2CF9AE}" pid="3" name="ContentTypeId">
    <vt:lpwstr>0x010100A20E1B0FB969FA4DB37D3562DA9CC146</vt:lpwstr>
  </property>
</Properties>
</file>