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andia\Desktop\PBF Coordination\Rapports 2022\Rapports annuels PBF 2022\"/>
    </mc:Choice>
  </mc:AlternateContent>
  <xr:revisionPtr revIDLastSave="0" documentId="13_ncr:1_{52547033-7C9E-46E9-B205-57E716D52F5E}" xr6:coauthVersionLast="47" xr6:coauthVersionMax="47" xr10:uidLastSave="{00000000-0000-0000-0000-000000000000}"/>
  <bookViews>
    <workbookView xWindow="-110" yWindow="-110" windowWidth="19420" windowHeight="10420" tabRatio="593" firstSheet="2" activeTab="2" xr2:uid="{3F6CD629-F27C-4214-AA64-8D3595A310F1}"/>
  </bookViews>
  <sheets>
    <sheet name="RECAP 2015 2021 ANNEXE3" sheetId="12" state="hidden" r:id="rId1"/>
    <sheet name="RAPPORT EXECUTION PTA 2021" sheetId="2" state="hidden" r:id="rId2"/>
    <sheet name="RAPP FINANCIER 2022" sheetId="15" r:id="rId3"/>
    <sheet name="SHEET1" sheetId="5" state="hidden" r:id="rId4"/>
    <sheet name="SHEET2" sheetId="3" state="hidden" r:id="rId5"/>
    <sheet name=" RESSOURCES DISPONIBLES" sheetId="4" state="hidden" r:id="rId6"/>
    <sheet name="SUIVI BUDGET PAR CATEGORIES" sheetId="6" state="hidden" r:id="rId7"/>
    <sheet name="TOTAL BUDGET 2015 2021" sheetId="7" state="hidden" r:id="rId8"/>
    <sheet name="Rapport par catégorie de dépens" sheetId="9" state="hidden" r:id="rId9"/>
    <sheet name="TAB2" sheetId="13" r:id="rId10"/>
    <sheet name="TAB1REZVISE" sheetId="14"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Hlk56090558" localSheetId="10">TAB1REZVISE!$A$5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15" l="1"/>
  <c r="E80" i="15"/>
  <c r="F80" i="15"/>
  <c r="E75" i="15"/>
  <c r="F42" i="15"/>
  <c r="F36" i="15"/>
  <c r="G77" i="15"/>
  <c r="E42" i="15"/>
  <c r="E43" i="15" s="1"/>
  <c r="E65" i="15"/>
  <c r="F65" i="15" s="1"/>
  <c r="F74" i="15"/>
  <c r="F75" i="15" s="1"/>
  <c r="F73" i="15"/>
  <c r="F72" i="15"/>
  <c r="F71" i="15"/>
  <c r="F69" i="15"/>
  <c r="F68" i="15"/>
  <c r="F64" i="15"/>
  <c r="F63" i="15"/>
  <c r="F62" i="15"/>
  <c r="F61" i="15"/>
  <c r="F60" i="15"/>
  <c r="F59" i="15"/>
  <c r="F57" i="15"/>
  <c r="F56" i="15"/>
  <c r="E53" i="15"/>
  <c r="E66" i="15" s="1"/>
  <c r="D75" i="15"/>
  <c r="D66" i="15"/>
  <c r="F45" i="15"/>
  <c r="F41" i="15"/>
  <c r="F43" i="15" s="1"/>
  <c r="F38" i="15"/>
  <c r="F37" i="15"/>
  <c r="E39" i="15"/>
  <c r="E32" i="15"/>
  <c r="E28" i="15"/>
  <c r="F31" i="15"/>
  <c r="F30" i="15"/>
  <c r="F29" i="15"/>
  <c r="F27" i="15"/>
  <c r="F26" i="15"/>
  <c r="F25" i="15"/>
  <c r="F24" i="15"/>
  <c r="F23" i="15"/>
  <c r="F22" i="15"/>
  <c r="F21" i="15"/>
  <c r="F20" i="15"/>
  <c r="F19" i="15"/>
  <c r="F18" i="15"/>
  <c r="F17" i="15"/>
  <c r="F16" i="15"/>
  <c r="F15" i="15"/>
  <c r="F14" i="15"/>
  <c r="F13" i="15"/>
  <c r="J75" i="15"/>
  <c r="I75" i="15"/>
  <c r="D43" i="15"/>
  <c r="D32" i="15"/>
  <c r="K28" i="15"/>
  <c r="J28" i="15"/>
  <c r="I28" i="15"/>
  <c r="D28" i="15"/>
  <c r="E76" i="15" l="1"/>
  <c r="E78" i="15" s="1"/>
  <c r="G75" i="15"/>
  <c r="F53" i="15"/>
  <c r="F58" i="15"/>
  <c r="F70" i="15"/>
  <c r="D39" i="15"/>
  <c r="F39" i="15" s="1"/>
  <c r="F32" i="15"/>
  <c r="D76" i="15"/>
  <c r="F28" i="15"/>
  <c r="E33" i="15"/>
  <c r="E44" i="15" s="1"/>
  <c r="D33" i="15"/>
  <c r="E46" i="15" l="1"/>
  <c r="E81" i="15" s="1"/>
  <c r="E79" i="15"/>
  <c r="F66" i="15"/>
  <c r="F76" i="15" s="1"/>
  <c r="F78" i="15" s="1"/>
  <c r="G76" i="15"/>
  <c r="D44" i="15"/>
  <c r="D79" i="15" s="1"/>
  <c r="F33" i="15"/>
  <c r="F44" i="15" s="1"/>
  <c r="D78" i="15"/>
  <c r="F79" i="15" l="1"/>
  <c r="G79" i="15"/>
  <c r="G78" i="15"/>
  <c r="D46" i="15"/>
  <c r="D81" i="15" s="1"/>
  <c r="F46" i="15"/>
  <c r="F81" i="15" s="1"/>
  <c r="D80" i="15"/>
  <c r="D43" i="2"/>
  <c r="F43" i="2"/>
  <c r="E43" i="2"/>
  <c r="F27" i="2"/>
  <c r="E27" i="2"/>
  <c r="D27" i="2"/>
  <c r="G67" i="2"/>
  <c r="F67" i="2"/>
  <c r="G79" i="2"/>
  <c r="F79" i="2"/>
  <c r="G77" i="2"/>
  <c r="F77" i="2"/>
  <c r="G76" i="2"/>
  <c r="F76" i="2"/>
  <c r="G75" i="2"/>
  <c r="F75" i="2"/>
  <c r="G74" i="2"/>
  <c r="F74" i="2"/>
  <c r="F73" i="2"/>
  <c r="G72" i="2"/>
  <c r="F72" i="2"/>
  <c r="F71" i="2"/>
  <c r="F70" i="2"/>
  <c r="G69" i="2"/>
  <c r="F69" i="2"/>
  <c r="F68" i="2"/>
  <c r="G66" i="2"/>
  <c r="F66" i="2"/>
  <c r="G63" i="2"/>
  <c r="G64" i="2"/>
  <c r="G59" i="2"/>
  <c r="G58" i="2"/>
  <c r="G57" i="2"/>
  <c r="F64" i="2"/>
  <c r="F63" i="2"/>
  <c r="F62" i="2"/>
  <c r="F61" i="2"/>
  <c r="F60" i="2"/>
  <c r="F59" i="2"/>
  <c r="F58" i="2"/>
  <c r="F57" i="2"/>
  <c r="F56" i="2"/>
  <c r="G55" i="2"/>
  <c r="F55" i="2"/>
  <c r="F52" i="2"/>
  <c r="G51" i="2"/>
  <c r="F51" i="2"/>
  <c r="G45" i="2"/>
  <c r="E42" i="2"/>
  <c r="F42" i="2" s="1"/>
  <c r="G41" i="2"/>
  <c r="F45" i="2"/>
  <c r="F41" i="2"/>
  <c r="G40" i="2"/>
  <c r="G38" i="2"/>
  <c r="G35" i="2"/>
  <c r="G34" i="2"/>
  <c r="B8" i="9"/>
  <c r="B7" i="9"/>
  <c r="F37" i="2"/>
  <c r="F36" i="2"/>
  <c r="F30" i="2"/>
  <c r="F29" i="2"/>
  <c r="F28" i="2"/>
  <c r="F26" i="2"/>
  <c r="F25" i="2"/>
  <c r="F24" i="2"/>
  <c r="F23" i="2"/>
  <c r="F21" i="2"/>
  <c r="F19" i="2"/>
  <c r="F18" i="2"/>
  <c r="F17" i="2"/>
  <c r="F14" i="2"/>
  <c r="G28" i="2"/>
  <c r="G24" i="2"/>
  <c r="G23" i="2"/>
  <c r="G21" i="2"/>
  <c r="G19" i="2"/>
  <c r="G18" i="2"/>
  <c r="G17" i="2"/>
  <c r="G14" i="2"/>
  <c r="G13" i="2"/>
  <c r="F13" i="2"/>
  <c r="O21" i="2"/>
  <c r="G80" i="15" l="1"/>
  <c r="G81" i="15"/>
  <c r="G43" i="2"/>
  <c r="E16" i="2"/>
  <c r="E35" i="2"/>
  <c r="E41" i="2"/>
  <c r="E40" i="2"/>
  <c r="E69" i="2"/>
  <c r="O15" i="2" s="1"/>
  <c r="E72" i="2"/>
  <c r="D17" i="4"/>
  <c r="D18" i="4"/>
  <c r="B10" i="6"/>
  <c r="B9" i="6"/>
  <c r="D9" i="6" s="1"/>
  <c r="B8" i="6"/>
  <c r="B7" i="6"/>
  <c r="B6" i="6"/>
  <c r="D6" i="6" s="1"/>
  <c r="B5" i="6"/>
  <c r="B4" i="6"/>
  <c r="S7" i="7" s="1"/>
  <c r="E32" i="5"/>
  <c r="Q23" i="12"/>
  <c r="X23" i="12"/>
  <c r="X20" i="12"/>
  <c r="X17" i="12"/>
  <c r="X16" i="12"/>
  <c r="X14" i="12"/>
  <c r="X13" i="12"/>
  <c r="X10" i="12"/>
  <c r="E79" i="2"/>
  <c r="D79" i="2"/>
  <c r="J74" i="2"/>
  <c r="I74" i="2"/>
  <c r="D74" i="2"/>
  <c r="E66" i="2"/>
  <c r="E64" i="2"/>
  <c r="D64" i="2"/>
  <c r="F54" i="2"/>
  <c r="F53" i="2"/>
  <c r="D42" i="2"/>
  <c r="D35" i="2"/>
  <c r="F35" i="2" s="1"/>
  <c r="E34" i="2"/>
  <c r="E31" i="2"/>
  <c r="D31" i="2"/>
  <c r="K27" i="2"/>
  <c r="J27" i="2"/>
  <c r="I27" i="2"/>
  <c r="H27" i="2"/>
  <c r="D20" i="2"/>
  <c r="E15" i="2"/>
  <c r="G54" i="2" l="1"/>
  <c r="F31" i="2"/>
  <c r="X21" i="12"/>
  <c r="D75" i="2"/>
  <c r="D77" i="2" s="1"/>
  <c r="X22" i="12"/>
  <c r="O19" i="2"/>
  <c r="D16" i="4"/>
  <c r="C7" i="6" s="1"/>
  <c r="D7" i="6" s="1"/>
  <c r="D13" i="4"/>
  <c r="C4" i="6" s="1"/>
  <c r="F40" i="2"/>
  <c r="O13" i="2"/>
  <c r="G15" i="2"/>
  <c r="F15" i="2"/>
  <c r="O17" i="2"/>
  <c r="F34" i="2"/>
  <c r="E74" i="2"/>
  <c r="D32" i="2"/>
  <c r="G20" i="2"/>
  <c r="F20" i="2"/>
  <c r="G31" i="2"/>
  <c r="D19" i="4"/>
  <c r="C10" i="6" s="1"/>
  <c r="G16" i="2"/>
  <c r="F16" i="2"/>
  <c r="D14" i="4"/>
  <c r="C5" i="6" s="1"/>
  <c r="D5" i="6" s="1"/>
  <c r="G53" i="2"/>
  <c r="C8" i="6"/>
  <c r="D8" i="6" s="1"/>
  <c r="E38" i="2"/>
  <c r="C12" i="6"/>
  <c r="D38" i="2"/>
  <c r="X24" i="12" l="1"/>
  <c r="F38" i="2"/>
  <c r="E75" i="2"/>
  <c r="X8" i="12"/>
  <c r="E32" i="2"/>
  <c r="G32" i="2" s="1"/>
  <c r="G27" i="2"/>
  <c r="D4" i="6"/>
  <c r="X7" i="12"/>
  <c r="X9" i="12"/>
  <c r="C11" i="6"/>
  <c r="D10" i="6"/>
  <c r="D44" i="2"/>
  <c r="F32" i="2" l="1"/>
  <c r="E44" i="2"/>
  <c r="G44" i="2" s="1"/>
  <c r="E77" i="2"/>
  <c r="D46" i="2"/>
  <c r="D78" i="2"/>
  <c r="E46" i="2" l="1"/>
  <c r="F46" i="2" s="1"/>
  <c r="F44" i="2"/>
  <c r="E78" i="2"/>
  <c r="G78" i="2" s="1"/>
  <c r="E80" i="2"/>
  <c r="I31" i="12" s="1"/>
  <c r="D80" i="2"/>
  <c r="G46" i="2" l="1"/>
  <c r="F78" i="2"/>
  <c r="G80" i="2"/>
  <c r="F80" i="2"/>
  <c r="J7" i="13"/>
  <c r="F7" i="13"/>
  <c r="E7" i="13"/>
  <c r="D7" i="13"/>
  <c r="C7" i="13"/>
  <c r="B7" i="13"/>
  <c r="G7" i="13"/>
  <c r="I7" i="13"/>
  <c r="H7" i="13"/>
  <c r="H6" i="13"/>
  <c r="J17" i="13"/>
  <c r="J6" i="13"/>
  <c r="H18" i="13" l="1"/>
  <c r="H19" i="13" s="1"/>
  <c r="I19" i="13"/>
  <c r="A26" i="12"/>
  <c r="G20" i="13"/>
  <c r="F20" i="13"/>
  <c r="E20" i="13"/>
  <c r="G19" i="13"/>
  <c r="F19" i="13"/>
  <c r="E19" i="13"/>
  <c r="D19" i="13"/>
  <c r="D20" i="13" s="1"/>
  <c r="C19" i="13"/>
  <c r="C20" i="13" s="1"/>
  <c r="B19" i="13"/>
  <c r="B20" i="13" s="1"/>
  <c r="H20" i="13" l="1"/>
  <c r="I20" i="13"/>
  <c r="J18" i="13" l="1"/>
  <c r="J16" i="13"/>
  <c r="J15" i="13"/>
  <c r="J14" i="13"/>
  <c r="J13" i="13"/>
  <c r="J12" i="13"/>
  <c r="J11" i="13"/>
  <c r="J10" i="13"/>
  <c r="J9" i="13"/>
  <c r="J5" i="13"/>
  <c r="J4" i="13"/>
  <c r="J19" i="13" l="1"/>
  <c r="J20" i="13" s="1"/>
  <c r="K8" i="13"/>
  <c r="C16" i="14"/>
  <c r="D16" i="14" s="1"/>
  <c r="D15" i="14"/>
  <c r="D14" i="14"/>
  <c r="D13" i="14"/>
  <c r="D11" i="14"/>
  <c r="D10" i="14"/>
  <c r="D9" i="14" l="1"/>
  <c r="D8" i="14"/>
  <c r="D7" i="14"/>
  <c r="B16" i="14"/>
  <c r="Y23" i="12" l="1"/>
  <c r="Y22" i="12"/>
  <c r="Y21" i="12"/>
  <c r="Y20" i="12"/>
  <c r="Y19" i="12"/>
  <c r="Y18" i="12"/>
  <c r="Y17" i="12"/>
  <c r="Y16" i="12"/>
  <c r="Y15" i="12"/>
  <c r="Y14" i="12"/>
  <c r="Y13" i="12"/>
  <c r="Z19" i="12"/>
  <c r="Z7" i="12"/>
  <c r="Y10" i="12"/>
  <c r="Y8" i="12"/>
  <c r="C7" i="12"/>
  <c r="D7" i="12" s="1"/>
  <c r="F7" i="12"/>
  <c r="G7" i="12"/>
  <c r="I7" i="12"/>
  <c r="J7" i="12" s="1"/>
  <c r="K7" i="12"/>
  <c r="O7" i="12"/>
  <c r="R7" i="12"/>
  <c r="S7" i="12" s="1"/>
  <c r="U7" i="12"/>
  <c r="V7" i="12" s="1"/>
  <c r="C8" i="12"/>
  <c r="F8" i="12"/>
  <c r="I8" i="12"/>
  <c r="J8" i="12" s="1"/>
  <c r="K8" i="12"/>
  <c r="O8" i="12"/>
  <c r="P8" i="12" s="1"/>
  <c r="Q8" i="12"/>
  <c r="R8" i="12"/>
  <c r="U8" i="12"/>
  <c r="C9" i="12"/>
  <c r="D9" i="12" s="1"/>
  <c r="F9" i="12"/>
  <c r="G9" i="12"/>
  <c r="I9" i="12"/>
  <c r="J9" i="12" s="1"/>
  <c r="K9" i="12"/>
  <c r="O9" i="12"/>
  <c r="P9" i="12" s="1"/>
  <c r="Q9" i="12"/>
  <c r="R9" i="12"/>
  <c r="U9" i="12"/>
  <c r="V9" i="12" s="1"/>
  <c r="F10" i="12"/>
  <c r="I10" i="12"/>
  <c r="J10" i="12" s="1"/>
  <c r="K10" i="12"/>
  <c r="Z10" i="12" s="1"/>
  <c r="O10" i="12"/>
  <c r="P10" i="12" s="1"/>
  <c r="R10" i="12"/>
  <c r="S10" i="12" s="1"/>
  <c r="U10" i="12"/>
  <c r="V10" i="12" s="1"/>
  <c r="B11" i="12"/>
  <c r="E11" i="12"/>
  <c r="H11" i="12"/>
  <c r="N11" i="12"/>
  <c r="T11" i="12"/>
  <c r="W11" i="12"/>
  <c r="C13" i="12"/>
  <c r="F13" i="12"/>
  <c r="I13" i="12"/>
  <c r="K13" i="12"/>
  <c r="O13" i="12"/>
  <c r="P13" i="12" s="1"/>
  <c r="Q13" i="12"/>
  <c r="R13" i="12"/>
  <c r="U13" i="12"/>
  <c r="V13" i="12" s="1"/>
  <c r="J14" i="12"/>
  <c r="K14" i="12"/>
  <c r="M14" i="12" s="1"/>
  <c r="L14" i="12"/>
  <c r="O14" i="12"/>
  <c r="P14" i="12" s="1"/>
  <c r="Q14" i="12"/>
  <c r="R14" i="12"/>
  <c r="V14" i="12"/>
  <c r="J15" i="12"/>
  <c r="K15" i="12"/>
  <c r="L15" i="12"/>
  <c r="P15" i="12"/>
  <c r="Q15" i="12"/>
  <c r="R15" i="12"/>
  <c r="V15" i="12"/>
  <c r="F16" i="12"/>
  <c r="L16" i="12" s="1"/>
  <c r="J16" i="12"/>
  <c r="K16" i="12"/>
  <c r="O16" i="12"/>
  <c r="Q16" i="12"/>
  <c r="R16" i="12"/>
  <c r="V16" i="12"/>
  <c r="F17" i="12"/>
  <c r="I17" i="12"/>
  <c r="K17" i="12"/>
  <c r="P17" i="12"/>
  <c r="Q17" i="12"/>
  <c r="R17" i="12"/>
  <c r="V17" i="12"/>
  <c r="C18" i="12"/>
  <c r="F18" i="12"/>
  <c r="I18" i="12"/>
  <c r="J18" i="12" s="1"/>
  <c r="K18" i="12"/>
  <c r="O18" i="12"/>
  <c r="Q18" i="12"/>
  <c r="R18" i="12"/>
  <c r="V18" i="12"/>
  <c r="L19" i="12"/>
  <c r="M19" i="12" s="1"/>
  <c r="P19" i="12"/>
  <c r="R19" i="12"/>
  <c r="V19" i="12"/>
  <c r="F20" i="12"/>
  <c r="I20" i="12"/>
  <c r="L20" i="12" s="1"/>
  <c r="K20" i="12"/>
  <c r="O20" i="12"/>
  <c r="P20" i="12" s="1"/>
  <c r="Q20" i="12"/>
  <c r="R20" i="12"/>
  <c r="V20" i="12"/>
  <c r="F21" i="12"/>
  <c r="I21" i="12"/>
  <c r="K21" i="12"/>
  <c r="O21" i="12"/>
  <c r="P21" i="12" s="1"/>
  <c r="Q21" i="12"/>
  <c r="R21" i="12"/>
  <c r="U21" i="12"/>
  <c r="V21" i="12" s="1"/>
  <c r="I22" i="12"/>
  <c r="L22" i="12" s="1"/>
  <c r="M22" i="12" s="1"/>
  <c r="O22" i="12"/>
  <c r="P22" i="12" s="1"/>
  <c r="Z22" i="12"/>
  <c r="V22" i="12"/>
  <c r="D23" i="12"/>
  <c r="F23" i="12"/>
  <c r="I23" i="12"/>
  <c r="J23" i="12" s="1"/>
  <c r="K23" i="12"/>
  <c r="O23" i="12"/>
  <c r="P23" i="12" s="1"/>
  <c r="R23" i="12"/>
  <c r="T23" i="12"/>
  <c r="U23" i="12"/>
  <c r="B24" i="12"/>
  <c r="D24" i="12"/>
  <c r="E24" i="12"/>
  <c r="H24" i="12"/>
  <c r="H25" i="12" s="1"/>
  <c r="N24" i="12"/>
  <c r="T24" i="12"/>
  <c r="T25" i="12" s="1"/>
  <c r="W24" i="12"/>
  <c r="J22" i="12" l="1"/>
  <c r="L17" i="12"/>
  <c r="L21" i="12"/>
  <c r="F11" i="12"/>
  <c r="S16" i="12"/>
  <c r="U11" i="12"/>
  <c r="V11" i="12" s="1"/>
  <c r="W25" i="12"/>
  <c r="E25" i="12"/>
  <c r="C24" i="12"/>
  <c r="V8" i="12"/>
  <c r="G8" i="12"/>
  <c r="L7" i="12"/>
  <c r="K24" i="12"/>
  <c r="Z23" i="12"/>
  <c r="J21" i="12"/>
  <c r="S20" i="12"/>
  <c r="J20" i="12"/>
  <c r="N25" i="12"/>
  <c r="AA19" i="12"/>
  <c r="L18" i="12"/>
  <c r="AA18" i="12" s="1"/>
  <c r="K20" i="5" s="1"/>
  <c r="Z21" i="12"/>
  <c r="M21" i="12"/>
  <c r="Z20" i="12"/>
  <c r="M20" i="12"/>
  <c r="AA15" i="12"/>
  <c r="K17" i="5" s="1"/>
  <c r="M15" i="12"/>
  <c r="S14" i="12"/>
  <c r="L9" i="12"/>
  <c r="Y24" i="12"/>
  <c r="B25" i="12"/>
  <c r="Z18" i="12"/>
  <c r="AA17" i="12"/>
  <c r="K19" i="5" s="1"/>
  <c r="J17" i="12"/>
  <c r="Z15" i="12"/>
  <c r="Z13" i="12"/>
  <c r="Z8" i="12"/>
  <c r="J11" i="12"/>
  <c r="S23" i="12"/>
  <c r="S18" i="12"/>
  <c r="AA16" i="12"/>
  <c r="K18" i="5" s="1"/>
  <c r="P7" i="12"/>
  <c r="P11" i="12" s="1"/>
  <c r="P18" i="12"/>
  <c r="AA21" i="12"/>
  <c r="K23" i="5" s="1"/>
  <c r="S21" i="12"/>
  <c r="P16" i="12"/>
  <c r="S9" i="12"/>
  <c r="Z9" i="12"/>
  <c r="Z14" i="12"/>
  <c r="Z16" i="12"/>
  <c r="AA14" i="12"/>
  <c r="K16" i="5" s="1"/>
  <c r="AA20" i="12"/>
  <c r="K22" i="5" s="1"/>
  <c r="AA22" i="12"/>
  <c r="V23" i="12"/>
  <c r="S19" i="12"/>
  <c r="S17" i="12"/>
  <c r="U24" i="12"/>
  <c r="V24" i="12" s="1"/>
  <c r="Z17" i="12"/>
  <c r="G23" i="12"/>
  <c r="G24" i="12" s="1"/>
  <c r="L23" i="12"/>
  <c r="AA23" i="12" s="1"/>
  <c r="K26" i="5" s="1"/>
  <c r="D8" i="12"/>
  <c r="D11" i="12" s="1"/>
  <c r="C11" i="12"/>
  <c r="S15" i="12"/>
  <c r="J13" i="12"/>
  <c r="I24" i="12"/>
  <c r="M7" i="12"/>
  <c r="K11" i="12"/>
  <c r="O24" i="12"/>
  <c r="M17" i="12"/>
  <c r="M16" i="12"/>
  <c r="R24" i="12"/>
  <c r="F24" i="12"/>
  <c r="R11" i="12"/>
  <c r="G10" i="12"/>
  <c r="G11" i="12" s="1"/>
  <c r="L10" i="12"/>
  <c r="AA10" i="12" s="1"/>
  <c r="M18" i="12"/>
  <c r="S13" i="12"/>
  <c r="Q24" i="12"/>
  <c r="L13" i="12"/>
  <c r="AA13" i="12" s="1"/>
  <c r="K15" i="5" s="1"/>
  <c r="Q11" i="12"/>
  <c r="I11" i="12"/>
  <c r="S8" i="12"/>
  <c r="L8" i="12"/>
  <c r="AA8" i="12" s="1"/>
  <c r="K11" i="5" s="1"/>
  <c r="O11" i="12"/>
  <c r="M9" i="12" l="1"/>
  <c r="AA9" i="12"/>
  <c r="K12" i="5" s="1"/>
  <c r="AB19" i="12"/>
  <c r="K21" i="5"/>
  <c r="AB10" i="12"/>
  <c r="K13" i="5"/>
  <c r="AC22" i="12"/>
  <c r="K24" i="5"/>
  <c r="AB20" i="12"/>
  <c r="AB8" i="12"/>
  <c r="AB13" i="12"/>
  <c r="AB23" i="12"/>
  <c r="U25" i="12"/>
  <c r="V25" i="12" s="1"/>
  <c r="AB18" i="12"/>
  <c r="AB17" i="12"/>
  <c r="AB16" i="12"/>
  <c r="AB15" i="12"/>
  <c r="AB21" i="12"/>
  <c r="P24" i="12"/>
  <c r="P25" i="12" s="1"/>
  <c r="Z24" i="12"/>
  <c r="S11" i="12"/>
  <c r="Z11" i="12"/>
  <c r="M23" i="12"/>
  <c r="L11" i="12"/>
  <c r="AC16" i="12"/>
  <c r="AB14" i="12"/>
  <c r="M10" i="12"/>
  <c r="J24" i="12"/>
  <c r="AB22" i="12"/>
  <c r="AC21" i="12"/>
  <c r="AC20" i="12"/>
  <c r="M11" i="12"/>
  <c r="M8" i="12"/>
  <c r="M13" i="12"/>
  <c r="AC14" i="12"/>
  <c r="Q25" i="12"/>
  <c r="S24" i="12"/>
  <c r="AC18" i="12"/>
  <c r="F25" i="12"/>
  <c r="G25" i="12" s="1"/>
  <c r="L24" i="12"/>
  <c r="AA24" i="12" s="1"/>
  <c r="AC24" i="12" s="1"/>
  <c r="C25" i="12"/>
  <c r="AC17" i="12"/>
  <c r="K25" i="12"/>
  <c r="R25" i="12"/>
  <c r="O25" i="12"/>
  <c r="I25" i="12"/>
  <c r="J25" i="12" s="1"/>
  <c r="M24" i="12" l="1"/>
  <c r="AB24" i="12"/>
  <c r="S25" i="12"/>
  <c r="Z25" i="12"/>
  <c r="AC13" i="12"/>
  <c r="L25" i="12"/>
  <c r="D25" i="12"/>
  <c r="AC8" i="12"/>
  <c r="M25" i="12" l="1"/>
  <c r="F30" i="12" l="1"/>
  <c r="C30" i="12"/>
  <c r="H31" i="12"/>
  <c r="B30" i="12" l="1"/>
  <c r="D30" i="12"/>
  <c r="E30" i="12" s="1"/>
  <c r="B31" i="12"/>
  <c r="F31" i="12"/>
  <c r="G31" i="12"/>
  <c r="D31" i="12"/>
  <c r="G30" i="12"/>
  <c r="C31" i="12" l="1"/>
  <c r="C33" i="12" s="1"/>
  <c r="H30" i="12"/>
  <c r="G32" i="12"/>
  <c r="D33" i="12"/>
  <c r="D32" i="12"/>
  <c r="G33" i="12"/>
  <c r="B33" i="12"/>
  <c r="B32" i="12"/>
  <c r="F32" i="12"/>
  <c r="F33" i="12"/>
  <c r="C32" i="12" l="1"/>
  <c r="E32" i="12" s="1"/>
  <c r="E31" i="12"/>
  <c r="E33" i="12" s="1"/>
  <c r="H32" i="12"/>
  <c r="H33" i="12"/>
  <c r="J30" i="12"/>
  <c r="D15" i="6"/>
  <c r="B14" i="9" l="1"/>
  <c r="C13" i="9"/>
  <c r="E13" i="9" s="1"/>
  <c r="C7" i="9"/>
  <c r="E7" i="9" s="1"/>
  <c r="C11" i="9"/>
  <c r="E11" i="9" s="1"/>
  <c r="C10" i="9"/>
  <c r="E10" i="9" s="1"/>
  <c r="C8" i="9"/>
  <c r="E8" i="9" s="1"/>
  <c r="B15" i="9" l="1"/>
  <c r="B16" i="9" s="1"/>
  <c r="D11" i="9"/>
  <c r="D7" i="9"/>
  <c r="D8" i="9"/>
  <c r="D10" i="9"/>
  <c r="D13" i="9"/>
  <c r="D14" i="9" l="1"/>
  <c r="X11" i="12" l="1"/>
  <c r="Y9" i="12"/>
  <c r="Y7" i="12" l="1"/>
  <c r="AA7" i="12"/>
  <c r="AB9" i="12"/>
  <c r="AC9" i="12"/>
  <c r="X25" i="12"/>
  <c r="AA30" i="12" s="1"/>
  <c r="Y11" i="12"/>
  <c r="K10" i="5" l="1"/>
  <c r="AA11" i="12"/>
  <c r="AC11" i="12" s="1"/>
  <c r="AB7" i="12"/>
  <c r="AC7" i="12"/>
  <c r="Y25" i="12"/>
  <c r="AA25" i="12"/>
  <c r="AB11" i="12" l="1"/>
  <c r="AB25" i="12"/>
  <c r="AC25" i="12"/>
  <c r="C19" i="4" l="1"/>
  <c r="F19" i="4" s="1"/>
  <c r="E19" i="4"/>
  <c r="C18" i="4"/>
  <c r="B18" i="4"/>
  <c r="E18" i="4" s="1"/>
  <c r="C17" i="4"/>
  <c r="B17" i="4"/>
  <c r="E17" i="4" s="1"/>
  <c r="C16" i="4"/>
  <c r="F16" i="4" s="1"/>
  <c r="C15" i="4"/>
  <c r="B15" i="4"/>
  <c r="C14" i="4"/>
  <c r="B14" i="4"/>
  <c r="L15" i="7"/>
  <c r="L16" i="7" s="1"/>
  <c r="L6" i="7" s="1"/>
  <c r="I14" i="7"/>
  <c r="I16" i="7" s="1"/>
  <c r="H14" i="7"/>
  <c r="H16" i="7" s="1"/>
  <c r="P13" i="7"/>
  <c r="M13" i="7"/>
  <c r="L13" i="7"/>
  <c r="J13" i="7"/>
  <c r="Q12" i="7"/>
  <c r="O12" i="7"/>
  <c r="P12" i="7" s="1"/>
  <c r="L12" i="7"/>
  <c r="M12" i="7" s="1"/>
  <c r="P11" i="7"/>
  <c r="O11" i="7"/>
  <c r="M11" i="7"/>
  <c r="L11" i="7"/>
  <c r="J11" i="7"/>
  <c r="P10" i="7"/>
  <c r="M10" i="7"/>
  <c r="L10" i="7"/>
  <c r="J10" i="7"/>
  <c r="Q9" i="7"/>
  <c r="O9" i="7"/>
  <c r="P9" i="7" s="1"/>
  <c r="L9" i="7"/>
  <c r="M9" i="7" s="1"/>
  <c r="P8" i="7"/>
  <c r="M8" i="7"/>
  <c r="L8" i="7"/>
  <c r="J8" i="7"/>
  <c r="O7" i="7"/>
  <c r="N7" i="7"/>
  <c r="N14" i="7" s="1"/>
  <c r="M7" i="7"/>
  <c r="L7" i="7"/>
  <c r="J7" i="7"/>
  <c r="O6" i="7"/>
  <c r="K6" i="7"/>
  <c r="B8" i="4"/>
  <c r="G32" i="5"/>
  <c r="D32" i="5"/>
  <c r="I30" i="5"/>
  <c r="L30" i="5" s="1"/>
  <c r="I29" i="5"/>
  <c r="L29" i="5" s="1"/>
  <c r="L28" i="5"/>
  <c r="I26" i="5"/>
  <c r="L26" i="5" s="1"/>
  <c r="I25" i="5"/>
  <c r="L25" i="5" s="1"/>
  <c r="G24" i="5"/>
  <c r="I24" i="5" s="1"/>
  <c r="E23" i="5"/>
  <c r="D23" i="5"/>
  <c r="C23" i="5"/>
  <c r="E22" i="5"/>
  <c r="D22" i="5"/>
  <c r="C22" i="5"/>
  <c r="I21" i="5"/>
  <c r="L21" i="5" s="1"/>
  <c r="E20" i="5"/>
  <c r="D20" i="5"/>
  <c r="C20" i="5"/>
  <c r="E19" i="5"/>
  <c r="D19" i="5"/>
  <c r="C19" i="5"/>
  <c r="E18" i="5"/>
  <c r="D18" i="5"/>
  <c r="C18" i="5"/>
  <c r="E17" i="5"/>
  <c r="D17" i="5"/>
  <c r="C17" i="5"/>
  <c r="E16" i="5"/>
  <c r="D16" i="5"/>
  <c r="C16" i="5"/>
  <c r="G15" i="5"/>
  <c r="E15" i="5"/>
  <c r="D15" i="5"/>
  <c r="C15" i="5"/>
  <c r="F14" i="5"/>
  <c r="F31" i="5" s="1"/>
  <c r="F33" i="5" s="1"/>
  <c r="I13" i="5"/>
  <c r="G12" i="5"/>
  <c r="E12" i="5"/>
  <c r="D12" i="5"/>
  <c r="C12" i="5"/>
  <c r="G11" i="5"/>
  <c r="E11" i="5"/>
  <c r="D11" i="5"/>
  <c r="C11" i="5"/>
  <c r="E10" i="5"/>
  <c r="D10" i="5"/>
  <c r="C10" i="5"/>
  <c r="F9" i="5"/>
  <c r="F15" i="3"/>
  <c r="F16" i="3" s="1"/>
  <c r="F6" i="3" s="1"/>
  <c r="C14" i="3"/>
  <c r="C16" i="3" s="1"/>
  <c r="B14" i="3"/>
  <c r="B16" i="3" s="1"/>
  <c r="J13" i="3"/>
  <c r="G13" i="3"/>
  <c r="F13" i="3"/>
  <c r="D13" i="3"/>
  <c r="L12" i="3"/>
  <c r="I12" i="3"/>
  <c r="J12" i="3" s="1"/>
  <c r="F12" i="3"/>
  <c r="G12" i="3" s="1"/>
  <c r="I11" i="3"/>
  <c r="J11" i="3" s="1"/>
  <c r="G11" i="3"/>
  <c r="F11" i="3"/>
  <c r="D11" i="3"/>
  <c r="J10" i="3"/>
  <c r="G10" i="3"/>
  <c r="F10" i="3"/>
  <c r="D10" i="3"/>
  <c r="L9" i="3"/>
  <c r="I9" i="3"/>
  <c r="J9" i="3" s="1"/>
  <c r="F9" i="3"/>
  <c r="G9" i="3" s="1"/>
  <c r="J8" i="3"/>
  <c r="G8" i="3"/>
  <c r="F8" i="3"/>
  <c r="D8" i="3"/>
  <c r="I7" i="3"/>
  <c r="H7" i="3"/>
  <c r="H14" i="3" s="1"/>
  <c r="G7" i="3"/>
  <c r="F7" i="3"/>
  <c r="D7" i="3"/>
  <c r="I6" i="3"/>
  <c r="E6" i="3"/>
  <c r="E16" i="4" l="1"/>
  <c r="E14" i="4"/>
  <c r="F14" i="4"/>
  <c r="L24" i="5"/>
  <c r="J24" i="5"/>
  <c r="G9" i="5"/>
  <c r="I14" i="3"/>
  <c r="I15" i="3" s="1"/>
  <c r="I16" i="3" s="1"/>
  <c r="K10" i="7"/>
  <c r="Q10" i="7" s="1"/>
  <c r="K8" i="7"/>
  <c r="Q8" i="7" s="1"/>
  <c r="K13" i="7"/>
  <c r="Q13" i="7" s="1"/>
  <c r="E11" i="3"/>
  <c r="L11" i="3" s="1"/>
  <c r="D14" i="5"/>
  <c r="I10" i="5"/>
  <c r="J10" i="5" s="1"/>
  <c r="K7" i="7"/>
  <c r="Q7" i="7" s="1"/>
  <c r="K11" i="7"/>
  <c r="Q11" i="7" s="1"/>
  <c r="E8" i="3"/>
  <c r="L8" i="3" s="1"/>
  <c r="E13" i="3"/>
  <c r="L13" i="3" s="1"/>
  <c r="G14" i="3"/>
  <c r="G15" i="3" s="1"/>
  <c r="G16" i="3" s="1"/>
  <c r="G6" i="3" s="1"/>
  <c r="I18" i="5"/>
  <c r="L18" i="5" s="1"/>
  <c r="D9" i="5"/>
  <c r="I32" i="5"/>
  <c r="L32" i="5" s="1"/>
  <c r="C9" i="5"/>
  <c r="C14" i="5"/>
  <c r="I22" i="5"/>
  <c r="L22" i="5" s="1"/>
  <c r="K9" i="5"/>
  <c r="E9" i="5"/>
  <c r="I16" i="5"/>
  <c r="E10" i="3"/>
  <c r="L10" i="3" s="1"/>
  <c r="I11" i="5"/>
  <c r="L11" i="5" s="1"/>
  <c r="I23" i="5"/>
  <c r="L23" i="5" s="1"/>
  <c r="O14" i="7"/>
  <c r="I12" i="5"/>
  <c r="L12" i="5" s="1"/>
  <c r="E14" i="5"/>
  <c r="I17" i="5"/>
  <c r="L17" i="5" s="1"/>
  <c r="I19" i="5"/>
  <c r="P7" i="7"/>
  <c r="E7" i="3"/>
  <c r="L7" i="3" s="1"/>
  <c r="J7" i="3"/>
  <c r="L13" i="5"/>
  <c r="G14" i="5"/>
  <c r="I20" i="5"/>
  <c r="L20" i="5" s="1"/>
  <c r="M14" i="7"/>
  <c r="M15" i="7" s="1"/>
  <c r="M16" i="7" s="1"/>
  <c r="M6" i="7" s="1"/>
  <c r="B13" i="4"/>
  <c r="J14" i="7"/>
  <c r="J15" i="7" s="1"/>
  <c r="J16" i="7" s="1"/>
  <c r="J6" i="7" s="1"/>
  <c r="D14" i="3"/>
  <c r="D15" i="3" s="1"/>
  <c r="N15" i="7"/>
  <c r="K14" i="5"/>
  <c r="I15" i="5"/>
  <c r="L15" i="5" s="1"/>
  <c r="H15" i="3"/>
  <c r="G31" i="5" l="1"/>
  <c r="G33" i="5" s="1"/>
  <c r="J19" i="5"/>
  <c r="L19" i="5"/>
  <c r="J16" i="5"/>
  <c r="L16" i="5"/>
  <c r="I9" i="5"/>
  <c r="L9" i="5" s="1"/>
  <c r="J14" i="3"/>
  <c r="D31" i="5"/>
  <c r="D33" i="5" s="1"/>
  <c r="C13" i="4"/>
  <c r="C20" i="4" s="1"/>
  <c r="C31" i="5"/>
  <c r="C33" i="5" s="1"/>
  <c r="L10" i="5"/>
  <c r="B11" i="6"/>
  <c r="D11" i="6" s="1"/>
  <c r="B20" i="4"/>
  <c r="J12" i="5"/>
  <c r="K14" i="7"/>
  <c r="Q14" i="7" s="1"/>
  <c r="E31" i="5"/>
  <c r="E33" i="5" s="1"/>
  <c r="E35" i="5" s="1"/>
  <c r="J22" i="5"/>
  <c r="I14" i="5"/>
  <c r="L14" i="5" s="1"/>
  <c r="J18" i="5"/>
  <c r="J11" i="5"/>
  <c r="E14" i="3"/>
  <c r="L14" i="3" s="1"/>
  <c r="J23" i="5"/>
  <c r="P14" i="7"/>
  <c r="J20" i="5"/>
  <c r="J15" i="3"/>
  <c r="O15" i="7"/>
  <c r="P15" i="7" s="1"/>
  <c r="N16" i="7"/>
  <c r="N6" i="7" s="1"/>
  <c r="P6" i="7" s="1"/>
  <c r="K31" i="5"/>
  <c r="J15" i="5"/>
  <c r="D16" i="3"/>
  <c r="H16" i="3"/>
  <c r="F13" i="4" l="1"/>
  <c r="E13" i="4"/>
  <c r="J9" i="5"/>
  <c r="K15" i="7"/>
  <c r="K16" i="7" s="1"/>
  <c r="Q16" i="7" s="1"/>
  <c r="Q6" i="7" s="1"/>
  <c r="I33" i="5"/>
  <c r="I31" i="5"/>
  <c r="L31" i="5" s="1"/>
  <c r="E15" i="3"/>
  <c r="L15" i="3" s="1"/>
  <c r="C21" i="4"/>
  <c r="C22" i="4" s="1"/>
  <c r="J14" i="5"/>
  <c r="O16" i="7"/>
  <c r="B21" i="4"/>
  <c r="K33" i="5"/>
  <c r="J16" i="3"/>
  <c r="H6" i="3"/>
  <c r="J6" i="3" s="1"/>
  <c r="D6" i="3"/>
  <c r="F21" i="4" l="1"/>
  <c r="E21" i="4"/>
  <c r="Q15" i="7"/>
  <c r="L33" i="5"/>
  <c r="J33" i="5"/>
  <c r="E16" i="3"/>
  <c r="L16" i="3" s="1"/>
  <c r="C15" i="9"/>
  <c r="E15" i="9" s="1"/>
  <c r="B12" i="6"/>
  <c r="D12" i="6" s="1"/>
  <c r="B22" i="4"/>
  <c r="P16" i="7"/>
  <c r="L6" i="3" l="1"/>
  <c r="I32" i="12"/>
  <c r="J32" i="12" s="1"/>
  <c r="I33" i="12"/>
  <c r="J31" i="12"/>
  <c r="J33" i="12" s="1"/>
  <c r="D15" i="9"/>
  <c r="B13" i="6"/>
  <c r="D16" i="9" l="1"/>
  <c r="C12" i="9"/>
  <c r="C13" i="6"/>
  <c r="D13" i="6" s="1"/>
  <c r="C9" i="9"/>
  <c r="C14" i="9" s="1"/>
  <c r="E14" i="9" s="1"/>
  <c r="D15" i="4"/>
  <c r="D20" i="4" l="1"/>
  <c r="D22" i="4" s="1"/>
  <c r="E15" i="4"/>
  <c r="C16" i="9"/>
  <c r="E16" i="9" s="1"/>
  <c r="E22" i="4" l="1"/>
  <c r="F22" i="4"/>
  <c r="E20" i="4"/>
  <c r="F20" i="4"/>
</calcChain>
</file>

<file path=xl/sharedStrings.xml><?xml version="1.0" encoding="utf-8"?>
<sst xmlns="http://schemas.openxmlformats.org/spreadsheetml/2006/main" count="867" uniqueCount="322">
  <si>
    <t>Description</t>
  </si>
  <si>
    <t xml:space="preserve"> </t>
  </si>
  <si>
    <t>Award ID : 00089905</t>
  </si>
  <si>
    <t>N° du projet : 00095943</t>
  </si>
  <si>
    <t xml:space="preserve">Titre du projet : Appui à la planification, la coordination, le suivi et à l'évaluation de la mise en œuvre du Plan Prioritaire de Consolidation de la paix </t>
  </si>
  <si>
    <t>PLANIFICATION DETAILLEE ACTIVITE</t>
  </si>
  <si>
    <t>Actions planifiées</t>
  </si>
  <si>
    <t>Actions détaillées</t>
  </si>
  <si>
    <t>SOLDE</t>
  </si>
  <si>
    <t>COA</t>
  </si>
  <si>
    <t>Activités Clés/sous activités</t>
  </si>
  <si>
    <t>Résultat Attendu</t>
  </si>
  <si>
    <r>
      <rPr>
        <b/>
        <u/>
        <sz val="11"/>
        <rFont val="Corbel"/>
        <family val="2"/>
      </rPr>
      <t>Produit  1</t>
    </r>
    <r>
      <rPr>
        <b/>
        <sz val="11"/>
        <rFont val="Corbel"/>
        <family val="2"/>
      </rPr>
      <t xml:space="preserve"> : La planification des priorités de consolidation de la paix, la coordination, le suivi-évaluation de leur mise en œuvre, ainsi que  la communication sur les résultats sont assurés de façon efficace.</t>
    </r>
  </si>
  <si>
    <t xml:space="preserve">1.1. Appuyer le fonctionnement du Secrétariat technique, du Comité de Pilotage conjoint et du Comité Technique  des Experts </t>
  </si>
  <si>
    <t>1.1.1.  Assurer les frais généraux de fonctionnement du Secrétariat technique (frais de carburant, acquisition de petit matériel audio visuel et frais de communication, acquisition équipement informatique et mobilier de bureau, fourniture de bureau,technologie supplies, maintenance et entretien, assurance véhicule)</t>
  </si>
  <si>
    <t>Frais de carburant</t>
  </si>
  <si>
    <t>30000</t>
  </si>
  <si>
    <t>11363</t>
  </si>
  <si>
    <t>72300</t>
  </si>
  <si>
    <t>Frais des unifromes du chauffeur BCR</t>
  </si>
  <si>
    <t>DPC</t>
  </si>
  <si>
    <t>74100</t>
  </si>
  <si>
    <t>Frais de réunion (pause café, déjeuner , cocktail etc)</t>
  </si>
  <si>
    <t>75700</t>
  </si>
  <si>
    <t>Acquisition de petit matériel audio visuel et de communication (tel, internet etc)</t>
  </si>
  <si>
    <t>72800</t>
  </si>
  <si>
    <t>Frais de communication (tel, internet etc)</t>
  </si>
  <si>
    <t>72400</t>
  </si>
  <si>
    <t>Acquisition de fourniture / matériel Informatique</t>
  </si>
  <si>
    <t xml:space="preserve">Acquisition de fourniture / matériel  de bureau </t>
  </si>
  <si>
    <t>72500</t>
  </si>
  <si>
    <t>frais de location bureau projet  PBF</t>
  </si>
  <si>
    <t>73100</t>
  </si>
  <si>
    <t xml:space="preserve">conribution budget securitté </t>
  </si>
  <si>
    <t>S/total 1.1.1</t>
  </si>
  <si>
    <t>1.1.2. Organiser les réunions du Comité de Pilotage</t>
  </si>
  <si>
    <t>Au moins 02 sessions tenues pour définir le cadre stratégique d'intervention du PBF/PACoP</t>
  </si>
  <si>
    <t>Frais de réunions (pause café, déjeuner (sandwichs)</t>
  </si>
  <si>
    <t>1.1.3.. Organiser les réunions du Comité Technique des Experts</t>
  </si>
  <si>
    <t xml:space="preserve">Au moins 04 sessions tenues afin valider les rapports périodiques,  les propositions de projets et améliorer l'efficacité des interventions </t>
  </si>
  <si>
    <t xml:space="preserve">1.1.5..Tenir des réunions de coordination du ST chaque 2  semaines </t>
  </si>
  <si>
    <t xml:space="preserve">Au moins 24 réunions tenues pour mieux coordonner la mise en œuvre des activités du Secrétraiat , des organes de pilotages du PBF et des Projets </t>
  </si>
  <si>
    <t>S/total 1.1.2 à 1.1.6</t>
  </si>
  <si>
    <t>Total 1-1</t>
  </si>
  <si>
    <t>1.2.Appuyer la planification stratégique et la coordination des priorités de consolidation de la paix (rémunération SPA /coordonnateur STPBF et ateliers de planification)</t>
  </si>
  <si>
    <t>1.2.1. Rémunérer le Conseiller en Consolidation de la Paix/  Coordonnateur Secrétariat Technique</t>
  </si>
  <si>
    <t xml:space="preserve">Un Conseiller en Consolidation de la Paix/  Coordonnateur Secrétariat Technique est en fonction au niveau du ST/PBF et asssure </t>
  </si>
  <si>
    <t xml:space="preserve">  salaire  P5 (100%)</t>
  </si>
  <si>
    <t>1.2.2.. Apporter un appui technique aux Agences et aux  structures récipiendaires des fonds PBF / PACoP et garantir l’assurance qualité pour l’élaboration de documents de projets</t>
  </si>
  <si>
    <t>Au moins 04 propositions de projets apoprouvées</t>
  </si>
  <si>
    <t>Frais de réunions (pause café,  déjeuner (sandwichs) etc)</t>
  </si>
  <si>
    <t xml:space="preserve">1.2.4.Assurer la mobilisation de ressources </t>
  </si>
  <si>
    <t>Total 1-2</t>
  </si>
  <si>
    <t xml:space="preserve">1.3. Assuer les capacités techniques du Secrétariat Technique au niveau administratif et logistique </t>
  </si>
  <si>
    <t xml:space="preserve">1.3.1. Assurer la mobilisation de compétences pour l'exercice des fonctions  aux postes d'associé au programme et de chauffeur </t>
  </si>
  <si>
    <t>Une associé au programme est en fonction au niveau du ST/PBF</t>
  </si>
  <si>
    <t>Salaire Personnel d'appui</t>
  </si>
  <si>
    <t>71400</t>
  </si>
  <si>
    <t>Un chauffeur  est  en fonction au niveau du ST/PBF</t>
  </si>
  <si>
    <t>Total 1-3</t>
  </si>
  <si>
    <t>TOTAL PARTIEL ACTIVITY 1</t>
  </si>
  <si>
    <t>Indirect Support Cost (7%)</t>
  </si>
  <si>
    <t>TOTAL  ACTIVITY 1</t>
  </si>
  <si>
    <t>Donors</t>
  </si>
  <si>
    <t>Account</t>
  </si>
  <si>
    <t>2.1 Assurer  les capacités de programmation et suivi-évaluation du Secrétariat technque en (assurer le suivi-évaluation des programmes et projets du PACOP)</t>
  </si>
  <si>
    <t>2.1.1.  Assurer la mobilisation de compétences pour le suivi-évaluation des Projets PNF/PACoP</t>
  </si>
  <si>
    <t>Un analyste en suivi-évaluation/ Chargé de programme  est  en fonction au niveau du ST/PBF</t>
  </si>
  <si>
    <t>Salaire Analyste S-E</t>
  </si>
  <si>
    <t>2.1.2. Assurer l'élaboration des plans de travail annuel  2019 des projets  PACoP</t>
  </si>
  <si>
    <t>10 PTA élaborés (projets) et 01 PTA consolidés PBF/PACoP</t>
  </si>
  <si>
    <t>DSA, Frais atelier hors Abidjan pour 60 pers x 2</t>
  </si>
  <si>
    <t xml:space="preserve">Elaboration des TDR </t>
  </si>
  <si>
    <t xml:space="preserve">Honoraires ENSEA pour la collecte et analyse des données </t>
  </si>
  <si>
    <t>Honoraire consultant Havard</t>
  </si>
  <si>
    <t>20 rapports élaborés et  validé par le Comité Technique des Experts et PBSO</t>
  </si>
  <si>
    <t>Coaching pour la préparation des rapport (séance technique, contrôle qualité)</t>
  </si>
  <si>
    <t xml:space="preserve">2.1.4. Renforcer les capacitéés des acgences sur l'exloitation du système informatique de suivi-évaluation </t>
  </si>
  <si>
    <t>40 acteurs des projets PBF/PACoP bénéficient d'une session de formation sur le logiciel de suivi-évaluation   (équipes projet des agences récipiendaires, partenaires de la partie Etat, partenaires privés)</t>
  </si>
  <si>
    <t>Frais d'organisation de l'atelier (location de salle, pause café, déjeuner)</t>
  </si>
  <si>
    <t xml:space="preserve">Le système informatisé pe de suivi-évaluation permet la production des états et rapports selon les besoins du Projet </t>
  </si>
  <si>
    <t xml:space="preserve">Honoraires du cabinet convepteur (BAMASOFT) pour le renforcement de capacité, l'assistance et la miantenance annuel </t>
  </si>
  <si>
    <t>25 acteurs des projets formés sur les thématique de  planification et de suivi-évaluation en matière de consolidation de la paix</t>
  </si>
  <si>
    <t>Atelier (location de salle, pause café, déjeuner,  DSA)</t>
  </si>
  <si>
    <t xml:space="preserve">Honoraire formateurs </t>
  </si>
  <si>
    <t xml:space="preserve">2.1.6.Tenir des réunions de coordination bimestrielles avec l'ensemble des partenaires récipiendaires </t>
  </si>
  <si>
    <t xml:space="preserve">6 réunions du comité de coordination tenues avec les agences récipiendaires et partenaires afin d'améliorer la mise en oeuvre des projets </t>
  </si>
  <si>
    <t>Atelier (location de salle, pause café, déjeuner)</t>
  </si>
  <si>
    <t>2.1.7.Effectuer des missions du conjointe des organes de pilotage et de coordination des fons PBF  pour la supervision et le suivi des interventions des programmes et projets $du PACoP sur le   terrain (intérieur et abidjan) (09 missions)</t>
  </si>
  <si>
    <t>02 mission du CTCE et 01 mission terrain du CdP</t>
  </si>
  <si>
    <t>Formation (Ateliers ,fournitures de base, materiels,frais de déplacement,location de salle)</t>
  </si>
  <si>
    <t>06 missions routinières du ST (MPD,( 5 personnes) PBF BCR        (4 personnes)</t>
  </si>
  <si>
    <t>Dsa ,frais carburant, location de véhicule</t>
  </si>
  <si>
    <t>Total 2--1</t>
  </si>
  <si>
    <t>2.2.1 Rémunérer un consultant nationalen en communication</t>
  </si>
  <si>
    <t xml:space="preserve">Un  consultant national  assure le renforcement des capacités du Secrétariat pour la mise en œuvre de la stratégie de communication </t>
  </si>
  <si>
    <t>(honoraires, consultant)</t>
  </si>
  <si>
    <t xml:space="preserve"> VLA</t>
  </si>
  <si>
    <t>Un plan de communication est validé avec les parties prenantes et les CoPil</t>
  </si>
  <si>
    <t>2.2.3 Assuer les reportsage lors des activités terrains  et des missions de suivi des agences et du ST/PBF</t>
  </si>
  <si>
    <t>Au moins 04 reportages sont réalisés</t>
  </si>
  <si>
    <t>2.2.4. Assurer l'animation des réseaux sociaux afin d'améliorer la visibilité des interventions du PBF/PACoP</t>
  </si>
  <si>
    <t>les activités et résulats majeures des projets sont relayés sur les réseaux sociaux (tweeter, facebook, etc.)</t>
  </si>
  <si>
    <t>2.2.5. Elaborer des documents et supports de communication</t>
  </si>
  <si>
    <t xml:space="preserve">4  fiilms documentaires courts  sur l'impact des projest et les snt réalisés; Au moins 04 format de supports visuels produits </t>
  </si>
  <si>
    <t>Frais fournisseurs</t>
  </si>
  <si>
    <t>Total 2-2</t>
  </si>
  <si>
    <t>TOTAL PARTIEL ACTIVITY 2</t>
  </si>
  <si>
    <t>SOUS TOTAL  ACTIVITY 2</t>
  </si>
  <si>
    <t>Tableau 2 - Budget de projet PBF par categorie de cout de l'ONU</t>
  </si>
  <si>
    <t>Note: S'il s'agit d'une revision budgetaire, veuillez inclure des colonnes additionnelles pour montrer les changements</t>
  </si>
  <si>
    <t>CATEGORIES</t>
  </si>
  <si>
    <t xml:space="preserve">Agence Recipiendiaire </t>
  </si>
  <si>
    <t>Agence Recipiendiaire</t>
  </si>
  <si>
    <t>Total tranche 1</t>
  </si>
  <si>
    <t>Total tranche 2</t>
  </si>
  <si>
    <t>Tranche 3</t>
  </si>
  <si>
    <t>Budget 2020</t>
  </si>
  <si>
    <t>Tranche 4</t>
  </si>
  <si>
    <t xml:space="preserve">Tranche 5 </t>
  </si>
  <si>
    <t>Budget 2021</t>
  </si>
  <si>
    <t>Tranche 6</t>
  </si>
  <si>
    <t>Tranche 7</t>
  </si>
  <si>
    <t xml:space="preserve"> TOTAL PROJET</t>
  </si>
  <si>
    <t>Tranche 1 (70%)</t>
  </si>
  <si>
    <t>Tranche 2 (30%)</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</si>
  <si>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</si>
  <si>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</si>
  <si>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</si>
  <si>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</si>
  <si>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</si>
  <si>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</si>
  <si>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</si>
  <si>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</si>
  <si>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</si>
  <si>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</si>
  <si>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</si>
  <si>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</si>
  <si>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</si>
  <si>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</si>
  <si>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</si>
  <si>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r>
      <t xml:space="preserve">Budget par agence recipiendiaire en USD - SECRETARIAT TECHNIQUE  TRANCHE 1,                         </t>
    </r>
    <r>
      <rPr>
        <b/>
        <sz val="12"/>
        <color theme="1"/>
        <rFont val="Times New Roman"/>
        <family val="1"/>
      </rPr>
      <t xml:space="preserve"> 1 150 000 USD</t>
    </r>
  </si>
  <si>
    <r>
      <t xml:space="preserve">Budget par agence recipiendiaire en USD tranche2,                       </t>
    </r>
    <r>
      <rPr>
        <b/>
        <sz val="12"/>
        <color theme="1"/>
        <rFont val="Times New Roman"/>
        <family val="1"/>
      </rPr>
      <t>500 000USD</t>
    </r>
  </si>
  <si>
    <r>
      <t xml:space="preserve">Budget par agence recipiendiaire en USD tranche3             </t>
    </r>
    <r>
      <rPr>
        <b/>
        <sz val="12"/>
        <color theme="1"/>
        <rFont val="Times New Roman"/>
        <family val="1"/>
      </rPr>
      <t xml:space="preserve">  600 036,38 USD</t>
    </r>
  </si>
  <si>
    <r>
      <t xml:space="preserve">Budget par agence recipiendiaire en USD tranche4           </t>
    </r>
    <r>
      <rPr>
        <sz val="12"/>
        <color theme="5" tint="-0.249977111117893"/>
        <rFont val="Times New Roman"/>
        <family val="1"/>
      </rPr>
      <t xml:space="preserve">  </t>
    </r>
    <r>
      <rPr>
        <b/>
        <sz val="12"/>
        <color theme="5" tint="-0.249977111117893"/>
        <rFont val="Times New Roman"/>
        <family val="1"/>
      </rPr>
      <t xml:space="preserve">  530 379,38 USD</t>
    </r>
  </si>
  <si>
    <r>
      <t xml:space="preserve">Budget par agence recipiendiaire en USD tranche 5           </t>
    </r>
    <r>
      <rPr>
        <sz val="12"/>
        <color theme="5" tint="-0.249977111117893"/>
        <rFont val="Times New Roman"/>
        <family val="1"/>
      </rPr>
      <t xml:space="preserve">  </t>
    </r>
    <r>
      <rPr>
        <b/>
        <sz val="12"/>
        <color theme="5" tint="-0.249977111117893"/>
        <rFont val="Times New Roman"/>
        <family val="1"/>
      </rPr>
      <t xml:space="preserve"> 352 224,38 USD</t>
    </r>
  </si>
  <si>
    <t>TOTAL PROJET</t>
  </si>
  <si>
    <t>Niveau de depense/ engagement actuel en USD (à remplir au moment des rapports de projet)</t>
  </si>
  <si>
    <t>Notes quelconque le cas echeant (.e.g sur types des entrants ou justification du budget)</t>
  </si>
  <si>
    <t>Produit 1.</t>
  </si>
  <si>
    <t>La  Planification  stratégique et la coordination de la mise en œuvre des priorités de consolidation de la paix sont assurées  efficacement par le Comité de Pilotage conjoint</t>
  </si>
  <si>
    <t>Activite 1.1</t>
  </si>
  <si>
    <t>Assurer le Suivi-évaluation du Plan Prioritaire y compris les programmes et projets du PACoP (specialiste M&amp;E)</t>
  </si>
  <si>
    <t>Activite 1.2:</t>
  </si>
  <si>
    <t>Appuyer la planification stratégique et la coordination des priorités de consolidation de la paix (rémunération SPA /coordonnateur STPBF et ateliers de planification)</t>
  </si>
  <si>
    <t>Activite 1.3:</t>
  </si>
  <si>
    <t>Renforcer les capacités techniques du ST (Personnel)</t>
  </si>
  <si>
    <t>GMS</t>
  </si>
  <si>
    <t>Produit 2:</t>
  </si>
  <si>
    <t>Le suivi-évaluation et la communication sur les résultats du Plan Prioritaire sont assurés de manière efficace</t>
  </si>
  <si>
    <t>Activite 2.1:</t>
  </si>
  <si>
    <t>Activite 2.2:</t>
  </si>
  <si>
    <t xml:space="preserve">Réaliser les études de base et finale </t>
  </si>
  <si>
    <t>Activite 2.3:</t>
  </si>
  <si>
    <t>Réaliser l'évaluation du Plan Prioritaire</t>
  </si>
  <si>
    <t>Activite 2.4:</t>
  </si>
  <si>
    <t>Organiser les ateliers de suivi et évaluation (y compris élaboration des outils de suivi)</t>
  </si>
  <si>
    <t>Activite 2.5:</t>
  </si>
  <si>
    <t>Elaborer la cartographie des projets/programmes du PP/base de données de suivi du Programme</t>
  </si>
  <si>
    <t>Activite 2.6:</t>
  </si>
  <si>
    <t>Organiser des revues périodiques du Programme</t>
  </si>
  <si>
    <t>Activite 2.7:</t>
  </si>
  <si>
    <t>Réaliser des missions de terrain</t>
  </si>
  <si>
    <t>Activite 2.8:</t>
  </si>
  <si>
    <t>Elaborer et mettre en œuvre la stratégie de communication</t>
  </si>
  <si>
    <t>Activite 2.9:</t>
  </si>
  <si>
    <t xml:space="preserve">Activités conjointe avec équipe Peace and Development Advisor (PDA) en lien avec la situation politique </t>
  </si>
  <si>
    <t>Activite 2.10</t>
  </si>
  <si>
    <t>GMS ACTIVITY 1+2</t>
  </si>
  <si>
    <t>TOTAL $ pour Resultat 2:</t>
  </si>
  <si>
    <t>Cout de personnel du projet si pas inclus dans les activites si-dessus</t>
  </si>
  <si>
    <t>Couts operationnels si pas inclus dans les activites si-dessus</t>
  </si>
  <si>
    <t>Budget S&amp;E du projet</t>
  </si>
  <si>
    <t>SOUS TOTAL DU BUDGET DE PROJET:</t>
  </si>
  <si>
    <t>Couts indirects (7%):</t>
  </si>
  <si>
    <t>BUDGET TOTAL DU PROJET:</t>
  </si>
  <si>
    <t>Solde disponible en fin 2020 (USD)</t>
  </si>
  <si>
    <t xml:space="preserve">Total de ressources </t>
  </si>
  <si>
    <t xml:space="preserve">Catégories de dépenses </t>
  </si>
  <si>
    <t>(A)</t>
  </si>
  <si>
    <t>(B)</t>
  </si>
  <si>
    <t>(C)</t>
  </si>
  <si>
    <t xml:space="preserve"> 8. Coûts indirects*   </t>
  </si>
  <si>
    <t xml:space="preserve">Dépenses   </t>
  </si>
  <si>
    <t xml:space="preserve">Solde </t>
  </si>
  <si>
    <t xml:space="preserve">               (A)</t>
  </si>
  <si>
    <t>(A-B)</t>
  </si>
  <si>
    <t>Observations</t>
  </si>
  <si>
    <t>FUND</t>
  </si>
  <si>
    <t>Taux Exécution</t>
  </si>
  <si>
    <t>74300</t>
  </si>
  <si>
    <t>Fournitures, produits de base, matériels</t>
  </si>
  <si>
    <t>DEPENSES</t>
  </si>
  <si>
    <t>CATEGORIE</t>
  </si>
  <si>
    <t>Au moins 2 000 USD au titre de  ressources complémentaires mobilisés  auprès de bailleurs;  Au moins deux nouveaux partenariats établis pour le financement des interventions</t>
  </si>
  <si>
    <t>71300</t>
  </si>
  <si>
    <t>Un chauffeur  consultant  est  en fonction au niveau du ST/PBF</t>
  </si>
  <si>
    <t>Honoraire  Personnel d'appui</t>
  </si>
  <si>
    <t>Maintenance véhicule</t>
  </si>
  <si>
    <t>2.2.2. Elaborer le plan de communication 2021</t>
  </si>
  <si>
    <t>2.1.5 Assurer le renforcement des capacités Agences et Partenaires  sur la GAR dans le cadre de la consolidation de la paix</t>
  </si>
  <si>
    <t xml:space="preserve">Budget 2021 </t>
  </si>
  <si>
    <t xml:space="preserve">Taux d’exécution </t>
  </si>
  <si>
    <t>(B/A) x 100</t>
  </si>
  <si>
    <t>C=(A-B)</t>
  </si>
  <si>
    <t>MOBILIER BUREAU</t>
  </si>
  <si>
    <t>72200</t>
  </si>
  <si>
    <t>FRAIS DIVERS</t>
  </si>
  <si>
    <t>différence  frais d'échanges</t>
  </si>
  <si>
    <t>76100</t>
  </si>
  <si>
    <t>74500</t>
  </si>
  <si>
    <t>Soldes de ressources disponibles pour 2022</t>
  </si>
  <si>
    <r>
      <t>3)</t>
    </r>
    <r>
      <rPr>
        <sz val="7"/>
        <color theme="1"/>
        <rFont val="Antique Olive"/>
        <family val="2"/>
      </rPr>
      <t xml:space="preserve">     </t>
    </r>
    <r>
      <rPr>
        <sz val="11"/>
        <color theme="1"/>
        <rFont val="Antique Olive"/>
        <family val="2"/>
      </rPr>
      <t>Disponibilité des ressources par catégories</t>
    </r>
  </si>
  <si>
    <t>1)     Points des ressources mobilisées et mobilisables</t>
  </si>
  <si>
    <r>
      <t>1)</t>
    </r>
    <r>
      <rPr>
        <b/>
        <sz val="7"/>
        <color rgb="FF000000"/>
        <rFont val="Antique Olive"/>
        <family val="2"/>
      </rPr>
      <t xml:space="preserve">     </t>
    </r>
    <r>
      <rPr>
        <b/>
        <sz val="11"/>
        <color rgb="FF000000"/>
        <rFont val="Antique Olive"/>
        <family val="2"/>
      </rPr>
      <t>Niveau de réalisation du  budget 2021 (ressources budgétisées pour 2021) par catégories de dépenses</t>
    </r>
  </si>
  <si>
    <r>
      <t>2)</t>
    </r>
    <r>
      <rPr>
        <sz val="7"/>
        <color theme="1"/>
        <rFont val="Antique Olive"/>
        <family val="2"/>
      </rPr>
      <t xml:space="preserve">     </t>
    </r>
    <r>
      <rPr>
        <sz val="11"/>
        <color theme="1"/>
        <rFont val="Antique Olive"/>
        <family val="2"/>
      </rPr>
      <t>Suivi budget 2021 par catégories de dépenses</t>
    </r>
  </si>
  <si>
    <t>Tableau 1: Projet d’activité budgétaire indicatif</t>
  </si>
  <si>
    <t>Résultats / Activités</t>
  </si>
  <si>
    <t>CUMUL 2015 A 2017</t>
  </si>
  <si>
    <t>CUMUL</t>
  </si>
  <si>
    <t xml:space="preserve">Budget </t>
  </si>
  <si>
    <t>dépenses</t>
  </si>
  <si>
    <t>solde</t>
  </si>
  <si>
    <t>Budget PBF</t>
  </si>
  <si>
    <t>Dépenses PBF</t>
  </si>
  <si>
    <t>solde PBF</t>
  </si>
  <si>
    <t>BUDGET PBF</t>
  </si>
  <si>
    <t>DEPENSES PBF</t>
  </si>
  <si>
    <t>SOLDE PBF</t>
  </si>
  <si>
    <t>%</t>
  </si>
  <si>
    <t>Résultat : La planification des priorités de consolidation de la paix, la coordination, le suivi-évaluation de leur mise en œuvre, et la communication sur les résultats sont assurés de manière efficace.</t>
  </si>
  <si>
    <t>Produit 1: La  Planification  stratégique et la coordination de la mise en œuvre des priorités de consolidation de la paix sont assurées  efficacement par le Comité de Pilotage conjoint</t>
  </si>
  <si>
    <t xml:space="preserve">Appuyer le fonctionnement du Comité de Pilotage et du Comité technique d’Experts  </t>
  </si>
  <si>
    <t>GMS ACTIVITY 1</t>
  </si>
  <si>
    <t>Sous total 1</t>
  </si>
  <si>
    <t>Produit 2: Le suivi-évaluation et la communication sur les résultats du Plan Prioritaire sont assurés de manière efficace</t>
  </si>
  <si>
    <t>Transfert</t>
  </si>
  <si>
    <t>GMS ACTIVITY 2</t>
  </si>
  <si>
    <t>Sous total 2</t>
  </si>
  <si>
    <t xml:space="preserve">Total </t>
  </si>
  <si>
    <t>ANNEE</t>
  </si>
  <si>
    <t>BUDGET</t>
  </si>
  <si>
    <t>taux exécution %</t>
  </si>
  <si>
    <t>TOTAL 2015 2017</t>
  </si>
  <si>
    <t>2015-2017</t>
  </si>
  <si>
    <t xml:space="preserve">2.1.3. Assurer un système de rapportage efficace des projest PACoP </t>
  </si>
  <si>
    <t>Total</t>
  </si>
  <si>
    <t>Produit 1: La Planification stratégique et la coordination de la mise en œuvre des priorités de consolidation de la paix sont assurées  efficacement par le Comité de Pilotage conjoint</t>
  </si>
  <si>
    <t>0 </t>
  </si>
  <si>
    <t>Renforcer les capacités techniques du ST (Assurer la rémunération du personnel d’appui )</t>
  </si>
  <si>
    <t>Sous total produit 1</t>
  </si>
  <si>
    <t>Assurer le Suivi-évaluation du Plan Prioritaire y compris les programmes et projets du PACoP (spécialiste M&amp;E)</t>
  </si>
  <si>
    <t> 0</t>
  </si>
  <si>
    <t>Réaliser des missions de terrain/ missions de formation</t>
  </si>
  <si>
    <t xml:space="preserve">Elaborer un document sur le bilan de la transition </t>
  </si>
  <si>
    <t xml:space="preserve">                   -     </t>
  </si>
  <si>
    <t xml:space="preserve">Activités conjointe avec  équipe Peace and Development Advisor (PDA)  en lien avec la situation socio-politique </t>
  </si>
  <si>
    <t>Sous total produit 2</t>
  </si>
  <si>
    <r>
      <t xml:space="preserve">Tableau 2 : Projet de budget par catégories de dépense de l’ONU par RUNO </t>
    </r>
    <r>
      <rPr>
        <b/>
        <i/>
        <sz val="10"/>
        <color theme="1"/>
        <rFont val="Calibri Light"/>
        <family val="2"/>
      </rPr>
      <t>A actualiser</t>
    </r>
  </si>
  <si>
    <r>
      <t xml:space="preserve">PROJET DE BUDGET PBF – RUNO 1 </t>
    </r>
    <r>
      <rPr>
        <b/>
        <sz val="10"/>
        <color rgb="FF000000"/>
        <rFont val="Calibri Light"/>
        <family val="2"/>
      </rPr>
      <t>(rajouter un tableau par RUNO supplémentaire)</t>
    </r>
    <r>
      <rPr>
        <sz val="8"/>
        <color rgb="FF000000"/>
        <rFont val="Times New Roman"/>
        <family val="1"/>
      </rPr>
      <t> </t>
    </r>
  </si>
  <si>
    <t>Catégories de dépense</t>
  </si>
  <si>
    <t>Budget (en USD)</t>
  </si>
  <si>
    <t xml:space="preserve">Réaménagement du budget </t>
  </si>
  <si>
    <t>Budget révisé</t>
  </si>
  <si>
    <t xml:space="preserve">                      -     </t>
  </si>
  <si>
    <t>8. Coûts indirects*</t>
  </si>
  <si>
    <r>
      <t> </t>
    </r>
    <r>
      <rPr>
        <sz val="10"/>
        <color theme="1"/>
        <rFont val="Times New Roman"/>
        <family val="1"/>
      </rPr>
      <t>Ici il faut juste montrer si vous faites des reamenagement entre les categories budgetaires.</t>
    </r>
  </si>
  <si>
    <t xml:space="preserve">Pourcentage du budget pour chaque produit ou activité reservé pour action directe sur le genre (cas écheant) </t>
  </si>
  <si>
    <t xml:space="preserve"> Coordonnateur Secrétariat Technique est en fonction au niveau du ST/PBF et asssure </t>
  </si>
  <si>
    <t>Salaire Coordonnateur  NPSA 15</t>
  </si>
  <si>
    <t>Budget totale</t>
  </si>
  <si>
    <t>DEPENSES AU 31DEC 2021</t>
  </si>
  <si>
    <r>
      <t xml:space="preserve">Point financier Projet PBF </t>
    </r>
    <r>
      <rPr>
        <i/>
        <sz val="12"/>
        <color theme="1"/>
        <rFont val="Antique Olive"/>
        <family val="2"/>
      </rPr>
      <t>au  15/11/2021</t>
    </r>
  </si>
  <si>
    <t>Montant 70% budget 2021 reçu  (USD)</t>
  </si>
  <si>
    <t>Montant 30% budget 2021 reçu</t>
  </si>
  <si>
    <t xml:space="preserve">Ressources mobilisées                  70% budget 2021 </t>
  </si>
  <si>
    <t xml:space="preserve">Ressources mobilisées                  30% budget 2021 </t>
  </si>
  <si>
    <t>Taux exécution des ressources mobilisées</t>
  </si>
  <si>
    <t>E=(A+B) - C</t>
  </si>
  <si>
    <t>F= C/(A+B)%</t>
  </si>
  <si>
    <r>
      <t xml:space="preserve">Solde au 31 DECEMBRE 2021                   </t>
    </r>
    <r>
      <rPr>
        <b/>
        <sz val="10"/>
        <color rgb="FFC00000"/>
        <rFont val="Antique Olive"/>
      </rPr>
      <t>Disponibilité 2022</t>
    </r>
  </si>
  <si>
    <t>N.B Une révision du montant non susceptible d'être depensé  avant le 31 décembre est nécessaire pour être reporté sur le budget 2022</t>
  </si>
  <si>
    <t xml:space="preserve"> Programme des Nations Unies Pour le développement Côte d’Ivoire</t>
  </si>
  <si>
    <t>Année : 2022</t>
  </si>
  <si>
    <t>Coût en $ (Prévisions)</t>
  </si>
  <si>
    <t>Frais généraux de fonctionnement et autres coûts directs</t>
  </si>
  <si>
    <t xml:space="preserve"> Frais généraux de fonctionnement et autres coûts directs</t>
  </si>
  <si>
    <t xml:space="preserve">Au moins 02 sessions tenues afin de valider les rapports périodiques,  les propositions de projets et améliorer l'efficacité des interventions </t>
  </si>
  <si>
    <t xml:space="preserve">Au moins 24 réunions tenues pour mieux coordonner la mise en œuvre des activités du Secrétraiat , des organes de pilotage du PBF et des Projets </t>
  </si>
  <si>
    <t>Personnel et autres employés</t>
  </si>
  <si>
    <t>1.2.3. Assurer un conseil et un soutien stratégique au CR et à l'UNCT</t>
  </si>
  <si>
    <t>Appuyer les initiatives du BCR dans le renforcement de la réconciliation nationale</t>
  </si>
  <si>
    <t xml:space="preserve">Honoraires consultant (e) admin Finances </t>
  </si>
  <si>
    <t xml:space="preserve"> Personnel et autres employés</t>
  </si>
  <si>
    <t>2.1.2. Assurer l'élaboration des plans de travail annuel  2022 des projets  PACoP</t>
  </si>
  <si>
    <t>Services contractuels</t>
  </si>
  <si>
    <t xml:space="preserve"> Services contractuels</t>
  </si>
  <si>
    <t>Frais de déplacement</t>
  </si>
  <si>
    <t>2.2  Mettre en œuvre la stratégie de communication</t>
  </si>
  <si>
    <t>2.2.1 Rémunérer un consultant national pour appuyer le Secrétariat dans le suivi et la collecte des données et en communication</t>
  </si>
  <si>
    <t xml:space="preserve">Un  consultant national  assure la collecte et la gestion des données des projets dans le système informatique  </t>
  </si>
  <si>
    <t>2.2.3 Assurer les reportsage lors des activités terrains  et des missions de suivi des agences et du ST/PBF</t>
  </si>
  <si>
    <t xml:space="preserve">TOTAL GENRAL ACTIVITY </t>
  </si>
  <si>
    <t>Indirect Support Cost Général   (7%)</t>
  </si>
  <si>
    <t xml:space="preserve">TOTAL GENRAL </t>
  </si>
  <si>
    <t>Une associé au programme est en fonction au niveau du ST/PBF ou un chauffeur temporaire</t>
  </si>
  <si>
    <t>71600</t>
  </si>
  <si>
    <t>Frais de déplacements</t>
  </si>
  <si>
    <t>Montant</t>
  </si>
  <si>
    <t>Tranche 8</t>
  </si>
  <si>
    <t>Salaire Coordonnateur  NPSA 9</t>
  </si>
  <si>
    <t>DEPENSES AU 15 NOVEMBRE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</si>
</sst>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_-;\-* #,##0.00\ _€_-;_-* &quot;-&quot;??\ _€_-;_-@_-"/>
    <numFmt numFmtId="165" formatCode="_-* #,##0.000\ _€_-;\-* #,##0.000\ _€_-;_-* &quot;-&quot;??\ _€_-;_-@_-"/>
    <numFmt numFmtId="166" formatCode="_-* #,##0.000\ _€_-;\-* #,##0.000\ _€_-;_-* &quot;-&quot;???\ _€_-;_-@_-"/>
    <numFmt numFmtId="167" formatCode="_(* #,##0.00_);_(* \(#,##0.00\);_(* &quot;-&quot;??_);_(@_)"/>
    <numFmt numFmtId="168" formatCode="_-* #,##0.000_-;\-* #,##0.000_-;_-* &quot;-&quot;??_-;_-@_-"/>
    <numFmt numFmtId="169" formatCode="_-* #,##0\ _€_-;\-* #,##0\ _€_-;_-* &quot;-&quot;??\ _€_-;_-@_-"/>
    <numFmt numFmtId="177" formatCode="0.0"/>
  </numFmts>
  <fonts count="88">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name val="Corbel"/>
      <family val="2"/>
    </font>
    <font>
      <sz val="11"/>
      <color theme="1"/>
      <name val="Corbel"/>
      <family val="2"/>
    </font>
    <font>
      <b/>
      <sz val="11"/>
      <name val="Corbel"/>
      <family val="2"/>
    </font>
    <font>
      <sz val="10"/>
      <name val="Arial"/>
      <family val="2"/>
    </font>
    <font>
      <b/>
      <sz val="11"/>
      <color theme="3" tint="-0.249977111117893"/>
      <name val="Corbel"/>
      <family val="2"/>
    </font>
    <font>
      <b/>
      <sz val="11"/>
      <color theme="1"/>
      <name val="Corbel"/>
      <family val="2"/>
    </font>
    <font>
      <b/>
      <u/>
      <sz val="11"/>
      <name val="Corbel"/>
      <family val="2"/>
    </font>
    <font>
      <sz val="11"/>
      <color rgb="FFFF0000"/>
      <name val="Corbel"/>
      <family val="2"/>
    </font>
    <font>
      <b/>
      <sz val="11"/>
      <color rgb="FF00B0F0"/>
      <name val="Corbel"/>
      <family val="2"/>
    </font>
    <font>
      <b/>
      <sz val="11"/>
      <color theme="2" tint="-0.499984740745262"/>
      <name val="Corbel"/>
      <family val="2"/>
    </font>
    <font>
      <sz val="11"/>
      <color theme="1" tint="0.249977111117893"/>
      <name val="Corbel"/>
      <family val="2"/>
    </font>
    <font>
      <sz val="12"/>
      <name val="Corbel"/>
      <family val="2"/>
    </font>
    <font>
      <b/>
      <sz val="12"/>
      <color rgb="FF00B0F0"/>
      <name val="Corbel"/>
      <family val="2"/>
    </font>
    <font>
      <b/>
      <sz val="12"/>
      <color theme="1"/>
      <name val="Calibri"/>
      <family val="2"/>
      <scheme val="minor"/>
    </font>
    <font>
      <b/>
      <sz val="10"/>
      <color theme="1"/>
      <name val="Calibri"/>
      <family val="2"/>
    </font>
    <font>
      <b/>
      <sz val="10"/>
      <name val="Calibri"/>
      <family val="2"/>
    </font>
    <font>
      <b/>
      <sz val="10"/>
      <color rgb="FFFF0000"/>
      <name val="Calibri"/>
      <family val="2"/>
    </font>
    <font>
      <sz val="10"/>
      <color theme="1"/>
      <name val="Times New Roman"/>
      <family val="1"/>
    </font>
    <font>
      <sz val="10"/>
      <color theme="1"/>
      <name val="Calibri"/>
      <family val="2"/>
    </font>
    <font>
      <sz val="10"/>
      <name val="Calibri"/>
      <family val="2"/>
    </font>
    <font>
      <sz val="10"/>
      <color rgb="FFFF0000"/>
      <name val="Calibri"/>
      <family val="2"/>
    </font>
    <font>
      <b/>
      <sz val="10"/>
      <color theme="1"/>
      <name val="Times New Roman"/>
      <family val="1"/>
    </font>
    <font>
      <sz val="12"/>
      <color theme="1"/>
      <name val="Arial"/>
      <family val="2"/>
    </font>
    <font>
      <b/>
      <sz val="16"/>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sz val="12"/>
      <color theme="5" tint="-0.249977111117893"/>
      <name val="Times New Roman"/>
      <family val="1"/>
    </font>
    <font>
      <b/>
      <sz val="12"/>
      <color theme="5" tint="-0.249977111117893"/>
      <name val="Times New Roman"/>
      <family val="1"/>
    </font>
    <font>
      <sz val="12"/>
      <color rgb="FFFF0000"/>
      <name val="Times New Roman"/>
      <family val="1"/>
    </font>
    <font>
      <b/>
      <sz val="12"/>
      <name val="Times New Roman"/>
      <family val="1"/>
    </font>
    <font>
      <b/>
      <sz val="12"/>
      <color rgb="FFFF0000"/>
      <name val="Times New Roman"/>
      <family val="1"/>
    </font>
    <font>
      <sz val="12"/>
      <name val="Times New Roman"/>
      <family val="1"/>
    </font>
    <font>
      <sz val="11"/>
      <name val="Times New Roman"/>
      <family val="1"/>
    </font>
    <font>
      <b/>
      <sz val="11"/>
      <color rgb="FFFF0000"/>
      <name val="Calibri"/>
      <family val="2"/>
      <scheme val="minor"/>
    </font>
    <font>
      <b/>
      <sz val="11"/>
      <color rgb="FFFF0000"/>
      <name val="Corbel"/>
      <family val="2"/>
    </font>
    <font>
      <b/>
      <sz val="12"/>
      <color theme="1"/>
      <name val="Corbel"/>
      <family val="2"/>
    </font>
    <font>
      <b/>
      <sz val="12"/>
      <color rgb="FFFF0000"/>
      <name val="Corbel"/>
      <family val="2"/>
    </font>
    <font>
      <b/>
      <sz val="12"/>
      <color rgb="FF000000"/>
      <name val="Calibri"/>
      <family val="2"/>
      <scheme val="minor"/>
    </font>
    <font>
      <b/>
      <sz val="11"/>
      <color theme="9" tint="-0.249977111117893"/>
      <name val="Corbel"/>
      <family val="2"/>
    </font>
    <font>
      <sz val="11"/>
      <color theme="2" tint="-0.499984740745262"/>
      <name val="Corbel"/>
      <family val="2"/>
    </font>
    <font>
      <sz val="11"/>
      <color theme="1"/>
      <name val="Antique Olive"/>
      <family val="2"/>
    </font>
    <font>
      <sz val="7"/>
      <color theme="1"/>
      <name val="Antique Olive"/>
      <family val="2"/>
    </font>
    <font>
      <b/>
      <sz val="10"/>
      <color rgb="FF000000"/>
      <name val="Antique Olive"/>
      <family val="2"/>
    </font>
    <font>
      <b/>
      <sz val="10"/>
      <color theme="9" tint="-0.249977111117893"/>
      <name val="Antique Olive"/>
      <family val="2"/>
    </font>
    <font>
      <sz val="10"/>
      <color rgb="FF000000"/>
      <name val="Antique Olive"/>
      <family val="2"/>
    </font>
    <font>
      <sz val="10"/>
      <color theme="1"/>
      <name val="Antique Olive"/>
      <family val="2"/>
    </font>
    <font>
      <sz val="10"/>
      <color rgb="FFFF0000"/>
      <name val="Antique Olive"/>
      <family val="2"/>
    </font>
    <font>
      <b/>
      <sz val="12"/>
      <color theme="9" tint="-0.249977111117893"/>
      <name val="Antique Olive"/>
      <family val="2"/>
    </font>
    <font>
      <b/>
      <sz val="10"/>
      <color rgb="FFFF0000"/>
      <name val="Antique Olive"/>
      <family val="2"/>
    </font>
    <font>
      <b/>
      <sz val="11"/>
      <color theme="1"/>
      <name val="Antique Olive"/>
      <family val="2"/>
    </font>
    <font>
      <sz val="12"/>
      <color theme="1"/>
      <name val="Antique Olive"/>
      <family val="2"/>
    </font>
    <font>
      <b/>
      <sz val="12"/>
      <color theme="1"/>
      <name val="Antique Olive"/>
      <family val="2"/>
    </font>
    <font>
      <i/>
      <sz val="12"/>
      <color theme="1"/>
      <name val="Antique Olive"/>
      <family val="2"/>
    </font>
    <font>
      <sz val="12"/>
      <color rgb="FFFF0000"/>
      <name val="Antique Olive"/>
      <family val="2"/>
    </font>
    <font>
      <b/>
      <sz val="12"/>
      <color rgb="FFFF0000"/>
      <name val="Antique Olive"/>
      <family val="2"/>
    </font>
    <font>
      <b/>
      <sz val="11"/>
      <color rgb="FF000000"/>
      <name val="Antique Olive"/>
      <family val="2"/>
    </font>
    <font>
      <b/>
      <sz val="7"/>
      <color rgb="FF000000"/>
      <name val="Antique Olive"/>
      <family val="2"/>
    </font>
    <font>
      <b/>
      <sz val="10"/>
      <color theme="1"/>
      <name val="Antique Olive"/>
      <family val="2"/>
    </font>
    <font>
      <b/>
      <sz val="10"/>
      <color theme="5" tint="-0.249977111117893"/>
      <name val="Antique Olive"/>
      <family val="2"/>
    </font>
    <font>
      <b/>
      <sz val="10"/>
      <color rgb="FF00B050"/>
      <name val="Antique Olive"/>
      <family val="2"/>
    </font>
    <font>
      <b/>
      <sz val="10"/>
      <color theme="1"/>
      <name val="Calibri Light"/>
      <family val="2"/>
    </font>
    <font>
      <b/>
      <sz val="10"/>
      <color rgb="FF000000"/>
      <name val="Calibri Light"/>
      <family val="2"/>
    </font>
    <font>
      <b/>
      <i/>
      <sz val="10"/>
      <color rgb="FF000000"/>
      <name val="Calibri Light"/>
      <family val="2"/>
    </font>
    <font>
      <sz val="10"/>
      <color rgb="FF000000"/>
      <name val="Calibri Light"/>
      <family val="2"/>
    </font>
    <font>
      <sz val="10"/>
      <color rgb="FF000000"/>
      <name val="Times New Roman"/>
      <family val="1"/>
    </font>
    <font>
      <b/>
      <i/>
      <sz val="10"/>
      <color theme="1"/>
      <name val="Calibri Light"/>
      <family val="2"/>
    </font>
    <font>
      <sz val="8"/>
      <color rgb="FF000000"/>
      <name val="Times New Roman"/>
      <family val="1"/>
    </font>
    <font>
      <sz val="10"/>
      <color theme="1"/>
      <name val="Calibri Light"/>
      <family val="2"/>
    </font>
    <font>
      <sz val="8"/>
      <color theme="1"/>
      <name val="Times New Roman"/>
      <family val="1"/>
    </font>
    <font>
      <b/>
      <sz val="12"/>
      <name val="Corbel"/>
      <family val="2"/>
    </font>
    <font>
      <b/>
      <sz val="10"/>
      <color theme="1"/>
      <name val="Bookman Old Style"/>
      <family val="1"/>
    </font>
    <font>
      <sz val="10"/>
      <color theme="1"/>
      <name val="Bookman Old Style"/>
      <family val="1"/>
    </font>
    <font>
      <b/>
      <sz val="10"/>
      <color rgb="FFFF0000"/>
      <name val="Bookman Old Style"/>
      <family val="1"/>
    </font>
    <font>
      <b/>
      <sz val="10"/>
      <color rgb="FF000000"/>
      <name val="Bookman Old Style"/>
      <family val="1"/>
    </font>
    <font>
      <b/>
      <i/>
      <sz val="10"/>
      <color rgb="FF000000"/>
      <name val="Bookman Old Style"/>
      <family val="1"/>
    </font>
    <font>
      <sz val="10"/>
      <color rgb="FF000000"/>
      <name val="Bookman Old Style"/>
      <family val="1"/>
    </font>
    <font>
      <b/>
      <sz val="10"/>
      <color rgb="FFC00000"/>
      <name val="Antique Olive"/>
    </font>
    <font>
      <b/>
      <sz val="12"/>
      <color theme="5" tint="-0.249977111117893"/>
      <name val="Antique Olive"/>
      <family val="2"/>
    </font>
    <font>
      <b/>
      <sz val="12"/>
      <color rgb="FF000000"/>
      <name val="Antique Olive"/>
      <family val="2"/>
    </font>
    <font>
      <b/>
      <sz val="10"/>
      <color rgb="FF000000"/>
      <name val="Antique Olive"/>
    </font>
    <font>
      <b/>
      <sz val="10"/>
      <color theme="1"/>
      <name val="Antique Olive"/>
    </font>
    <font>
      <b/>
      <sz val="11"/>
      <color rgb="FFC00000"/>
      <name val="Corbel"/>
      <family val="2"/>
    </font>
    <font>
      <sz val="14"/>
      <color theme="1"/>
      <name val="Corbel"/>
      <family val="2"/>
    </font>
  </fonts>
  <fills count="32">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CCFF33"/>
        <bgColor indexed="64"/>
      </patternFill>
    </fill>
    <fill>
      <patternFill patternType="solid">
        <fgColor theme="5" tint="0.59999389629810485"/>
        <bgColor indexed="64"/>
      </patternFill>
    </fill>
    <fill>
      <patternFill patternType="solid">
        <fgColor rgb="FF99FF33"/>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D0CECE"/>
        <bgColor indexed="64"/>
      </patternFill>
    </fill>
    <fill>
      <patternFill patternType="solid">
        <fgColor theme="7" tint="0.39997558519241921"/>
        <bgColor indexed="64"/>
      </patternFill>
    </fill>
    <fill>
      <patternFill patternType="solid">
        <fgColor rgb="FF00B0F0"/>
        <bgColor indexed="64"/>
      </patternFill>
    </fill>
    <fill>
      <patternFill patternType="solid">
        <fgColor rgb="FFE4DFEC"/>
        <bgColor indexed="64"/>
      </patternFill>
    </fill>
    <fill>
      <patternFill patternType="solid">
        <fgColor rgb="FF92D050"/>
        <bgColor indexed="64"/>
      </patternFill>
    </fill>
    <fill>
      <patternFill patternType="solid">
        <fgColor rgb="FFFCD5B4"/>
        <bgColor indexed="64"/>
      </patternFill>
    </fill>
    <fill>
      <patternFill patternType="solid">
        <fgColor rgb="FFC5D9F1"/>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0000"/>
        <bgColor indexed="64"/>
      </patternFill>
    </fill>
    <fill>
      <patternFill patternType="solid">
        <fgColor theme="4" tint="0.79998168889431442"/>
        <bgColor indexed="64"/>
      </patternFill>
    </fill>
    <fill>
      <patternFill patternType="solid">
        <fgColor rgb="FFC5E0B3"/>
        <bgColor indexed="64"/>
      </patternFill>
    </fill>
    <fill>
      <patternFill patternType="solid">
        <fgColor rgb="FFFFFFFF"/>
        <bgColor indexed="64"/>
      </patternFill>
    </fill>
    <fill>
      <patternFill patternType="solid">
        <fgColor rgb="FFF2F2F2"/>
        <bgColor indexed="64"/>
      </patternFill>
    </fill>
    <fill>
      <patternFill patternType="solid">
        <fgColor rgb="FFF8CBAD"/>
        <bgColor indexed="64"/>
      </patternFill>
    </fill>
  </fills>
  <borders count="4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rgb="FF000000"/>
      </left>
      <right/>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rgb="FF000000"/>
      </left>
      <right style="medium">
        <color indexed="64"/>
      </right>
      <top style="medium">
        <color rgb="FF000000"/>
      </top>
      <bottom style="thin">
        <color indexed="64"/>
      </bottom>
      <diagonal/>
    </border>
    <border>
      <left/>
      <right style="medium">
        <color indexed="64"/>
      </right>
      <top style="medium">
        <color rgb="FF000000"/>
      </top>
      <bottom style="thin">
        <color indexed="64"/>
      </bottom>
      <diagonal/>
    </border>
    <border>
      <left/>
      <right style="medium">
        <color rgb="FF000000"/>
      </right>
      <top style="medium">
        <color rgb="FF000000"/>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164" fontId="1" fillId="0" borderId="0" applyFont="0" applyFill="0" applyBorder="0" applyAlignment="0" applyProtection="0"/>
    <xf numFmtId="0" fontId="1" fillId="0" borderId="0"/>
  </cellStyleXfs>
  <cellXfs count="574">
    <xf numFmtId="0" fontId="0" fillId="0" borderId="0" xfId="0"/>
    <xf numFmtId="43" fontId="0" fillId="0" borderId="0" xfId="0" applyNumberFormat="1"/>
    <xf numFmtId="0" fontId="4" fillId="0" borderId="0" xfId="0" applyFont="1"/>
    <xf numFmtId="0" fontId="5" fillId="0" borderId="0" xfId="0" applyFont="1"/>
    <xf numFmtId="0" fontId="5" fillId="0" borderId="0" xfId="3" applyFont="1"/>
    <xf numFmtId="0" fontId="4" fillId="0" borderId="0" xfId="3" applyFont="1" applyAlignment="1">
      <alignment vertical="center"/>
    </xf>
    <xf numFmtId="0" fontId="8" fillId="0" borderId="0" xfId="3" applyFont="1" applyAlignment="1">
      <alignment vertical="center"/>
    </xf>
    <xf numFmtId="49" fontId="4" fillId="6" borderId="2" xfId="3" applyNumberFormat="1" applyFont="1" applyFill="1" applyBorder="1" applyAlignment="1">
      <alignment horizontal="center" vertical="center"/>
    </xf>
    <xf numFmtId="49" fontId="4" fillId="6" borderId="2" xfId="3" applyNumberFormat="1" applyFont="1" applyFill="1" applyBorder="1" applyAlignment="1">
      <alignment horizontal="center" vertical="center" wrapText="1"/>
    </xf>
    <xf numFmtId="0" fontId="4" fillId="6" borderId="2" xfId="6" applyFont="1" applyFill="1" applyBorder="1" applyAlignment="1" applyProtection="1">
      <alignment horizontal="center" vertical="center" wrapText="1"/>
      <protection hidden="1"/>
    </xf>
    <xf numFmtId="0" fontId="5" fillId="2" borderId="0" xfId="0" applyFont="1" applyFill="1"/>
    <xf numFmtId="164" fontId="4" fillId="6" borderId="2" xfId="5" applyFont="1" applyFill="1" applyBorder="1" applyAlignment="1">
      <alignment horizontal="center" vertical="center"/>
    </xf>
    <xf numFmtId="49" fontId="4" fillId="0" borderId="2" xfId="3" applyNumberFormat="1" applyFont="1" applyBorder="1" applyAlignment="1">
      <alignment horizontal="center" vertical="center" wrapText="1"/>
    </xf>
    <xf numFmtId="0" fontId="11" fillId="0" borderId="0" xfId="0" applyFont="1"/>
    <xf numFmtId="0" fontId="11" fillId="6" borderId="2" xfId="3" applyFont="1" applyFill="1" applyBorder="1" applyAlignment="1">
      <alignment horizontal="center" vertical="center" wrapText="1"/>
    </xf>
    <xf numFmtId="0" fontId="11" fillId="0" borderId="2" xfId="3" applyFont="1" applyBorder="1" applyAlignment="1">
      <alignment horizontal="center" vertical="center" wrapText="1"/>
    </xf>
    <xf numFmtId="0" fontId="14" fillId="0" borderId="2" xfId="3" applyFont="1" applyBorder="1" applyAlignment="1">
      <alignment horizontal="center" vertical="center" wrapText="1"/>
    </xf>
    <xf numFmtId="49" fontId="14" fillId="0" borderId="2" xfId="3" applyNumberFormat="1" applyFont="1" applyBorder="1" applyAlignment="1">
      <alignment horizontal="center" vertical="center"/>
    </xf>
    <xf numFmtId="49" fontId="14" fillId="0" borderId="2" xfId="3" applyNumberFormat="1" applyFont="1" applyBorder="1" applyAlignment="1">
      <alignment horizontal="center" vertical="center" wrapText="1"/>
    </xf>
    <xf numFmtId="0" fontId="14" fillId="0" borderId="2" xfId="6" applyFont="1" applyBorder="1" applyAlignment="1" applyProtection="1">
      <alignment horizontal="center" vertical="center" wrapText="1"/>
      <protection hidden="1"/>
    </xf>
    <xf numFmtId="164" fontId="14" fillId="6" borderId="2" xfId="5" applyFont="1" applyFill="1" applyBorder="1" applyAlignment="1" applyProtection="1">
      <alignment horizontal="center" vertical="center" wrapText="1"/>
      <protection hidden="1"/>
    </xf>
    <xf numFmtId="164" fontId="12" fillId="6" borderId="2" xfId="5" applyFont="1" applyFill="1" applyBorder="1" applyAlignment="1">
      <alignment horizontal="center" vertical="center"/>
    </xf>
    <xf numFmtId="164" fontId="6" fillId="8" borderId="2" xfId="5" applyFont="1" applyFill="1" applyBorder="1" applyAlignment="1">
      <alignment horizontal="center" vertical="center"/>
    </xf>
    <xf numFmtId="164" fontId="16" fillId="0" borderId="2" xfId="5" applyFont="1" applyFill="1" applyBorder="1" applyAlignment="1">
      <alignment horizontal="center" vertical="center" wrapText="1"/>
    </xf>
    <xf numFmtId="164" fontId="15" fillId="0" borderId="2" xfId="5" applyFont="1" applyBorder="1" applyAlignment="1">
      <alignment horizontal="center" vertical="center" wrapText="1"/>
    </xf>
    <xf numFmtId="0" fontId="4" fillId="6" borderId="2" xfId="0" applyFont="1" applyFill="1" applyBorder="1" applyAlignment="1">
      <alignment horizontal="center" vertical="center" wrapText="1"/>
    </xf>
    <xf numFmtId="164" fontId="6" fillId="9" borderId="2" xfId="5" applyFont="1" applyFill="1" applyBorder="1" applyAlignment="1">
      <alignment horizontal="center" vertical="center" wrapText="1"/>
    </xf>
    <xf numFmtId="165" fontId="5" fillId="0" borderId="0" xfId="0" applyNumberFormat="1" applyFont="1"/>
    <xf numFmtId="166" fontId="5" fillId="0" borderId="0" xfId="0" applyNumberFormat="1" applyFont="1"/>
    <xf numFmtId="166" fontId="9" fillId="0" borderId="0" xfId="0" applyNumberFormat="1" applyFont="1"/>
    <xf numFmtId="0" fontId="17" fillId="0" borderId="0" xfId="0" applyFont="1"/>
    <xf numFmtId="0" fontId="2" fillId="0" borderId="0" xfId="0" applyFont="1"/>
    <xf numFmtId="0" fontId="18" fillId="12" borderId="7"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18" fillId="12" borderId="9" xfId="0" applyFont="1" applyFill="1" applyBorder="1" applyAlignment="1">
      <alignment horizontal="center" vertical="center" wrapText="1"/>
    </xf>
    <xf numFmtId="0" fontId="18" fillId="12" borderId="10" xfId="0"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20" fillId="12" borderId="10"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13" borderId="12" xfId="0" applyFont="1" applyFill="1" applyBorder="1" applyAlignment="1">
      <alignment horizontal="center" vertical="center" wrapText="1"/>
    </xf>
    <xf numFmtId="164" fontId="18" fillId="13" borderId="12" xfId="5" applyFont="1" applyFill="1" applyBorder="1" applyAlignment="1">
      <alignment horizontal="center" vertical="center" wrapText="1"/>
    </xf>
    <xf numFmtId="164" fontId="19" fillId="13" borderId="12" xfId="5" applyFont="1" applyFill="1" applyBorder="1" applyAlignment="1">
      <alignment horizontal="center" vertical="center" wrapText="1"/>
    </xf>
    <xf numFmtId="164" fontId="20" fillId="13" borderId="12" xfId="5" applyFont="1" applyFill="1" applyBorder="1" applyAlignment="1">
      <alignment horizontal="center" vertical="center" wrapText="1"/>
    </xf>
    <xf numFmtId="164" fontId="18" fillId="12" borderId="11" xfId="0" applyNumberFormat="1" applyFont="1" applyFill="1" applyBorder="1" applyAlignment="1">
      <alignment horizontal="center" vertical="center" wrapText="1"/>
    </xf>
    <xf numFmtId="0" fontId="21" fillId="0" borderId="13" xfId="0" applyFont="1" applyBorder="1" applyAlignment="1">
      <alignment vertical="center" wrapText="1"/>
    </xf>
    <xf numFmtId="0" fontId="22" fillId="0" borderId="12" xfId="0" applyFont="1" applyBorder="1" applyAlignment="1">
      <alignment horizontal="right" vertical="center" wrapText="1"/>
    </xf>
    <xf numFmtId="164" fontId="22" fillId="0" borderId="12" xfId="5" applyFont="1" applyBorder="1" applyAlignment="1">
      <alignment horizontal="right" vertical="center" wrapText="1"/>
    </xf>
    <xf numFmtId="164" fontId="23" fillId="0" borderId="12" xfId="5" applyFont="1" applyBorder="1" applyAlignment="1">
      <alignment horizontal="right" vertical="center" wrapText="1"/>
    </xf>
    <xf numFmtId="164" fontId="24" fillId="0" borderId="12" xfId="5" applyFont="1" applyBorder="1" applyAlignment="1">
      <alignment horizontal="right" vertical="center" wrapText="1"/>
    </xf>
    <xf numFmtId="164" fontId="0" fillId="0" borderId="0" xfId="0" applyNumberFormat="1"/>
    <xf numFmtId="0" fontId="21" fillId="0" borderId="11" xfId="0" applyFont="1" applyBorder="1" applyAlignment="1">
      <alignment vertical="center" wrapText="1"/>
    </xf>
    <xf numFmtId="0" fontId="22" fillId="0" borderId="12" xfId="0" applyFont="1" applyBorder="1" applyAlignment="1">
      <alignment horizontal="center" vertical="center" wrapText="1"/>
    </xf>
    <xf numFmtId="164" fontId="22" fillId="4" borderId="12" xfId="5" applyFont="1" applyFill="1" applyBorder="1" applyAlignment="1">
      <alignment horizontal="right" vertical="center" wrapText="1"/>
    </xf>
    <xf numFmtId="0" fontId="25" fillId="14" borderId="11" xfId="0" applyFont="1" applyFill="1" applyBorder="1" applyAlignment="1">
      <alignment vertical="center" wrapText="1"/>
    </xf>
    <xf numFmtId="0" fontId="18" fillId="14" borderId="12" xfId="0" applyFont="1" applyFill="1" applyBorder="1" applyAlignment="1">
      <alignment horizontal="right" vertical="center" wrapText="1"/>
    </xf>
    <xf numFmtId="164" fontId="18" fillId="14" borderId="12" xfId="5" applyFont="1" applyFill="1" applyBorder="1" applyAlignment="1">
      <alignment horizontal="right" vertical="center" wrapText="1"/>
    </xf>
    <xf numFmtId="164" fontId="19" fillId="14" borderId="12" xfId="5" applyFont="1" applyFill="1" applyBorder="1" applyAlignment="1">
      <alignment horizontal="right" vertical="center" wrapText="1"/>
    </xf>
    <xf numFmtId="164" fontId="20" fillId="15" borderId="12" xfId="5" applyFont="1" applyFill="1" applyBorder="1" applyAlignment="1">
      <alignment horizontal="right" vertical="center" wrapText="1"/>
    </xf>
    <xf numFmtId="164" fontId="19" fillId="15" borderId="12" xfId="5" applyFont="1" applyFill="1" applyBorder="1" applyAlignment="1">
      <alignment horizontal="right" vertical="center" wrapText="1"/>
    </xf>
    <xf numFmtId="164" fontId="20" fillId="16" borderId="12" xfId="5" applyFont="1" applyFill="1" applyBorder="1" applyAlignment="1">
      <alignment horizontal="right" vertical="center" wrapText="1"/>
    </xf>
    <xf numFmtId="164" fontId="21" fillId="0" borderId="11" xfId="5" applyFont="1" applyBorder="1" applyAlignment="1">
      <alignment vertical="center" wrapText="1"/>
    </xf>
    <xf numFmtId="164" fontId="20" fillId="0" borderId="12" xfId="5" applyFont="1" applyBorder="1" applyAlignment="1">
      <alignment horizontal="right" vertical="center" wrapText="1"/>
    </xf>
    <xf numFmtId="164" fontId="18" fillId="14" borderId="12" xfId="0" applyNumberFormat="1" applyFont="1" applyFill="1" applyBorder="1" applyAlignment="1">
      <alignment horizontal="right" vertical="center" wrapText="1"/>
    </xf>
    <xf numFmtId="164" fontId="19" fillId="14" borderId="12" xfId="0" applyNumberFormat="1" applyFont="1" applyFill="1" applyBorder="1" applyAlignment="1">
      <alignment horizontal="right" vertical="center" wrapText="1"/>
    </xf>
    <xf numFmtId="164" fontId="20" fillId="14" borderId="12" xfId="0" applyNumberFormat="1" applyFont="1" applyFill="1" applyBorder="1" applyAlignment="1">
      <alignment horizontal="right" vertical="center" wrapText="1"/>
    </xf>
    <xf numFmtId="164" fontId="0" fillId="0" borderId="0" xfId="5" applyFont="1"/>
    <xf numFmtId="0" fontId="26" fillId="0" borderId="0" xfId="0" applyFont="1" applyAlignment="1">
      <alignment vertical="center"/>
    </xf>
    <xf numFmtId="0" fontId="0" fillId="0" borderId="0" xfId="0" applyAlignment="1">
      <alignment horizontal="center"/>
    </xf>
    <xf numFmtId="0" fontId="3" fillId="0" borderId="0" xfId="0" applyFont="1"/>
    <xf numFmtId="0" fontId="29" fillId="0" borderId="2" xfId="0" applyFont="1" applyBorder="1" applyAlignment="1">
      <alignment horizontal="center" vertical="center" wrapText="1"/>
    </xf>
    <xf numFmtId="0" fontId="29" fillId="2"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0" fillId="0" borderId="2" xfId="0" applyFont="1" applyBorder="1" applyAlignment="1">
      <alignment vertical="center" wrapText="1"/>
    </xf>
    <xf numFmtId="0" fontId="34" fillId="0" borderId="2" xfId="0" applyFont="1" applyBorder="1" applyAlignment="1">
      <alignment vertical="center" wrapText="1"/>
    </xf>
    <xf numFmtId="164" fontId="30" fillId="0" borderId="2" xfId="0" applyNumberFormat="1" applyFont="1" applyBorder="1" applyAlignment="1">
      <alignment horizontal="right" vertical="center"/>
    </xf>
    <xf numFmtId="164" fontId="30" fillId="0" borderId="2" xfId="0" applyNumberFormat="1" applyFont="1" applyBorder="1" applyAlignment="1">
      <alignment horizontal="right" vertical="center" wrapText="1"/>
    </xf>
    <xf numFmtId="9" fontId="35" fillId="0" borderId="2" xfId="2" applyFont="1" applyBorder="1" applyAlignment="1">
      <alignment horizontal="center" vertical="center" wrapText="1"/>
    </xf>
    <xf numFmtId="0" fontId="0" fillId="10" borderId="0" xfId="0" applyFill="1"/>
    <xf numFmtId="0" fontId="29" fillId="0" borderId="2" xfId="0" applyFont="1" applyBorder="1" applyAlignment="1">
      <alignment vertical="center" wrapText="1"/>
    </xf>
    <xf numFmtId="0" fontId="36" fillId="0" borderId="2" xfId="0" applyFont="1" applyBorder="1" applyAlignment="1">
      <alignment vertical="center" wrapText="1"/>
    </xf>
    <xf numFmtId="164" fontId="29" fillId="0" borderId="2" xfId="0" applyNumberFormat="1" applyFont="1" applyBorder="1" applyAlignment="1">
      <alignment horizontal="center" vertical="center"/>
    </xf>
    <xf numFmtId="164" fontId="29" fillId="0" borderId="2" xfId="5" applyFont="1" applyBorder="1" applyAlignment="1">
      <alignment horizontal="center" vertical="center" wrapText="1"/>
    </xf>
    <xf numFmtId="164" fontId="29" fillId="0" borderId="2" xfId="0" applyNumberFormat="1" applyFont="1" applyBorder="1" applyAlignment="1">
      <alignment horizontal="center" vertical="center" wrapText="1"/>
    </xf>
    <xf numFmtId="164" fontId="29" fillId="0" borderId="2" xfId="5" applyFont="1" applyBorder="1" applyAlignment="1">
      <alignment horizontal="right" vertical="center" wrapText="1"/>
    </xf>
    <xf numFmtId="0" fontId="29" fillId="0" borderId="2" xfId="0" applyFont="1" applyBorder="1" applyAlignment="1">
      <alignment horizontal="justify" vertical="center" wrapText="1"/>
    </xf>
    <xf numFmtId="164" fontId="29" fillId="0" borderId="2" xfId="0" applyNumberFormat="1" applyFont="1" applyBorder="1" applyAlignment="1">
      <alignment horizontal="right"/>
    </xf>
    <xf numFmtId="164" fontId="34" fillId="0" borderId="2" xfId="0" applyNumberFormat="1" applyFont="1" applyBorder="1" applyAlignment="1">
      <alignment horizontal="right" vertical="center" wrapText="1"/>
    </xf>
    <xf numFmtId="0" fontId="36" fillId="2" borderId="2" xfId="0" applyFont="1" applyFill="1" applyBorder="1" applyAlignment="1">
      <alignment vertical="center" wrapText="1"/>
    </xf>
    <xf numFmtId="164" fontId="36" fillId="0" borderId="2" xfId="0" applyNumberFormat="1" applyFont="1" applyBorder="1" applyAlignment="1">
      <alignment horizontal="right" vertical="center" wrapText="1"/>
    </xf>
    <xf numFmtId="164" fontId="36" fillId="0" borderId="2" xfId="5" applyFont="1" applyBorder="1" applyAlignment="1">
      <alignment horizontal="right" vertical="center" wrapText="1"/>
    </xf>
    <xf numFmtId="164" fontId="36" fillId="0" borderId="2" xfId="5" applyFont="1" applyBorder="1" applyAlignment="1">
      <alignment vertical="center" wrapText="1"/>
    </xf>
    <xf numFmtId="164" fontId="36" fillId="0" borderId="2" xfId="0" applyNumberFormat="1" applyFont="1" applyBorder="1" applyAlignment="1">
      <alignment horizontal="center" vertical="center" wrapText="1"/>
    </xf>
    <xf numFmtId="164" fontId="36" fillId="0" borderId="2" xfId="5" applyFont="1" applyBorder="1" applyAlignment="1">
      <alignment horizontal="center" vertical="center" wrapText="1"/>
    </xf>
    <xf numFmtId="9" fontId="35" fillId="0" borderId="2" xfId="2" applyFont="1" applyFill="1" applyBorder="1" applyAlignment="1">
      <alignment horizontal="center" vertical="center" wrapText="1"/>
    </xf>
    <xf numFmtId="0" fontId="36" fillId="0" borderId="3" xfId="0" applyFont="1" applyBorder="1" applyAlignment="1">
      <alignment vertical="center" wrapText="1"/>
    </xf>
    <xf numFmtId="164" fontId="36" fillId="0" borderId="2" xfId="5" applyFont="1" applyBorder="1" applyAlignment="1">
      <alignment horizontal="right" wrapText="1"/>
    </xf>
    <xf numFmtId="0" fontId="36" fillId="0" borderId="2" xfId="0" applyFont="1" applyBorder="1" applyAlignment="1">
      <alignment horizontal="center" vertical="center" wrapText="1"/>
    </xf>
    <xf numFmtId="0" fontId="36" fillId="0" borderId="2" xfId="0" applyFont="1" applyBorder="1" applyAlignment="1">
      <alignment horizontal="center" wrapText="1"/>
    </xf>
    <xf numFmtId="9" fontId="35" fillId="0" borderId="2" xfId="2" applyFont="1" applyBorder="1" applyAlignment="1">
      <alignment vertical="center" wrapText="1"/>
    </xf>
    <xf numFmtId="164" fontId="36" fillId="0" borderId="2" xfId="0" applyNumberFormat="1" applyFont="1" applyBorder="1" applyAlignment="1">
      <alignment vertical="center" wrapText="1"/>
    </xf>
    <xf numFmtId="164" fontId="34" fillId="0" borderId="2" xfId="5" applyFont="1" applyBorder="1" applyAlignment="1">
      <alignment horizontal="center" wrapText="1"/>
    </xf>
    <xf numFmtId="167" fontId="34" fillId="0" borderId="2" xfId="0" applyNumberFormat="1" applyFont="1" applyBorder="1" applyAlignment="1">
      <alignment horizontal="center" vertical="center" wrapText="1"/>
    </xf>
    <xf numFmtId="164" fontId="36" fillId="0" borderId="2" xfId="0" applyNumberFormat="1" applyFont="1" applyBorder="1" applyAlignment="1">
      <alignment wrapText="1"/>
    </xf>
    <xf numFmtId="164" fontId="29" fillId="0" borderId="2" xfId="0" applyNumberFormat="1" applyFont="1" applyBorder="1" applyAlignment="1">
      <alignment vertical="center" wrapText="1"/>
    </xf>
    <xf numFmtId="0" fontId="30" fillId="0" borderId="2" xfId="0" applyFont="1" applyBorder="1" applyAlignment="1">
      <alignment horizontal="center" vertical="center" wrapText="1"/>
    </xf>
    <xf numFmtId="164" fontId="30" fillId="0" borderId="2" xfId="0" applyNumberFormat="1" applyFont="1" applyBorder="1" applyAlignment="1">
      <alignment horizontal="center" vertical="center" wrapText="1"/>
    </xf>
    <xf numFmtId="164" fontId="0" fillId="0" borderId="0" xfId="0" applyNumberFormat="1" applyAlignment="1">
      <alignment horizontal="center"/>
    </xf>
    <xf numFmtId="164" fontId="0" fillId="0" borderId="0" xfId="2" applyNumberFormat="1" applyFont="1"/>
    <xf numFmtId="0" fontId="37" fillId="0" borderId="0" xfId="0" applyFont="1" applyAlignment="1">
      <alignment horizontal="left" vertical="center" wrapText="1"/>
    </xf>
    <xf numFmtId="0" fontId="27"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164" fontId="5" fillId="0" borderId="0" xfId="0" applyNumberFormat="1" applyFont="1"/>
    <xf numFmtId="43" fontId="36" fillId="0" borderId="2" xfId="1" applyFont="1" applyBorder="1" applyAlignment="1">
      <alignment horizontal="center" vertical="center" wrapText="1"/>
    </xf>
    <xf numFmtId="164" fontId="18" fillId="12" borderId="2" xfId="0" applyNumberFormat="1" applyFont="1" applyFill="1" applyBorder="1" applyAlignment="1">
      <alignment horizontal="center" vertical="center" wrapText="1"/>
    </xf>
    <xf numFmtId="164" fontId="22" fillId="0" borderId="2" xfId="5" applyFont="1" applyBorder="1" applyAlignment="1">
      <alignment horizontal="right" vertical="center" wrapText="1"/>
    </xf>
    <xf numFmtId="164" fontId="19" fillId="15" borderId="2" xfId="5" applyFont="1" applyFill="1" applyBorder="1" applyAlignment="1">
      <alignment horizontal="right" vertical="center" wrapText="1"/>
    </xf>
    <xf numFmtId="164" fontId="23" fillId="0" borderId="2" xfId="5" applyFont="1" applyBorder="1" applyAlignment="1">
      <alignment horizontal="right" vertical="center" wrapText="1"/>
    </xf>
    <xf numFmtId="0" fontId="5" fillId="0" borderId="0" xfId="0" applyFont="1" applyAlignment="1">
      <alignment wrapText="1"/>
    </xf>
    <xf numFmtId="0" fontId="11" fillId="0" borderId="0" xfId="0" applyFont="1" applyAlignment="1">
      <alignment wrapText="1"/>
    </xf>
    <xf numFmtId="164" fontId="39" fillId="0" borderId="2" xfId="5" applyFont="1" applyBorder="1" applyAlignment="1">
      <alignment horizontal="center" vertical="center"/>
    </xf>
    <xf numFmtId="164" fontId="39" fillId="6" borderId="2" xfId="5" applyFont="1" applyFill="1" applyBorder="1" applyAlignment="1">
      <alignment horizontal="center" vertical="center"/>
    </xf>
    <xf numFmtId="164" fontId="39" fillId="8" borderId="2" xfId="5" applyFont="1" applyFill="1" applyBorder="1" applyAlignment="1">
      <alignment horizontal="center" vertical="center"/>
    </xf>
    <xf numFmtId="164" fontId="39" fillId="6" borderId="2" xfId="5" applyFont="1" applyFill="1" applyBorder="1" applyAlignment="1" applyProtection="1">
      <alignment horizontal="center" vertical="center" wrapText="1"/>
      <protection hidden="1"/>
    </xf>
    <xf numFmtId="164" fontId="41" fillId="0" borderId="2" xfId="5" applyFont="1" applyFill="1" applyBorder="1" applyAlignment="1">
      <alignment horizontal="center" vertical="center" wrapText="1"/>
    </xf>
    <xf numFmtId="0" fontId="43" fillId="16" borderId="2" xfId="3" applyFont="1" applyFill="1" applyBorder="1" applyAlignment="1">
      <alignment horizontal="center" vertical="center"/>
    </xf>
    <xf numFmtId="0" fontId="40" fillId="0" borderId="0" xfId="0" applyFont="1" applyFill="1" applyAlignment="1">
      <alignment wrapText="1"/>
    </xf>
    <xf numFmtId="0" fontId="6" fillId="0" borderId="0" xfId="4" applyFont="1"/>
    <xf numFmtId="0" fontId="6" fillId="0" borderId="0" xfId="3" applyFont="1" applyAlignment="1">
      <alignment vertical="center"/>
    </xf>
    <xf numFmtId="0" fontId="5" fillId="0" borderId="2" xfId="0" applyFont="1" applyBorder="1" applyAlignment="1">
      <alignment horizontal="center" vertical="center" wrapText="1"/>
    </xf>
    <xf numFmtId="164" fontId="6" fillId="7" borderId="2" xfId="3" applyNumberFormat="1" applyFont="1" applyFill="1" applyBorder="1" applyAlignment="1">
      <alignment horizontal="center" vertical="center" wrapText="1"/>
    </xf>
    <xf numFmtId="164" fontId="6" fillId="8" borderId="2" xfId="5" applyFont="1" applyFill="1" applyBorder="1" applyAlignment="1">
      <alignment horizontal="center" vertical="center" wrapText="1"/>
    </xf>
    <xf numFmtId="164" fontId="39" fillId="8" borderId="2" xfId="5" applyFont="1" applyFill="1" applyBorder="1" applyAlignment="1">
      <alignment horizontal="center" vertical="center" wrapText="1"/>
    </xf>
    <xf numFmtId="9" fontId="6" fillId="8" borderId="2" xfId="2" applyFont="1" applyFill="1" applyBorder="1" applyAlignment="1">
      <alignment horizontal="center" vertical="center" wrapText="1"/>
    </xf>
    <xf numFmtId="164" fontId="12" fillId="0" borderId="2" xfId="5" applyFont="1" applyBorder="1" applyAlignment="1">
      <alignment horizontal="center" vertical="center" wrapText="1"/>
    </xf>
    <xf numFmtId="0" fontId="5" fillId="0" borderId="2" xfId="0" applyFont="1" applyBorder="1" applyAlignment="1">
      <alignment horizontal="center" vertical="center"/>
    </xf>
    <xf numFmtId="164" fontId="4" fillId="6" borderId="2" xfId="5" applyFont="1" applyFill="1" applyBorder="1" applyAlignment="1">
      <alignment horizontal="center" vertical="center" wrapText="1"/>
    </xf>
    <xf numFmtId="164" fontId="39" fillId="6" borderId="2" xfId="5" applyFont="1" applyFill="1" applyBorder="1" applyAlignment="1">
      <alignment horizontal="center" vertical="center" wrapText="1"/>
    </xf>
    <xf numFmtId="0" fontId="4" fillId="0" borderId="2" xfId="3" applyFont="1" applyBorder="1" applyAlignment="1">
      <alignment horizontal="center" vertical="center"/>
    </xf>
    <xf numFmtId="164" fontId="5" fillId="0" borderId="2" xfId="5" applyFont="1" applyFill="1" applyBorder="1" applyAlignment="1">
      <alignment horizontal="center" vertical="center"/>
    </xf>
    <xf numFmtId="164" fontId="39" fillId="0" borderId="2" xfId="5" applyFont="1" applyFill="1" applyBorder="1" applyAlignment="1">
      <alignment horizontal="center" vertical="center"/>
    </xf>
    <xf numFmtId="0" fontId="44" fillId="0" borderId="2" xfId="3" applyFont="1" applyBorder="1" applyAlignment="1">
      <alignment horizontal="center" vertical="center" wrapText="1"/>
    </xf>
    <xf numFmtId="0" fontId="41" fillId="18" borderId="1" xfId="0" applyFont="1" applyFill="1" applyBorder="1" applyAlignment="1">
      <alignment horizontal="center" vertical="center" wrapText="1"/>
    </xf>
    <xf numFmtId="0" fontId="40" fillId="18" borderId="5" xfId="0" applyFont="1" applyFill="1" applyBorder="1" applyAlignment="1">
      <alignment horizontal="center" vertical="center" wrapText="1"/>
    </xf>
    <xf numFmtId="0" fontId="42" fillId="18" borderId="12" xfId="0" applyFont="1" applyFill="1" applyBorder="1" applyAlignment="1">
      <alignment horizontal="center" vertical="center" wrapText="1"/>
    </xf>
    <xf numFmtId="49" fontId="4" fillId="6" borderId="2" xfId="0" applyNumberFormat="1" applyFont="1" applyFill="1" applyBorder="1" applyAlignment="1">
      <alignment horizontal="center" vertical="center"/>
    </xf>
    <xf numFmtId="49" fontId="4" fillId="6" borderId="2" xfId="0" applyNumberFormat="1" applyFont="1" applyFill="1" applyBorder="1" applyAlignment="1">
      <alignment horizontal="center" vertical="center" wrapText="1"/>
    </xf>
    <xf numFmtId="164" fontId="4" fillId="7" borderId="2" xfId="5" applyFont="1" applyFill="1" applyBorder="1" applyAlignment="1">
      <alignment horizontal="center" vertical="center"/>
    </xf>
    <xf numFmtId="164" fontId="6" fillId="2" borderId="2" xfId="3" applyNumberFormat="1" applyFont="1" applyFill="1" applyBorder="1" applyAlignment="1">
      <alignment horizontal="center" vertical="center"/>
    </xf>
    <xf numFmtId="164" fontId="39" fillId="2" borderId="2" xfId="3" applyNumberFormat="1" applyFont="1" applyFill="1" applyBorder="1" applyAlignment="1">
      <alignment horizontal="center" vertical="center"/>
    </xf>
    <xf numFmtId="43" fontId="39" fillId="9" borderId="2" xfId="1" applyFont="1" applyFill="1" applyBorder="1" applyAlignment="1">
      <alignment horizontal="center" vertical="center" wrapText="1"/>
    </xf>
    <xf numFmtId="164" fontId="6" fillId="10" borderId="2" xfId="5" applyFont="1" applyFill="1" applyBorder="1" applyAlignment="1">
      <alignment horizontal="center" vertical="center" wrapText="1"/>
    </xf>
    <xf numFmtId="164" fontId="39" fillId="10" borderId="2" xfId="5" applyFont="1" applyFill="1" applyBorder="1" applyAlignment="1">
      <alignment horizontal="center" vertical="center" wrapText="1"/>
    </xf>
    <xf numFmtId="16" fontId="14" fillId="0" borderId="2" xfId="3" applyNumberFormat="1" applyFont="1" applyBorder="1" applyAlignment="1">
      <alignment horizontal="center" vertical="center" wrapText="1"/>
    </xf>
    <xf numFmtId="164" fontId="12" fillId="0" borderId="2" xfId="5" applyFont="1" applyFill="1" applyBorder="1" applyAlignment="1">
      <alignment horizontal="center" vertical="center" wrapText="1"/>
    </xf>
    <xf numFmtId="164" fontId="39" fillId="0" borderId="2" xfId="5" applyFont="1" applyFill="1" applyBorder="1" applyAlignment="1">
      <alignment horizontal="center" vertical="center" wrapText="1"/>
    </xf>
    <xf numFmtId="164" fontId="4" fillId="0" borderId="2" xfId="5" applyFont="1" applyBorder="1" applyAlignment="1">
      <alignment horizontal="center" vertical="center" wrapText="1"/>
    </xf>
    <xf numFmtId="164" fontId="6" fillId="2" borderId="2" xfId="5" applyFont="1" applyFill="1" applyBorder="1" applyAlignment="1">
      <alignment horizontal="center" vertical="center" wrapText="1"/>
    </xf>
    <xf numFmtId="164" fontId="39" fillId="2" borderId="2" xfId="5" applyFont="1" applyFill="1" applyBorder="1" applyAlignment="1">
      <alignment horizontal="center" vertical="center" wrapText="1"/>
    </xf>
    <xf numFmtId="164" fontId="39" fillId="9" borderId="2" xfId="5" applyFont="1" applyFill="1" applyBorder="1" applyAlignment="1">
      <alignment horizontal="center" vertical="center" wrapText="1"/>
    </xf>
    <xf numFmtId="164" fontId="6" fillId="11" borderId="2" xfId="5" applyFont="1" applyFill="1" applyBorder="1" applyAlignment="1">
      <alignment horizontal="center" vertical="center" wrapText="1"/>
    </xf>
    <xf numFmtId="164" fontId="39" fillId="11" borderId="2" xfId="5" applyFont="1" applyFill="1" applyBorder="1" applyAlignment="1">
      <alignment horizontal="center" vertical="center" wrapText="1"/>
    </xf>
    <xf numFmtId="165" fontId="6" fillId="10" borderId="2" xfId="5" applyNumberFormat="1" applyFont="1" applyFill="1" applyBorder="1" applyAlignment="1">
      <alignment horizontal="center" vertical="center"/>
    </xf>
    <xf numFmtId="165" fontId="39" fillId="10" borderId="2" xfId="5" applyNumberFormat="1" applyFont="1" applyFill="1" applyBorder="1" applyAlignment="1">
      <alignment horizontal="center" vertical="center"/>
    </xf>
    <xf numFmtId="164" fontId="15" fillId="0" borderId="2" xfId="5" applyFont="1" applyBorder="1" applyAlignment="1">
      <alignment vertical="center" wrapText="1"/>
    </xf>
    <xf numFmtId="0" fontId="18" fillId="12" borderId="19" xfId="0" applyFont="1" applyFill="1" applyBorder="1" applyAlignment="1">
      <alignment horizontal="center" vertical="center" wrapText="1"/>
    </xf>
    <xf numFmtId="164" fontId="19" fillId="14" borderId="6" xfId="0" applyNumberFormat="1" applyFont="1" applyFill="1" applyBorder="1" applyAlignment="1">
      <alignment horizontal="right" vertical="center" wrapText="1"/>
    </xf>
    <xf numFmtId="165" fontId="18" fillId="13" borderId="2" xfId="5" applyNumberFormat="1" applyFont="1" applyFill="1" applyBorder="1" applyAlignment="1">
      <alignment horizontal="center" vertical="center" wrapText="1"/>
    </xf>
    <xf numFmtId="165" fontId="19" fillId="13" borderId="2" xfId="5" applyNumberFormat="1" applyFont="1" applyFill="1" applyBorder="1" applyAlignment="1">
      <alignment horizontal="center" vertical="center" wrapText="1"/>
    </xf>
    <xf numFmtId="164" fontId="20" fillId="13" borderId="2" xfId="5" applyFont="1" applyFill="1" applyBorder="1" applyAlignment="1">
      <alignment horizontal="center" vertical="center" wrapText="1"/>
    </xf>
    <xf numFmtId="164" fontId="19" fillId="13" borderId="2" xfId="5" applyFont="1" applyFill="1" applyBorder="1" applyAlignment="1">
      <alignment horizontal="center" vertical="center" wrapText="1"/>
    </xf>
    <xf numFmtId="164" fontId="24" fillId="0" borderId="2" xfId="5" applyFont="1" applyBorder="1" applyAlignment="1">
      <alignment horizontal="right" vertical="center" wrapText="1"/>
    </xf>
    <xf numFmtId="164" fontId="22" fillId="4" borderId="2" xfId="5" applyFont="1" applyFill="1" applyBorder="1" applyAlignment="1">
      <alignment horizontal="right" vertical="center" wrapText="1"/>
    </xf>
    <xf numFmtId="164" fontId="18" fillId="14" borderId="2" xfId="5" applyFont="1" applyFill="1" applyBorder="1" applyAlignment="1">
      <alignment horizontal="right" vertical="center" wrapText="1"/>
    </xf>
    <xf numFmtId="164" fontId="19" fillId="14" borderId="2" xfId="5" applyFont="1" applyFill="1" applyBorder="1" applyAlignment="1">
      <alignment horizontal="right" vertical="center" wrapText="1"/>
    </xf>
    <xf numFmtId="164" fontId="20" fillId="15" borderId="2" xfId="5" applyFont="1" applyFill="1" applyBorder="1" applyAlignment="1">
      <alignment horizontal="right" vertical="center" wrapText="1"/>
    </xf>
    <xf numFmtId="164" fontId="20" fillId="16" borderId="2" xfId="5" applyFont="1" applyFill="1" applyBorder="1" applyAlignment="1">
      <alignment horizontal="right" vertical="center" wrapText="1"/>
    </xf>
    <xf numFmtId="164" fontId="20" fillId="0" borderId="2" xfId="5" applyFont="1" applyBorder="1" applyAlignment="1">
      <alignment horizontal="right" vertical="center" wrapText="1"/>
    </xf>
    <xf numFmtId="0" fontId="18" fillId="12" borderId="23"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20" fillId="12" borderId="19" xfId="0" applyFont="1" applyFill="1" applyBorder="1" applyAlignment="1">
      <alignment horizontal="center" vertical="center" wrapText="1"/>
    </xf>
    <xf numFmtId="0" fontId="18" fillId="12" borderId="24" xfId="0" applyFont="1" applyFill="1" applyBorder="1" applyAlignment="1">
      <alignment horizontal="center" vertical="center" wrapText="1"/>
    </xf>
    <xf numFmtId="0" fontId="21" fillId="0" borderId="24" xfId="0" applyFont="1" applyBorder="1" applyAlignment="1">
      <alignment vertical="center" wrapText="1"/>
    </xf>
    <xf numFmtId="0" fontId="25" fillId="14" borderId="24" xfId="0" applyFont="1" applyFill="1" applyBorder="1" applyAlignment="1">
      <alignment vertical="center" wrapText="1"/>
    </xf>
    <xf numFmtId="164" fontId="21" fillId="0" borderId="24" xfId="5" applyFont="1" applyBorder="1" applyAlignment="1">
      <alignment vertical="center" wrapText="1"/>
    </xf>
    <xf numFmtId="0" fontId="25" fillId="14" borderId="25" xfId="0" applyFont="1" applyFill="1" applyBorder="1" applyAlignment="1">
      <alignment vertical="center" wrapText="1"/>
    </xf>
    <xf numFmtId="164" fontId="18" fillId="14" borderId="6" xfId="0" applyNumberFormat="1" applyFont="1" applyFill="1" applyBorder="1" applyAlignment="1">
      <alignment horizontal="right" vertical="center" wrapText="1"/>
    </xf>
    <xf numFmtId="164" fontId="20" fillId="14" borderId="6" xfId="0" applyNumberFormat="1" applyFont="1" applyFill="1" applyBorder="1" applyAlignment="1">
      <alignment horizontal="right" vertical="center" wrapText="1"/>
    </xf>
    <xf numFmtId="164" fontId="20" fillId="16" borderId="6" xfId="5" applyFont="1" applyFill="1" applyBorder="1" applyAlignment="1">
      <alignment horizontal="right" vertical="center" wrapText="1"/>
    </xf>
    <xf numFmtId="0" fontId="40" fillId="18" borderId="1" xfId="0" applyFont="1" applyFill="1" applyBorder="1" applyAlignment="1">
      <alignment horizontal="left" vertical="center" wrapText="1"/>
    </xf>
    <xf numFmtId="43" fontId="0" fillId="0" borderId="0" xfId="1" applyFont="1"/>
    <xf numFmtId="0" fontId="45" fillId="0" borderId="0" xfId="0" applyFont="1" applyAlignment="1">
      <alignment horizontal="left" vertical="center" indent="2"/>
    </xf>
    <xf numFmtId="0" fontId="45" fillId="0" borderId="0" xfId="0" applyFont="1"/>
    <xf numFmtId="0" fontId="47" fillId="12" borderId="7" xfId="0" applyFont="1" applyFill="1" applyBorder="1" applyAlignment="1">
      <alignment vertical="center" wrapText="1"/>
    </xf>
    <xf numFmtId="0" fontId="47" fillId="12" borderId="10" xfId="0" applyFont="1" applyFill="1" applyBorder="1" applyAlignment="1">
      <alignment horizontal="center" vertical="center" wrapText="1"/>
    </xf>
    <xf numFmtId="0" fontId="47" fillId="12" borderId="11" xfId="0" applyFont="1" applyFill="1" applyBorder="1" applyAlignment="1">
      <alignment horizontal="center" vertical="center" wrapText="1"/>
    </xf>
    <xf numFmtId="0" fontId="47" fillId="13" borderId="12" xfId="0" applyFont="1" applyFill="1" applyBorder="1" applyAlignment="1">
      <alignment horizontal="center" vertical="center" wrapText="1"/>
    </xf>
    <xf numFmtId="0" fontId="49" fillId="0" borderId="11" xfId="0" applyFont="1" applyBorder="1" applyAlignment="1">
      <alignment vertical="center" wrapText="1"/>
    </xf>
    <xf numFmtId="164" fontId="50" fillId="0" borderId="18" xfId="5" applyFont="1" applyBorder="1" applyAlignment="1">
      <alignment horizontal="right" vertical="center" wrapText="1"/>
    </xf>
    <xf numFmtId="164" fontId="51" fillId="0" borderId="17" xfId="5" applyFont="1" applyBorder="1" applyAlignment="1">
      <alignment horizontal="right" vertical="center" wrapText="1"/>
    </xf>
    <xf numFmtId="164" fontId="52" fillId="0" borderId="12" xfId="5" applyFont="1" applyBorder="1" applyAlignment="1">
      <alignment horizontal="right" vertical="center" wrapText="1"/>
    </xf>
    <xf numFmtId="0" fontId="47" fillId="14" borderId="11" xfId="0" applyFont="1" applyFill="1" applyBorder="1" applyAlignment="1">
      <alignment vertical="center" wrapText="1"/>
    </xf>
    <xf numFmtId="43" fontId="47" fillId="14" borderId="11" xfId="1" applyFont="1" applyFill="1" applyBorder="1" applyAlignment="1">
      <alignment vertical="center" wrapText="1"/>
    </xf>
    <xf numFmtId="43" fontId="49" fillId="0" borderId="11" xfId="1" applyFont="1" applyBorder="1" applyAlignment="1">
      <alignment vertical="center" wrapText="1"/>
    </xf>
    <xf numFmtId="168" fontId="47" fillId="14" borderId="11" xfId="1" applyNumberFormat="1" applyFont="1" applyFill="1" applyBorder="1" applyAlignment="1">
      <alignment vertical="center" wrapText="1"/>
    </xf>
    <xf numFmtId="0" fontId="55" fillId="0" borderId="0" xfId="0" applyFont="1"/>
    <xf numFmtId="0" fontId="56" fillId="0" borderId="0" xfId="0" applyFont="1" applyAlignment="1">
      <alignment horizontal="center" vertical="center"/>
    </xf>
    <xf numFmtId="0" fontId="55" fillId="0" borderId="0" xfId="0" applyFont="1" applyAlignment="1">
      <alignment horizontal="left" vertical="center" indent="2"/>
    </xf>
    <xf numFmtId="0" fontId="55" fillId="0" borderId="14" xfId="0" applyFont="1" applyBorder="1" applyAlignment="1">
      <alignment vertical="center" wrapText="1"/>
    </xf>
    <xf numFmtId="164" fontId="58" fillId="0" borderId="15" xfId="5" applyFont="1" applyBorder="1" applyAlignment="1">
      <alignment vertical="center" wrapText="1"/>
    </xf>
    <xf numFmtId="0" fontId="55" fillId="0" borderId="16" xfId="0" applyFont="1" applyBorder="1" applyAlignment="1">
      <alignment vertical="center" wrapText="1"/>
    </xf>
    <xf numFmtId="164" fontId="58" fillId="0" borderId="17" xfId="5" applyFont="1" applyBorder="1" applyAlignment="1">
      <alignment vertical="center" wrapText="1"/>
    </xf>
    <xf numFmtId="0" fontId="56" fillId="0" borderId="16" xfId="0" applyFont="1" applyBorder="1" applyAlignment="1">
      <alignment vertical="center" wrapText="1"/>
    </xf>
    <xf numFmtId="164" fontId="59" fillId="0" borderId="17" xfId="5" applyFont="1" applyBorder="1" applyAlignment="1">
      <alignment vertical="center" wrapText="1"/>
    </xf>
    <xf numFmtId="0" fontId="60" fillId="0" borderId="0" xfId="0" applyFont="1" applyAlignment="1">
      <alignment horizontal="left" vertical="center" indent="2"/>
    </xf>
    <xf numFmtId="0" fontId="54" fillId="0" borderId="0" xfId="0" applyFont="1"/>
    <xf numFmtId="0" fontId="47" fillId="12" borderId="19" xfId="0" applyFont="1" applyFill="1" applyBorder="1" applyAlignment="1">
      <alignment horizontal="center" vertical="center" wrapText="1"/>
    </xf>
    <xf numFmtId="0" fontId="50" fillId="0" borderId="24" xfId="0" applyFont="1" applyBorder="1" applyAlignment="1">
      <alignment vertical="center" wrapText="1"/>
    </xf>
    <xf numFmtId="0" fontId="47" fillId="14" borderId="24" xfId="0" applyFont="1" applyFill="1" applyBorder="1" applyAlignment="1">
      <alignment vertical="center" wrapText="1"/>
    </xf>
    <xf numFmtId="0" fontId="62" fillId="0" borderId="24" xfId="0" applyFont="1" applyBorder="1" applyAlignment="1">
      <alignment vertical="center" wrapText="1"/>
    </xf>
    <xf numFmtId="0" fontId="47" fillId="14" borderId="25" xfId="0" applyFont="1" applyFill="1" applyBorder="1" applyAlignment="1">
      <alignment vertical="center" wrapText="1"/>
    </xf>
    <xf numFmtId="0" fontId="53" fillId="12" borderId="10" xfId="0" applyFont="1" applyFill="1" applyBorder="1" applyAlignment="1">
      <alignment horizontal="center" vertical="center" wrapText="1"/>
    </xf>
    <xf numFmtId="0" fontId="53" fillId="13" borderId="12" xfId="0" applyFont="1" applyFill="1" applyBorder="1" applyAlignment="1">
      <alignment vertical="center" wrapText="1"/>
    </xf>
    <xf numFmtId="43" fontId="51" fillId="0" borderId="12" xfId="1" applyFont="1" applyBorder="1" applyAlignment="1">
      <alignment horizontal="right" vertical="center" wrapText="1"/>
    </xf>
    <xf numFmtId="43" fontId="50" fillId="0" borderId="12" xfId="1" applyFont="1" applyBorder="1" applyAlignment="1">
      <alignment horizontal="right" vertical="center" wrapText="1"/>
    </xf>
    <xf numFmtId="43" fontId="53" fillId="17" borderId="12" xfId="1" applyFont="1" applyFill="1" applyBorder="1" applyAlignment="1">
      <alignment horizontal="right" vertical="center" wrapText="1"/>
    </xf>
    <xf numFmtId="0" fontId="64" fillId="0" borderId="11" xfId="0" applyFont="1" applyBorder="1" applyAlignment="1">
      <alignment vertical="center" wrapText="1"/>
    </xf>
    <xf numFmtId="43" fontId="64" fillId="0" borderId="12" xfId="1" applyFont="1" applyBorder="1" applyAlignment="1">
      <alignment horizontal="right" vertical="center" wrapText="1"/>
    </xf>
    <xf numFmtId="168" fontId="53" fillId="14" borderId="12" xfId="1" applyNumberFormat="1" applyFont="1" applyFill="1" applyBorder="1" applyAlignment="1">
      <alignment horizontal="right" vertical="center" wrapText="1"/>
    </xf>
    <xf numFmtId="0" fontId="65" fillId="0" borderId="0" xfId="0" applyFont="1" applyAlignment="1">
      <alignment horizontal="center" vertical="center"/>
    </xf>
    <xf numFmtId="0" fontId="38" fillId="0" borderId="0" xfId="0" applyFont="1"/>
    <xf numFmtId="43" fontId="66" fillId="28" borderId="2" xfId="1" applyFont="1" applyFill="1" applyBorder="1" applyAlignment="1">
      <alignment horizontal="center" vertical="center"/>
    </xf>
    <xf numFmtId="43" fontId="66" fillId="20" borderId="2" xfId="1" applyFont="1" applyFill="1" applyBorder="1" applyAlignment="1">
      <alignment vertical="center"/>
    </xf>
    <xf numFmtId="43" fontId="66" fillId="20" borderId="2" xfId="1" applyFont="1" applyFill="1" applyBorder="1" applyAlignment="1">
      <alignment horizontal="right" vertical="center"/>
    </xf>
    <xf numFmtId="43" fontId="66" fillId="22" borderId="2" xfId="1" applyFont="1" applyFill="1" applyBorder="1" applyAlignment="1">
      <alignment horizontal="right" vertical="center"/>
    </xf>
    <xf numFmtId="43" fontId="66" fillId="23" borderId="2" xfId="1" applyFont="1" applyFill="1" applyBorder="1" applyAlignment="1">
      <alignment horizontal="right" vertical="center"/>
    </xf>
    <xf numFmtId="0" fontId="73" fillId="0" borderId="0" xfId="0" applyFont="1" applyAlignment="1">
      <alignment vertical="center"/>
    </xf>
    <xf numFmtId="43" fontId="66" fillId="28" borderId="2" xfId="1" applyFont="1" applyFill="1" applyBorder="1" applyAlignment="1">
      <alignment vertical="center"/>
    </xf>
    <xf numFmtId="43" fontId="68" fillId="0" borderId="2" xfId="1" applyFont="1" applyBorder="1" applyAlignment="1">
      <alignment vertical="center"/>
    </xf>
    <xf numFmtId="43" fontId="68" fillId="0" borderId="2" xfId="1" applyFont="1" applyBorder="1" applyAlignment="1">
      <alignment horizontal="right" vertical="center"/>
    </xf>
    <xf numFmtId="43" fontId="68" fillId="0" borderId="2" xfId="1" applyFont="1" applyBorder="1" applyAlignment="1">
      <alignment horizontal="center" vertical="center"/>
    </xf>
    <xf numFmtId="43" fontId="66" fillId="29" borderId="2" xfId="1" applyFont="1" applyFill="1" applyBorder="1" applyAlignment="1">
      <alignment horizontal="right" vertical="center"/>
    </xf>
    <xf numFmtId="43" fontId="66" fillId="30" borderId="2" xfId="1" applyFont="1" applyFill="1" applyBorder="1" applyAlignment="1">
      <alignment horizontal="right" vertical="center"/>
    </xf>
    <xf numFmtId="43" fontId="66" fillId="29" borderId="2" xfId="1" applyFont="1" applyFill="1" applyBorder="1" applyAlignment="1">
      <alignment vertical="center"/>
    </xf>
    <xf numFmtId="43" fontId="66" fillId="30" borderId="2" xfId="1" applyFont="1" applyFill="1" applyBorder="1" applyAlignment="1">
      <alignment vertical="center"/>
    </xf>
    <xf numFmtId="43" fontId="66" fillId="22" borderId="2" xfId="1" applyFont="1" applyFill="1" applyBorder="1" applyAlignment="1">
      <alignment vertical="center"/>
    </xf>
    <xf numFmtId="43" fontId="66" fillId="31" borderId="2" xfId="1" applyFont="1" applyFill="1" applyBorder="1" applyAlignment="1">
      <alignment horizontal="right" vertical="center"/>
    </xf>
    <xf numFmtId="43" fontId="68" fillId="0" borderId="2" xfId="1" applyFont="1" applyBorder="1" applyAlignment="1">
      <alignment horizontal="justify" vertical="center"/>
    </xf>
    <xf numFmtId="43" fontId="69" fillId="0" borderId="2" xfId="1" applyFont="1" applyBorder="1" applyAlignment="1">
      <alignment vertical="center"/>
    </xf>
    <xf numFmtId="43" fontId="66" fillId="22" borderId="2" xfId="1" applyFont="1" applyFill="1" applyBorder="1" applyAlignment="1">
      <alignment horizontal="justify" vertical="center"/>
    </xf>
    <xf numFmtId="43" fontId="66" fillId="23" borderId="2" xfId="1" applyFont="1" applyFill="1" applyBorder="1" applyAlignment="1">
      <alignment horizontal="justify" vertical="center"/>
    </xf>
    <xf numFmtId="43" fontId="68" fillId="0" borderId="2" xfId="1" applyFont="1" applyBorder="1" applyAlignment="1">
      <alignment vertical="center" wrapText="1"/>
    </xf>
    <xf numFmtId="49" fontId="66" fillId="28" borderId="2" xfId="1" applyNumberFormat="1" applyFont="1" applyFill="1" applyBorder="1" applyAlignment="1">
      <alignment horizontal="center" vertical="center"/>
    </xf>
    <xf numFmtId="43" fontId="2" fillId="0" borderId="0" xfId="1" applyFont="1"/>
    <xf numFmtId="43" fontId="68" fillId="0" borderId="2" xfId="1" applyFont="1" applyBorder="1" applyAlignment="1">
      <alignment horizontal="right" vertical="center" wrapText="1"/>
    </xf>
    <xf numFmtId="43" fontId="72" fillId="0" borderId="2" xfId="1" applyFont="1" applyBorder="1" applyAlignment="1">
      <alignment horizontal="right" vertical="center" wrapText="1"/>
    </xf>
    <xf numFmtId="0" fontId="65" fillId="0" borderId="2" xfId="0" applyFont="1" applyBorder="1" applyAlignment="1">
      <alignment vertical="center" wrapText="1"/>
    </xf>
    <xf numFmtId="0" fontId="66" fillId="12" borderId="2" xfId="0" applyFont="1" applyFill="1" applyBorder="1" applyAlignment="1">
      <alignment horizontal="center" vertical="center" wrapText="1"/>
    </xf>
    <xf numFmtId="0" fontId="72" fillId="0" borderId="2" xfId="0" applyFont="1" applyBorder="1" applyAlignment="1">
      <alignment vertical="center" wrapText="1"/>
    </xf>
    <xf numFmtId="0" fontId="66" fillId="14" borderId="2" xfId="0" applyFont="1" applyFill="1" applyBorder="1" applyAlignment="1">
      <alignment vertical="center" wrapText="1"/>
    </xf>
    <xf numFmtId="43" fontId="66" fillId="14" borderId="2" xfId="1" applyFont="1" applyFill="1" applyBorder="1" applyAlignment="1">
      <alignment horizontal="right" vertical="center" wrapText="1"/>
    </xf>
    <xf numFmtId="164" fontId="12" fillId="0" borderId="2" xfId="5" applyFont="1" applyBorder="1" applyAlignment="1">
      <alignment horizontal="center" vertical="center"/>
    </xf>
    <xf numFmtId="0" fontId="47" fillId="12" borderId="32" xfId="0" applyFont="1" applyFill="1" applyBorder="1" applyAlignment="1">
      <alignment horizontal="center" vertical="center" wrapText="1"/>
    </xf>
    <xf numFmtId="43" fontId="66" fillId="23" borderId="2" xfId="1" applyNumberFormat="1" applyFont="1" applyFill="1" applyBorder="1" applyAlignment="1">
      <alignment horizontal="right" vertical="center"/>
    </xf>
    <xf numFmtId="164" fontId="6" fillId="0" borderId="2" xfId="5" applyFont="1" applyBorder="1" applyAlignment="1">
      <alignment horizontal="center" vertical="center"/>
    </xf>
    <xf numFmtId="164" fontId="6" fillId="0" borderId="2" xfId="5" applyFont="1" applyBorder="1" applyAlignment="1">
      <alignment horizontal="center" vertical="center" wrapText="1"/>
    </xf>
    <xf numFmtId="164" fontId="74" fillId="0" borderId="2" xfId="5" applyFont="1" applyFill="1" applyBorder="1" applyAlignment="1">
      <alignment horizontal="center" vertical="center" wrapText="1"/>
    </xf>
    <xf numFmtId="43" fontId="66" fillId="14" borderId="3" xfId="1" applyFont="1" applyFill="1" applyBorder="1" applyAlignment="1">
      <alignment horizontal="right" vertical="center" wrapText="1"/>
    </xf>
    <xf numFmtId="0" fontId="0" fillId="0" borderId="0" xfId="0" applyBorder="1"/>
    <xf numFmtId="164" fontId="0" fillId="0" borderId="0" xfId="0" applyNumberFormat="1" applyFill="1" applyBorder="1"/>
    <xf numFmtId="0" fontId="0" fillId="0" borderId="0" xfId="0" applyFill="1" applyBorder="1"/>
    <xf numFmtId="43" fontId="66" fillId="0" borderId="0" xfId="1" applyFont="1" applyFill="1" applyBorder="1" applyAlignment="1">
      <alignment horizontal="right" vertical="center" wrapText="1"/>
    </xf>
    <xf numFmtId="0" fontId="6" fillId="10" borderId="2" xfId="3" applyFont="1" applyFill="1" applyBorder="1" applyAlignment="1">
      <alignment horizontal="center" vertical="center" wrapText="1"/>
    </xf>
    <xf numFmtId="0" fontId="6" fillId="8" borderId="2"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0" borderId="2" xfId="3" applyFont="1" applyBorder="1" applyAlignment="1">
      <alignment horizontal="center" vertical="center" wrapText="1"/>
    </xf>
    <xf numFmtId="0" fontId="40" fillId="18" borderId="1" xfId="0" applyFont="1" applyFill="1" applyBorder="1" applyAlignment="1">
      <alignment horizontal="center" vertical="center" wrapText="1"/>
    </xf>
    <xf numFmtId="0" fontId="4" fillId="0" borderId="2" xfId="3" applyFont="1" applyBorder="1" applyAlignment="1">
      <alignment horizontal="center" vertical="center" wrapText="1"/>
    </xf>
    <xf numFmtId="49" fontId="4" fillId="0" borderId="2" xfId="3" applyNumberFormat="1" applyFont="1" applyBorder="1" applyAlignment="1">
      <alignment horizontal="center" vertical="center"/>
    </xf>
    <xf numFmtId="49" fontId="6" fillId="0" borderId="2" xfId="3" applyNumberFormat="1" applyFont="1" applyBorder="1" applyAlignment="1">
      <alignment horizontal="center" vertical="center" wrapText="1"/>
    </xf>
    <xf numFmtId="9" fontId="4" fillId="0" borderId="2" xfId="2" applyFont="1" applyBorder="1" applyAlignment="1">
      <alignment horizontal="center" vertical="center"/>
    </xf>
    <xf numFmtId="164" fontId="4" fillId="0" borderId="2" xfId="5" applyFont="1" applyBorder="1" applyAlignment="1">
      <alignment horizontal="center" vertical="center"/>
    </xf>
    <xf numFmtId="49" fontId="6" fillId="0" borderId="2" xfId="3" applyNumberFormat="1" applyFont="1" applyBorder="1" applyAlignment="1">
      <alignment horizontal="center" vertical="center"/>
    </xf>
    <xf numFmtId="0" fontId="4" fillId="0" borderId="2" xfId="6" applyFont="1" applyBorder="1" applyAlignment="1" applyProtection="1">
      <alignment horizontal="center" vertical="center" wrapText="1"/>
      <protection hidden="1"/>
    </xf>
    <xf numFmtId="0" fontId="6" fillId="9" borderId="2" xfId="3" applyFont="1" applyFill="1" applyBorder="1" applyAlignment="1">
      <alignment horizontal="center" vertical="center" wrapText="1"/>
    </xf>
    <xf numFmtId="0" fontId="6" fillId="10" borderId="2" xfId="3" applyFont="1" applyFill="1" applyBorder="1" applyAlignment="1">
      <alignment horizontal="center" vertical="center"/>
    </xf>
    <xf numFmtId="164" fontId="15" fillId="0" borderId="2" xfId="5" applyFont="1" applyFill="1" applyBorder="1" applyAlignment="1">
      <alignment horizontal="center" vertical="center" wrapText="1"/>
    </xf>
    <xf numFmtId="0" fontId="4" fillId="0" borderId="2" xfId="0" applyFont="1" applyBorder="1" applyAlignment="1">
      <alignment horizontal="center" vertical="center" wrapText="1"/>
    </xf>
    <xf numFmtId="0" fontId="4" fillId="6" borderId="2" xfId="3" applyFont="1" applyFill="1" applyBorder="1" applyAlignment="1">
      <alignment horizontal="center" vertical="center" wrapText="1"/>
    </xf>
    <xf numFmtId="0" fontId="6" fillId="0" borderId="0" xfId="4" applyFont="1" applyAlignment="1">
      <alignment horizontal="left" vertical="center"/>
    </xf>
    <xf numFmtId="164" fontId="39" fillId="0" borderId="27" xfId="5" applyFont="1" applyBorder="1" applyAlignment="1">
      <alignment vertical="center"/>
    </xf>
    <xf numFmtId="9" fontId="4" fillId="7" borderId="2" xfId="2" applyFont="1" applyFill="1" applyBorder="1" applyAlignment="1">
      <alignment horizontal="center" vertical="center"/>
    </xf>
    <xf numFmtId="164" fontId="12" fillId="8" borderId="2" xfId="5" applyFont="1" applyFill="1" applyBorder="1" applyAlignment="1">
      <alignment horizontal="center" vertical="center" wrapText="1"/>
    </xf>
    <xf numFmtId="9" fontId="39" fillId="8" borderId="2" xfId="2" applyFont="1" applyFill="1" applyBorder="1" applyAlignment="1">
      <alignment horizontal="center" vertical="center" wrapText="1"/>
    </xf>
    <xf numFmtId="164" fontId="39" fillId="0" borderId="2" xfId="5" applyFont="1" applyBorder="1" applyAlignment="1">
      <alignment horizontal="center" vertical="center" wrapText="1"/>
    </xf>
    <xf numFmtId="49" fontId="13" fillId="0" borderId="2" xfId="3" applyNumberFormat="1" applyFont="1" applyBorder="1" applyAlignment="1">
      <alignment horizontal="center" vertical="center"/>
    </xf>
    <xf numFmtId="49" fontId="13" fillId="0" borderId="2" xfId="3" applyNumberFormat="1" applyFont="1" applyBorder="1" applyAlignment="1">
      <alignment horizontal="center" vertical="center" wrapText="1"/>
    </xf>
    <xf numFmtId="9" fontId="39" fillId="2" borderId="2" xfId="2" applyFont="1" applyFill="1" applyBorder="1" applyAlignment="1">
      <alignment horizontal="center" vertical="center"/>
    </xf>
    <xf numFmtId="9" fontId="39" fillId="10" borderId="2" xfId="2" applyFont="1" applyFill="1" applyBorder="1" applyAlignment="1">
      <alignment horizontal="center" vertical="center" wrapText="1"/>
    </xf>
    <xf numFmtId="9" fontId="39" fillId="8" borderId="2" xfId="2" applyFont="1" applyFill="1" applyBorder="1" applyAlignment="1">
      <alignment horizontal="center" vertical="center"/>
    </xf>
    <xf numFmtId="0" fontId="5" fillId="0" borderId="0" xfId="0" applyFont="1" applyAlignment="1">
      <alignment horizontal="center" vertical="center"/>
    </xf>
    <xf numFmtId="9" fontId="39" fillId="2" borderId="2" xfId="2" applyFont="1" applyFill="1" applyBorder="1" applyAlignment="1">
      <alignment horizontal="center" vertical="center" wrapText="1"/>
    </xf>
    <xf numFmtId="9" fontId="39" fillId="9" borderId="2" xfId="2" applyFont="1" applyFill="1" applyBorder="1" applyAlignment="1">
      <alignment horizontal="center" vertical="center" wrapText="1"/>
    </xf>
    <xf numFmtId="9" fontId="39" fillId="11" borderId="2" xfId="2" applyFont="1" applyFill="1" applyBorder="1" applyAlignment="1">
      <alignment horizontal="center" vertical="center" wrapText="1"/>
    </xf>
    <xf numFmtId="9" fontId="39" fillId="10" borderId="2" xfId="2" applyFont="1" applyFill="1" applyBorder="1" applyAlignment="1">
      <alignment horizontal="center" vertical="center"/>
    </xf>
    <xf numFmtId="0" fontId="40" fillId="18" borderId="1" xfId="0" applyFont="1" applyFill="1" applyBorder="1" applyAlignment="1">
      <alignment horizontal="center" vertical="center" wrapText="1"/>
    </xf>
    <xf numFmtId="43" fontId="39" fillId="0" borderId="2" xfId="1" applyFont="1" applyBorder="1" applyAlignment="1">
      <alignment horizontal="center" vertical="center"/>
    </xf>
    <xf numFmtId="0" fontId="40" fillId="18" borderId="1" xfId="0" applyFont="1" applyFill="1" applyBorder="1" applyAlignment="1">
      <alignment horizontal="center" vertical="center" wrapText="1"/>
    </xf>
    <xf numFmtId="164" fontId="4" fillId="0" borderId="2" xfId="5" applyFont="1" applyBorder="1" applyAlignment="1">
      <alignment horizontal="center" vertical="center"/>
    </xf>
    <xf numFmtId="9" fontId="4" fillId="0" borderId="2" xfId="2" applyFont="1" applyBorder="1" applyAlignment="1">
      <alignment horizontal="center" vertical="center"/>
    </xf>
    <xf numFmtId="0" fontId="6" fillId="0" borderId="0" xfId="4" applyFont="1" applyAlignment="1">
      <alignment vertical="center"/>
    </xf>
    <xf numFmtId="164" fontId="39" fillId="0" borderId="2" xfId="5" applyFont="1" applyBorder="1" applyAlignment="1">
      <alignment vertical="center"/>
    </xf>
    <xf numFmtId="0" fontId="75" fillId="0" borderId="0" xfId="0" applyFont="1" applyAlignment="1">
      <alignment horizontal="center" vertical="center"/>
    </xf>
    <xf numFmtId="43" fontId="75" fillId="27" borderId="19" xfId="1" applyFont="1" applyFill="1" applyBorder="1" applyAlignment="1">
      <alignment horizontal="center"/>
    </xf>
    <xf numFmtId="43" fontId="76" fillId="0" borderId="2" xfId="1" applyFont="1" applyBorder="1"/>
    <xf numFmtId="43" fontId="76" fillId="27" borderId="2" xfId="1" applyFont="1" applyFill="1" applyBorder="1" applyAlignment="1">
      <alignment horizontal="center"/>
    </xf>
    <xf numFmtId="43" fontId="76" fillId="0" borderId="2" xfId="1" applyFont="1" applyBorder="1" applyAlignment="1">
      <alignment horizontal="center"/>
    </xf>
    <xf numFmtId="43" fontId="77" fillId="0" borderId="21" xfId="1" applyFont="1" applyBorder="1"/>
    <xf numFmtId="43" fontId="76" fillId="0" borderId="26" xfId="1" applyFont="1" applyBorder="1"/>
    <xf numFmtId="9" fontId="75" fillId="0" borderId="6" xfId="2" applyFont="1" applyBorder="1" applyAlignment="1">
      <alignment horizontal="center" vertical="center"/>
    </xf>
    <xf numFmtId="9" fontId="75" fillId="27" borderId="6" xfId="2" applyFont="1" applyFill="1" applyBorder="1" applyAlignment="1">
      <alignment horizontal="center" vertical="center"/>
    </xf>
    <xf numFmtId="9" fontId="75" fillId="0" borderId="22" xfId="2" applyFont="1" applyBorder="1" applyAlignment="1">
      <alignment horizontal="center" vertical="center"/>
    </xf>
    <xf numFmtId="0" fontId="76" fillId="0" borderId="0" xfId="0" applyFont="1"/>
    <xf numFmtId="0" fontId="78" fillId="0" borderId="2" xfId="0" applyFont="1" applyBorder="1" applyAlignment="1">
      <alignment horizontal="center" vertical="center" wrapText="1"/>
    </xf>
    <xf numFmtId="0" fontId="78" fillId="19" borderId="2" xfId="0" applyFont="1" applyFill="1" applyBorder="1" applyAlignment="1">
      <alignment horizontal="center" vertical="center" wrapText="1"/>
    </xf>
    <xf numFmtId="0" fontId="80" fillId="0" borderId="24" xfId="0" applyFont="1" applyBorder="1" applyAlignment="1">
      <alignment vertical="center" wrapText="1"/>
    </xf>
    <xf numFmtId="169" fontId="80" fillId="0" borderId="2" xfId="5" applyNumberFormat="1" applyFont="1" applyBorder="1" applyAlignment="1">
      <alignment horizontal="right" vertical="center" wrapText="1"/>
    </xf>
    <xf numFmtId="164" fontId="80" fillId="0" borderId="2" xfId="5" applyFont="1" applyBorder="1" applyAlignment="1">
      <alignment horizontal="right" vertical="center" wrapText="1"/>
    </xf>
    <xf numFmtId="164" fontId="80" fillId="19" borderId="2" xfId="5" applyFont="1" applyFill="1" applyBorder="1" applyAlignment="1">
      <alignment horizontal="right" vertical="center" wrapText="1"/>
    </xf>
    <xf numFmtId="164" fontId="80" fillId="0" borderId="2" xfId="5" applyFont="1" applyBorder="1" applyAlignment="1">
      <alignment horizontal="center" vertical="center" wrapText="1"/>
    </xf>
    <xf numFmtId="164" fontId="78" fillId="0" borderId="2" xfId="5" applyFont="1" applyBorder="1" applyAlignment="1">
      <alignment horizontal="center" vertical="center" wrapText="1"/>
    </xf>
    <xf numFmtId="164" fontId="80" fillId="27" borderId="2" xfId="5" applyFont="1" applyFill="1" applyBorder="1" applyAlignment="1">
      <alignment horizontal="center" vertical="center" wrapText="1"/>
    </xf>
    <xf numFmtId="164" fontId="80" fillId="5" borderId="2" xfId="5" applyFont="1" applyFill="1" applyBorder="1" applyAlignment="1">
      <alignment horizontal="right" vertical="center" wrapText="1"/>
    </xf>
    <xf numFmtId="0" fontId="78" fillId="21" borderId="24" xfId="0" applyFont="1" applyFill="1" applyBorder="1" applyAlignment="1">
      <alignment vertical="center" wrapText="1"/>
    </xf>
    <xf numFmtId="169" fontId="78" fillId="21" borderId="2" xfId="5" applyNumberFormat="1" applyFont="1" applyFill="1" applyBorder="1" applyAlignment="1">
      <alignment horizontal="right" vertical="center" wrapText="1"/>
    </xf>
    <xf numFmtId="164" fontId="78" fillId="21" borderId="2" xfId="5" applyFont="1" applyFill="1" applyBorder="1" applyAlignment="1">
      <alignment horizontal="right" vertical="center" wrapText="1"/>
    </xf>
    <xf numFmtId="164" fontId="78" fillId="19" borderId="2" xfId="5" applyFont="1" applyFill="1" applyBorder="1" applyAlignment="1">
      <alignment horizontal="right" vertical="center" wrapText="1"/>
    </xf>
    <xf numFmtId="0" fontId="78" fillId="22" borderId="24" xfId="0" applyFont="1" applyFill="1" applyBorder="1" applyAlignment="1">
      <alignment vertical="center" wrapText="1"/>
    </xf>
    <xf numFmtId="169" fontId="78" fillId="22" borderId="2" xfId="0" applyNumberFormat="1" applyFont="1" applyFill="1" applyBorder="1" applyAlignment="1">
      <alignment vertical="center" wrapText="1"/>
    </xf>
    <xf numFmtId="164" fontId="78" fillId="22" borderId="2" xfId="0" applyNumberFormat="1" applyFont="1" applyFill="1" applyBorder="1" applyAlignment="1">
      <alignment vertical="center" wrapText="1"/>
    </xf>
    <xf numFmtId="164" fontId="78" fillId="19" borderId="2" xfId="0" applyNumberFormat="1" applyFont="1" applyFill="1" applyBorder="1" applyAlignment="1">
      <alignment vertical="center" wrapText="1"/>
    </xf>
    <xf numFmtId="164" fontId="78" fillId="22" borderId="2" xfId="5" applyFont="1" applyFill="1" applyBorder="1" applyAlignment="1">
      <alignment vertical="center" wrapText="1"/>
    </xf>
    <xf numFmtId="0" fontId="80" fillId="0" borderId="24" xfId="0" applyFont="1" applyBorder="1" applyAlignment="1">
      <alignment horizontal="justify" vertical="center"/>
    </xf>
    <xf numFmtId="164" fontId="78" fillId="0" borderId="2" xfId="5" applyFont="1" applyBorder="1" applyAlignment="1">
      <alignment horizontal="right" vertical="center" wrapText="1"/>
    </xf>
    <xf numFmtId="169" fontId="78" fillId="5" borderId="2" xfId="5" applyNumberFormat="1" applyFont="1" applyFill="1" applyBorder="1" applyAlignment="1">
      <alignment vertical="center" wrapText="1"/>
    </xf>
    <xf numFmtId="164" fontId="78" fillId="5" borderId="2" xfId="5" applyFont="1" applyFill="1" applyBorder="1" applyAlignment="1">
      <alignment vertical="center" wrapText="1"/>
    </xf>
    <xf numFmtId="164" fontId="76" fillId="0" borderId="0" xfId="0" applyNumberFormat="1" applyFont="1"/>
    <xf numFmtId="164" fontId="80" fillId="0" borderId="2" xfId="5" applyFont="1" applyBorder="1" applyAlignment="1">
      <alignment vertical="center" wrapText="1"/>
    </xf>
    <xf numFmtId="164" fontId="80" fillId="21" borderId="2" xfId="5" applyFont="1" applyFill="1" applyBorder="1" applyAlignment="1">
      <alignment horizontal="right" vertical="center" wrapText="1"/>
    </xf>
    <xf numFmtId="0" fontId="78" fillId="22" borderId="24" xfId="0" applyFont="1" applyFill="1" applyBorder="1" applyAlignment="1">
      <alignment horizontal="justify" vertical="center" wrapText="1"/>
    </xf>
    <xf numFmtId="164" fontId="78" fillId="22" borderId="2" xfId="5" applyFont="1" applyFill="1" applyBorder="1" applyAlignment="1">
      <alignment horizontal="right" vertical="center" wrapText="1"/>
    </xf>
    <xf numFmtId="164" fontId="78" fillId="2" borderId="2" xfId="5" applyFont="1" applyFill="1" applyBorder="1" applyAlignment="1">
      <alignment horizontal="right" vertical="center" wrapText="1"/>
    </xf>
    <xf numFmtId="0" fontId="78" fillId="23" borderId="25" xfId="0" applyFont="1" applyFill="1" applyBorder="1" applyAlignment="1">
      <alignment horizontal="justify" vertical="center" wrapText="1"/>
    </xf>
    <xf numFmtId="164" fontId="78" fillId="23" borderId="6" xfId="5" applyFont="1" applyFill="1" applyBorder="1" applyAlignment="1">
      <alignment horizontal="right" vertical="center" wrapText="1"/>
    </xf>
    <xf numFmtId="164" fontId="78" fillId="3" borderId="6" xfId="5" applyFont="1" applyFill="1" applyBorder="1" applyAlignment="1">
      <alignment horizontal="right" vertical="center" wrapText="1"/>
    </xf>
    <xf numFmtId="0" fontId="75" fillId="0" borderId="0" xfId="0" applyFont="1" applyAlignment="1">
      <alignment vertical="center"/>
    </xf>
    <xf numFmtId="164" fontId="75" fillId="0" borderId="23" xfId="0" applyNumberFormat="1" applyFont="1" applyBorder="1" applyAlignment="1">
      <alignment horizontal="center"/>
    </xf>
    <xf numFmtId="0" fontId="75" fillId="0" borderId="19" xfId="0" applyFont="1" applyBorder="1" applyAlignment="1">
      <alignment horizontal="center"/>
    </xf>
    <xf numFmtId="0" fontId="75" fillId="0" borderId="20" xfId="0" applyFont="1" applyBorder="1" applyAlignment="1">
      <alignment horizontal="center" vertical="center"/>
    </xf>
    <xf numFmtId="0" fontId="75" fillId="0" borderId="24" xfId="0" applyFont="1" applyBorder="1"/>
    <xf numFmtId="0" fontId="77" fillId="0" borderId="0" xfId="0" applyFont="1"/>
    <xf numFmtId="164" fontId="77" fillId="0" borderId="0" xfId="0" applyNumberFormat="1" applyFont="1"/>
    <xf numFmtId="0" fontId="75" fillId="0" borderId="29" xfId="0" applyFont="1" applyBorder="1"/>
    <xf numFmtId="0" fontId="75" fillId="0" borderId="25" xfId="0" applyFont="1" applyBorder="1"/>
    <xf numFmtId="0" fontId="78" fillId="0" borderId="34" xfId="0" applyFont="1" applyBorder="1" applyAlignment="1">
      <alignment vertical="center" wrapText="1"/>
    </xf>
    <xf numFmtId="0" fontId="78" fillId="0" borderId="35" xfId="0" applyFont="1" applyBorder="1" applyAlignment="1">
      <alignment vertical="center" wrapText="1"/>
    </xf>
    <xf numFmtId="0" fontId="78" fillId="0" borderId="36" xfId="0" applyFont="1" applyBorder="1" applyAlignment="1">
      <alignment vertical="center" wrapText="1"/>
    </xf>
    <xf numFmtId="0" fontId="76" fillId="0" borderId="21" xfId="0" applyFont="1" applyBorder="1"/>
    <xf numFmtId="0" fontId="76" fillId="0" borderId="0" xfId="0" applyFont="1" applyBorder="1"/>
    <xf numFmtId="43" fontId="30" fillId="0" borderId="2" xfId="1" applyFont="1" applyBorder="1" applyAlignment="1">
      <alignment horizontal="right" vertical="center" wrapText="1"/>
    </xf>
    <xf numFmtId="9" fontId="77" fillId="0" borderId="21" xfId="2" applyFont="1" applyFill="1" applyBorder="1" applyAlignment="1">
      <alignment horizontal="center" vertical="center" wrapText="1"/>
    </xf>
    <xf numFmtId="9" fontId="77" fillId="21" borderId="21" xfId="2" applyFont="1" applyFill="1" applyBorder="1" applyAlignment="1">
      <alignment horizontal="center" vertical="center" wrapText="1"/>
    </xf>
    <xf numFmtId="9" fontId="77" fillId="22" borderId="21" xfId="2" applyFont="1" applyFill="1" applyBorder="1" applyAlignment="1">
      <alignment horizontal="center" vertical="center" wrapText="1"/>
    </xf>
    <xf numFmtId="9" fontId="77" fillId="0" borderId="21" xfId="2" applyFont="1" applyBorder="1" applyAlignment="1">
      <alignment horizontal="center"/>
    </xf>
    <xf numFmtId="9" fontId="77" fillId="5" borderId="21" xfId="2" applyFont="1" applyFill="1" applyBorder="1" applyAlignment="1">
      <alignment horizontal="center" vertical="center" wrapText="1"/>
    </xf>
    <xf numFmtId="9" fontId="77" fillId="23" borderId="22" xfId="2" applyFont="1" applyFill="1" applyBorder="1" applyAlignment="1">
      <alignment horizontal="center" vertical="center" wrapText="1"/>
    </xf>
    <xf numFmtId="43" fontId="50" fillId="0" borderId="12" xfId="1" applyFont="1" applyFill="1" applyBorder="1" applyAlignment="1">
      <alignment horizontal="right" vertical="center" wrapText="1"/>
    </xf>
    <xf numFmtId="43" fontId="56" fillId="0" borderId="2" xfId="1" applyFont="1" applyFill="1" applyBorder="1" applyAlignment="1">
      <alignment horizontal="center" vertical="center" wrapText="1"/>
    </xf>
    <xf numFmtId="43" fontId="56" fillId="0" borderId="2" xfId="1" applyFont="1" applyBorder="1" applyAlignment="1">
      <alignment horizontal="center" vertical="center" wrapText="1"/>
    </xf>
    <xf numFmtId="43" fontId="83" fillId="17" borderId="2" xfId="1" applyFont="1" applyFill="1" applyBorder="1" applyAlignment="1">
      <alignment horizontal="center" vertical="center" wrapText="1"/>
    </xf>
    <xf numFmtId="43" fontId="83" fillId="14" borderId="6" xfId="1" applyFont="1" applyFill="1" applyBorder="1" applyAlignment="1">
      <alignment horizontal="center" vertical="center" wrapText="1"/>
    </xf>
    <xf numFmtId="43" fontId="17" fillId="0" borderId="2" xfId="1" applyNumberFormat="1" applyFont="1" applyBorder="1" applyAlignment="1">
      <alignment horizontal="center" vertical="center"/>
    </xf>
    <xf numFmtId="0" fontId="43" fillId="0" borderId="2" xfId="3" applyFont="1" applyBorder="1" applyAlignment="1">
      <alignment horizontal="center" vertical="center" wrapText="1"/>
    </xf>
    <xf numFmtId="9" fontId="6" fillId="7" borderId="2" xfId="2" applyFont="1" applyFill="1" applyBorder="1" applyAlignment="1">
      <alignment horizontal="center" vertical="center" wrapText="1"/>
    </xf>
    <xf numFmtId="9" fontId="0" fillId="0" borderId="0" xfId="2" applyFont="1"/>
    <xf numFmtId="0" fontId="47" fillId="13" borderId="16" xfId="0" applyFont="1" applyFill="1" applyBorder="1" applyAlignment="1">
      <alignment horizontal="center" vertical="center" wrapText="1"/>
    </xf>
    <xf numFmtId="0" fontId="47" fillId="13" borderId="17" xfId="0" applyFont="1" applyFill="1" applyBorder="1" applyAlignment="1">
      <alignment horizontal="center" vertical="center" wrapText="1"/>
    </xf>
    <xf numFmtId="0" fontId="48" fillId="13" borderId="17" xfId="0" applyFont="1" applyFill="1" applyBorder="1" applyAlignment="1">
      <alignment horizontal="center" vertical="center" wrapText="1"/>
    </xf>
    <xf numFmtId="0" fontId="47" fillId="12" borderId="39" xfId="0" applyFont="1" applyFill="1" applyBorder="1" applyAlignment="1">
      <alignment horizontal="center" vertical="center" wrapText="1"/>
    </xf>
    <xf numFmtId="0" fontId="47" fillId="12" borderId="40" xfId="0" applyFont="1" applyFill="1" applyBorder="1" applyAlignment="1">
      <alignment horizontal="center" vertical="center" wrapText="1"/>
    </xf>
    <xf numFmtId="0" fontId="47" fillId="12" borderId="41" xfId="0" applyFont="1" applyFill="1" applyBorder="1" applyAlignment="1">
      <alignment horizontal="center" vertical="center" wrapText="1"/>
    </xf>
    <xf numFmtId="0" fontId="48" fillId="12" borderId="41" xfId="0" applyFont="1" applyFill="1" applyBorder="1" applyAlignment="1">
      <alignment horizontal="center" vertical="center" wrapText="1"/>
    </xf>
    <xf numFmtId="43" fontId="84" fillId="14" borderId="11" xfId="1" applyFont="1" applyFill="1" applyBorder="1" applyAlignment="1">
      <alignment vertical="center" wrapText="1"/>
    </xf>
    <xf numFmtId="43" fontId="84" fillId="0" borderId="11" xfId="1" applyFont="1" applyBorder="1" applyAlignment="1">
      <alignment vertical="center" wrapText="1"/>
    </xf>
    <xf numFmtId="168" fontId="84" fillId="14" borderId="11" xfId="1" applyNumberFormat="1" applyFont="1" applyFill="1" applyBorder="1" applyAlignment="1">
      <alignment vertical="center" wrapText="1"/>
    </xf>
    <xf numFmtId="9" fontId="85" fillId="0" borderId="12" xfId="2" applyFont="1" applyFill="1" applyBorder="1" applyAlignment="1">
      <alignment horizontal="center" vertical="center" wrapText="1"/>
    </xf>
    <xf numFmtId="9" fontId="84" fillId="14" borderId="11" xfId="2" applyFont="1" applyFill="1" applyBorder="1" applyAlignment="1">
      <alignment horizontal="center" vertical="center" wrapText="1"/>
    </xf>
    <xf numFmtId="9" fontId="84" fillId="0" borderId="11" xfId="2" applyFont="1" applyBorder="1" applyAlignment="1">
      <alignment horizontal="center" vertical="center" wrapText="1"/>
    </xf>
    <xf numFmtId="164" fontId="50" fillId="0" borderId="18" xfId="5" applyFont="1" applyFill="1" applyBorder="1" applyAlignment="1">
      <alignment horizontal="right" vertical="center" wrapText="1"/>
    </xf>
    <xf numFmtId="0" fontId="47" fillId="16" borderId="2" xfId="0" applyFont="1" applyFill="1" applyBorder="1" applyAlignment="1">
      <alignment vertical="center" wrapText="1"/>
    </xf>
    <xf numFmtId="0" fontId="47" fillId="16" borderId="2" xfId="0" applyFont="1" applyFill="1" applyBorder="1" applyAlignment="1">
      <alignment horizontal="center" vertical="center" wrapText="1"/>
    </xf>
    <xf numFmtId="0" fontId="63" fillId="16" borderId="20" xfId="0" applyFont="1" applyFill="1" applyBorder="1" applyAlignment="1">
      <alignment horizontal="center" vertical="center" wrapText="1"/>
    </xf>
    <xf numFmtId="9" fontId="63" fillId="16" borderId="21" xfId="2" applyFont="1" applyFill="1" applyBorder="1" applyAlignment="1">
      <alignment horizontal="center" vertical="center" wrapText="1"/>
    </xf>
    <xf numFmtId="9" fontId="82" fillId="16" borderId="21" xfId="2" applyFont="1" applyFill="1" applyBorder="1" applyAlignment="1">
      <alignment horizontal="center" vertical="center" wrapText="1"/>
    </xf>
    <xf numFmtId="9" fontId="82" fillId="16" borderId="22" xfId="2" applyFont="1" applyFill="1" applyBorder="1" applyAlignment="1">
      <alignment horizontal="center" vertical="center" wrapText="1"/>
    </xf>
    <xf numFmtId="164" fontId="86" fillId="8" borderId="2" xfId="5" applyFont="1" applyFill="1" applyBorder="1" applyAlignment="1">
      <alignment horizontal="center" vertical="center" wrapText="1"/>
    </xf>
    <xf numFmtId="0" fontId="40" fillId="18" borderId="1" xfId="0" applyFont="1" applyFill="1" applyBorder="1" applyAlignment="1">
      <alignment horizontal="center" vertical="center" wrapText="1"/>
    </xf>
    <xf numFmtId="0" fontId="6" fillId="2" borderId="2" xfId="3" applyFont="1" applyFill="1" applyBorder="1" applyAlignment="1">
      <alignment horizontal="center" vertical="center" wrapText="1"/>
    </xf>
    <xf numFmtId="0" fontId="4" fillId="0" borderId="2" xfId="3" applyFont="1" applyBorder="1" applyAlignment="1">
      <alignment horizontal="center" vertical="center" wrapText="1"/>
    </xf>
    <xf numFmtId="49" fontId="4" fillId="0" borderId="2" xfId="3" applyNumberFormat="1" applyFont="1" applyBorder="1" applyAlignment="1">
      <alignment horizontal="center" vertical="center"/>
    </xf>
    <xf numFmtId="0" fontId="4" fillId="0" borderId="2" xfId="6" applyFont="1" applyBorder="1" applyAlignment="1" applyProtection="1">
      <alignment horizontal="center" vertical="center" wrapText="1"/>
      <protection hidden="1"/>
    </xf>
    <xf numFmtId="164" fontId="4" fillId="0" borderId="2" xfId="5" applyFont="1" applyBorder="1" applyAlignment="1">
      <alignment horizontal="center" vertical="center"/>
    </xf>
    <xf numFmtId="49" fontId="6" fillId="0" borderId="2" xfId="3" applyNumberFormat="1" applyFont="1" applyBorder="1" applyAlignment="1">
      <alignment horizontal="center" vertical="center"/>
    </xf>
    <xf numFmtId="49" fontId="6" fillId="0" borderId="2" xfId="3" applyNumberFormat="1" applyFont="1" applyBorder="1" applyAlignment="1">
      <alignment horizontal="center" vertical="center" wrapText="1"/>
    </xf>
    <xf numFmtId="164" fontId="15" fillId="0" borderId="2" xfId="5" applyFont="1" applyFill="1" applyBorder="1" applyAlignment="1">
      <alignment horizontal="center" vertical="center" wrapText="1"/>
    </xf>
    <xf numFmtId="0" fontId="4" fillId="0" borderId="2" xfId="0" applyFont="1" applyBorder="1" applyAlignment="1">
      <alignment horizontal="center" vertical="center" wrapText="1"/>
    </xf>
    <xf numFmtId="0" fontId="4" fillId="6" borderId="2" xfId="3" applyFont="1" applyFill="1" applyBorder="1" applyAlignment="1">
      <alignment horizontal="center" vertical="center" wrapText="1"/>
    </xf>
    <xf numFmtId="0" fontId="43" fillId="0" borderId="2" xfId="3" applyFont="1" applyBorder="1" applyAlignment="1">
      <alignment horizontal="center" vertical="center" wrapText="1"/>
    </xf>
    <xf numFmtId="0" fontId="40" fillId="18" borderId="1" xfId="0" applyFont="1" applyFill="1" applyBorder="1" applyAlignment="1">
      <alignment horizontal="center" vertical="center" wrapText="1"/>
    </xf>
    <xf numFmtId="164" fontId="4" fillId="0" borderId="2" xfId="5" applyFont="1" applyBorder="1" applyAlignment="1">
      <alignment horizontal="center" vertical="center"/>
    </xf>
    <xf numFmtId="0" fontId="43" fillId="0" borderId="2" xfId="0" applyFont="1" applyBorder="1" applyAlignment="1">
      <alignment horizontal="center" vertical="center"/>
    </xf>
    <xf numFmtId="0" fontId="6" fillId="0" borderId="0" xfId="3" applyFont="1" applyAlignment="1">
      <alignment horizontal="left" vertical="center"/>
    </xf>
    <xf numFmtId="0" fontId="6" fillId="0" borderId="0" xfId="4" applyFont="1" applyAlignment="1">
      <alignment horizontal="center" vertical="center"/>
    </xf>
    <xf numFmtId="0" fontId="6" fillId="0" borderId="0" xfId="4" applyFont="1" applyAlignment="1">
      <alignment horizontal="left"/>
    </xf>
    <xf numFmtId="0" fontId="40" fillId="0" borderId="0" xfId="0" applyFont="1" applyAlignment="1">
      <alignment wrapText="1"/>
    </xf>
    <xf numFmtId="0" fontId="40" fillId="18" borderId="26" xfId="0" applyFont="1" applyFill="1" applyBorder="1" applyAlignment="1">
      <alignment horizontal="center" vertical="center" wrapText="1"/>
    </xf>
    <xf numFmtId="49" fontId="43" fillId="0" borderId="2" xfId="3" applyNumberFormat="1" applyFont="1" applyBorder="1" applyAlignment="1">
      <alignment horizontal="center" vertical="center" wrapText="1"/>
    </xf>
    <xf numFmtId="0" fontId="40" fillId="18" borderId="31" xfId="0" applyFont="1" applyFill="1" applyBorder="1" applyAlignment="1">
      <alignment horizontal="center" vertical="center" wrapText="1"/>
    </xf>
    <xf numFmtId="0" fontId="40" fillId="0" borderId="0" xfId="0" applyFont="1" applyAlignment="1">
      <alignment horizontal="center" vertical="center" wrapText="1"/>
    </xf>
    <xf numFmtId="0" fontId="4" fillId="0" borderId="2" xfId="3" applyFont="1" applyBorder="1" applyAlignment="1">
      <alignment vertical="center" wrapText="1"/>
    </xf>
    <xf numFmtId="0" fontId="6" fillId="9" borderId="2" xfId="3" applyFont="1" applyFill="1" applyBorder="1" applyAlignment="1">
      <alignment horizontal="center" vertical="center" wrapText="1"/>
    </xf>
    <xf numFmtId="0" fontId="40" fillId="18" borderId="42" xfId="0" applyFont="1" applyFill="1" applyBorder="1" applyAlignment="1">
      <alignment horizontal="center" vertical="center" wrapText="1"/>
    </xf>
    <xf numFmtId="0" fontId="6" fillId="16" borderId="2" xfId="3" applyFont="1" applyFill="1" applyBorder="1" applyAlignment="1">
      <alignment horizontal="center" vertical="center"/>
    </xf>
    <xf numFmtId="164" fontId="6" fillId="6" borderId="2" xfId="5" applyFont="1" applyFill="1" applyBorder="1" applyAlignment="1">
      <alignment horizontal="center" vertical="center"/>
    </xf>
    <xf numFmtId="0" fontId="4" fillId="0" borderId="2" xfId="0" applyFont="1" applyBorder="1" applyAlignment="1">
      <alignment vertical="center" wrapText="1"/>
    </xf>
    <xf numFmtId="164" fontId="6" fillId="0" borderId="2" xfId="5" applyFont="1" applyFill="1" applyBorder="1" applyAlignment="1">
      <alignment horizontal="center" vertical="center" wrapText="1"/>
    </xf>
    <xf numFmtId="165" fontId="5" fillId="0" borderId="0" xfId="0" applyNumberFormat="1" applyFont="1" applyAlignment="1">
      <alignment wrapText="1"/>
    </xf>
    <xf numFmtId="166" fontId="5" fillId="0" borderId="0" xfId="0" applyNumberFormat="1" applyFont="1" applyAlignment="1">
      <alignment wrapText="1"/>
    </xf>
    <xf numFmtId="0" fontId="6" fillId="2" borderId="2" xfId="3" applyFont="1" applyFill="1" applyBorder="1" applyAlignment="1">
      <alignment vertical="center" wrapText="1"/>
    </xf>
    <xf numFmtId="0" fontId="6" fillId="9" borderId="3" xfId="3" applyFont="1" applyFill="1" applyBorder="1" applyAlignment="1">
      <alignment vertical="center" wrapText="1"/>
    </xf>
    <xf numFmtId="0" fontId="6" fillId="9" borderId="4" xfId="3" applyFont="1" applyFill="1" applyBorder="1" applyAlignment="1">
      <alignment vertical="center" wrapText="1"/>
    </xf>
    <xf numFmtId="0" fontId="6" fillId="9" borderId="1" xfId="3" applyFont="1" applyFill="1" applyBorder="1" applyAlignment="1">
      <alignment vertical="center" wrapText="1"/>
    </xf>
    <xf numFmtId="0" fontId="6" fillId="10" borderId="2" xfId="3" applyFont="1" applyFill="1" applyBorder="1" applyAlignment="1">
      <alignment vertical="center"/>
    </xf>
    <xf numFmtId="164" fontId="6" fillId="10" borderId="2" xfId="5" applyFont="1" applyFill="1" applyBorder="1" applyAlignment="1">
      <alignment horizontal="center" vertical="center"/>
    </xf>
    <xf numFmtId="0" fontId="40" fillId="18" borderId="1" xfId="0" applyFont="1" applyFill="1" applyBorder="1" applyAlignment="1">
      <alignment horizontal="center" vertical="center" wrapText="1"/>
    </xf>
    <xf numFmtId="0" fontId="4" fillId="0" borderId="2" xfId="3" applyFont="1" applyBorder="1" applyAlignment="1">
      <alignment horizontal="center" vertical="center" wrapText="1"/>
    </xf>
    <xf numFmtId="49" fontId="4" fillId="0" borderId="2" xfId="3" applyNumberFormat="1" applyFont="1" applyBorder="1" applyAlignment="1">
      <alignment horizontal="center" vertical="center"/>
    </xf>
    <xf numFmtId="0" fontId="4" fillId="0" borderId="2" xfId="6" applyFont="1" applyBorder="1" applyAlignment="1" applyProtection="1">
      <alignment horizontal="center" vertical="center" wrapText="1"/>
      <protection hidden="1"/>
    </xf>
    <xf numFmtId="164" fontId="4" fillId="0" borderId="2" xfId="5" applyFont="1" applyBorder="1" applyAlignment="1">
      <alignment horizontal="center" vertical="center"/>
    </xf>
    <xf numFmtId="0" fontId="6" fillId="9" borderId="2" xfId="3" applyFont="1" applyFill="1" applyBorder="1" applyAlignment="1">
      <alignment horizontal="center" vertical="center" wrapText="1"/>
    </xf>
    <xf numFmtId="164" fontId="11" fillId="0" borderId="2" xfId="5" applyFont="1" applyBorder="1" applyAlignment="1">
      <alignment horizontal="center" vertical="center"/>
    </xf>
    <xf numFmtId="164" fontId="11" fillId="6" borderId="2" xfId="5" applyFont="1" applyFill="1" applyBorder="1" applyAlignment="1">
      <alignment horizontal="center" vertical="center"/>
    </xf>
    <xf numFmtId="164" fontId="11" fillId="0" borderId="2" xfId="5" applyFont="1" applyFill="1" applyBorder="1" applyAlignment="1">
      <alignment horizontal="center" vertical="center"/>
    </xf>
    <xf numFmtId="0" fontId="87" fillId="0" borderId="0" xfId="0" applyFont="1"/>
    <xf numFmtId="0" fontId="43" fillId="3" borderId="26" xfId="3" applyFont="1" applyFill="1" applyBorder="1" applyAlignment="1">
      <alignment horizontal="center" vertical="center" wrapText="1"/>
    </xf>
    <xf numFmtId="164" fontId="6" fillId="0" borderId="2" xfId="5" applyFont="1" applyFill="1" applyBorder="1" applyAlignment="1">
      <alignment horizontal="center" vertical="center"/>
    </xf>
    <xf numFmtId="9" fontId="6" fillId="10" borderId="2" xfId="2" applyFont="1" applyFill="1" applyBorder="1" applyAlignment="1">
      <alignment horizontal="center" vertical="center"/>
    </xf>
    <xf numFmtId="9" fontId="6" fillId="10" borderId="2" xfId="2" applyFont="1" applyFill="1" applyBorder="1" applyAlignment="1">
      <alignment horizontal="center" vertical="center" wrapText="1"/>
    </xf>
    <xf numFmtId="9" fontId="6" fillId="2" borderId="2" xfId="2" applyFont="1" applyFill="1" applyBorder="1" applyAlignment="1">
      <alignment horizontal="center" vertical="center" wrapText="1"/>
    </xf>
    <xf numFmtId="9" fontId="6" fillId="11" borderId="2" xfId="2" applyFont="1" applyFill="1" applyBorder="1" applyAlignment="1">
      <alignment horizontal="center" vertical="center" wrapText="1"/>
    </xf>
    <xf numFmtId="0" fontId="4" fillId="6" borderId="2" xfId="3" applyFont="1" applyFill="1" applyBorder="1" applyAlignment="1">
      <alignment horizontal="center" vertical="center" wrapText="1"/>
    </xf>
    <xf numFmtId="164" fontId="6" fillId="7" borderId="2" xfId="5" applyFont="1" applyFill="1" applyBorder="1" applyAlignment="1">
      <alignment horizontal="center" vertical="center"/>
    </xf>
    <xf numFmtId="164" fontId="4" fillId="0" borderId="2" xfId="5" applyFont="1" applyFill="1" applyBorder="1" applyAlignment="1">
      <alignment horizontal="center" vertical="center" wrapText="1"/>
    </xf>
    <xf numFmtId="0" fontId="75" fillId="21" borderId="28" xfId="0" applyFont="1" applyFill="1" applyBorder="1" applyAlignment="1">
      <alignment horizontal="center" vertical="center"/>
    </xf>
    <xf numFmtId="0" fontId="75" fillId="27" borderId="28" xfId="0" applyFont="1" applyFill="1" applyBorder="1" applyAlignment="1">
      <alignment horizontal="center" vertical="center"/>
    </xf>
    <xf numFmtId="0" fontId="78" fillId="0" borderId="34"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36" xfId="0" applyFont="1" applyBorder="1" applyAlignment="1">
      <alignment horizontal="center" vertical="center" wrapText="1"/>
    </xf>
    <xf numFmtId="0" fontId="75" fillId="24" borderId="28" xfId="0" applyFont="1" applyFill="1" applyBorder="1" applyAlignment="1">
      <alignment horizontal="center" vertical="center"/>
    </xf>
    <xf numFmtId="0" fontId="75" fillId="2" borderId="28" xfId="0" applyFont="1" applyFill="1" applyBorder="1" applyAlignment="1">
      <alignment horizontal="center" vertical="center"/>
    </xf>
    <xf numFmtId="164" fontId="75" fillId="25" borderId="28" xfId="0" applyNumberFormat="1" applyFont="1" applyFill="1" applyBorder="1" applyAlignment="1">
      <alignment horizontal="center" vertical="center"/>
    </xf>
    <xf numFmtId="0" fontId="75" fillId="26" borderId="28" xfId="0" applyFont="1" applyFill="1" applyBorder="1" applyAlignment="1">
      <alignment horizontal="center" vertical="center"/>
    </xf>
    <xf numFmtId="0" fontId="78" fillId="20" borderId="34" xfId="0" applyFont="1" applyFill="1" applyBorder="1" applyAlignment="1">
      <alignment horizontal="center" vertical="center" wrapText="1"/>
    </xf>
    <xf numFmtId="0" fontId="78" fillId="20" borderId="35" xfId="0" applyFont="1" applyFill="1" applyBorder="1" applyAlignment="1">
      <alignment horizontal="center" vertical="center" wrapText="1"/>
    </xf>
    <xf numFmtId="0" fontId="78" fillId="20" borderId="37" xfId="0" applyFont="1" applyFill="1" applyBorder="1" applyAlignment="1">
      <alignment horizontal="center" vertical="center" wrapText="1"/>
    </xf>
    <xf numFmtId="0" fontId="78" fillId="0" borderId="30" xfId="0" applyFont="1" applyBorder="1" applyAlignment="1">
      <alignment horizontal="center" vertical="center" wrapText="1"/>
    </xf>
    <xf numFmtId="0" fontId="78" fillId="0" borderId="4" xfId="0" applyFont="1" applyBorder="1" applyAlignment="1">
      <alignment horizontal="center" vertical="center" wrapText="1"/>
    </xf>
    <xf numFmtId="0" fontId="78" fillId="0" borderId="1" xfId="0" applyFont="1" applyBorder="1" applyAlignment="1">
      <alignment horizontal="center" vertical="center" wrapText="1"/>
    </xf>
    <xf numFmtId="0" fontId="79" fillId="0" borderId="30" xfId="0" applyFont="1" applyBorder="1" applyAlignment="1">
      <alignment horizontal="center" vertical="center" wrapText="1"/>
    </xf>
    <xf numFmtId="0" fontId="79" fillId="0" borderId="4" xfId="0" applyFont="1" applyBorder="1" applyAlignment="1">
      <alignment horizontal="center" vertical="center" wrapText="1"/>
    </xf>
    <xf numFmtId="0" fontId="79" fillId="0" borderId="1" xfId="0" applyFont="1" applyBorder="1" applyAlignment="1">
      <alignment horizontal="center" vertical="center" wrapText="1"/>
    </xf>
    <xf numFmtId="0" fontId="78" fillId="0" borderId="33" xfId="0" applyFont="1" applyBorder="1" applyAlignment="1">
      <alignment vertical="center" wrapText="1"/>
    </xf>
    <xf numFmtId="0" fontId="78" fillId="0" borderId="38" xfId="0" applyFont="1" applyBorder="1" applyAlignment="1">
      <alignment vertical="center" wrapText="1"/>
    </xf>
    <xf numFmtId="0" fontId="78" fillId="19" borderId="34" xfId="0" applyFont="1" applyFill="1" applyBorder="1" applyAlignment="1">
      <alignment horizontal="center" vertical="center" wrapText="1"/>
    </xf>
    <xf numFmtId="0" fontId="78" fillId="19" borderId="35" xfId="0" applyFont="1" applyFill="1" applyBorder="1" applyAlignment="1">
      <alignment horizontal="center" vertical="center" wrapText="1"/>
    </xf>
    <xf numFmtId="0" fontId="78" fillId="19" borderId="36" xfId="0" applyFont="1" applyFill="1" applyBorder="1" applyAlignment="1">
      <alignment horizontal="center" vertical="center" wrapText="1"/>
    </xf>
    <xf numFmtId="0" fontId="40" fillId="18" borderId="1" xfId="0" applyFont="1" applyFill="1" applyBorder="1" applyAlignment="1">
      <alignment horizontal="center" vertical="center" wrapText="1"/>
    </xf>
    <xf numFmtId="0" fontId="43" fillId="3" borderId="2"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5" borderId="2" xfId="3" applyFont="1" applyFill="1" applyBorder="1" applyAlignment="1">
      <alignment horizontal="center" vertical="center" wrapText="1"/>
    </xf>
    <xf numFmtId="0" fontId="4" fillId="0" borderId="2" xfId="3" applyFont="1" applyBorder="1" applyAlignment="1">
      <alignment horizontal="center" vertical="center" wrapText="1"/>
    </xf>
    <xf numFmtId="49" fontId="4" fillId="0" borderId="2" xfId="3" applyNumberFormat="1" applyFont="1" applyBorder="1" applyAlignment="1">
      <alignment horizontal="center" vertical="center"/>
    </xf>
    <xf numFmtId="0" fontId="4" fillId="0" borderId="2" xfId="6" applyFont="1" applyBorder="1" applyAlignment="1" applyProtection="1">
      <alignment horizontal="center" vertical="center" wrapText="1"/>
      <protection hidden="1"/>
    </xf>
    <xf numFmtId="16" fontId="4" fillId="0" borderId="2" xfId="3" applyNumberFormat="1" applyFont="1" applyBorder="1" applyAlignment="1">
      <alignment horizontal="center" vertical="center" wrapText="1"/>
    </xf>
    <xf numFmtId="0" fontId="43" fillId="0" borderId="2" xfId="3" applyFont="1" applyBorder="1" applyAlignment="1">
      <alignment horizontal="center" vertical="center" wrapText="1"/>
    </xf>
    <xf numFmtId="0" fontId="43" fillId="0" borderId="2" xfId="0" applyFont="1" applyBorder="1" applyAlignment="1">
      <alignment horizontal="center" vertical="center"/>
    </xf>
    <xf numFmtId="0" fontId="39" fillId="0" borderId="2" xfId="3" applyFont="1" applyBorder="1" applyAlignment="1">
      <alignment horizontal="center" vertical="center" wrapText="1"/>
    </xf>
    <xf numFmtId="49" fontId="43" fillId="0" borderId="26" xfId="3" applyNumberFormat="1" applyFont="1" applyBorder="1" applyAlignment="1">
      <alignment horizontal="center" vertical="center" wrapText="1"/>
    </xf>
    <xf numFmtId="49" fontId="43" fillId="0" borderId="27" xfId="3" applyNumberFormat="1" applyFont="1" applyBorder="1" applyAlignment="1">
      <alignment horizontal="center" vertical="center" wrapText="1"/>
    </xf>
    <xf numFmtId="0" fontId="4" fillId="0" borderId="26" xfId="3" applyFont="1" applyBorder="1" applyAlignment="1">
      <alignment horizontal="center" vertical="center" wrapText="1"/>
    </xf>
    <xf numFmtId="0" fontId="4" fillId="0" borderId="31" xfId="3" applyFont="1" applyBorder="1" applyAlignment="1">
      <alignment horizontal="center" vertical="center" wrapText="1"/>
    </xf>
    <xf numFmtId="0" fontId="4" fillId="0" borderId="27" xfId="3" applyFont="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1" xfId="3" applyFont="1" applyFill="1" applyBorder="1" applyAlignment="1">
      <alignment horizontal="center" vertical="center" wrapText="1"/>
    </xf>
    <xf numFmtId="0" fontId="6" fillId="9" borderId="3" xfId="3" applyFont="1" applyFill="1" applyBorder="1" applyAlignment="1">
      <alignment horizontal="center" vertical="center" wrapText="1"/>
    </xf>
    <xf numFmtId="0" fontId="6" fillId="9" borderId="4" xfId="3" applyFont="1" applyFill="1" applyBorder="1" applyAlignment="1">
      <alignment horizontal="center" vertical="center" wrapText="1"/>
    </xf>
    <xf numFmtId="0" fontId="6" fillId="9" borderId="1" xfId="3" applyFont="1" applyFill="1" applyBorder="1" applyAlignment="1">
      <alignment horizontal="center" vertical="center" wrapText="1"/>
    </xf>
    <xf numFmtId="0" fontId="6" fillId="10" borderId="3" xfId="3" applyFont="1" applyFill="1" applyBorder="1" applyAlignment="1">
      <alignment horizontal="center" vertical="center" wrapText="1"/>
    </xf>
    <xf numFmtId="0" fontId="6" fillId="10" borderId="4" xfId="3" applyFont="1" applyFill="1" applyBorder="1" applyAlignment="1">
      <alignment horizontal="center" vertical="center" wrapText="1"/>
    </xf>
    <xf numFmtId="0" fontId="6" fillId="10" borderId="1" xfId="3" applyFont="1" applyFill="1" applyBorder="1" applyAlignment="1">
      <alignment horizontal="center" vertical="center" wrapText="1"/>
    </xf>
    <xf numFmtId="49" fontId="6" fillId="0" borderId="2" xfId="3" applyNumberFormat="1" applyFont="1" applyBorder="1" applyAlignment="1">
      <alignment horizontal="center" vertical="center"/>
    </xf>
    <xf numFmtId="49" fontId="6" fillId="0" borderId="2" xfId="3" applyNumberFormat="1" applyFont="1" applyBorder="1" applyAlignment="1">
      <alignment horizontal="center" vertical="center" wrapText="1"/>
    </xf>
    <xf numFmtId="16" fontId="6" fillId="5" borderId="2" xfId="3" applyNumberFormat="1" applyFont="1" applyFill="1" applyBorder="1" applyAlignment="1">
      <alignment horizontal="center" vertical="center" wrapText="1"/>
    </xf>
    <xf numFmtId="164" fontId="4" fillId="0" borderId="2" xfId="5" applyFont="1" applyBorder="1" applyAlignment="1">
      <alignment horizontal="center" vertical="center"/>
    </xf>
    <xf numFmtId="16" fontId="44" fillId="0" borderId="2" xfId="3" applyNumberFormat="1" applyFont="1" applyBorder="1" applyAlignment="1">
      <alignment horizontal="center" vertical="center" wrapText="1"/>
    </xf>
    <xf numFmtId="0" fontId="6" fillId="8" borderId="3" xfId="3" applyFont="1" applyFill="1" applyBorder="1" applyAlignment="1">
      <alignment horizontal="center" vertical="center" wrapText="1"/>
    </xf>
    <xf numFmtId="0" fontId="6" fillId="8" borderId="4" xfId="3" applyFont="1" applyFill="1" applyBorder="1" applyAlignment="1">
      <alignment horizontal="center" vertical="center" wrapText="1"/>
    </xf>
    <xf numFmtId="0" fontId="6" fillId="8" borderId="1" xfId="3" applyFont="1" applyFill="1" applyBorder="1" applyAlignment="1">
      <alignment horizontal="center" vertical="center" wrapText="1"/>
    </xf>
    <xf numFmtId="0" fontId="6" fillId="11" borderId="4" xfId="3" applyFont="1" applyFill="1" applyBorder="1" applyAlignment="1">
      <alignment horizontal="center" vertical="center" wrapText="1"/>
    </xf>
    <xf numFmtId="0" fontId="6" fillId="11" borderId="1" xfId="3" applyFont="1" applyFill="1" applyBorder="1" applyAlignment="1">
      <alignment horizontal="center" vertical="center" wrapText="1"/>
    </xf>
    <xf numFmtId="0" fontId="6" fillId="10" borderId="4" xfId="3" applyFont="1" applyFill="1" applyBorder="1" applyAlignment="1">
      <alignment horizontal="center" vertical="center"/>
    </xf>
    <xf numFmtId="0" fontId="6" fillId="10" borderId="1" xfId="3" applyFont="1" applyFill="1" applyBorder="1" applyAlignment="1">
      <alignment horizontal="center" vertical="center"/>
    </xf>
    <xf numFmtId="164" fontId="15" fillId="0" borderId="2" xfId="5" applyFont="1" applyFill="1" applyBorder="1" applyAlignment="1">
      <alignment horizontal="center" vertical="center" wrapText="1"/>
    </xf>
    <xf numFmtId="0" fontId="4" fillId="0" borderId="2" xfId="0" applyFont="1" applyBorder="1" applyAlignment="1">
      <alignment horizontal="center" vertical="center" wrapText="1"/>
    </xf>
    <xf numFmtId="0" fontId="4" fillId="6" borderId="2" xfId="3" applyFont="1" applyFill="1" applyBorder="1" applyAlignment="1">
      <alignment horizontal="center" vertical="center" wrapText="1"/>
    </xf>
    <xf numFmtId="0" fontId="6" fillId="5" borderId="3" xfId="3" applyFont="1" applyFill="1" applyBorder="1" applyAlignment="1">
      <alignment horizontal="center" vertical="center" wrapText="1"/>
    </xf>
    <xf numFmtId="0" fontId="6" fillId="5" borderId="4" xfId="3" applyFont="1" applyFill="1" applyBorder="1" applyAlignment="1">
      <alignment horizontal="center" vertical="center" wrapText="1"/>
    </xf>
    <xf numFmtId="0" fontId="6" fillId="5" borderId="1" xfId="3" applyFont="1" applyFill="1" applyBorder="1" applyAlignment="1">
      <alignment horizontal="center" vertical="center" wrapText="1"/>
    </xf>
    <xf numFmtId="0" fontId="40" fillId="18" borderId="26" xfId="0" applyFont="1" applyFill="1" applyBorder="1" applyAlignment="1">
      <alignment horizontal="center" vertical="center" wrapText="1"/>
    </xf>
    <xf numFmtId="0" fontId="40" fillId="18" borderId="31" xfId="0" applyFont="1" applyFill="1" applyBorder="1" applyAlignment="1">
      <alignment horizontal="center" vertical="center" wrapText="1"/>
    </xf>
    <xf numFmtId="0" fontId="40" fillId="18" borderId="27" xfId="0" applyFont="1" applyFill="1" applyBorder="1" applyAlignment="1">
      <alignment horizontal="center" vertical="center" wrapText="1"/>
    </xf>
    <xf numFmtId="0" fontId="43" fillId="0" borderId="26" xfId="3" applyFont="1" applyBorder="1" applyAlignment="1">
      <alignment horizontal="center" vertical="center" wrapText="1"/>
    </xf>
    <xf numFmtId="0" fontId="43" fillId="0" borderId="31" xfId="3" applyFont="1" applyBorder="1" applyAlignment="1">
      <alignment horizontal="center" vertical="center" wrapText="1"/>
    </xf>
    <xf numFmtId="0" fontId="43" fillId="0" borderId="27" xfId="3" applyFont="1" applyBorder="1" applyAlignment="1">
      <alignment horizontal="center" vertical="center" wrapText="1"/>
    </xf>
    <xf numFmtId="0" fontId="39" fillId="0" borderId="26" xfId="3" applyFont="1" applyBorder="1" applyAlignment="1">
      <alignment horizontal="center" vertical="center" wrapText="1"/>
    </xf>
    <xf numFmtId="0" fontId="39" fillId="0" borderId="31" xfId="3" applyFont="1" applyBorder="1" applyAlignment="1">
      <alignment horizontal="center" vertical="center" wrapText="1"/>
    </xf>
    <xf numFmtId="0" fontId="39" fillId="0" borderId="27" xfId="3" applyFont="1" applyBorder="1" applyAlignment="1">
      <alignment horizontal="center" vertical="center" wrapText="1"/>
    </xf>
    <xf numFmtId="0" fontId="6" fillId="10" borderId="2" xfId="3" applyFont="1" applyFill="1" applyBorder="1" applyAlignment="1">
      <alignment horizontal="center" vertical="center" wrapText="1"/>
    </xf>
    <xf numFmtId="0" fontId="6" fillId="8" borderId="2" xfId="3" applyFont="1" applyFill="1" applyBorder="1" applyAlignment="1">
      <alignment horizontal="center" vertical="center" wrapText="1"/>
    </xf>
    <xf numFmtId="0" fontId="6" fillId="9" borderId="2" xfId="3" applyFont="1" applyFill="1" applyBorder="1" applyAlignment="1">
      <alignment horizontal="center" vertical="center" wrapText="1"/>
    </xf>
    <xf numFmtId="0" fontId="6" fillId="0" borderId="3" xfId="3" applyFont="1" applyBorder="1" applyAlignment="1">
      <alignment horizontal="center" vertical="center" wrapText="1"/>
    </xf>
    <xf numFmtId="0" fontId="6" fillId="0" borderId="4" xfId="3" applyFont="1" applyBorder="1" applyAlignment="1">
      <alignment horizontal="center" vertical="center" wrapText="1"/>
    </xf>
    <xf numFmtId="0" fontId="6" fillId="0" borderId="1" xfId="3" applyFont="1" applyBorder="1" applyAlignment="1">
      <alignment horizontal="center" vertical="center" wrapText="1"/>
    </xf>
    <xf numFmtId="0" fontId="9" fillId="0" borderId="26" xfId="3" applyFont="1" applyBorder="1" applyAlignment="1">
      <alignment horizontal="center" vertical="center" wrapText="1"/>
    </xf>
    <xf numFmtId="0" fontId="9" fillId="0" borderId="31" xfId="3" applyFont="1" applyBorder="1" applyAlignment="1">
      <alignment horizontal="center" vertical="center" wrapText="1"/>
    </xf>
    <xf numFmtId="0" fontId="9" fillId="0" borderId="27" xfId="3" applyFont="1" applyBorder="1" applyAlignment="1">
      <alignment horizontal="center" vertical="center" wrapTex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6" fillId="0" borderId="2" xfId="3" applyFont="1" applyBorder="1" applyAlignment="1">
      <alignment horizontal="center" vertical="center" wrapText="1"/>
    </xf>
    <xf numFmtId="16" fontId="4" fillId="0" borderId="26" xfId="3" applyNumberFormat="1" applyFont="1" applyBorder="1" applyAlignment="1">
      <alignment horizontal="center" vertical="center" wrapText="1"/>
    </xf>
    <xf numFmtId="16" fontId="4" fillId="0" borderId="27" xfId="3" applyNumberFormat="1" applyFont="1" applyBorder="1" applyAlignment="1">
      <alignment horizontal="center" vertical="center" wrapText="1"/>
    </xf>
    <xf numFmtId="0" fontId="43" fillId="0" borderId="3" xfId="3" applyFont="1" applyBorder="1" applyAlignment="1">
      <alignment horizontal="center" vertical="center" wrapText="1"/>
    </xf>
    <xf numFmtId="0" fontId="43" fillId="0" borderId="1" xfId="3" applyFont="1" applyBorder="1" applyAlignment="1">
      <alignment horizontal="center" vertical="center" wrapText="1"/>
    </xf>
    <xf numFmtId="0" fontId="30" fillId="0" borderId="2" xfId="0" applyFont="1" applyBorder="1" applyAlignment="1">
      <alignment vertical="center"/>
    </xf>
    <xf numFmtId="0" fontId="36" fillId="0" borderId="2" xfId="0" applyFont="1" applyBorder="1" applyAlignment="1">
      <alignment vertical="center" wrapText="1"/>
    </xf>
    <xf numFmtId="0" fontId="56" fillId="0" borderId="0" xfId="0" applyFont="1" applyAlignment="1">
      <alignment horizontal="center" vertical="center"/>
    </xf>
    <xf numFmtId="0" fontId="55" fillId="0" borderId="0" xfId="0" applyFont="1" applyAlignment="1">
      <alignment horizontal="left" vertical="center"/>
    </xf>
    <xf numFmtId="0" fontId="62" fillId="16" borderId="23" xfId="0" applyFont="1" applyFill="1" applyBorder="1" applyAlignment="1">
      <alignment horizontal="center" vertical="center" wrapText="1"/>
    </xf>
    <xf numFmtId="0" fontId="62" fillId="16" borderId="24" xfId="0" applyFont="1" applyFill="1" applyBorder="1" applyAlignment="1">
      <alignment horizontal="center" vertical="center" wrapText="1"/>
    </xf>
    <xf numFmtId="43" fontId="67" fillId="0" borderId="2" xfId="1" applyFont="1" applyBorder="1" applyAlignment="1">
      <alignment horizontal="center" vertical="center" wrapText="1"/>
    </xf>
    <xf numFmtId="43" fontId="66" fillId="0" borderId="3" xfId="1" applyFont="1" applyBorder="1" applyAlignment="1">
      <alignment horizontal="center" vertical="center" wrapText="1"/>
    </xf>
    <xf numFmtId="43" fontId="66" fillId="0" borderId="4" xfId="1" applyFont="1" applyBorder="1" applyAlignment="1">
      <alignment horizontal="center" vertical="center" wrapText="1"/>
    </xf>
    <xf numFmtId="43" fontId="66" fillId="0" borderId="1" xfId="1" applyFont="1" applyBorder="1" applyAlignment="1">
      <alignment horizontal="center" vertical="center" wrapText="1"/>
    </xf>
    <xf numFmtId="43" fontId="67" fillId="0" borderId="3" xfId="1" applyFont="1" applyBorder="1" applyAlignment="1">
      <alignment horizontal="center" vertical="center"/>
    </xf>
    <xf numFmtId="43" fontId="67" fillId="0" borderId="4" xfId="1" applyFont="1" applyBorder="1" applyAlignment="1">
      <alignment horizontal="center" vertical="center"/>
    </xf>
    <xf numFmtId="43" fontId="67" fillId="0" borderId="1" xfId="1" applyFont="1" applyBorder="1" applyAlignment="1">
      <alignment horizontal="center" vertical="center"/>
    </xf>
    <xf numFmtId="0" fontId="65" fillId="12" borderId="2" xfId="0" applyFont="1" applyFill="1" applyBorder="1" applyAlignment="1">
      <alignment horizontal="center" vertical="center" wrapText="1"/>
    </xf>
    <xf numFmtId="43" fontId="0" fillId="0" borderId="0" xfId="1" applyFont="1" applyAlignment="1">
      <alignment vertical="center"/>
    </xf>
    <xf numFmtId="177" fontId="5" fillId="0" borderId="0" xfId="0" applyNumberFormat="1" applyFont="1"/>
  </cellXfs>
  <cellStyles count="7">
    <cellStyle name="Milliers" xfId="1" builtinId="3"/>
    <cellStyle name="Milliers 4" xfId="5" xr:uid="{01F3E674-DBC2-4B39-998C-D71D6DC88277}"/>
    <cellStyle name="Normal" xfId="0" builtinId="0"/>
    <cellStyle name="Normal 3" xfId="4" xr:uid="{25F2C18F-438C-4E75-9BDC-3FB3503735CF}"/>
    <cellStyle name="Normal 4" xfId="3" xr:uid="{EF1D9C69-9474-4D76-AAAB-550A3689270A}"/>
    <cellStyle name="Normal 5 2" xfId="6" xr:uid="{12997500-BF67-46CD-983A-7FB6F5C9AC27}"/>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ve%20Cordination%20181018\2018\BUDGET%202018\RAPPORT%20FINANCIER%20PROJET%20CUMULE%20DE%202015%20%202018%20_%20Projet%20%20Secr&#233;tariat%20Tech_%20PBF%202%2024%20sept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PROJET%20PBF%202020/BUDGET%20%20PROJE%20PBF%202020/RAPPORT%20FINANCIER%20PROJET%20PBF%2031%20decembre%202018%20VERSION%20AU%2002%20FEVRIER%20%202019%20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PROJET%20PBF%202020/BUDGET%20%20PROJE%20PBF%202020/Rapport%20Fin.%20%20PROJET%20PBF%20%2031%20d&#233;cembre2019%20AU%2015%20FEV%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0/PROJET%20PBF%202020/BUDGET%20%20PROJE%20PBF%202020/Rapport%20Financier%20Porjet%20PBF%20et%20Eng%20au%2013%20NOV%20%202020%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9/BUDGET%202019/PTA%202019%20PACOP/Copie%20de%20RAPPORT%20FINANCIER%20PROJET%20PBF%2013%20JUIN%20VERSION%2014%20JUIN%20%202019%20xls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1/PROJET%20PBF%202021/RAPPORT%20FINANCIER%2030%20AVRIL%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abrice.konan/Documents/Transfert/JOB/PNUD/RBM/Documents/Sous%20Projet/PRF/Coordination/FNAL%2028112018/FINAL/Annex_Budget_ST_2019_FK_281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20/PROJET%20PBF%202020/BUDGET%20%20PROJE%20PBF%202020/Budget_ST_2021_02%20122020%20S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A 2012 PRF+INTERPEACE"/>
      <sheetName val="PTA 2015 STCPC PRF 2"/>
      <sheetName val="TABLEAU CUMUL"/>
      <sheetName val="MODELE DE RAPPORT VALIDE 2018"/>
      <sheetName val="ENGAGEMENT"/>
      <sheetName val="PROJET ACT BUDGET INDICATIF"/>
      <sheetName val="PTA 2016STPC PRF2"/>
      <sheetName val="PTA 2017STPC PRF 2"/>
      <sheetName val="RECAP 1"/>
      <sheetName val="RECAP"/>
    </sheetNames>
    <sheetDataSet>
      <sheetData sheetId="0" refreshError="1"/>
      <sheetData sheetId="1" refreshError="1">
        <row r="20">
          <cell r="O20">
            <v>25821</v>
          </cell>
        </row>
        <row r="21">
          <cell r="O21">
            <v>0</v>
          </cell>
        </row>
        <row r="23">
          <cell r="O23">
            <v>19298</v>
          </cell>
        </row>
        <row r="40">
          <cell r="O40">
            <v>22728</v>
          </cell>
        </row>
        <row r="45">
          <cell r="O45">
            <v>133</v>
          </cell>
        </row>
      </sheetData>
      <sheetData sheetId="2" refreshError="1"/>
      <sheetData sheetId="3" refreshError="1"/>
      <sheetData sheetId="4" refreshError="1"/>
      <sheetData sheetId="5" refreshError="1"/>
      <sheetData sheetId="6" refreshError="1">
        <row r="23">
          <cell r="N23">
            <v>21064.82</v>
          </cell>
        </row>
        <row r="25">
          <cell r="N25">
            <v>192821.34</v>
          </cell>
        </row>
        <row r="27">
          <cell r="N27">
            <v>39176.31</v>
          </cell>
        </row>
        <row r="36">
          <cell r="N36">
            <v>13162</v>
          </cell>
        </row>
        <row r="38">
          <cell r="N38">
            <v>18635.712899999999</v>
          </cell>
        </row>
        <row r="44">
          <cell r="N44">
            <v>45350.97</v>
          </cell>
        </row>
        <row r="45">
          <cell r="N45">
            <v>13687.59</v>
          </cell>
        </row>
        <row r="49">
          <cell r="N49">
            <v>1041.8800000000001</v>
          </cell>
        </row>
        <row r="52">
          <cell r="N52">
            <v>380</v>
          </cell>
        </row>
        <row r="56">
          <cell r="N56">
            <v>2677.99</v>
          </cell>
        </row>
        <row r="57">
          <cell r="N57">
            <v>18108</v>
          </cell>
        </row>
        <row r="58">
          <cell r="N58">
            <v>10161</v>
          </cell>
        </row>
        <row r="59">
          <cell r="N59">
            <v>3652.58</v>
          </cell>
        </row>
        <row r="60">
          <cell r="N60">
            <v>13968.759999999998</v>
          </cell>
        </row>
        <row r="65">
          <cell r="N65">
            <v>7632.0138999999999</v>
          </cell>
        </row>
      </sheetData>
      <sheetData sheetId="7" refreshError="1">
        <row r="22">
          <cell r="N22">
            <v>7938.5600000000022</v>
          </cell>
        </row>
        <row r="24">
          <cell r="N24">
            <v>163343.75</v>
          </cell>
        </row>
        <row r="26">
          <cell r="N26">
            <v>39372.32</v>
          </cell>
        </row>
        <row r="35">
          <cell r="N35">
            <v>179.82</v>
          </cell>
        </row>
        <row r="37">
          <cell r="N37">
            <v>14839.03</v>
          </cell>
        </row>
        <row r="43">
          <cell r="N43">
            <v>235.4</v>
          </cell>
        </row>
        <row r="44">
          <cell r="N44">
            <v>46396.36</v>
          </cell>
        </row>
        <row r="49">
          <cell r="N49">
            <v>13642.19</v>
          </cell>
        </row>
        <row r="50">
          <cell r="N50">
            <v>9183.2000000000007</v>
          </cell>
        </row>
        <row r="52">
          <cell r="N52">
            <v>7723.13</v>
          </cell>
        </row>
        <row r="53">
          <cell r="N53">
            <v>619.48</v>
          </cell>
        </row>
        <row r="55">
          <cell r="N55">
            <v>1448.77</v>
          </cell>
        </row>
        <row r="56">
          <cell r="N56">
            <v>217</v>
          </cell>
        </row>
        <row r="57">
          <cell r="N57">
            <v>9114.01</v>
          </cell>
        </row>
        <row r="58">
          <cell r="N58">
            <v>11111.1</v>
          </cell>
        </row>
        <row r="59">
          <cell r="N59">
            <v>12520.35</v>
          </cell>
        </row>
        <row r="64">
          <cell r="N64">
            <v>7732.53</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5"/>
      <sheetName val="Feuil6"/>
      <sheetName val="cumul Activity2015-2018 "/>
      <sheetName val="Feuil1"/>
      <sheetName val="Feuil2"/>
      <sheetName val="engagement 31 decembre 2018"/>
      <sheetName val="PTA 2018"/>
      <sheetName val="recap"/>
      <sheetName val="situation FONDS ETAT"/>
      <sheetName val="Budgétisation initial &amp; révisée"/>
      <sheetName val="TER "/>
    </sheetNames>
    <sheetDataSet>
      <sheetData sheetId="0"/>
      <sheetData sheetId="1"/>
      <sheetData sheetId="2"/>
      <sheetData sheetId="3"/>
      <sheetData sheetId="4"/>
      <sheetData sheetId="5"/>
      <sheetData sheetId="6">
        <row r="33">
          <cell r="G33">
            <v>39707</v>
          </cell>
        </row>
        <row r="38">
          <cell r="G38">
            <v>280434</v>
          </cell>
        </row>
        <row r="42">
          <cell r="G42">
            <v>42697</v>
          </cell>
        </row>
        <row r="44">
          <cell r="G44">
            <v>25478</v>
          </cell>
        </row>
        <row r="50">
          <cell r="G50">
            <v>62458</v>
          </cell>
        </row>
        <row r="51">
          <cell r="G51">
            <v>76781</v>
          </cell>
        </row>
        <row r="57">
          <cell r="G57"/>
        </row>
        <row r="58">
          <cell r="G58">
            <v>1516</v>
          </cell>
        </row>
        <row r="60">
          <cell r="G60">
            <v>25000</v>
          </cell>
        </row>
        <row r="65">
          <cell r="G65">
            <v>17870</v>
          </cell>
        </row>
        <row r="66">
          <cell r="G66">
            <v>1636</v>
          </cell>
        </row>
        <row r="74">
          <cell r="G74">
            <v>22336</v>
          </cell>
        </row>
        <row r="77">
          <cell r="G77">
            <v>-65</v>
          </cell>
        </row>
        <row r="87">
          <cell r="G87">
            <v>372</v>
          </cell>
        </row>
        <row r="88">
          <cell r="G88">
            <v>2769</v>
          </cell>
        </row>
        <row r="94">
          <cell r="G94">
            <v>14752</v>
          </cell>
        </row>
      </sheetData>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19"/>
      <sheetName val="SHEET1"/>
      <sheetName val="CUMUL ACTIVITY 2015 2019"/>
      <sheetName val="BUD 2019"/>
      <sheetName val="engagement au 31 DECEMBRE 2019"/>
      <sheetName val="Sheet2"/>
      <sheetName val="PTA RAPPORT 31 DEC 2019"/>
      <sheetName val="base"/>
      <sheetName val="Sheet3"/>
    </sheetNames>
    <sheetDataSet>
      <sheetData sheetId="0" refreshError="1">
        <row r="18">
          <cell r="C18">
            <v>7000</v>
          </cell>
        </row>
      </sheetData>
      <sheetData sheetId="1" refreshError="1"/>
      <sheetData sheetId="2" refreshError="1"/>
      <sheetData sheetId="3" refreshError="1">
        <row r="18">
          <cell r="H18">
            <v>95331.77</v>
          </cell>
        </row>
        <row r="22">
          <cell r="C22">
            <v>305000</v>
          </cell>
          <cell r="H22">
            <v>240858.23</v>
          </cell>
        </row>
        <row r="28">
          <cell r="C28">
            <v>47613</v>
          </cell>
          <cell r="H28">
            <v>41039</v>
          </cell>
        </row>
        <row r="34">
          <cell r="C34">
            <v>60069</v>
          </cell>
          <cell r="H34">
            <v>74964</v>
          </cell>
        </row>
        <row r="40">
          <cell r="C40">
            <v>106482.97</v>
          </cell>
        </row>
        <row r="43">
          <cell r="C43">
            <v>0</v>
          </cell>
          <cell r="H43">
            <v>0</v>
          </cell>
        </row>
        <row r="48">
          <cell r="C48">
            <v>4500</v>
          </cell>
          <cell r="H48">
            <v>15870</v>
          </cell>
        </row>
        <row r="51">
          <cell r="C51">
            <v>0</v>
          </cell>
          <cell r="H51">
            <v>0</v>
          </cell>
        </row>
        <row r="54">
          <cell r="C54">
            <v>0</v>
          </cell>
          <cell r="H54">
            <v>0</v>
          </cell>
        </row>
        <row r="59">
          <cell r="C59">
            <v>10500</v>
          </cell>
          <cell r="H59">
            <v>11004</v>
          </cell>
        </row>
        <row r="64">
          <cell r="C64">
            <v>1354</v>
          </cell>
          <cell r="H64">
            <v>35289</v>
          </cell>
        </row>
        <row r="69">
          <cell r="H69">
            <v>83</v>
          </cell>
        </row>
        <row r="75">
          <cell r="C75">
            <v>39254.716200000003</v>
          </cell>
        </row>
      </sheetData>
      <sheetData sheetId="4" refreshError="1"/>
      <sheetData sheetId="5" refreshError="1"/>
      <sheetData sheetId="6" refreshError="1">
        <row r="48">
          <cell r="G48">
            <v>22380</v>
          </cell>
        </row>
        <row r="64">
          <cell r="G64">
            <v>149301</v>
          </cell>
        </row>
        <row r="99">
          <cell r="G99">
            <v>9031</v>
          </cell>
        </row>
      </sheetData>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Annexe 1  2019"/>
      <sheetName val="Annexe3"/>
      <sheetName val="Annexe2 2019"/>
      <sheetName val="Annexe4"/>
      <sheetName val="Annexe5"/>
      <sheetName val="Annexe6PTA2020"/>
      <sheetName val="PTA RAPPORT 31 AOUT"/>
      <sheetName val="Sheet3"/>
    </sheetNames>
    <sheetDataSet>
      <sheetData sheetId="0"/>
      <sheetData sheetId="1"/>
      <sheetData sheetId="2"/>
      <sheetData sheetId="3">
        <row r="7">
          <cell r="U7">
            <v>32802</v>
          </cell>
        </row>
      </sheetData>
      <sheetData sheetId="4"/>
      <sheetData sheetId="5"/>
      <sheetData sheetId="6"/>
      <sheetData sheetId="7"/>
      <sheetData sheetId="8">
        <row r="33">
          <cell r="G33">
            <v>32802</v>
          </cell>
        </row>
        <row r="39">
          <cell r="G39">
            <v>136851</v>
          </cell>
        </row>
        <row r="43">
          <cell r="G43">
            <v>27240</v>
          </cell>
        </row>
        <row r="45">
          <cell r="G45">
            <v>13498</v>
          </cell>
        </row>
        <row r="64">
          <cell r="G64">
            <v>49303</v>
          </cell>
        </row>
        <row r="71">
          <cell r="G71">
            <v>10351</v>
          </cell>
        </row>
        <row r="73">
          <cell r="G73">
            <v>3746</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euil2"/>
      <sheetName val="Feuil3"/>
      <sheetName val="SHEET2"/>
      <sheetName val="cumul Activity2015-2018 "/>
      <sheetName val="engagement 31 decembre 2018"/>
      <sheetName val="PTA 2018"/>
      <sheetName val="recap"/>
      <sheetName val="situation FONDS ETAT"/>
      <sheetName val="Feuil1"/>
      <sheetName val="TER "/>
      <sheetName val="Budgétisation initial &amp; révisée"/>
    </sheetNames>
    <sheetDataSet>
      <sheetData sheetId="0"/>
      <sheetData sheetId="1"/>
      <sheetData sheetId="2"/>
      <sheetData sheetId="3"/>
      <sheetData sheetId="4">
        <row r="7">
          <cell r="N7">
            <v>120000</v>
          </cell>
          <cell r="T7">
            <v>80000</v>
          </cell>
        </row>
        <row r="8">
          <cell r="N8">
            <v>406983</v>
          </cell>
          <cell r="T8">
            <v>302221</v>
          </cell>
        </row>
        <row r="9">
          <cell r="N9">
            <v>133200</v>
          </cell>
          <cell r="T9">
            <v>0</v>
          </cell>
        </row>
        <row r="13">
          <cell r="N13">
            <v>172800</v>
          </cell>
          <cell r="T13">
            <v>60069</v>
          </cell>
        </row>
        <row r="14">
          <cell r="N14">
            <v>100000</v>
          </cell>
          <cell r="T14"/>
        </row>
        <row r="15">
          <cell r="N15">
            <v>0</v>
          </cell>
          <cell r="T15"/>
        </row>
        <row r="16">
          <cell r="N16">
            <v>50000</v>
          </cell>
          <cell r="T16">
            <v>10000</v>
          </cell>
        </row>
        <row r="17">
          <cell r="N17">
            <v>30018</v>
          </cell>
          <cell r="T17">
            <v>0</v>
          </cell>
        </row>
        <row r="18">
          <cell r="N18">
            <v>45000</v>
          </cell>
          <cell r="T18"/>
        </row>
        <row r="20">
          <cell r="N20">
            <v>39000</v>
          </cell>
          <cell r="T20">
            <v>10000</v>
          </cell>
        </row>
        <row r="21">
          <cell r="N21">
            <v>53000</v>
          </cell>
          <cell r="T21">
            <v>5000</v>
          </cell>
        </row>
        <row r="23">
          <cell r="T23">
            <v>32710</v>
          </cell>
        </row>
      </sheetData>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DE 2020 "/>
      <sheetName val="PTA 1ERE TRANCHE"/>
      <sheetName val="SHEET 1"/>
      <sheetName val="SHHET 2 BIS"/>
      <sheetName val="SHEET 2"/>
      <sheetName val="SHEET 1 2021"/>
      <sheetName val="PTA 2021 GLOBAL"/>
      <sheetName val="Feuil1"/>
      <sheetName val="Feuil3"/>
    </sheetNames>
    <sheetDataSet>
      <sheetData sheetId="0"/>
      <sheetData sheetId="1"/>
      <sheetData sheetId="2">
        <row r="20">
          <cell r="D20">
            <v>142500</v>
          </cell>
        </row>
        <row r="26">
          <cell r="D26">
            <v>61612.66</v>
          </cell>
        </row>
        <row r="34">
          <cell r="D34">
            <v>60069</v>
          </cell>
        </row>
        <row r="45">
          <cell r="D45">
            <v>40000</v>
          </cell>
        </row>
        <row r="54">
          <cell r="D54">
            <v>23042.716200000006</v>
          </cell>
        </row>
      </sheetData>
      <sheetData sheetId="3">
        <row r="6">
          <cell r="K6">
            <v>371265.56</v>
          </cell>
          <cell r="L6">
            <v>159113.82</v>
          </cell>
          <cell r="N6">
            <v>246557.0612</v>
          </cell>
        </row>
        <row r="7">
          <cell r="K7">
            <v>300977.15999999997</v>
          </cell>
          <cell r="L7">
            <v>91704.5</v>
          </cell>
          <cell r="N7">
            <v>190427.16000000003</v>
          </cell>
        </row>
        <row r="8">
          <cell r="K8">
            <v>5000</v>
          </cell>
          <cell r="L8">
            <v>5000</v>
          </cell>
        </row>
        <row r="10">
          <cell r="K10">
            <v>26000</v>
          </cell>
          <cell r="L10">
            <v>29000</v>
          </cell>
        </row>
        <row r="11">
          <cell r="K11">
            <v>5000</v>
          </cell>
          <cell r="L11">
            <v>5000</v>
          </cell>
        </row>
        <row r="13">
          <cell r="K13">
            <v>10000</v>
          </cell>
          <cell r="L13">
            <v>18000</v>
          </cell>
        </row>
      </sheetData>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Feuil1"/>
    </sheetNames>
    <sheetDataSet>
      <sheetData sheetId="0" refreshError="1">
        <row r="12">
          <cell r="C12">
            <v>35000</v>
          </cell>
        </row>
        <row r="13">
          <cell r="C13"/>
        </row>
        <row r="14">
          <cell r="C14"/>
        </row>
        <row r="16">
          <cell r="C16"/>
        </row>
        <row r="17">
          <cell r="C17">
            <v>15000</v>
          </cell>
        </row>
        <row r="21">
          <cell r="C21">
            <v>285000</v>
          </cell>
        </row>
        <row r="24">
          <cell r="C24">
            <v>20000</v>
          </cell>
        </row>
        <row r="26">
          <cell r="C26">
            <v>47612.66</v>
          </cell>
        </row>
        <row r="33">
          <cell r="C33">
            <v>60069</v>
          </cell>
        </row>
        <row r="36">
          <cell r="C36">
            <v>50000</v>
          </cell>
        </row>
        <row r="37">
          <cell r="C37">
            <v>6900</v>
          </cell>
        </row>
        <row r="40">
          <cell r="C40">
            <v>6950</v>
          </cell>
        </row>
        <row r="41">
          <cell r="C41">
            <v>4250</v>
          </cell>
        </row>
        <row r="45">
          <cell r="C45">
            <v>30000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TA2021"/>
      <sheetName val="1 ère tranche"/>
    </sheetNames>
    <sheetDataSet>
      <sheetData sheetId="0">
        <row r="27">
          <cell r="D27">
            <v>204112.66</v>
          </cell>
        </row>
        <row r="33">
          <cell r="D33">
            <v>60069</v>
          </cell>
        </row>
      </sheetData>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24E8C-1947-4494-9A3F-B1D5520B86BE}">
  <dimension ref="A1:AD33"/>
  <sheetViews>
    <sheetView topLeftCell="A5" workbookViewId="0">
      <pane xSplit="1" ySplit="2" topLeftCell="W25" activePane="bottomRight" state="frozen"/>
      <selection activeCell="A5" sqref="A5"/>
      <selection pane="topRight" activeCell="B5" sqref="B5"/>
      <selection pane="bottomLeft" activeCell="A7" sqref="A7"/>
      <selection pane="bottomRight" activeCell="C8" sqref="C8"/>
    </sheetView>
  </sheetViews>
  <sheetFormatPr baseColWidth="10" defaultColWidth="16.81640625" defaultRowHeight="13"/>
  <cols>
    <col min="1" max="1" width="27.54296875" style="322" customWidth="1"/>
    <col min="2" max="24" width="16.81640625" style="322"/>
    <col min="25" max="25" width="15.1796875" style="322" customWidth="1"/>
    <col min="26" max="26" width="17.1796875" style="322" customWidth="1"/>
    <col min="27" max="27" width="17.6328125" style="322" customWidth="1"/>
    <col min="28" max="28" width="17.08984375" style="322" customWidth="1"/>
    <col min="29" max="29" width="12.1796875" style="322" customWidth="1"/>
    <col min="30" max="16384" width="16.81640625" style="322"/>
  </cols>
  <sheetData>
    <row r="1" spans="1:30">
      <c r="A1" s="312" t="s">
        <v>226</v>
      </c>
    </row>
    <row r="2" spans="1:30" ht="13.5" thickBot="1">
      <c r="A2" s="312"/>
    </row>
    <row r="3" spans="1:30" ht="23" customHeight="1">
      <c r="A3" s="481" t="s">
        <v>227</v>
      </c>
      <c r="B3" s="465">
        <v>2015</v>
      </c>
      <c r="C3" s="466"/>
      <c r="D3" s="467"/>
      <c r="E3" s="465">
        <v>2016</v>
      </c>
      <c r="F3" s="466"/>
      <c r="G3" s="467"/>
      <c r="H3" s="465">
        <v>2017</v>
      </c>
      <c r="I3" s="466"/>
      <c r="J3" s="467"/>
      <c r="K3" s="483" t="s">
        <v>228</v>
      </c>
      <c r="L3" s="484"/>
      <c r="M3" s="485"/>
      <c r="N3" s="465">
        <v>2018</v>
      </c>
      <c r="O3" s="466"/>
      <c r="P3" s="467"/>
      <c r="Q3" s="465">
        <v>2019</v>
      </c>
      <c r="R3" s="466"/>
      <c r="S3" s="467"/>
      <c r="T3" s="364">
        <v>2020</v>
      </c>
      <c r="U3" s="365"/>
      <c r="V3" s="366"/>
      <c r="W3" s="465">
        <v>2021</v>
      </c>
      <c r="X3" s="466"/>
      <c r="Y3" s="467"/>
      <c r="Z3" s="472" t="s">
        <v>229</v>
      </c>
      <c r="AA3" s="473"/>
      <c r="AB3" s="473"/>
      <c r="AC3" s="474"/>
    </row>
    <row r="4" spans="1:30" ht="18" customHeight="1">
      <c r="A4" s="482"/>
      <c r="B4" s="323" t="s">
        <v>230</v>
      </c>
      <c r="C4" s="323" t="s">
        <v>231</v>
      </c>
      <c r="D4" s="323" t="s">
        <v>232</v>
      </c>
      <c r="E4" s="323" t="s">
        <v>230</v>
      </c>
      <c r="F4" s="323" t="s">
        <v>231</v>
      </c>
      <c r="G4" s="323" t="s">
        <v>232</v>
      </c>
      <c r="H4" s="323" t="s">
        <v>233</v>
      </c>
      <c r="I4" s="323" t="s">
        <v>234</v>
      </c>
      <c r="J4" s="323" t="s">
        <v>235</v>
      </c>
      <c r="K4" s="324" t="s">
        <v>233</v>
      </c>
      <c r="L4" s="324" t="s">
        <v>234</v>
      </c>
      <c r="M4" s="324" t="s">
        <v>235</v>
      </c>
      <c r="N4" s="323" t="s">
        <v>233</v>
      </c>
      <c r="O4" s="323" t="s">
        <v>234</v>
      </c>
      <c r="P4" s="323" t="s">
        <v>235</v>
      </c>
      <c r="Q4" s="323" t="s">
        <v>233</v>
      </c>
      <c r="R4" s="323" t="s">
        <v>234</v>
      </c>
      <c r="S4" s="323" t="s">
        <v>235</v>
      </c>
      <c r="T4" s="323" t="s">
        <v>233</v>
      </c>
      <c r="U4" s="323" t="s">
        <v>234</v>
      </c>
      <c r="V4" s="323" t="s">
        <v>235</v>
      </c>
      <c r="W4" s="323" t="s">
        <v>233</v>
      </c>
      <c r="X4" s="323" t="s">
        <v>234</v>
      </c>
      <c r="Y4" s="323" t="s">
        <v>235</v>
      </c>
      <c r="Z4" s="323" t="s">
        <v>236</v>
      </c>
      <c r="AA4" s="323" t="s">
        <v>237</v>
      </c>
      <c r="AB4" s="323" t="s">
        <v>238</v>
      </c>
      <c r="AC4" s="370" t="s">
        <v>239</v>
      </c>
    </row>
    <row r="5" spans="1:30" ht="16.5" customHeight="1">
      <c r="A5" s="475" t="s">
        <v>240</v>
      </c>
      <c r="B5" s="476"/>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7"/>
      <c r="AC5" s="373"/>
    </row>
    <row r="6" spans="1:30" ht="18.5" customHeight="1">
      <c r="A6" s="478" t="s">
        <v>241</v>
      </c>
      <c r="B6" s="479"/>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80"/>
      <c r="AC6" s="373"/>
    </row>
    <row r="7" spans="1:30" ht="39">
      <c r="A7" s="325" t="s">
        <v>242</v>
      </c>
      <c r="B7" s="326">
        <v>40000</v>
      </c>
      <c r="C7" s="327">
        <f>+'[1]PTA 2015 STCPC PRF 2'!O20</f>
        <v>25821</v>
      </c>
      <c r="D7" s="327">
        <f>+B7-C7</f>
        <v>14179</v>
      </c>
      <c r="E7" s="327">
        <v>40000</v>
      </c>
      <c r="F7" s="327">
        <f>+'[1]PTA 2016STPC PRF2'!N23+'[1]PTA 2016STPC PRF2'!N36</f>
        <v>34226.82</v>
      </c>
      <c r="G7" s="327">
        <f>+E7-F7</f>
        <v>5773.18</v>
      </c>
      <c r="H7" s="327">
        <v>40000</v>
      </c>
      <c r="I7" s="327">
        <f>'[1]PTA 2017STPC PRF 2'!N22+'[1]PTA 2017STPC PRF 2'!N35</f>
        <v>8118.3800000000019</v>
      </c>
      <c r="J7" s="327">
        <f>+H7-I7</f>
        <v>31881.62</v>
      </c>
      <c r="K7" s="328">
        <f t="shared" ref="K7:L10" si="0">+B7+E7+H7</f>
        <v>120000</v>
      </c>
      <c r="L7" s="328">
        <f t="shared" si="0"/>
        <v>68166.2</v>
      </c>
      <c r="M7" s="328">
        <f>+K7-L7</f>
        <v>51833.8</v>
      </c>
      <c r="N7" s="329">
        <v>80000</v>
      </c>
      <c r="O7" s="329">
        <f>'[2]PTA 2018'!G33</f>
        <v>39707</v>
      </c>
      <c r="P7" s="329">
        <f>+N7-O7</f>
        <v>40293</v>
      </c>
      <c r="Q7" s="330">
        <v>7000</v>
      </c>
      <c r="R7" s="330">
        <f>+'[3]BUD 2019'!H18</f>
        <v>95331.77</v>
      </c>
      <c r="S7" s="329">
        <f>+Q7-R7</f>
        <v>-88331.77</v>
      </c>
      <c r="T7" s="329">
        <v>20000</v>
      </c>
      <c r="U7" s="330">
        <f>'[4]PTA RAPPORT 31 AOUT'!G33</f>
        <v>32802</v>
      </c>
      <c r="V7" s="329">
        <f t="shared" ref="V7:V11" si="1">+T7-U7</f>
        <v>-12802</v>
      </c>
      <c r="W7" s="331"/>
      <c r="X7" s="331">
        <f>+'RAPPORT EXECUTION PTA 2021'!E32</f>
        <v>28390</v>
      </c>
      <c r="Y7" s="331">
        <f>+W7-X7</f>
        <v>-28390</v>
      </c>
      <c r="Z7" s="332">
        <f>+K7+N7+Q7+T7+W7</f>
        <v>227000</v>
      </c>
      <c r="AA7" s="332">
        <f>+L7+O7+R7+U7+X7</f>
        <v>264396.96999999997</v>
      </c>
      <c r="AB7" s="332">
        <f>+Z7-AA7</f>
        <v>-37396.969999999972</v>
      </c>
      <c r="AC7" s="374">
        <f>+AA7/Z7</f>
        <v>1.16474436123348</v>
      </c>
    </row>
    <row r="8" spans="1:30" ht="78">
      <c r="A8" s="325" t="s">
        <v>154</v>
      </c>
      <c r="B8" s="326">
        <v>135661</v>
      </c>
      <c r="C8" s="327">
        <f>+'[1]PTA 2015 STCPC PRF 2'!O21</f>
        <v>0</v>
      </c>
      <c r="D8" s="327">
        <f>+B8-C8</f>
        <v>135661</v>
      </c>
      <c r="E8" s="327">
        <v>135661</v>
      </c>
      <c r="F8" s="327">
        <f>+'[1]PTA 2016STPC PRF2'!N25</f>
        <v>192821.34</v>
      </c>
      <c r="G8" s="327">
        <f>+E8-F8</f>
        <v>-57160.34</v>
      </c>
      <c r="H8" s="327">
        <v>135661</v>
      </c>
      <c r="I8" s="327">
        <f>'[1]PTA 2017STPC PRF 2'!N24</f>
        <v>163343.75</v>
      </c>
      <c r="J8" s="327">
        <f>+H8-I8</f>
        <v>-27682.75</v>
      </c>
      <c r="K8" s="328">
        <f t="shared" si="0"/>
        <v>406983</v>
      </c>
      <c r="L8" s="328">
        <f t="shared" si="0"/>
        <v>356165.08999999997</v>
      </c>
      <c r="M8" s="328">
        <f>+K8-L8</f>
        <v>50817.910000000033</v>
      </c>
      <c r="N8" s="327">
        <v>302221</v>
      </c>
      <c r="O8" s="327">
        <f>'[2]PTA 2018'!G38</f>
        <v>280434</v>
      </c>
      <c r="P8" s="329">
        <f>+N8-O8</f>
        <v>21787</v>
      </c>
      <c r="Q8" s="329">
        <f>+'[3]BUD 2019'!C22</f>
        <v>305000</v>
      </c>
      <c r="R8" s="329">
        <f>+'[3]BUD 2019'!H22</f>
        <v>240858.23</v>
      </c>
      <c r="S8" s="329">
        <f t="shared" ref="S8:S10" si="2">+Q8-R8</f>
        <v>64141.76999999999</v>
      </c>
      <c r="T8" s="329">
        <v>293000</v>
      </c>
      <c r="U8" s="330">
        <f>'[4]PTA RAPPORT 31 AOUT'!G39</f>
        <v>136851</v>
      </c>
      <c r="V8" s="329">
        <f t="shared" si="1"/>
        <v>156149</v>
      </c>
      <c r="W8" s="331">
        <v>142500</v>
      </c>
      <c r="X8" s="331">
        <f>+'RAPPORT EXECUTION PTA 2021'!E38</f>
        <v>141629</v>
      </c>
      <c r="Y8" s="331">
        <f t="shared" ref="Y8:Y11" si="3">+W8-X8</f>
        <v>871</v>
      </c>
      <c r="Z8" s="332">
        <f t="shared" ref="Z8:Z11" si="4">+K8+N8+Q8+T8+W8</f>
        <v>1449704</v>
      </c>
      <c r="AA8" s="332">
        <f t="shared" ref="AA8:AA9" si="5">+L8+O8+R8+U8+X8</f>
        <v>1155937.3199999998</v>
      </c>
      <c r="AB8" s="332">
        <f t="shared" ref="AB8:AB11" si="6">+Z8-AA8</f>
        <v>293766.68000000017</v>
      </c>
      <c r="AC8" s="374">
        <f t="shared" ref="AC8:AC11" si="7">+AA8/Z8</f>
        <v>0.79736092333331487</v>
      </c>
    </row>
    <row r="9" spans="1:30" ht="26">
      <c r="A9" s="325" t="s">
        <v>156</v>
      </c>
      <c r="B9" s="326">
        <v>44400</v>
      </c>
      <c r="C9" s="327">
        <f>+'[1]PTA 2015 STCPC PRF 2'!O23</f>
        <v>19298</v>
      </c>
      <c r="D9" s="327">
        <f>+B9-C9</f>
        <v>25102</v>
      </c>
      <c r="E9" s="327">
        <v>44400</v>
      </c>
      <c r="F9" s="327">
        <f>+'[1]PTA 2016STPC PRF2'!N27</f>
        <v>39176.31</v>
      </c>
      <c r="G9" s="327">
        <f>+E9-F9</f>
        <v>5223.6900000000023</v>
      </c>
      <c r="H9" s="327">
        <v>44400</v>
      </c>
      <c r="I9" s="327">
        <f>'[1]PTA 2017STPC PRF 2'!N26</f>
        <v>39372.32</v>
      </c>
      <c r="J9" s="327">
        <f>+H9-I9</f>
        <v>5027.68</v>
      </c>
      <c r="K9" s="328">
        <f t="shared" si="0"/>
        <v>133200</v>
      </c>
      <c r="L9" s="328">
        <f t="shared" si="0"/>
        <v>97846.63</v>
      </c>
      <c r="M9" s="328">
        <f>+K9-L9</f>
        <v>35353.369999999995</v>
      </c>
      <c r="N9" s="327">
        <v>0</v>
      </c>
      <c r="O9" s="327">
        <f>'[2]PTA 2018'!G42</f>
        <v>42697</v>
      </c>
      <c r="P9" s="329">
        <f>+N9-O9</f>
        <v>-42697</v>
      </c>
      <c r="Q9" s="329">
        <f>+'[3]BUD 2019'!C28</f>
        <v>47613</v>
      </c>
      <c r="R9" s="329">
        <f>+'[3]BUD 2019'!H28</f>
        <v>41039</v>
      </c>
      <c r="S9" s="329">
        <f t="shared" si="2"/>
        <v>6574</v>
      </c>
      <c r="T9" s="329">
        <v>47612.66</v>
      </c>
      <c r="U9" s="330">
        <f>'[4]PTA RAPPORT 31 AOUT'!G43</f>
        <v>27240</v>
      </c>
      <c r="V9" s="329">
        <f t="shared" si="1"/>
        <v>20372.660000000003</v>
      </c>
      <c r="W9" s="331">
        <v>61612.66</v>
      </c>
      <c r="X9" s="331">
        <f>+'RAPPORT EXECUTION PTA 2021'!E43</f>
        <v>70714</v>
      </c>
      <c r="Y9" s="331">
        <f t="shared" si="3"/>
        <v>-9101.3399999999965</v>
      </c>
      <c r="Z9" s="332">
        <f t="shared" si="4"/>
        <v>290038.32</v>
      </c>
      <c r="AA9" s="332">
        <f t="shared" si="5"/>
        <v>279536.63</v>
      </c>
      <c r="AB9" s="332">
        <f t="shared" si="6"/>
        <v>10501.690000000002</v>
      </c>
      <c r="AC9" s="374">
        <f t="shared" si="7"/>
        <v>0.96379206030430742</v>
      </c>
    </row>
    <row r="10" spans="1:30" ht="21.5" customHeight="1">
      <c r="A10" s="333" t="s">
        <v>243</v>
      </c>
      <c r="B10" s="334"/>
      <c r="C10" s="335">
        <v>3158</v>
      </c>
      <c r="D10" s="335"/>
      <c r="E10" s="335"/>
      <c r="F10" s="335">
        <f>+'[1]PTA 2016STPC PRF2'!N38</f>
        <v>18635.712899999999</v>
      </c>
      <c r="G10" s="335">
        <f>+E10-F10</f>
        <v>-18635.712899999999</v>
      </c>
      <c r="H10" s="335"/>
      <c r="I10" s="335">
        <f>'[1]PTA 2017STPC PRF 2'!N37</f>
        <v>14839.03</v>
      </c>
      <c r="J10" s="335">
        <f>+H10-I10</f>
        <v>-14839.03</v>
      </c>
      <c r="K10" s="336">
        <f t="shared" si="0"/>
        <v>0</v>
      </c>
      <c r="L10" s="328">
        <f t="shared" si="0"/>
        <v>36632.742899999997</v>
      </c>
      <c r="M10" s="328">
        <f>+K10-L10</f>
        <v>-36632.742899999997</v>
      </c>
      <c r="N10" s="335"/>
      <c r="O10" s="335">
        <f>'[2]PTA 2018'!G44</f>
        <v>25478</v>
      </c>
      <c r="P10" s="335">
        <f>+N10-O10</f>
        <v>-25478</v>
      </c>
      <c r="Q10" s="335"/>
      <c r="R10" s="335">
        <f>'[3]PTA RAPPORT 31 DEC 2019'!G48</f>
        <v>22380</v>
      </c>
      <c r="S10" s="335">
        <f t="shared" si="2"/>
        <v>-22380</v>
      </c>
      <c r="T10" s="335"/>
      <c r="U10" s="335">
        <f>'[4]PTA RAPPORT 31 AOUT'!G45</f>
        <v>13498</v>
      </c>
      <c r="V10" s="335">
        <f t="shared" si="1"/>
        <v>-13498</v>
      </c>
      <c r="W10" s="335">
        <v>0</v>
      </c>
      <c r="X10" s="335">
        <f>+'RAPPORT EXECUTION PTA 2021'!E45</f>
        <v>12925</v>
      </c>
      <c r="Y10" s="335">
        <f t="shared" si="3"/>
        <v>-12925</v>
      </c>
      <c r="Z10" s="335">
        <f t="shared" si="4"/>
        <v>0</v>
      </c>
      <c r="AA10" s="335">
        <f t="shared" ref="AA10" si="8">+L10+O10+R10+U10+X10</f>
        <v>110913.7429</v>
      </c>
      <c r="AB10" s="335">
        <f t="shared" si="6"/>
        <v>-110913.7429</v>
      </c>
      <c r="AC10" s="371"/>
    </row>
    <row r="11" spans="1:30" ht="21" customHeight="1">
      <c r="A11" s="337" t="s">
        <v>244</v>
      </c>
      <c r="B11" s="338">
        <f>SUM(B7:B10)</f>
        <v>220061</v>
      </c>
      <c r="C11" s="339">
        <f t="shared" ref="C11:N11" si="9">SUM(C7:C10)</f>
        <v>48277</v>
      </c>
      <c r="D11" s="339">
        <f t="shared" si="9"/>
        <v>174942</v>
      </c>
      <c r="E11" s="339">
        <f t="shared" si="9"/>
        <v>220061</v>
      </c>
      <c r="F11" s="339">
        <f t="shared" si="9"/>
        <v>284860.18289999996</v>
      </c>
      <c r="G11" s="339">
        <f t="shared" si="9"/>
        <v>-64799.182899999993</v>
      </c>
      <c r="H11" s="339">
        <f t="shared" si="9"/>
        <v>220061</v>
      </c>
      <c r="I11" s="339">
        <f t="shared" si="9"/>
        <v>225673.48</v>
      </c>
      <c r="J11" s="339">
        <f>SUM(J7:J10)</f>
        <v>-5612.4800000000014</v>
      </c>
      <c r="K11" s="340">
        <f>SUM(K7:K10)</f>
        <v>660183</v>
      </c>
      <c r="L11" s="336">
        <f>+C11+F11+I11</f>
        <v>558810.6629</v>
      </c>
      <c r="M11" s="336">
        <f>+K11-L11</f>
        <v>101372.3371</v>
      </c>
      <c r="N11" s="339">
        <f t="shared" si="9"/>
        <v>382221</v>
      </c>
      <c r="O11" s="339">
        <f t="shared" ref="O11:T11" si="10">SUM(O7:O10)</f>
        <v>388316</v>
      </c>
      <c r="P11" s="339">
        <f t="shared" si="10"/>
        <v>-6095</v>
      </c>
      <c r="Q11" s="339">
        <f t="shared" si="10"/>
        <v>359613</v>
      </c>
      <c r="R11" s="339">
        <f t="shared" si="10"/>
        <v>399609</v>
      </c>
      <c r="S11" s="339">
        <f t="shared" si="10"/>
        <v>-39996.000000000015</v>
      </c>
      <c r="T11" s="339">
        <f t="shared" si="10"/>
        <v>360612.66000000003</v>
      </c>
      <c r="U11" s="339">
        <f>SUM(U7:U10)</f>
        <v>210391</v>
      </c>
      <c r="V11" s="339">
        <f t="shared" si="1"/>
        <v>150221.66000000003</v>
      </c>
      <c r="W11" s="339">
        <f>SUM(W7:W10)</f>
        <v>204112.66</v>
      </c>
      <c r="X11" s="339">
        <f>SUM(X7:X10)</f>
        <v>253658</v>
      </c>
      <c r="Y11" s="339">
        <f t="shared" si="3"/>
        <v>-49545.34</v>
      </c>
      <c r="Z11" s="341">
        <f t="shared" si="4"/>
        <v>1966742.32</v>
      </c>
      <c r="AA11" s="341">
        <f>SUM(AA7:AA10)</f>
        <v>1810784.6628999999</v>
      </c>
      <c r="AB11" s="341">
        <f t="shared" si="6"/>
        <v>155957.65710000019</v>
      </c>
      <c r="AC11" s="372">
        <f t="shared" si="7"/>
        <v>0.92070254678813224</v>
      </c>
      <c r="AD11" s="346"/>
    </row>
    <row r="12" spans="1:30" ht="22" customHeight="1">
      <c r="A12" s="478" t="s">
        <v>245</v>
      </c>
      <c r="B12" s="479"/>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479"/>
      <c r="AA12" s="479"/>
      <c r="AB12" s="480"/>
      <c r="AC12" s="367"/>
    </row>
    <row r="13" spans="1:30" ht="52">
      <c r="A13" s="342" t="s">
        <v>152</v>
      </c>
      <c r="B13" s="327">
        <v>57600</v>
      </c>
      <c r="C13" s="327">
        <f>+'[1]PTA 2015 STCPC PRF 2'!O40</f>
        <v>22728</v>
      </c>
      <c r="D13" s="327"/>
      <c r="E13" s="327">
        <v>57600</v>
      </c>
      <c r="F13" s="327">
        <f>+'[1]PTA 2016STPC PRF2'!N44</f>
        <v>45350.97</v>
      </c>
      <c r="G13" s="327"/>
      <c r="H13" s="327">
        <v>57600</v>
      </c>
      <c r="I13" s="327">
        <f>'[1]PTA 2017STPC PRF 2'!N43+'[1]PTA 2017STPC PRF 2'!N44</f>
        <v>46631.76</v>
      </c>
      <c r="J13" s="327">
        <f t="shared" ref="J13:J18" si="11">+H13-I13</f>
        <v>10968.239999999998</v>
      </c>
      <c r="K13" s="328">
        <f t="shared" ref="K13:L16" si="12">+B13+E13+H13</f>
        <v>172800</v>
      </c>
      <c r="L13" s="328">
        <f t="shared" si="12"/>
        <v>114710.73000000001</v>
      </c>
      <c r="M13" s="328">
        <f t="shared" ref="M13:M22" si="13">+K13-L13</f>
        <v>58089.26999999999</v>
      </c>
      <c r="N13" s="343">
        <v>60069</v>
      </c>
      <c r="O13" s="343">
        <f>'[2]PTA 2018'!G51+'[2]PTA 2018'!G50</f>
        <v>139239</v>
      </c>
      <c r="P13" s="329">
        <f t="shared" ref="P13:P23" si="14">+N13-O13</f>
        <v>-79170</v>
      </c>
      <c r="Q13" s="329">
        <f>+'[3]BUD 2019'!C34</f>
        <v>60069</v>
      </c>
      <c r="R13" s="329">
        <f>+'[3]BUD 2019'!H34</f>
        <v>74964</v>
      </c>
      <c r="S13" s="329">
        <f>+Q13-R13</f>
        <v>-14895</v>
      </c>
      <c r="T13" s="329">
        <v>60069</v>
      </c>
      <c r="U13" s="329">
        <f>'[4]PTA RAPPORT 31 AOUT'!G64</f>
        <v>49303</v>
      </c>
      <c r="V13" s="329">
        <f t="shared" ref="V13:V24" si="15">+T13-U13</f>
        <v>10766</v>
      </c>
      <c r="W13" s="331">
        <v>60069</v>
      </c>
      <c r="X13" s="331">
        <f>+'RAPPORT EXECUTION PTA 2021'!E51</f>
        <v>46060</v>
      </c>
      <c r="Y13" s="331">
        <f>+W13-X13</f>
        <v>14009</v>
      </c>
      <c r="Z13" s="344">
        <f>+K13+N13+Q13+T13+W13</f>
        <v>413076</v>
      </c>
      <c r="AA13" s="332">
        <f>+L13+O13+R13+U13+X13</f>
        <v>424276.73</v>
      </c>
      <c r="AB13" s="345">
        <f>+Z13-AA13</f>
        <v>-11200.729999999981</v>
      </c>
      <c r="AC13" s="374">
        <f>+AA13/Z13</f>
        <v>1.0271154218594156</v>
      </c>
      <c r="AD13" s="346"/>
    </row>
    <row r="14" spans="1:30" ht="32.5" customHeight="1">
      <c r="A14" s="342" t="s">
        <v>162</v>
      </c>
      <c r="B14" s="327">
        <v>33350</v>
      </c>
      <c r="C14" s="327"/>
      <c r="D14" s="327"/>
      <c r="E14" s="327">
        <v>33300</v>
      </c>
      <c r="F14" s="327"/>
      <c r="G14" s="327"/>
      <c r="H14" s="327">
        <v>33350</v>
      </c>
      <c r="I14" s="327"/>
      <c r="J14" s="327">
        <f t="shared" si="11"/>
        <v>33350</v>
      </c>
      <c r="K14" s="328">
        <f t="shared" si="12"/>
        <v>100000</v>
      </c>
      <c r="L14" s="328">
        <f t="shared" si="12"/>
        <v>0</v>
      </c>
      <c r="M14" s="328">
        <f t="shared" si="13"/>
        <v>100000</v>
      </c>
      <c r="N14" s="343"/>
      <c r="O14" s="343">
        <f>'[2]PTA 2018'!G58+'[2]PTA 2018'!G60+'[2]PTA 2018'!G57</f>
        <v>26516</v>
      </c>
      <c r="P14" s="329">
        <f t="shared" si="14"/>
        <v>-26516</v>
      </c>
      <c r="Q14" s="329">
        <f>+'[3]BUD 2019'!C40</f>
        <v>106482.97</v>
      </c>
      <c r="R14" s="329">
        <f>'[3]PTA RAPPORT 31 DEC 2019'!G64</f>
        <v>149301</v>
      </c>
      <c r="S14" s="329">
        <f t="shared" ref="S14:S25" si="16">+Q14-R14</f>
        <v>-42818.03</v>
      </c>
      <c r="T14" s="329">
        <v>50000</v>
      </c>
      <c r="U14" s="368"/>
      <c r="V14" s="329">
        <f t="shared" si="15"/>
        <v>50000</v>
      </c>
      <c r="W14" s="331">
        <v>0</v>
      </c>
      <c r="X14" s="331">
        <f>+'RAPPORT EXECUTION PTA 2021'!E55</f>
        <v>14940</v>
      </c>
      <c r="Y14" s="331">
        <f t="shared" ref="Y14:Y25" si="17">+W14-X14</f>
        <v>-14940</v>
      </c>
      <c r="Z14" s="344">
        <f t="shared" ref="Z14:Z22" si="18">+K14+N14+Q14+T14+W14</f>
        <v>256482.97</v>
      </c>
      <c r="AA14" s="332">
        <f t="shared" ref="AA14:AA22" si="19">+L14+O14+R14+U14+X14</f>
        <v>190757</v>
      </c>
      <c r="AB14" s="345">
        <f t="shared" ref="AB14:AB22" si="20">+Z14-AA14</f>
        <v>65725.97</v>
      </c>
      <c r="AC14" s="374">
        <f t="shared" ref="AC14:AC25" si="21">+AA14/Z14</f>
        <v>0.74374138758608421</v>
      </c>
    </row>
    <row r="15" spans="1:30" ht="31.5" customHeight="1">
      <c r="A15" s="342" t="s">
        <v>164</v>
      </c>
      <c r="B15" s="327">
        <v>0</v>
      </c>
      <c r="C15" s="327"/>
      <c r="D15" s="327"/>
      <c r="E15" s="327">
        <v>0</v>
      </c>
      <c r="F15" s="327">
        <v>0</v>
      </c>
      <c r="G15" s="327"/>
      <c r="H15" s="327">
        <v>0</v>
      </c>
      <c r="I15" s="327"/>
      <c r="J15" s="327">
        <f t="shared" si="11"/>
        <v>0</v>
      </c>
      <c r="K15" s="328">
        <f t="shared" si="12"/>
        <v>0</v>
      </c>
      <c r="L15" s="328">
        <f t="shared" si="12"/>
        <v>0</v>
      </c>
      <c r="M15" s="328">
        <f t="shared" si="13"/>
        <v>0</v>
      </c>
      <c r="N15" s="343"/>
      <c r="O15" s="343"/>
      <c r="P15" s="329">
        <f t="shared" si="14"/>
        <v>0</v>
      </c>
      <c r="Q15" s="329">
        <f>+'[3]BUD 2019'!C43</f>
        <v>0</v>
      </c>
      <c r="R15" s="329">
        <f>+'[3]BUD 2019'!H43</f>
        <v>0</v>
      </c>
      <c r="S15" s="329">
        <f t="shared" si="16"/>
        <v>0</v>
      </c>
      <c r="T15" s="329"/>
      <c r="U15" s="329"/>
      <c r="V15" s="329">
        <f t="shared" si="15"/>
        <v>0</v>
      </c>
      <c r="W15" s="331">
        <v>0</v>
      </c>
      <c r="X15" s="331"/>
      <c r="Y15" s="331">
        <f t="shared" si="17"/>
        <v>0</v>
      </c>
      <c r="Z15" s="344">
        <f t="shared" si="18"/>
        <v>0</v>
      </c>
      <c r="AA15" s="332">
        <f t="shared" si="19"/>
        <v>0</v>
      </c>
      <c r="AB15" s="345">
        <f t="shared" si="20"/>
        <v>0</v>
      </c>
      <c r="AC15" s="374"/>
    </row>
    <row r="16" spans="1:30" ht="60.5" customHeight="1">
      <c r="A16" s="342" t="s">
        <v>166</v>
      </c>
      <c r="B16" s="327">
        <v>20000</v>
      </c>
      <c r="C16" s="327"/>
      <c r="D16" s="327"/>
      <c r="E16" s="327">
        <v>15000</v>
      </c>
      <c r="F16" s="327">
        <f>+'[1]PTA 2016STPC PRF2'!N45+'[1]PTA 2016STPC PRF2'!N60</f>
        <v>27656.35</v>
      </c>
      <c r="G16" s="327"/>
      <c r="H16" s="327">
        <v>15000</v>
      </c>
      <c r="I16" s="327"/>
      <c r="J16" s="327">
        <f t="shared" si="11"/>
        <v>15000</v>
      </c>
      <c r="K16" s="328">
        <f t="shared" si="12"/>
        <v>50000</v>
      </c>
      <c r="L16" s="328">
        <f t="shared" si="12"/>
        <v>27656.35</v>
      </c>
      <c r="M16" s="328">
        <f t="shared" si="13"/>
        <v>22343.65</v>
      </c>
      <c r="N16" s="343">
        <v>10000</v>
      </c>
      <c r="O16" s="343">
        <f>'[2]PTA 2018'!G74+'[2]PTA 2018'!G77</f>
        <v>22271</v>
      </c>
      <c r="P16" s="329">
        <f t="shared" si="14"/>
        <v>-12271</v>
      </c>
      <c r="Q16" s="329">
        <f>+'[3]BUD 2019'!C48</f>
        <v>4500</v>
      </c>
      <c r="R16" s="329">
        <f>+'[3]BUD 2019'!H48</f>
        <v>15870</v>
      </c>
      <c r="S16" s="329">
        <f t="shared" si="16"/>
        <v>-11370</v>
      </c>
      <c r="T16" s="329">
        <v>5000</v>
      </c>
      <c r="U16" s="329"/>
      <c r="V16" s="329">
        <f t="shared" si="15"/>
        <v>5000</v>
      </c>
      <c r="W16" s="331">
        <v>0</v>
      </c>
      <c r="X16" s="331">
        <f>+'RAPPORT EXECUTION PTA 2021'!E61</f>
        <v>0</v>
      </c>
      <c r="Y16" s="331">
        <f>+W16-X16</f>
        <v>0</v>
      </c>
      <c r="Z16" s="344">
        <f t="shared" si="18"/>
        <v>69500</v>
      </c>
      <c r="AA16" s="332">
        <f>+L16+O16+R16+U16+X16</f>
        <v>65797.350000000006</v>
      </c>
      <c r="AB16" s="345">
        <f t="shared" si="20"/>
        <v>3702.6499999999942</v>
      </c>
      <c r="AC16" s="374">
        <f t="shared" si="21"/>
        <v>0.94672446043165481</v>
      </c>
    </row>
    <row r="17" spans="1:29" ht="57" customHeight="1">
      <c r="A17" s="342" t="s">
        <v>168</v>
      </c>
      <c r="B17" s="347"/>
      <c r="C17" s="347"/>
      <c r="D17" s="347"/>
      <c r="E17" s="327">
        <v>18500</v>
      </c>
      <c r="F17" s="327">
        <f>+'[1]PTA 2016STPC PRF2'!N52</f>
        <v>380</v>
      </c>
      <c r="G17" s="327"/>
      <c r="H17" s="327">
        <v>11518</v>
      </c>
      <c r="I17" s="327">
        <f>'[1]PTA 2017STPC PRF 2'!N52</f>
        <v>7723.13</v>
      </c>
      <c r="J17" s="327">
        <f t="shared" si="11"/>
        <v>3794.87</v>
      </c>
      <c r="K17" s="328">
        <f>+E17+H17</f>
        <v>30018</v>
      </c>
      <c r="L17" s="328">
        <f>+C17+F17+I17</f>
        <v>8103.13</v>
      </c>
      <c r="M17" s="328">
        <f t="shared" si="13"/>
        <v>21914.87</v>
      </c>
      <c r="N17" s="343">
        <v>0</v>
      </c>
      <c r="O17" s="343"/>
      <c r="P17" s="329">
        <f t="shared" si="14"/>
        <v>0</v>
      </c>
      <c r="Q17" s="329">
        <f>+'[3]BUD 2019'!C51</f>
        <v>0</v>
      </c>
      <c r="R17" s="329">
        <f>+'[3]BUD 2019'!H51</f>
        <v>0</v>
      </c>
      <c r="S17" s="329">
        <f t="shared" si="16"/>
        <v>0</v>
      </c>
      <c r="T17" s="329"/>
      <c r="U17" s="329"/>
      <c r="V17" s="329">
        <f t="shared" si="15"/>
        <v>0</v>
      </c>
      <c r="W17" s="331">
        <v>5000</v>
      </c>
      <c r="X17" s="331">
        <f>+'RAPPORT EXECUTION PTA 2021'!E58</f>
        <v>5927</v>
      </c>
      <c r="Y17" s="331">
        <f t="shared" si="17"/>
        <v>-927</v>
      </c>
      <c r="Z17" s="344">
        <f t="shared" si="18"/>
        <v>35018</v>
      </c>
      <c r="AA17" s="332">
        <f t="shared" si="19"/>
        <v>14030.130000000001</v>
      </c>
      <c r="AB17" s="345">
        <f t="shared" si="20"/>
        <v>20987.87</v>
      </c>
      <c r="AC17" s="374">
        <f t="shared" si="21"/>
        <v>0.40065480609972015</v>
      </c>
    </row>
    <row r="18" spans="1:29" ht="26">
      <c r="A18" s="342" t="s">
        <v>170</v>
      </c>
      <c r="B18" s="327">
        <v>15000</v>
      </c>
      <c r="C18" s="327">
        <f>+'[1]PTA 2015 STCPC PRF 2'!O45</f>
        <v>133</v>
      </c>
      <c r="D18" s="327"/>
      <c r="E18" s="327">
        <v>15000</v>
      </c>
      <c r="F18" s="327">
        <f>+'[1]PTA 2016STPC PRF2'!N49</f>
        <v>1041.8800000000001</v>
      </c>
      <c r="G18" s="327"/>
      <c r="H18" s="327">
        <v>15000</v>
      </c>
      <c r="I18" s="327">
        <f>'[1]PTA 2017STPC PRF 2'!N49+'[1]PTA 2017STPC PRF 2'!N50</f>
        <v>22825.39</v>
      </c>
      <c r="J18" s="327">
        <f t="shared" si="11"/>
        <v>-7825.3899999999994</v>
      </c>
      <c r="K18" s="328">
        <f>+B18+E18+H18</f>
        <v>45000</v>
      </c>
      <c r="L18" s="328">
        <f t="shared" ref="L18:L22" si="22">+C18+F18+I18</f>
        <v>24000.27</v>
      </c>
      <c r="M18" s="328">
        <f t="shared" si="13"/>
        <v>20999.73</v>
      </c>
      <c r="N18" s="343"/>
      <c r="O18" s="343">
        <f>'[2]PTA 2018'!G66</f>
        <v>1636</v>
      </c>
      <c r="P18" s="329">
        <f t="shared" si="14"/>
        <v>-1636</v>
      </c>
      <c r="Q18" s="329">
        <f>+'[3]BUD 2019'!C54</f>
        <v>0</v>
      </c>
      <c r="R18" s="329">
        <f>+'[3]BUD 2019'!H54</f>
        <v>0</v>
      </c>
      <c r="S18" s="329">
        <f t="shared" si="16"/>
        <v>0</v>
      </c>
      <c r="T18" s="329">
        <v>5000</v>
      </c>
      <c r="U18" s="329"/>
      <c r="V18" s="329">
        <f t="shared" si="15"/>
        <v>5000</v>
      </c>
      <c r="W18" s="331">
        <v>0</v>
      </c>
      <c r="X18" s="331"/>
      <c r="Y18" s="331">
        <f>+W18-X18</f>
        <v>0</v>
      </c>
      <c r="Z18" s="344">
        <f t="shared" si="18"/>
        <v>50000</v>
      </c>
      <c r="AA18" s="332">
        <f>+L18+O18+R18+U18+X18</f>
        <v>25636.27</v>
      </c>
      <c r="AB18" s="345">
        <f t="shared" si="20"/>
        <v>24363.73</v>
      </c>
      <c r="AC18" s="374">
        <f t="shared" si="21"/>
        <v>0.5127254</v>
      </c>
    </row>
    <row r="19" spans="1:29" ht="32" customHeight="1">
      <c r="A19" s="342" t="s">
        <v>246</v>
      </c>
      <c r="B19" s="327"/>
      <c r="C19" s="327"/>
      <c r="D19" s="327"/>
      <c r="E19" s="327"/>
      <c r="F19" s="327"/>
      <c r="G19" s="327"/>
      <c r="H19" s="327"/>
      <c r="I19" s="327"/>
      <c r="J19" s="327"/>
      <c r="K19" s="328"/>
      <c r="L19" s="328">
        <f t="shared" si="22"/>
        <v>0</v>
      </c>
      <c r="M19" s="328">
        <f t="shared" si="13"/>
        <v>0</v>
      </c>
      <c r="N19" s="343"/>
      <c r="O19" s="368"/>
      <c r="P19" s="329">
        <f t="shared" si="14"/>
        <v>0</v>
      </c>
      <c r="Q19" s="368"/>
      <c r="R19" s="329">
        <f>+'[3]BUD 2019'!H59</f>
        <v>11004</v>
      </c>
      <c r="S19" s="329">
        <f>+Q20-R19</f>
        <v>-504</v>
      </c>
      <c r="T19" s="329">
        <v>0</v>
      </c>
      <c r="U19" s="329"/>
      <c r="V19" s="329">
        <f t="shared" si="15"/>
        <v>0</v>
      </c>
      <c r="W19" s="331">
        <v>0</v>
      </c>
      <c r="X19" s="331">
        <v>0</v>
      </c>
      <c r="Y19" s="331">
        <f t="shared" si="17"/>
        <v>0</v>
      </c>
      <c r="Z19" s="344">
        <f t="shared" si="18"/>
        <v>0</v>
      </c>
      <c r="AA19" s="332">
        <f t="shared" si="19"/>
        <v>11004</v>
      </c>
      <c r="AB19" s="345">
        <f t="shared" si="20"/>
        <v>-11004</v>
      </c>
      <c r="AC19" s="374"/>
    </row>
    <row r="20" spans="1:29" ht="31.5" customHeight="1">
      <c r="A20" s="342" t="s">
        <v>172</v>
      </c>
      <c r="B20" s="327">
        <v>12000</v>
      </c>
      <c r="C20" s="327"/>
      <c r="D20" s="327"/>
      <c r="E20" s="327">
        <v>13500</v>
      </c>
      <c r="F20" s="327">
        <f>+'[1]PTA 2016STPC PRF2'!N58+'[1]PTA 2016STPC PRF2'!N59+'[1]PTA 2016STPC PRF2'!N56</f>
        <v>16491.57</v>
      </c>
      <c r="G20" s="327"/>
      <c r="H20" s="327">
        <v>13500</v>
      </c>
      <c r="I20" s="327">
        <f>'[1]PTA 2017STPC PRF 2'!N53+'[1]PTA 2017STPC PRF 2'!N59</f>
        <v>13139.83</v>
      </c>
      <c r="J20" s="327">
        <f>+H20-I20</f>
        <v>360.17000000000007</v>
      </c>
      <c r="K20" s="328">
        <f>+B20+E20+H20</f>
        <v>39000</v>
      </c>
      <c r="L20" s="328">
        <f t="shared" si="22"/>
        <v>29631.4</v>
      </c>
      <c r="M20" s="328">
        <f t="shared" si="13"/>
        <v>9368.5999999999985</v>
      </c>
      <c r="N20" s="343">
        <v>10000</v>
      </c>
      <c r="O20" s="343">
        <f>'[2]PTA 2018'!G65</f>
        <v>17870</v>
      </c>
      <c r="P20" s="329">
        <f t="shared" si="14"/>
        <v>-7870</v>
      </c>
      <c r="Q20" s="329">
        <f>+'[3]BUD 2019'!C59</f>
        <v>10500</v>
      </c>
      <c r="R20" s="329">
        <f>+'[3]BUD 2019'!H64</f>
        <v>35289</v>
      </c>
      <c r="S20" s="329">
        <f>+Q21-R20</f>
        <v>-33935</v>
      </c>
      <c r="T20" s="329">
        <v>10000</v>
      </c>
      <c r="U20" s="329"/>
      <c r="V20" s="329">
        <f t="shared" si="15"/>
        <v>10000</v>
      </c>
      <c r="W20" s="331">
        <v>0</v>
      </c>
      <c r="X20" s="331">
        <f>+'RAPPORT EXECUTION PTA 2021'!E63</f>
        <v>4745</v>
      </c>
      <c r="Y20" s="331">
        <f t="shared" si="17"/>
        <v>-4745</v>
      </c>
      <c r="Z20" s="344">
        <f t="shared" si="18"/>
        <v>69500</v>
      </c>
      <c r="AA20" s="332">
        <f t="shared" si="19"/>
        <v>87535.4</v>
      </c>
      <c r="AB20" s="345">
        <f t="shared" si="20"/>
        <v>-18035.399999999994</v>
      </c>
      <c r="AC20" s="374">
        <f t="shared" si="21"/>
        <v>1.2595021582733812</v>
      </c>
    </row>
    <row r="21" spans="1:29" ht="39">
      <c r="A21" s="342" t="s">
        <v>174</v>
      </c>
      <c r="B21" s="327">
        <v>16500</v>
      </c>
      <c r="C21" s="327"/>
      <c r="D21" s="327"/>
      <c r="E21" s="327">
        <v>20000</v>
      </c>
      <c r="F21" s="327">
        <f>+'[1]PTA 2016STPC PRF2'!N57</f>
        <v>18108</v>
      </c>
      <c r="G21" s="327"/>
      <c r="H21" s="327">
        <v>16500</v>
      </c>
      <c r="I21" s="327">
        <f>'[1]PTA 2017STPC PRF 2'!N58</f>
        <v>11111.1</v>
      </c>
      <c r="J21" s="327">
        <f>+H21-I21</f>
        <v>5388.9</v>
      </c>
      <c r="K21" s="328">
        <f>+B21+E21+H21</f>
        <v>53000</v>
      </c>
      <c r="L21" s="328">
        <f t="shared" si="22"/>
        <v>29219.1</v>
      </c>
      <c r="M21" s="328">
        <f t="shared" si="13"/>
        <v>23780.9</v>
      </c>
      <c r="N21" s="343">
        <v>5000</v>
      </c>
      <c r="O21" s="343">
        <f>'[2]PTA 2018'!G87</f>
        <v>372</v>
      </c>
      <c r="P21" s="329">
        <f t="shared" si="14"/>
        <v>4628</v>
      </c>
      <c r="Q21" s="329">
        <f>+'[3]BUD 2019'!C64</f>
        <v>1354</v>
      </c>
      <c r="R21" s="329">
        <f>+'[3]BUD 2019'!H69</f>
        <v>83</v>
      </c>
      <c r="S21" s="329">
        <f>+Q22-R21</f>
        <v>-83</v>
      </c>
      <c r="T21" s="329">
        <v>5000</v>
      </c>
      <c r="U21" s="329">
        <f>'[4]PTA RAPPORT 31 AOUT'!G71</f>
        <v>10351</v>
      </c>
      <c r="V21" s="329">
        <f t="shared" si="15"/>
        <v>-5351</v>
      </c>
      <c r="W21" s="331">
        <v>20000</v>
      </c>
      <c r="X21" s="331">
        <f>+'RAPPORT EXECUTION PTA 2021'!E66+'RAPPORT EXECUTION PTA 2021'!E67+'RAPPORT EXECUTION PTA 2021'!E68+'RAPPORT EXECUTION PTA 2021'!E70+'RAPPORT EXECUTION PTA 2021'!E72+'RAPPORT EXECUTION PTA 2021'!E73</f>
        <v>10791</v>
      </c>
      <c r="Y21" s="331">
        <f t="shared" si="17"/>
        <v>9209</v>
      </c>
      <c r="Z21" s="344">
        <f t="shared" si="18"/>
        <v>84354</v>
      </c>
      <c r="AA21" s="332">
        <f t="shared" si="19"/>
        <v>50816.1</v>
      </c>
      <c r="AB21" s="345">
        <f t="shared" si="20"/>
        <v>33537.9</v>
      </c>
      <c r="AC21" s="374">
        <f t="shared" si="21"/>
        <v>0.60241482324489648</v>
      </c>
    </row>
    <row r="22" spans="1:29" ht="27.5" customHeight="1">
      <c r="A22" s="342" t="s">
        <v>20</v>
      </c>
      <c r="B22" s="327"/>
      <c r="C22" s="327"/>
      <c r="D22" s="327"/>
      <c r="E22" s="327"/>
      <c r="F22" s="327"/>
      <c r="G22" s="327"/>
      <c r="H22" s="327"/>
      <c r="I22" s="327">
        <f>'[1]PTA 2017STPC PRF 2'!N57+'[1]PTA 2017STPC PRF 2'!N55+'[1]PTA 2017STPC PRF 2'!N56</f>
        <v>10779.78</v>
      </c>
      <c r="J22" s="327">
        <f>+H22-I22</f>
        <v>-10779.78</v>
      </c>
      <c r="K22" s="328"/>
      <c r="L22" s="328">
        <f t="shared" si="22"/>
        <v>10779.78</v>
      </c>
      <c r="M22" s="328">
        <f t="shared" si="13"/>
        <v>-10779.78</v>
      </c>
      <c r="N22" s="343"/>
      <c r="O22" s="343">
        <f>'[2]PTA 2018'!G88</f>
        <v>2769</v>
      </c>
      <c r="P22" s="329">
        <f t="shared" si="14"/>
        <v>-2769</v>
      </c>
      <c r="Q22" s="329"/>
      <c r="R22" s="329"/>
      <c r="S22" s="329"/>
      <c r="T22" s="329"/>
      <c r="U22" s="329"/>
      <c r="V22" s="329">
        <f t="shared" si="15"/>
        <v>0</v>
      </c>
      <c r="W22" s="331">
        <v>40000</v>
      </c>
      <c r="X22" s="331">
        <f>+'RAPPORT EXECUTION PTA 2021'!E69+'RAPPORT EXECUTION PTA 2021'!E57</f>
        <v>4841</v>
      </c>
      <c r="Y22" s="331">
        <f t="shared" si="17"/>
        <v>35159</v>
      </c>
      <c r="Z22" s="344">
        <f t="shared" si="18"/>
        <v>40000</v>
      </c>
      <c r="AA22" s="332">
        <f t="shared" si="19"/>
        <v>18389.78</v>
      </c>
      <c r="AB22" s="345">
        <f t="shared" si="20"/>
        <v>21610.22</v>
      </c>
      <c r="AC22" s="374">
        <f>+AA22/Z22</f>
        <v>0.45974449999999994</v>
      </c>
    </row>
    <row r="23" spans="1:29" ht="29.5" customHeight="1">
      <c r="A23" s="333" t="s">
        <v>247</v>
      </c>
      <c r="B23" s="348"/>
      <c r="C23" s="335">
        <v>2516.11</v>
      </c>
      <c r="D23" s="335">
        <f>+B23-C23</f>
        <v>-2516.11</v>
      </c>
      <c r="E23" s="348"/>
      <c r="F23" s="348">
        <f>+'[1]PTA 2016STPC PRF2'!N65</f>
        <v>7632.0138999999999</v>
      </c>
      <c r="G23" s="348">
        <f>+E23-F23</f>
        <v>-7632.0138999999999</v>
      </c>
      <c r="H23" s="348"/>
      <c r="I23" s="348">
        <f>'[1]PTA 2017STPC PRF 2'!N64</f>
        <v>7732.53</v>
      </c>
      <c r="J23" s="348">
        <f>+H23-I23</f>
        <v>-7732.53</v>
      </c>
      <c r="K23" s="348">
        <f>+B23+E23+H23</f>
        <v>0</v>
      </c>
      <c r="L23" s="348">
        <f>+C23+F23+I23</f>
        <v>17880.653900000001</v>
      </c>
      <c r="M23" s="348">
        <f>+K23-L23</f>
        <v>-17880.653900000001</v>
      </c>
      <c r="N23" s="335">
        <v>32710</v>
      </c>
      <c r="O23" s="335">
        <f>'[2]PTA 2018'!G94</f>
        <v>14752</v>
      </c>
      <c r="P23" s="335">
        <f t="shared" si="14"/>
        <v>17958</v>
      </c>
      <c r="Q23" s="335">
        <f>+'[3]BUD 2019'!C75+18262.69</f>
        <v>57517.406199999998</v>
      </c>
      <c r="R23" s="335">
        <f>'[3]PTA RAPPORT 31 DEC 2019'!G99</f>
        <v>9031</v>
      </c>
      <c r="S23" s="335">
        <f t="shared" si="16"/>
        <v>48486.406199999998</v>
      </c>
      <c r="T23" s="335">
        <f>25242.89+9454.83</f>
        <v>34697.72</v>
      </c>
      <c r="U23" s="335">
        <f>+'[4]PTA RAPPORT 31 AOUT'!G73</f>
        <v>3746</v>
      </c>
      <c r="V23" s="335">
        <f>T23-U23</f>
        <v>30951.72</v>
      </c>
      <c r="W23" s="335">
        <v>23042.720000000001</v>
      </c>
      <c r="X23" s="335">
        <f>+'RAPPORT EXECUTION PTA 2021'!E76</f>
        <v>5365</v>
      </c>
      <c r="Y23" s="335">
        <f t="shared" si="17"/>
        <v>17677.72</v>
      </c>
      <c r="Z23" s="335">
        <f t="shared" ref="Z23:Z25" si="23">+K23+N23+Q23+T23+W23</f>
        <v>147967.8462</v>
      </c>
      <c r="AA23" s="335">
        <f t="shared" ref="AA23:AA25" si="24">+L23+O23+R23+U23+X23</f>
        <v>50774.653900000005</v>
      </c>
      <c r="AB23" s="335">
        <f t="shared" ref="AB23:AB25" si="25">+Z23-AA23</f>
        <v>97193.192299999995</v>
      </c>
      <c r="AC23" s="372"/>
    </row>
    <row r="24" spans="1:29" ht="29" customHeight="1">
      <c r="A24" s="349" t="s">
        <v>248</v>
      </c>
      <c r="B24" s="350">
        <f t="shared" ref="B24:J24" si="26">SUM(B13:B23)</f>
        <v>154450</v>
      </c>
      <c r="C24" s="350">
        <f t="shared" si="26"/>
        <v>25377.11</v>
      </c>
      <c r="D24" s="350">
        <f t="shared" si="26"/>
        <v>-2516.11</v>
      </c>
      <c r="E24" s="350">
        <f t="shared" si="26"/>
        <v>172900</v>
      </c>
      <c r="F24" s="350">
        <f t="shared" si="26"/>
        <v>116660.78390000002</v>
      </c>
      <c r="G24" s="350">
        <f t="shared" si="26"/>
        <v>-7632.0138999999999</v>
      </c>
      <c r="H24" s="350">
        <f t="shared" si="26"/>
        <v>162468</v>
      </c>
      <c r="I24" s="350">
        <f t="shared" si="26"/>
        <v>119943.52</v>
      </c>
      <c r="J24" s="350">
        <f t="shared" si="26"/>
        <v>42524.480000000003</v>
      </c>
      <c r="K24" s="351">
        <f>+B24+E24+H24</f>
        <v>489818</v>
      </c>
      <c r="L24" s="350">
        <f>+C24+F24+I24</f>
        <v>261981.41390000004</v>
      </c>
      <c r="M24" s="350">
        <f t="shared" ref="M24:R24" si="27">SUM(M13:M23)</f>
        <v>227836.58609999999</v>
      </c>
      <c r="N24" s="351">
        <f t="shared" si="27"/>
        <v>117779</v>
      </c>
      <c r="O24" s="350">
        <f t="shared" si="27"/>
        <v>225425</v>
      </c>
      <c r="P24" s="350">
        <f t="shared" si="27"/>
        <v>-107646</v>
      </c>
      <c r="Q24" s="351">
        <f t="shared" si="27"/>
        <v>240423.3762</v>
      </c>
      <c r="R24" s="350">
        <f t="shared" si="27"/>
        <v>295542</v>
      </c>
      <c r="S24" s="350">
        <f t="shared" si="16"/>
        <v>-55118.623800000001</v>
      </c>
      <c r="T24" s="351">
        <f>SUM(T13:T23)</f>
        <v>169766.72</v>
      </c>
      <c r="U24" s="350">
        <f>SUM(U13:U23)</f>
        <v>63400</v>
      </c>
      <c r="V24" s="350">
        <f t="shared" si="15"/>
        <v>106366.72</v>
      </c>
      <c r="W24" s="350">
        <f>W22+W21+W20+W19+W18+W17+W16+W15+W14+W13+W23</f>
        <v>148111.72</v>
      </c>
      <c r="X24" s="350">
        <f>SUM(X13:X23)</f>
        <v>92669</v>
      </c>
      <c r="Y24" s="350">
        <f t="shared" si="17"/>
        <v>55442.720000000001</v>
      </c>
      <c r="Z24" s="350">
        <f t="shared" si="23"/>
        <v>1165898.8162</v>
      </c>
      <c r="AA24" s="350">
        <f t="shared" si="24"/>
        <v>939017.41390000004</v>
      </c>
      <c r="AB24" s="350">
        <f t="shared" si="25"/>
        <v>226881.40229999996</v>
      </c>
      <c r="AC24" s="372">
        <f>AA24/Z24</f>
        <v>0.8054021505575657</v>
      </c>
    </row>
    <row r="25" spans="1:29" ht="34" customHeight="1" thickBot="1">
      <c r="A25" s="352" t="s">
        <v>249</v>
      </c>
      <c r="B25" s="353">
        <f t="shared" ref="B25:I25" si="28">B24+B11</f>
        <v>374511</v>
      </c>
      <c r="C25" s="354">
        <f t="shared" si="28"/>
        <v>73654.11</v>
      </c>
      <c r="D25" s="353">
        <f>+B25-C25</f>
        <v>300856.89</v>
      </c>
      <c r="E25" s="353">
        <f t="shared" si="28"/>
        <v>392961</v>
      </c>
      <c r="F25" s="354">
        <f t="shared" si="28"/>
        <v>401520.96679999999</v>
      </c>
      <c r="G25" s="353">
        <f>E25-F25</f>
        <v>-8559.9667999999947</v>
      </c>
      <c r="H25" s="353">
        <f t="shared" si="28"/>
        <v>382529</v>
      </c>
      <c r="I25" s="354">
        <f t="shared" si="28"/>
        <v>345617</v>
      </c>
      <c r="J25" s="353">
        <f>H25-I25</f>
        <v>36912</v>
      </c>
      <c r="K25" s="353">
        <f>+K24+K11</f>
        <v>1150001</v>
      </c>
      <c r="L25" s="353">
        <f>+C25+F25+I25</f>
        <v>820792.07679999992</v>
      </c>
      <c r="M25" s="353">
        <f>K25-L25</f>
        <v>329208.92320000008</v>
      </c>
      <c r="N25" s="353">
        <f>N24+N11</f>
        <v>500000</v>
      </c>
      <c r="O25" s="354">
        <f>O24+O11</f>
        <v>613741</v>
      </c>
      <c r="P25" s="353">
        <f>P24+P11</f>
        <v>-113741</v>
      </c>
      <c r="Q25" s="353">
        <f>Q24+Q11</f>
        <v>600036.37620000006</v>
      </c>
      <c r="R25" s="354">
        <f>R24+R11</f>
        <v>695151</v>
      </c>
      <c r="S25" s="353">
        <f t="shared" si="16"/>
        <v>-95114.623799999943</v>
      </c>
      <c r="T25" s="353">
        <f>T24+T11</f>
        <v>530379.38</v>
      </c>
      <c r="U25" s="353">
        <f>U24+U11</f>
        <v>273791</v>
      </c>
      <c r="V25" s="353">
        <f>+T25-U25</f>
        <v>256588.38</v>
      </c>
      <c r="W25" s="353">
        <f>+W24+W11</f>
        <v>352224.38</v>
      </c>
      <c r="X25" s="353">
        <f>+X24+X11</f>
        <v>346327</v>
      </c>
      <c r="Y25" s="353">
        <f t="shared" si="17"/>
        <v>5897.3800000000047</v>
      </c>
      <c r="Z25" s="353">
        <f t="shared" si="23"/>
        <v>3132641.1361999996</v>
      </c>
      <c r="AA25" s="353">
        <f t="shared" si="24"/>
        <v>2749802.0767999999</v>
      </c>
      <c r="AB25" s="353">
        <f t="shared" si="25"/>
        <v>382839.05939999968</v>
      </c>
      <c r="AC25" s="375">
        <f t="shared" si="21"/>
        <v>0.87779032364224252</v>
      </c>
    </row>
    <row r="26" spans="1:29" ht="21" customHeight="1">
      <c r="A26" s="355">
        <f>414511-374511</f>
        <v>40000</v>
      </c>
      <c r="B26" s="464">
        <v>2015</v>
      </c>
      <c r="C26" s="464"/>
      <c r="D26" s="464"/>
      <c r="E26" s="463">
        <v>2016</v>
      </c>
      <c r="F26" s="463"/>
      <c r="G26" s="463"/>
      <c r="H26" s="469">
        <v>2017</v>
      </c>
      <c r="I26" s="469"/>
      <c r="J26" s="469"/>
      <c r="K26" s="471" t="s">
        <v>253</v>
      </c>
      <c r="L26" s="471"/>
      <c r="M26" s="471"/>
      <c r="N26" s="470">
        <v>2018</v>
      </c>
      <c r="O26" s="470"/>
      <c r="P26" s="470"/>
      <c r="Q26" s="468">
        <v>2019</v>
      </c>
      <c r="R26" s="468"/>
      <c r="S26" s="468"/>
      <c r="T26" s="469">
        <v>2020</v>
      </c>
      <c r="U26" s="469"/>
      <c r="V26" s="469"/>
      <c r="W26" s="464">
        <v>2021</v>
      </c>
      <c r="X26" s="464"/>
      <c r="Y26" s="464"/>
      <c r="Z26" s="346"/>
      <c r="AA26" s="346"/>
    </row>
    <row r="27" spans="1:29">
      <c r="I27" s="346"/>
      <c r="L27" s="346"/>
      <c r="M27" s="346"/>
      <c r="N27" s="346"/>
      <c r="Q27" s="346"/>
      <c r="AA27" s="346"/>
      <c r="AB27" s="346"/>
      <c r="AC27" s="346"/>
    </row>
    <row r="28" spans="1:29" ht="13.5" thickBot="1">
      <c r="C28" s="346"/>
      <c r="N28" s="346"/>
      <c r="O28" s="346"/>
      <c r="P28" s="346"/>
      <c r="Q28" s="346"/>
      <c r="R28" s="346"/>
      <c r="S28" s="346"/>
      <c r="T28" s="346"/>
      <c r="U28" s="346"/>
      <c r="V28" s="346"/>
      <c r="W28" s="346"/>
      <c r="X28" s="346"/>
      <c r="Y28" s="346"/>
      <c r="Z28" s="346"/>
      <c r="AA28" s="346"/>
      <c r="AB28" s="346"/>
    </row>
    <row r="29" spans="1:29">
      <c r="A29" s="356" t="s">
        <v>250</v>
      </c>
      <c r="B29" s="357">
        <v>2015</v>
      </c>
      <c r="C29" s="357">
        <v>2016</v>
      </c>
      <c r="D29" s="357">
        <v>2017</v>
      </c>
      <c r="E29" s="313" t="s">
        <v>254</v>
      </c>
      <c r="F29" s="357">
        <v>2018</v>
      </c>
      <c r="G29" s="357">
        <v>2019</v>
      </c>
      <c r="H29" s="357">
        <v>2020</v>
      </c>
      <c r="I29" s="357">
        <v>2021</v>
      </c>
      <c r="J29" s="358" t="s">
        <v>135</v>
      </c>
      <c r="N29" s="346"/>
      <c r="X29" s="346"/>
      <c r="Y29" s="346"/>
      <c r="AC29" s="346"/>
    </row>
    <row r="30" spans="1:29">
      <c r="A30" s="359" t="s">
        <v>251</v>
      </c>
      <c r="B30" s="314">
        <f>+B25</f>
        <v>374511</v>
      </c>
      <c r="C30" s="314">
        <f>+E25</f>
        <v>392961</v>
      </c>
      <c r="D30" s="314">
        <f>+H25</f>
        <v>382529</v>
      </c>
      <c r="E30" s="315">
        <f>SUM(B30:D30)</f>
        <v>1150001</v>
      </c>
      <c r="F30" s="316">
        <f>+N25</f>
        <v>500000</v>
      </c>
      <c r="G30" s="314">
        <f>+Q25</f>
        <v>600036.37620000006</v>
      </c>
      <c r="H30" s="314">
        <f>T25</f>
        <v>530379.38</v>
      </c>
      <c r="I30" s="314">
        <v>352224.38</v>
      </c>
      <c r="J30" s="317">
        <f>+E30+F30+G30+H30+I30</f>
        <v>3132641.1361999996</v>
      </c>
      <c r="K30" s="360"/>
      <c r="L30" s="360"/>
      <c r="M30" s="360"/>
      <c r="N30" s="361"/>
      <c r="Z30" s="346"/>
      <c r="AA30" s="346">
        <f>+X25-'RAPPORT EXECUTION PTA 2021'!E80</f>
        <v>0</v>
      </c>
    </row>
    <row r="31" spans="1:29">
      <c r="A31" s="359" t="s">
        <v>202</v>
      </c>
      <c r="B31" s="314">
        <f>+C25</f>
        <v>73654.11</v>
      </c>
      <c r="C31" s="314">
        <f>+F25</f>
        <v>401520.96679999999</v>
      </c>
      <c r="D31" s="314">
        <f>+I25</f>
        <v>345617</v>
      </c>
      <c r="E31" s="315">
        <f t="shared" ref="E31:E32" si="29">SUM(B31:D31)</f>
        <v>820792.07679999992</v>
      </c>
      <c r="F31" s="314">
        <f>+O25</f>
        <v>613741</v>
      </c>
      <c r="G31" s="314">
        <f>+R25</f>
        <v>695151</v>
      </c>
      <c r="H31" s="314">
        <f>U25</f>
        <v>273791</v>
      </c>
      <c r="I31" s="314">
        <f>+'RAPPORT EXECUTION PTA 2021'!E80</f>
        <v>346327</v>
      </c>
      <c r="J31" s="317">
        <f t="shared" ref="J31:J32" si="30">+E31+F31+G31+H31+I31</f>
        <v>2749802.0767999999</v>
      </c>
    </row>
    <row r="32" spans="1:29">
      <c r="A32" s="362" t="s">
        <v>8</v>
      </c>
      <c r="B32" s="318">
        <f>+B30-B31</f>
        <v>300856.89</v>
      </c>
      <c r="C32" s="318">
        <f>+C30-C31</f>
        <v>-8559.9667999999947</v>
      </c>
      <c r="D32" s="318">
        <f>+D30-D31</f>
        <v>36912</v>
      </c>
      <c r="E32" s="315">
        <f t="shared" si="29"/>
        <v>329208.92320000002</v>
      </c>
      <c r="F32" s="318">
        <f>+F30-F31</f>
        <v>-113741</v>
      </c>
      <c r="G32" s="318">
        <f>+G30-G31</f>
        <v>-95114.623799999943</v>
      </c>
      <c r="H32" s="318">
        <f>+H30-H31</f>
        <v>256588.38</v>
      </c>
      <c r="I32" s="318">
        <f>+I30-I31</f>
        <v>5897.3800000000047</v>
      </c>
      <c r="J32" s="317">
        <f t="shared" si="30"/>
        <v>382839.05940000009</v>
      </c>
      <c r="X32" s="346"/>
    </row>
    <row r="33" spans="1:10" ht="13.5" thickBot="1">
      <c r="A33" s="363" t="s">
        <v>252</v>
      </c>
      <c r="B33" s="319">
        <f>+B31/B30</f>
        <v>0.19666741430825796</v>
      </c>
      <c r="C33" s="319">
        <f t="shared" ref="C33:D33" si="31">+C31/C30</f>
        <v>1.0217832477014259</v>
      </c>
      <c r="D33" s="319">
        <f t="shared" si="31"/>
        <v>0.90350535514954422</v>
      </c>
      <c r="E33" s="320">
        <f t="shared" ref="E33:J33" si="32">+E31/E30</f>
        <v>0.71373162005946078</v>
      </c>
      <c r="F33" s="319">
        <f t="shared" si="32"/>
        <v>1.227482</v>
      </c>
      <c r="G33" s="319">
        <f t="shared" si="32"/>
        <v>1.1585147627254802</v>
      </c>
      <c r="H33" s="319">
        <f t="shared" si="32"/>
        <v>0.51621727828106745</v>
      </c>
      <c r="I33" s="319">
        <f t="shared" si="32"/>
        <v>0.98325675241446941</v>
      </c>
      <c r="J33" s="321">
        <f t="shared" si="32"/>
        <v>0.87779032364224252</v>
      </c>
    </row>
  </sheetData>
  <mergeCells count="20">
    <mergeCell ref="Z3:AC3"/>
    <mergeCell ref="A5:AB5"/>
    <mergeCell ref="A6:AB6"/>
    <mergeCell ref="A12:AB12"/>
    <mergeCell ref="A3:A4"/>
    <mergeCell ref="B3:D3"/>
    <mergeCell ref="E3:G3"/>
    <mergeCell ref="H3:J3"/>
    <mergeCell ref="K3:M3"/>
    <mergeCell ref="N3:P3"/>
    <mergeCell ref="E26:G26"/>
    <mergeCell ref="B26:D26"/>
    <mergeCell ref="W3:Y3"/>
    <mergeCell ref="W26:Y26"/>
    <mergeCell ref="Q26:S26"/>
    <mergeCell ref="T26:V26"/>
    <mergeCell ref="N26:P26"/>
    <mergeCell ref="K26:M26"/>
    <mergeCell ref="H26:J26"/>
    <mergeCell ref="Q3:S3"/>
  </mergeCells>
  <printOptions horizontalCentered="1"/>
  <pageMargins left="3.937007874015748E-2" right="3.937007874015748E-2" top="3.937007874015748E-2" bottom="3.937007874015748E-2" header="0.31496062992125984" footer="0.31496062992125984"/>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53B5A-1020-433B-990B-AF3E93EEABFD}">
  <dimension ref="A1:K27"/>
  <sheetViews>
    <sheetView topLeftCell="C15" workbookViewId="0">
      <selection activeCell="H27" sqref="H27"/>
    </sheetView>
  </sheetViews>
  <sheetFormatPr baseColWidth="10" defaultColWidth="11.54296875" defaultRowHeight="14.5"/>
  <cols>
    <col min="1" max="1" width="36.54296875" style="190" customWidth="1"/>
    <col min="2" max="2" width="12.08984375" style="190" customWidth="1"/>
    <col min="3" max="7" width="12.36328125" style="190" bestFit="1" customWidth="1"/>
    <col min="8" max="8" width="14.90625" style="190" customWidth="1"/>
    <col min="9" max="9" width="15.1796875" style="190" customWidth="1"/>
    <col min="10" max="10" width="17.81640625" style="190" customWidth="1"/>
    <col min="11" max="11" width="11.54296875" style="190"/>
    <col min="12" max="14" width="12.6328125" style="190" bestFit="1" customWidth="1"/>
    <col min="15" max="16384" width="11.54296875" style="190"/>
  </cols>
  <sheetData>
    <row r="1" spans="1:11">
      <c r="A1" s="237" t="s">
        <v>227</v>
      </c>
      <c r="B1" s="252">
        <v>2015</v>
      </c>
      <c r="C1" s="252">
        <v>2016</v>
      </c>
      <c r="D1" s="252">
        <v>2017</v>
      </c>
      <c r="E1" s="252">
        <v>2018</v>
      </c>
      <c r="F1" s="252">
        <v>2019</v>
      </c>
      <c r="G1" s="252">
        <v>2020</v>
      </c>
      <c r="H1" s="252">
        <v>2021</v>
      </c>
      <c r="I1" s="252">
        <v>2022</v>
      </c>
      <c r="J1" s="231" t="s">
        <v>256</v>
      </c>
    </row>
    <row r="2" spans="1:11" ht="29.4" customHeight="1">
      <c r="A2" s="565" t="s">
        <v>240</v>
      </c>
      <c r="B2" s="566"/>
      <c r="C2" s="566"/>
      <c r="D2" s="566"/>
      <c r="E2" s="566"/>
      <c r="F2" s="566"/>
      <c r="G2" s="566"/>
      <c r="H2" s="566"/>
      <c r="I2" s="566"/>
      <c r="J2" s="567"/>
    </row>
    <row r="3" spans="1:11" ht="28.25" customHeight="1">
      <c r="A3" s="564" t="s">
        <v>257</v>
      </c>
      <c r="B3" s="564"/>
      <c r="C3" s="564"/>
      <c r="D3" s="564"/>
      <c r="E3" s="564"/>
      <c r="F3" s="564"/>
      <c r="G3" s="564"/>
      <c r="H3" s="564"/>
      <c r="I3" s="564"/>
      <c r="J3" s="564"/>
    </row>
    <row r="4" spans="1:11" ht="31.25" customHeight="1">
      <c r="A4" s="251" t="s">
        <v>242</v>
      </c>
      <c r="B4" s="239">
        <v>40000</v>
      </c>
      <c r="C4" s="239">
        <v>40000</v>
      </c>
      <c r="D4" s="239">
        <v>40000</v>
      </c>
      <c r="E4" s="240">
        <v>80000</v>
      </c>
      <c r="F4" s="239">
        <v>50000</v>
      </c>
      <c r="G4" s="241">
        <v>20000</v>
      </c>
      <c r="H4" s="242">
        <v>0</v>
      </c>
      <c r="I4" s="233">
        <v>12392.41</v>
      </c>
      <c r="J4" s="233">
        <f>SUM(B4:I4)</f>
        <v>282392.40999999997</v>
      </c>
    </row>
    <row r="5" spans="1:11" ht="65.400000000000006" customHeight="1">
      <c r="A5" s="251" t="s">
        <v>154</v>
      </c>
      <c r="B5" s="238">
        <v>135661</v>
      </c>
      <c r="C5" s="238">
        <v>135661</v>
      </c>
      <c r="D5" s="238">
        <v>135661</v>
      </c>
      <c r="E5" s="238">
        <v>302221</v>
      </c>
      <c r="F5" s="238">
        <v>305000</v>
      </c>
      <c r="G5" s="243">
        <v>293000</v>
      </c>
      <c r="H5" s="244">
        <v>100500</v>
      </c>
      <c r="I5" s="233">
        <v>42000</v>
      </c>
      <c r="J5" s="232">
        <f>SUM(B5:I5)</f>
        <v>1449704</v>
      </c>
    </row>
    <row r="6" spans="1:11" ht="45.65" customHeight="1">
      <c r="A6" s="251" t="s">
        <v>259</v>
      </c>
      <c r="B6" s="239">
        <v>44400</v>
      </c>
      <c r="C6" s="239">
        <v>44400</v>
      </c>
      <c r="D6" s="239">
        <v>44400</v>
      </c>
      <c r="E6" s="239"/>
      <c r="F6" s="239">
        <v>47612.66</v>
      </c>
      <c r="G6" s="241">
        <v>47612.66</v>
      </c>
      <c r="H6" s="242">
        <f>47112.66-12392.41</f>
        <v>34720.25</v>
      </c>
      <c r="I6" s="233">
        <v>14500</v>
      </c>
      <c r="J6" s="233">
        <f>SUM(B6:I6)</f>
        <v>277645.57</v>
      </c>
    </row>
    <row r="7" spans="1:11" ht="25.25" customHeight="1">
      <c r="A7" s="245" t="s">
        <v>260</v>
      </c>
      <c r="B7" s="246">
        <f t="shared" ref="B7:F7" si="0">SUM(B4:B6)</f>
        <v>220061</v>
      </c>
      <c r="C7" s="246">
        <f t="shared" si="0"/>
        <v>220061</v>
      </c>
      <c r="D7" s="246">
        <f t="shared" si="0"/>
        <v>220061</v>
      </c>
      <c r="E7" s="246">
        <f t="shared" si="0"/>
        <v>382221</v>
      </c>
      <c r="F7" s="246">
        <f t="shared" si="0"/>
        <v>402612.66000000003</v>
      </c>
      <c r="G7" s="246">
        <f>SUM(G4:G6)</f>
        <v>360612.66000000003</v>
      </c>
      <c r="H7" s="246">
        <f>SUM(H4:H6)</f>
        <v>135220.25</v>
      </c>
      <c r="I7" s="234">
        <f>SUM(I4:I6)</f>
        <v>68892.41</v>
      </c>
      <c r="J7" s="234">
        <f>SUM(B7:I7)</f>
        <v>2009741.9800000002</v>
      </c>
    </row>
    <row r="8" spans="1:11" ht="16.75" customHeight="1">
      <c r="A8" s="568" t="s">
        <v>245</v>
      </c>
      <c r="B8" s="569"/>
      <c r="C8" s="569"/>
      <c r="D8" s="569"/>
      <c r="E8" s="569"/>
      <c r="F8" s="569"/>
      <c r="G8" s="569"/>
      <c r="H8" s="569"/>
      <c r="I8" s="569"/>
      <c r="J8" s="570"/>
      <c r="K8" s="190">
        <f t="shared" ref="K8" si="1">+H8-I8</f>
        <v>0</v>
      </c>
    </row>
    <row r="9" spans="1:11" ht="43.75" customHeight="1">
      <c r="A9" s="247" t="s">
        <v>261</v>
      </c>
      <c r="B9" s="239">
        <v>57600</v>
      </c>
      <c r="C9" s="239">
        <v>57600</v>
      </c>
      <c r="D9" s="239">
        <v>57600</v>
      </c>
      <c r="E9" s="239">
        <v>60069</v>
      </c>
      <c r="F9" s="239">
        <v>60069</v>
      </c>
      <c r="G9" s="241">
        <v>60069</v>
      </c>
      <c r="H9" s="242">
        <v>60069</v>
      </c>
      <c r="I9" s="233">
        <v>0</v>
      </c>
      <c r="J9" s="233">
        <f>SUM(B9:I9)</f>
        <v>413076</v>
      </c>
    </row>
    <row r="10" spans="1:11" ht="18.649999999999999" customHeight="1">
      <c r="A10" s="247" t="s">
        <v>162</v>
      </c>
      <c r="B10" s="239">
        <v>33350</v>
      </c>
      <c r="C10" s="239">
        <v>33300</v>
      </c>
      <c r="D10" s="239">
        <v>33350</v>
      </c>
      <c r="E10" s="239" t="s">
        <v>258</v>
      </c>
      <c r="F10" s="239">
        <v>50000</v>
      </c>
      <c r="G10" s="241">
        <v>50000</v>
      </c>
      <c r="H10" s="242"/>
      <c r="I10" s="233">
        <v>5000</v>
      </c>
      <c r="J10" s="233">
        <f t="shared" ref="J10:J18" si="2">SUM(B10:I10)</f>
        <v>205000</v>
      </c>
    </row>
    <row r="11" spans="1:11" ht="21" customHeight="1">
      <c r="A11" s="247" t="s">
        <v>164</v>
      </c>
      <c r="B11" s="239">
        <v>0</v>
      </c>
      <c r="C11" s="239">
        <v>0</v>
      </c>
      <c r="D11" s="239">
        <v>0</v>
      </c>
      <c r="E11" s="239" t="s">
        <v>258</v>
      </c>
      <c r="F11" s="239" t="s">
        <v>258</v>
      </c>
      <c r="G11" s="241">
        <v>0</v>
      </c>
      <c r="H11" s="242">
        <v>0</v>
      </c>
      <c r="I11" s="233">
        <v>0</v>
      </c>
      <c r="J11" s="233">
        <f t="shared" si="2"/>
        <v>0</v>
      </c>
    </row>
    <row r="12" spans="1:11" ht="32.4" customHeight="1">
      <c r="A12" s="247" t="s">
        <v>166</v>
      </c>
      <c r="B12" s="239">
        <v>20000</v>
      </c>
      <c r="C12" s="239">
        <v>15000</v>
      </c>
      <c r="D12" s="239">
        <v>15000</v>
      </c>
      <c r="E12" s="239">
        <v>10000</v>
      </c>
      <c r="F12" s="239">
        <v>6950</v>
      </c>
      <c r="G12" s="241">
        <v>5000</v>
      </c>
      <c r="H12" s="242"/>
      <c r="I12" s="233">
        <v>5000</v>
      </c>
      <c r="J12" s="233">
        <f t="shared" si="2"/>
        <v>76950</v>
      </c>
    </row>
    <row r="13" spans="1:11" ht="39">
      <c r="A13" s="247" t="s">
        <v>168</v>
      </c>
      <c r="B13" s="248" t="s">
        <v>262</v>
      </c>
      <c r="C13" s="235">
        <v>18500</v>
      </c>
      <c r="D13" s="239">
        <v>11518</v>
      </c>
      <c r="E13" s="239">
        <v>0</v>
      </c>
      <c r="F13" s="239" t="s">
        <v>258</v>
      </c>
      <c r="G13" s="241" t="s">
        <v>258</v>
      </c>
      <c r="H13" s="242">
        <v>0</v>
      </c>
      <c r="I13" s="233"/>
      <c r="J13" s="233">
        <f t="shared" si="2"/>
        <v>30018</v>
      </c>
    </row>
    <row r="14" spans="1:11" ht="26">
      <c r="A14" s="247" t="s">
        <v>170</v>
      </c>
      <c r="B14" s="239">
        <v>15000</v>
      </c>
      <c r="C14" s="239">
        <v>15000</v>
      </c>
      <c r="D14" s="239">
        <v>15000</v>
      </c>
      <c r="E14" s="239"/>
      <c r="F14" s="239"/>
      <c r="G14" s="241">
        <v>5000</v>
      </c>
      <c r="H14" s="242">
        <v>0</v>
      </c>
      <c r="I14" s="233"/>
      <c r="J14" s="233">
        <f t="shared" si="2"/>
        <v>50000</v>
      </c>
    </row>
    <row r="15" spans="1:11" ht="30" customHeight="1">
      <c r="A15" s="247" t="s">
        <v>263</v>
      </c>
      <c r="B15" s="239">
        <v>12000</v>
      </c>
      <c r="C15" s="239">
        <v>13500</v>
      </c>
      <c r="D15" s="239">
        <v>13500</v>
      </c>
      <c r="E15" s="239">
        <v>10000</v>
      </c>
      <c r="F15" s="239">
        <v>6900</v>
      </c>
      <c r="G15" s="241">
        <v>10000</v>
      </c>
      <c r="H15" s="242">
        <v>4198</v>
      </c>
      <c r="I15" s="233">
        <v>10000</v>
      </c>
      <c r="J15" s="233">
        <f t="shared" si="2"/>
        <v>80098</v>
      </c>
    </row>
    <row r="16" spans="1:11" ht="26">
      <c r="A16" s="247" t="s">
        <v>174</v>
      </c>
      <c r="B16" s="239">
        <v>16500</v>
      </c>
      <c r="C16" s="239">
        <v>20000</v>
      </c>
      <c r="D16" s="239">
        <v>16500</v>
      </c>
      <c r="E16" s="239">
        <v>5000</v>
      </c>
      <c r="F16" s="239">
        <v>4250</v>
      </c>
      <c r="G16" s="241">
        <v>5000</v>
      </c>
      <c r="H16" s="242">
        <v>16428.400000000001</v>
      </c>
      <c r="I16" s="233"/>
      <c r="J16" s="233">
        <f t="shared" si="2"/>
        <v>83678.399999999994</v>
      </c>
    </row>
    <row r="17" spans="1:10" ht="39" customHeight="1">
      <c r="A17" s="247" t="s">
        <v>264</v>
      </c>
      <c r="B17" s="239"/>
      <c r="C17" s="239"/>
      <c r="D17" s="239"/>
      <c r="E17" s="239"/>
      <c r="F17" s="239">
        <v>30000</v>
      </c>
      <c r="G17" s="241" t="s">
        <v>265</v>
      </c>
      <c r="H17" s="242">
        <v>8766</v>
      </c>
      <c r="I17" s="233">
        <v>4630.1099999999997</v>
      </c>
      <c r="J17" s="233">
        <f>SUM(B17:I17)</f>
        <v>43396.11</v>
      </c>
    </row>
    <row r="18" spans="1:10" ht="39">
      <c r="A18" s="247" t="s">
        <v>266</v>
      </c>
      <c r="B18" s="239" t="s">
        <v>258</v>
      </c>
      <c r="C18" s="239" t="s">
        <v>258</v>
      </c>
      <c r="D18" s="239" t="s">
        <v>258</v>
      </c>
      <c r="E18" s="239" t="s">
        <v>258</v>
      </c>
      <c r="F18" s="239" t="s">
        <v>258</v>
      </c>
      <c r="G18" s="241" t="s">
        <v>258</v>
      </c>
      <c r="H18" s="242">
        <f>5000+5977.49</f>
        <v>10977.49</v>
      </c>
      <c r="I18" s="233">
        <v>0</v>
      </c>
      <c r="J18" s="233">
        <f t="shared" si="2"/>
        <v>10977.49</v>
      </c>
    </row>
    <row r="19" spans="1:10" ht="21.65" customHeight="1">
      <c r="A19" s="249" t="s">
        <v>267</v>
      </c>
      <c r="B19" s="234">
        <f>SUM(B9:B18)</f>
        <v>154450</v>
      </c>
      <c r="C19" s="234">
        <f t="shared" ref="C19:J19" si="3">SUM(C9:C18)</f>
        <v>172900</v>
      </c>
      <c r="D19" s="234">
        <f t="shared" si="3"/>
        <v>162468</v>
      </c>
      <c r="E19" s="234">
        <f t="shared" si="3"/>
        <v>85069</v>
      </c>
      <c r="F19" s="234">
        <f t="shared" si="3"/>
        <v>158169</v>
      </c>
      <c r="G19" s="234">
        <f t="shared" si="3"/>
        <v>135069</v>
      </c>
      <c r="H19" s="234">
        <f t="shared" si="3"/>
        <v>100438.89</v>
      </c>
      <c r="I19" s="234">
        <f t="shared" si="3"/>
        <v>24630.11</v>
      </c>
      <c r="J19" s="234">
        <f t="shared" si="3"/>
        <v>993194</v>
      </c>
    </row>
    <row r="20" spans="1:10" ht="23.4" customHeight="1">
      <c r="A20" s="250" t="s">
        <v>249</v>
      </c>
      <c r="B20" s="235">
        <f>+B19+B7</f>
        <v>374511</v>
      </c>
      <c r="C20" s="235">
        <f t="shared" ref="C20:J20" si="4">+C19+C7</f>
        <v>392961</v>
      </c>
      <c r="D20" s="235">
        <f t="shared" si="4"/>
        <v>382529</v>
      </c>
      <c r="E20" s="235">
        <f t="shared" si="4"/>
        <v>467290</v>
      </c>
      <c r="F20" s="235">
        <f t="shared" si="4"/>
        <v>560781.66</v>
      </c>
      <c r="G20" s="235">
        <f t="shared" si="4"/>
        <v>495681.66000000003</v>
      </c>
      <c r="H20" s="235">
        <f t="shared" si="4"/>
        <v>235659.14</v>
      </c>
      <c r="I20" s="235">
        <f t="shared" si="4"/>
        <v>93522.52</v>
      </c>
      <c r="J20" s="263">
        <f t="shared" si="4"/>
        <v>3002935.9800000004</v>
      </c>
    </row>
    <row r="24" spans="1:10">
      <c r="H24" s="253"/>
    </row>
    <row r="27" spans="1:10">
      <c r="H27" s="253"/>
    </row>
  </sheetData>
  <mergeCells count="3">
    <mergeCell ref="A3:J3"/>
    <mergeCell ref="A2:J2"/>
    <mergeCell ref="A8:J8"/>
  </mergeCells>
  <printOptions horizontalCentered="1"/>
  <pageMargins left="3.937007874015748E-2" right="3.937007874015748E-2" top="3.937007874015748E-2" bottom="3.937007874015748E-2"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74D25-EFB5-4182-A4C4-E12E2C42DFD4}">
  <dimension ref="A1:G21"/>
  <sheetViews>
    <sheetView workbookViewId="0">
      <selection activeCell="F27" sqref="F27"/>
    </sheetView>
  </sheetViews>
  <sheetFormatPr baseColWidth="10" defaultRowHeight="14.5"/>
  <cols>
    <col min="1" max="1" width="23.1796875" customWidth="1"/>
    <col min="2" max="2" width="18.90625" customWidth="1"/>
    <col min="3" max="3" width="19.1796875" customWidth="1"/>
    <col min="4" max="4" width="17.1796875" customWidth="1"/>
    <col min="5" max="5" width="12.6328125" bestFit="1" customWidth="1"/>
    <col min="6" max="6" width="15.90625" customWidth="1"/>
    <col min="7" max="7" width="21.453125" customWidth="1"/>
  </cols>
  <sheetData>
    <row r="1" spans="1:7">
      <c r="A1" s="229" t="s">
        <v>268</v>
      </c>
    </row>
    <row r="2" spans="1:7">
      <c r="A2" s="229"/>
    </row>
    <row r="3" spans="1:7">
      <c r="A3" s="229"/>
    </row>
    <row r="4" spans="1:7">
      <c r="A4" s="229"/>
    </row>
    <row r="5" spans="1:7" ht="27.65" customHeight="1">
      <c r="A5" s="571" t="s">
        <v>269</v>
      </c>
      <c r="B5" s="571"/>
      <c r="C5" s="571"/>
      <c r="D5" s="571"/>
    </row>
    <row r="6" spans="1:7" ht="26">
      <c r="A6" s="257" t="s">
        <v>270</v>
      </c>
      <c r="B6" s="257" t="s">
        <v>271</v>
      </c>
      <c r="C6" s="257" t="s">
        <v>272</v>
      </c>
      <c r="D6" s="257" t="s">
        <v>273</v>
      </c>
    </row>
    <row r="7" spans="1:7" ht="27" customHeight="1">
      <c r="A7" s="258" t="s">
        <v>126</v>
      </c>
      <c r="B7" s="254">
        <v>2144727.98</v>
      </c>
      <c r="C7" s="255">
        <v>0</v>
      </c>
      <c r="D7" s="255">
        <f>+B7-C7</f>
        <v>2144727.98</v>
      </c>
      <c r="F7" s="49"/>
    </row>
    <row r="8" spans="1:7" ht="26">
      <c r="A8" s="258" t="s">
        <v>127</v>
      </c>
      <c r="B8" s="254">
        <v>92284</v>
      </c>
      <c r="C8" s="255">
        <v>0</v>
      </c>
      <c r="D8" s="255">
        <f>B8-C8</f>
        <v>92284</v>
      </c>
      <c r="F8" s="49"/>
    </row>
    <row r="9" spans="1:7" ht="39">
      <c r="A9" s="258" t="s">
        <v>128</v>
      </c>
      <c r="B9" s="254">
        <v>10283</v>
      </c>
      <c r="C9" s="255">
        <v>0</v>
      </c>
      <c r="D9" s="254">
        <f>B9-C9</f>
        <v>10283</v>
      </c>
      <c r="F9" s="49"/>
    </row>
    <row r="10" spans="1:7" ht="22.75" customHeight="1">
      <c r="A10" s="258" t="s">
        <v>129</v>
      </c>
      <c r="B10" s="254">
        <v>359750</v>
      </c>
      <c r="C10" s="255">
        <v>0</v>
      </c>
      <c r="D10" s="254">
        <f t="shared" ref="D10:D16" si="0">B10-C10</f>
        <v>359750</v>
      </c>
      <c r="F10" s="49"/>
    </row>
    <row r="11" spans="1:7" ht="25.25" customHeight="1">
      <c r="A11" s="258" t="s">
        <v>130</v>
      </c>
      <c r="B11" s="254">
        <v>162529</v>
      </c>
      <c r="C11" s="255">
        <v>0</v>
      </c>
      <c r="D11" s="254">
        <f t="shared" si="0"/>
        <v>162529</v>
      </c>
      <c r="F11" s="49"/>
    </row>
    <row r="12" spans="1:7" ht="26">
      <c r="A12" s="258" t="s">
        <v>131</v>
      </c>
      <c r="B12" s="254" t="s">
        <v>274</v>
      </c>
      <c r="C12" s="255">
        <v>0</v>
      </c>
      <c r="D12" s="254">
        <v>0</v>
      </c>
      <c r="F12" s="49"/>
    </row>
    <row r="13" spans="1:7" ht="39">
      <c r="A13" s="258" t="s">
        <v>132</v>
      </c>
      <c r="B13" s="254">
        <v>233728</v>
      </c>
      <c r="C13" s="255">
        <v>0</v>
      </c>
      <c r="D13" s="254">
        <f t="shared" si="0"/>
        <v>233728</v>
      </c>
      <c r="F13" s="49"/>
    </row>
    <row r="14" spans="1:7" ht="27" customHeight="1">
      <c r="A14" s="256" t="s">
        <v>133</v>
      </c>
      <c r="B14" s="254">
        <v>2927701.98</v>
      </c>
      <c r="C14" s="254">
        <v>0</v>
      </c>
      <c r="D14" s="254">
        <f t="shared" si="0"/>
        <v>2927701.98</v>
      </c>
      <c r="F14" s="49"/>
    </row>
    <row r="15" spans="1:7" ht="24" customHeight="1">
      <c r="A15" s="258" t="s">
        <v>275</v>
      </c>
      <c r="B15" s="254">
        <v>204938.15</v>
      </c>
      <c r="C15" s="255">
        <v>0</v>
      </c>
      <c r="D15" s="254">
        <f t="shared" si="0"/>
        <v>204938.15</v>
      </c>
      <c r="E15" s="49"/>
      <c r="F15" s="49"/>
    </row>
    <row r="16" spans="1:7" ht="24" customHeight="1">
      <c r="A16" s="259" t="s">
        <v>249</v>
      </c>
      <c r="B16" s="260">
        <f>B14+B15</f>
        <v>3132640.13</v>
      </c>
      <c r="C16" s="260">
        <f>+C14+C15</f>
        <v>0</v>
      </c>
      <c r="D16" s="267">
        <f t="shared" si="0"/>
        <v>3132640.13</v>
      </c>
      <c r="E16" s="268"/>
      <c r="F16" s="269"/>
      <c r="G16" s="268"/>
    </row>
    <row r="17" spans="1:7">
      <c r="A17" s="236" t="s">
        <v>276</v>
      </c>
      <c r="E17" s="268"/>
      <c r="F17" s="270"/>
      <c r="G17" s="268"/>
    </row>
    <row r="18" spans="1:7">
      <c r="E18" s="268"/>
      <c r="F18" s="271"/>
      <c r="G18" s="268"/>
    </row>
    <row r="19" spans="1:7">
      <c r="E19" s="268"/>
      <c r="F19" s="270"/>
      <c r="G19" s="268"/>
    </row>
    <row r="20" spans="1:7">
      <c r="D20" s="49"/>
      <c r="E20" s="268"/>
      <c r="F20" s="270"/>
      <c r="G20" s="268"/>
    </row>
    <row r="21" spans="1:7">
      <c r="E21" s="268"/>
      <c r="F21" s="268"/>
      <c r="G21" s="268"/>
    </row>
  </sheetData>
  <mergeCells count="1">
    <mergeCell ref="A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A9141-E91D-4EDA-8247-94ED8D620503}">
  <dimension ref="A1:ADH89"/>
  <sheetViews>
    <sheetView topLeftCell="A73" zoomScale="80" zoomScaleNormal="80" workbookViewId="0">
      <selection activeCell="B89" sqref="B89"/>
    </sheetView>
  </sheetViews>
  <sheetFormatPr baseColWidth="10" defaultRowHeight="14.5"/>
  <cols>
    <col min="1" max="2" width="25.90625" style="3" customWidth="1"/>
    <col min="3" max="3" width="24.54296875" style="3" customWidth="1"/>
    <col min="4" max="4" width="16.54296875" style="3" customWidth="1"/>
    <col min="5" max="5" width="15.6328125" style="3" customWidth="1"/>
    <col min="6" max="6" width="14.36328125" style="3" customWidth="1"/>
    <col min="7" max="7" width="11.6328125" style="3" customWidth="1"/>
    <col min="8" max="8" width="13.453125" style="3" customWidth="1"/>
    <col min="9" max="9" width="6.36328125" style="3" customWidth="1"/>
    <col min="10" max="10" width="6.81640625" style="3" customWidth="1"/>
    <col min="11" max="11" width="7.6328125" style="3" customWidth="1"/>
    <col min="12" max="12" width="30.453125" style="3" customWidth="1"/>
    <col min="13" max="13" width="10.90625" style="3"/>
    <col min="14" max="14" width="18.08984375" style="3" customWidth="1"/>
    <col min="15" max="15" width="15" style="3" customWidth="1"/>
    <col min="16" max="247" width="10.90625" style="3"/>
    <col min="248" max="248" width="48.08984375" style="3" customWidth="1"/>
    <col min="249" max="249" width="38.54296875" style="3" customWidth="1"/>
    <col min="250" max="250" width="30.90625" style="3" customWidth="1"/>
    <col min="251" max="251" width="16.90625" style="3" customWidth="1"/>
    <col min="252" max="253" width="4.08984375" style="3" customWidth="1"/>
    <col min="254" max="254" width="3.81640625" style="3" customWidth="1"/>
    <col min="255" max="255" width="4.453125" style="3" customWidth="1"/>
    <col min="256" max="256" width="22.1796875" style="3" customWidth="1"/>
    <col min="257" max="257" width="6.54296875" style="3" customWidth="1"/>
    <col min="258" max="258" width="6.90625" style="3" customWidth="1"/>
    <col min="259" max="259" width="8.90625" style="3" customWidth="1"/>
    <col min="260" max="260" width="14.453125" style="3" customWidth="1"/>
    <col min="261" max="261" width="10.90625" style="3"/>
    <col min="262" max="262" width="11.81640625" style="3" bestFit="1" customWidth="1"/>
    <col min="263" max="503" width="10.90625" style="3"/>
    <col min="504" max="504" width="48.08984375" style="3" customWidth="1"/>
    <col min="505" max="505" width="38.54296875" style="3" customWidth="1"/>
    <col min="506" max="506" width="30.90625" style="3" customWidth="1"/>
    <col min="507" max="507" width="16.90625" style="3" customWidth="1"/>
    <col min="508" max="509" width="4.08984375" style="3" customWidth="1"/>
    <col min="510" max="510" width="3.81640625" style="3" customWidth="1"/>
    <col min="511" max="511" width="4.453125" style="3" customWidth="1"/>
    <col min="512" max="512" width="22.1796875" style="3" customWidth="1"/>
    <col min="513" max="513" width="6.54296875" style="3" customWidth="1"/>
    <col min="514" max="514" width="6.90625" style="3" customWidth="1"/>
    <col min="515" max="515" width="8.90625" style="3" customWidth="1"/>
    <col min="516" max="516" width="14.453125" style="3" customWidth="1"/>
    <col min="517" max="517" width="10.90625" style="3"/>
    <col min="518" max="518" width="11.81640625" style="3" bestFit="1" customWidth="1"/>
    <col min="519" max="759" width="10.90625" style="3"/>
    <col min="760" max="760" width="48.08984375" style="3" customWidth="1"/>
    <col min="761" max="761" width="38.54296875" style="3" customWidth="1"/>
    <col min="762" max="762" width="30.90625" style="3" customWidth="1"/>
    <col min="763" max="763" width="16.90625" style="3" customWidth="1"/>
    <col min="764" max="765" width="4.08984375" style="3" customWidth="1"/>
    <col min="766" max="766" width="3.81640625" style="3" customWidth="1"/>
    <col min="767" max="767" width="4.453125" style="3" customWidth="1"/>
    <col min="768" max="768" width="22.1796875" style="3" customWidth="1"/>
    <col min="769" max="769" width="6.54296875" style="3" customWidth="1"/>
    <col min="770" max="770" width="6.90625" style="3" customWidth="1"/>
    <col min="771" max="771" width="8.90625" style="3" customWidth="1"/>
    <col min="772" max="772" width="14.453125" style="3" customWidth="1"/>
    <col min="773" max="773" width="10.90625" style="3"/>
    <col min="774" max="774" width="11.81640625" style="3" bestFit="1" customWidth="1"/>
    <col min="775" max="1015" width="10.90625" style="3"/>
    <col min="1016" max="1016" width="48.08984375" style="3" customWidth="1"/>
    <col min="1017" max="1017" width="38.54296875" style="3" customWidth="1"/>
    <col min="1018" max="1018" width="30.90625" style="3" customWidth="1"/>
    <col min="1019" max="1019" width="16.90625" style="3" customWidth="1"/>
    <col min="1020" max="1021" width="4.08984375" style="3" customWidth="1"/>
    <col min="1022" max="1022" width="3.81640625" style="3" customWidth="1"/>
    <col min="1023" max="1023" width="4.453125" style="3" customWidth="1"/>
    <col min="1024" max="1024" width="22.1796875" style="3" customWidth="1"/>
    <col min="1025" max="1025" width="6.54296875" style="3" customWidth="1"/>
    <col min="1026" max="1026" width="6.90625" style="3" customWidth="1"/>
    <col min="1027" max="1027" width="8.90625" style="3" customWidth="1"/>
    <col min="1028" max="1028" width="14.453125" style="3" customWidth="1"/>
    <col min="1029" max="1029" width="10.90625" style="3"/>
    <col min="1030" max="1030" width="11.81640625" style="3" bestFit="1" customWidth="1"/>
    <col min="1031" max="1271" width="10.90625" style="3"/>
    <col min="1272" max="1272" width="48.08984375" style="3" customWidth="1"/>
    <col min="1273" max="1273" width="38.54296875" style="3" customWidth="1"/>
    <col min="1274" max="1274" width="30.90625" style="3" customWidth="1"/>
    <col min="1275" max="1275" width="16.90625" style="3" customWidth="1"/>
    <col min="1276" max="1277" width="4.08984375" style="3" customWidth="1"/>
    <col min="1278" max="1278" width="3.81640625" style="3" customWidth="1"/>
    <col min="1279" max="1279" width="4.453125" style="3" customWidth="1"/>
    <col min="1280" max="1280" width="22.1796875" style="3" customWidth="1"/>
    <col min="1281" max="1281" width="6.54296875" style="3" customWidth="1"/>
    <col min="1282" max="1282" width="6.90625" style="3" customWidth="1"/>
    <col min="1283" max="1283" width="8.90625" style="3" customWidth="1"/>
    <col min="1284" max="1284" width="14.453125" style="3" customWidth="1"/>
    <col min="1285" max="1285" width="10.90625" style="3"/>
    <col min="1286" max="1286" width="11.81640625" style="3" bestFit="1" customWidth="1"/>
    <col min="1287" max="1527" width="10.90625" style="3"/>
    <col min="1528" max="1528" width="48.08984375" style="3" customWidth="1"/>
    <col min="1529" max="1529" width="38.54296875" style="3" customWidth="1"/>
    <col min="1530" max="1530" width="30.90625" style="3" customWidth="1"/>
    <col min="1531" max="1531" width="16.90625" style="3" customWidth="1"/>
    <col min="1532" max="1533" width="4.08984375" style="3" customWidth="1"/>
    <col min="1534" max="1534" width="3.81640625" style="3" customWidth="1"/>
    <col min="1535" max="1535" width="4.453125" style="3" customWidth="1"/>
    <col min="1536" max="1536" width="22.1796875" style="3" customWidth="1"/>
    <col min="1537" max="1537" width="6.54296875" style="3" customWidth="1"/>
    <col min="1538" max="1538" width="6.90625" style="3" customWidth="1"/>
    <col min="1539" max="1539" width="8.90625" style="3" customWidth="1"/>
    <col min="1540" max="1540" width="14.453125" style="3" customWidth="1"/>
    <col min="1541" max="1541" width="10.90625" style="3"/>
    <col min="1542" max="1542" width="11.81640625" style="3" bestFit="1" customWidth="1"/>
    <col min="1543" max="1783" width="10.90625" style="3"/>
    <col min="1784" max="1784" width="48.08984375" style="3" customWidth="1"/>
    <col min="1785" max="1785" width="38.54296875" style="3" customWidth="1"/>
    <col min="1786" max="1786" width="30.90625" style="3" customWidth="1"/>
    <col min="1787" max="1787" width="16.90625" style="3" customWidth="1"/>
    <col min="1788" max="1789" width="4.08984375" style="3" customWidth="1"/>
    <col min="1790" max="1790" width="3.81640625" style="3" customWidth="1"/>
    <col min="1791" max="1791" width="4.453125" style="3" customWidth="1"/>
    <col min="1792" max="1792" width="22.1796875" style="3" customWidth="1"/>
    <col min="1793" max="1793" width="6.54296875" style="3" customWidth="1"/>
    <col min="1794" max="1794" width="6.90625" style="3" customWidth="1"/>
    <col min="1795" max="1795" width="8.90625" style="3" customWidth="1"/>
    <col min="1796" max="1796" width="14.453125" style="3" customWidth="1"/>
    <col min="1797" max="1797" width="10.90625" style="3"/>
    <col min="1798" max="1798" width="11.81640625" style="3" bestFit="1" customWidth="1"/>
    <col min="1799" max="2039" width="10.90625" style="3"/>
    <col min="2040" max="2040" width="48.08984375" style="3" customWidth="1"/>
    <col min="2041" max="2041" width="38.54296875" style="3" customWidth="1"/>
    <col min="2042" max="2042" width="30.90625" style="3" customWidth="1"/>
    <col min="2043" max="2043" width="16.90625" style="3" customWidth="1"/>
    <col min="2044" max="2045" width="4.08984375" style="3" customWidth="1"/>
    <col min="2046" max="2046" width="3.81640625" style="3" customWidth="1"/>
    <col min="2047" max="2047" width="4.453125" style="3" customWidth="1"/>
    <col min="2048" max="2048" width="22.1796875" style="3" customWidth="1"/>
    <col min="2049" max="2049" width="6.54296875" style="3" customWidth="1"/>
    <col min="2050" max="2050" width="6.90625" style="3" customWidth="1"/>
    <col min="2051" max="2051" width="8.90625" style="3" customWidth="1"/>
    <col min="2052" max="2052" width="14.453125" style="3" customWidth="1"/>
    <col min="2053" max="2053" width="10.90625" style="3"/>
    <col min="2054" max="2054" width="11.81640625" style="3" bestFit="1" customWidth="1"/>
    <col min="2055" max="2295" width="10.90625" style="3"/>
    <col min="2296" max="2296" width="48.08984375" style="3" customWidth="1"/>
    <col min="2297" max="2297" width="38.54296875" style="3" customWidth="1"/>
    <col min="2298" max="2298" width="30.90625" style="3" customWidth="1"/>
    <col min="2299" max="2299" width="16.90625" style="3" customWidth="1"/>
    <col min="2300" max="2301" width="4.08984375" style="3" customWidth="1"/>
    <col min="2302" max="2302" width="3.81640625" style="3" customWidth="1"/>
    <col min="2303" max="2303" width="4.453125" style="3" customWidth="1"/>
    <col min="2304" max="2304" width="22.1796875" style="3" customWidth="1"/>
    <col min="2305" max="2305" width="6.54296875" style="3" customWidth="1"/>
    <col min="2306" max="2306" width="6.90625" style="3" customWidth="1"/>
    <col min="2307" max="2307" width="8.90625" style="3" customWidth="1"/>
    <col min="2308" max="2308" width="14.453125" style="3" customWidth="1"/>
    <col min="2309" max="2309" width="10.90625" style="3"/>
    <col min="2310" max="2310" width="11.81640625" style="3" bestFit="1" customWidth="1"/>
    <col min="2311" max="2551" width="10.90625" style="3"/>
    <col min="2552" max="2552" width="48.08984375" style="3" customWidth="1"/>
    <col min="2553" max="2553" width="38.54296875" style="3" customWidth="1"/>
    <col min="2554" max="2554" width="30.90625" style="3" customWidth="1"/>
    <col min="2555" max="2555" width="16.90625" style="3" customWidth="1"/>
    <col min="2556" max="2557" width="4.08984375" style="3" customWidth="1"/>
    <col min="2558" max="2558" width="3.81640625" style="3" customWidth="1"/>
    <col min="2559" max="2559" width="4.453125" style="3" customWidth="1"/>
    <col min="2560" max="2560" width="22.1796875" style="3" customWidth="1"/>
    <col min="2561" max="2561" width="6.54296875" style="3" customWidth="1"/>
    <col min="2562" max="2562" width="6.90625" style="3" customWidth="1"/>
    <col min="2563" max="2563" width="8.90625" style="3" customWidth="1"/>
    <col min="2564" max="2564" width="14.453125" style="3" customWidth="1"/>
    <col min="2565" max="2565" width="10.90625" style="3"/>
    <col min="2566" max="2566" width="11.81640625" style="3" bestFit="1" customWidth="1"/>
    <col min="2567" max="2807" width="10.90625" style="3"/>
    <col min="2808" max="2808" width="48.08984375" style="3" customWidth="1"/>
    <col min="2809" max="2809" width="38.54296875" style="3" customWidth="1"/>
    <col min="2810" max="2810" width="30.90625" style="3" customWidth="1"/>
    <col min="2811" max="2811" width="16.90625" style="3" customWidth="1"/>
    <col min="2812" max="2813" width="4.08984375" style="3" customWidth="1"/>
    <col min="2814" max="2814" width="3.81640625" style="3" customWidth="1"/>
    <col min="2815" max="2815" width="4.453125" style="3" customWidth="1"/>
    <col min="2816" max="2816" width="22.1796875" style="3" customWidth="1"/>
    <col min="2817" max="2817" width="6.54296875" style="3" customWidth="1"/>
    <col min="2818" max="2818" width="6.90625" style="3" customWidth="1"/>
    <col min="2819" max="2819" width="8.90625" style="3" customWidth="1"/>
    <col min="2820" max="2820" width="14.453125" style="3" customWidth="1"/>
    <col min="2821" max="2821" width="10.90625" style="3"/>
    <col min="2822" max="2822" width="11.81640625" style="3" bestFit="1" customWidth="1"/>
    <col min="2823" max="3063" width="10.90625" style="3"/>
    <col min="3064" max="3064" width="48.08984375" style="3" customWidth="1"/>
    <col min="3065" max="3065" width="38.54296875" style="3" customWidth="1"/>
    <col min="3066" max="3066" width="30.90625" style="3" customWidth="1"/>
    <col min="3067" max="3067" width="16.90625" style="3" customWidth="1"/>
    <col min="3068" max="3069" width="4.08984375" style="3" customWidth="1"/>
    <col min="3070" max="3070" width="3.81640625" style="3" customWidth="1"/>
    <col min="3071" max="3071" width="4.453125" style="3" customWidth="1"/>
    <col min="3072" max="3072" width="22.1796875" style="3" customWidth="1"/>
    <col min="3073" max="3073" width="6.54296875" style="3" customWidth="1"/>
    <col min="3074" max="3074" width="6.90625" style="3" customWidth="1"/>
    <col min="3075" max="3075" width="8.90625" style="3" customWidth="1"/>
    <col min="3076" max="3076" width="14.453125" style="3" customWidth="1"/>
    <col min="3077" max="3077" width="10.90625" style="3"/>
    <col min="3078" max="3078" width="11.81640625" style="3" bestFit="1" customWidth="1"/>
    <col min="3079" max="3319" width="10.90625" style="3"/>
    <col min="3320" max="3320" width="48.08984375" style="3" customWidth="1"/>
    <col min="3321" max="3321" width="38.54296875" style="3" customWidth="1"/>
    <col min="3322" max="3322" width="30.90625" style="3" customWidth="1"/>
    <col min="3323" max="3323" width="16.90625" style="3" customWidth="1"/>
    <col min="3324" max="3325" width="4.08984375" style="3" customWidth="1"/>
    <col min="3326" max="3326" width="3.81640625" style="3" customWidth="1"/>
    <col min="3327" max="3327" width="4.453125" style="3" customWidth="1"/>
    <col min="3328" max="3328" width="22.1796875" style="3" customWidth="1"/>
    <col min="3329" max="3329" width="6.54296875" style="3" customWidth="1"/>
    <col min="3330" max="3330" width="6.90625" style="3" customWidth="1"/>
    <col min="3331" max="3331" width="8.90625" style="3" customWidth="1"/>
    <col min="3332" max="3332" width="14.453125" style="3" customWidth="1"/>
    <col min="3333" max="3333" width="10.90625" style="3"/>
    <col min="3334" max="3334" width="11.81640625" style="3" bestFit="1" customWidth="1"/>
    <col min="3335" max="3575" width="10.90625" style="3"/>
    <col min="3576" max="3576" width="48.08984375" style="3" customWidth="1"/>
    <col min="3577" max="3577" width="38.54296875" style="3" customWidth="1"/>
    <col min="3578" max="3578" width="30.90625" style="3" customWidth="1"/>
    <col min="3579" max="3579" width="16.90625" style="3" customWidth="1"/>
    <col min="3580" max="3581" width="4.08984375" style="3" customWidth="1"/>
    <col min="3582" max="3582" width="3.81640625" style="3" customWidth="1"/>
    <col min="3583" max="3583" width="4.453125" style="3" customWidth="1"/>
    <col min="3584" max="3584" width="22.1796875" style="3" customWidth="1"/>
    <col min="3585" max="3585" width="6.54296875" style="3" customWidth="1"/>
    <col min="3586" max="3586" width="6.90625" style="3" customWidth="1"/>
    <col min="3587" max="3587" width="8.90625" style="3" customWidth="1"/>
    <col min="3588" max="3588" width="14.453125" style="3" customWidth="1"/>
    <col min="3589" max="3589" width="10.90625" style="3"/>
    <col min="3590" max="3590" width="11.81640625" style="3" bestFit="1" customWidth="1"/>
    <col min="3591" max="3831" width="10.90625" style="3"/>
    <col min="3832" max="3832" width="48.08984375" style="3" customWidth="1"/>
    <col min="3833" max="3833" width="38.54296875" style="3" customWidth="1"/>
    <col min="3834" max="3834" width="30.90625" style="3" customWidth="1"/>
    <col min="3835" max="3835" width="16.90625" style="3" customWidth="1"/>
    <col min="3836" max="3837" width="4.08984375" style="3" customWidth="1"/>
    <col min="3838" max="3838" width="3.81640625" style="3" customWidth="1"/>
    <col min="3839" max="3839" width="4.453125" style="3" customWidth="1"/>
    <col min="3840" max="3840" width="22.1796875" style="3" customWidth="1"/>
    <col min="3841" max="3841" width="6.54296875" style="3" customWidth="1"/>
    <col min="3842" max="3842" width="6.90625" style="3" customWidth="1"/>
    <col min="3843" max="3843" width="8.90625" style="3" customWidth="1"/>
    <col min="3844" max="3844" width="14.453125" style="3" customWidth="1"/>
    <col min="3845" max="3845" width="10.90625" style="3"/>
    <col min="3846" max="3846" width="11.81640625" style="3" bestFit="1" customWidth="1"/>
    <col min="3847" max="4087" width="10.90625" style="3"/>
    <col min="4088" max="4088" width="48.08984375" style="3" customWidth="1"/>
    <col min="4089" max="4089" width="38.54296875" style="3" customWidth="1"/>
    <col min="4090" max="4090" width="30.90625" style="3" customWidth="1"/>
    <col min="4091" max="4091" width="16.90625" style="3" customWidth="1"/>
    <col min="4092" max="4093" width="4.08984375" style="3" customWidth="1"/>
    <col min="4094" max="4094" width="3.81640625" style="3" customWidth="1"/>
    <col min="4095" max="4095" width="4.453125" style="3" customWidth="1"/>
    <col min="4096" max="4096" width="22.1796875" style="3" customWidth="1"/>
    <col min="4097" max="4097" width="6.54296875" style="3" customWidth="1"/>
    <col min="4098" max="4098" width="6.90625" style="3" customWidth="1"/>
    <col min="4099" max="4099" width="8.90625" style="3" customWidth="1"/>
    <col min="4100" max="4100" width="14.453125" style="3" customWidth="1"/>
    <col min="4101" max="4101" width="10.90625" style="3"/>
    <col min="4102" max="4102" width="11.81640625" style="3" bestFit="1" customWidth="1"/>
    <col min="4103" max="4343" width="10.90625" style="3"/>
    <col min="4344" max="4344" width="48.08984375" style="3" customWidth="1"/>
    <col min="4345" max="4345" width="38.54296875" style="3" customWidth="1"/>
    <col min="4346" max="4346" width="30.90625" style="3" customWidth="1"/>
    <col min="4347" max="4347" width="16.90625" style="3" customWidth="1"/>
    <col min="4348" max="4349" width="4.08984375" style="3" customWidth="1"/>
    <col min="4350" max="4350" width="3.81640625" style="3" customWidth="1"/>
    <col min="4351" max="4351" width="4.453125" style="3" customWidth="1"/>
    <col min="4352" max="4352" width="22.1796875" style="3" customWidth="1"/>
    <col min="4353" max="4353" width="6.54296875" style="3" customWidth="1"/>
    <col min="4354" max="4354" width="6.90625" style="3" customWidth="1"/>
    <col min="4355" max="4355" width="8.90625" style="3" customWidth="1"/>
    <col min="4356" max="4356" width="14.453125" style="3" customWidth="1"/>
    <col min="4357" max="4357" width="10.90625" style="3"/>
    <col min="4358" max="4358" width="11.81640625" style="3" bestFit="1" customWidth="1"/>
    <col min="4359" max="4599" width="10.90625" style="3"/>
    <col min="4600" max="4600" width="48.08984375" style="3" customWidth="1"/>
    <col min="4601" max="4601" width="38.54296875" style="3" customWidth="1"/>
    <col min="4602" max="4602" width="30.90625" style="3" customWidth="1"/>
    <col min="4603" max="4603" width="16.90625" style="3" customWidth="1"/>
    <col min="4604" max="4605" width="4.08984375" style="3" customWidth="1"/>
    <col min="4606" max="4606" width="3.81640625" style="3" customWidth="1"/>
    <col min="4607" max="4607" width="4.453125" style="3" customWidth="1"/>
    <col min="4608" max="4608" width="22.1796875" style="3" customWidth="1"/>
    <col min="4609" max="4609" width="6.54296875" style="3" customWidth="1"/>
    <col min="4610" max="4610" width="6.90625" style="3" customWidth="1"/>
    <col min="4611" max="4611" width="8.90625" style="3" customWidth="1"/>
    <col min="4612" max="4612" width="14.453125" style="3" customWidth="1"/>
    <col min="4613" max="4613" width="10.90625" style="3"/>
    <col min="4614" max="4614" width="11.81640625" style="3" bestFit="1" customWidth="1"/>
    <col min="4615" max="4855" width="10.90625" style="3"/>
    <col min="4856" max="4856" width="48.08984375" style="3" customWidth="1"/>
    <col min="4857" max="4857" width="38.54296875" style="3" customWidth="1"/>
    <col min="4858" max="4858" width="30.90625" style="3" customWidth="1"/>
    <col min="4859" max="4859" width="16.90625" style="3" customWidth="1"/>
    <col min="4860" max="4861" width="4.08984375" style="3" customWidth="1"/>
    <col min="4862" max="4862" width="3.81640625" style="3" customWidth="1"/>
    <col min="4863" max="4863" width="4.453125" style="3" customWidth="1"/>
    <col min="4864" max="4864" width="22.1796875" style="3" customWidth="1"/>
    <col min="4865" max="4865" width="6.54296875" style="3" customWidth="1"/>
    <col min="4866" max="4866" width="6.90625" style="3" customWidth="1"/>
    <col min="4867" max="4867" width="8.90625" style="3" customWidth="1"/>
    <col min="4868" max="4868" width="14.453125" style="3" customWidth="1"/>
    <col min="4869" max="4869" width="10.90625" style="3"/>
    <col min="4870" max="4870" width="11.81640625" style="3" bestFit="1" customWidth="1"/>
    <col min="4871" max="5111" width="10.90625" style="3"/>
    <col min="5112" max="5112" width="48.08984375" style="3" customWidth="1"/>
    <col min="5113" max="5113" width="38.54296875" style="3" customWidth="1"/>
    <col min="5114" max="5114" width="30.90625" style="3" customWidth="1"/>
    <col min="5115" max="5115" width="16.90625" style="3" customWidth="1"/>
    <col min="5116" max="5117" width="4.08984375" style="3" customWidth="1"/>
    <col min="5118" max="5118" width="3.81640625" style="3" customWidth="1"/>
    <col min="5119" max="5119" width="4.453125" style="3" customWidth="1"/>
    <col min="5120" max="5120" width="22.1796875" style="3" customWidth="1"/>
    <col min="5121" max="5121" width="6.54296875" style="3" customWidth="1"/>
    <col min="5122" max="5122" width="6.90625" style="3" customWidth="1"/>
    <col min="5123" max="5123" width="8.90625" style="3" customWidth="1"/>
    <col min="5124" max="5124" width="14.453125" style="3" customWidth="1"/>
    <col min="5125" max="5125" width="10.90625" style="3"/>
    <col min="5126" max="5126" width="11.81640625" style="3" bestFit="1" customWidth="1"/>
    <col min="5127" max="5367" width="10.90625" style="3"/>
    <col min="5368" max="5368" width="48.08984375" style="3" customWidth="1"/>
    <col min="5369" max="5369" width="38.54296875" style="3" customWidth="1"/>
    <col min="5370" max="5370" width="30.90625" style="3" customWidth="1"/>
    <col min="5371" max="5371" width="16.90625" style="3" customWidth="1"/>
    <col min="5372" max="5373" width="4.08984375" style="3" customWidth="1"/>
    <col min="5374" max="5374" width="3.81640625" style="3" customWidth="1"/>
    <col min="5375" max="5375" width="4.453125" style="3" customWidth="1"/>
    <col min="5376" max="5376" width="22.1796875" style="3" customWidth="1"/>
    <col min="5377" max="5377" width="6.54296875" style="3" customWidth="1"/>
    <col min="5378" max="5378" width="6.90625" style="3" customWidth="1"/>
    <col min="5379" max="5379" width="8.90625" style="3" customWidth="1"/>
    <col min="5380" max="5380" width="14.453125" style="3" customWidth="1"/>
    <col min="5381" max="5381" width="10.90625" style="3"/>
    <col min="5382" max="5382" width="11.81640625" style="3" bestFit="1" customWidth="1"/>
    <col min="5383" max="5623" width="10.90625" style="3"/>
    <col min="5624" max="5624" width="48.08984375" style="3" customWidth="1"/>
    <col min="5625" max="5625" width="38.54296875" style="3" customWidth="1"/>
    <col min="5626" max="5626" width="30.90625" style="3" customWidth="1"/>
    <col min="5627" max="5627" width="16.90625" style="3" customWidth="1"/>
    <col min="5628" max="5629" width="4.08984375" style="3" customWidth="1"/>
    <col min="5630" max="5630" width="3.81640625" style="3" customWidth="1"/>
    <col min="5631" max="5631" width="4.453125" style="3" customWidth="1"/>
    <col min="5632" max="5632" width="22.1796875" style="3" customWidth="1"/>
    <col min="5633" max="5633" width="6.54296875" style="3" customWidth="1"/>
    <col min="5634" max="5634" width="6.90625" style="3" customWidth="1"/>
    <col min="5635" max="5635" width="8.90625" style="3" customWidth="1"/>
    <col min="5636" max="5636" width="14.453125" style="3" customWidth="1"/>
    <col min="5637" max="5637" width="10.90625" style="3"/>
    <col min="5638" max="5638" width="11.81640625" style="3" bestFit="1" customWidth="1"/>
    <col min="5639" max="5879" width="10.90625" style="3"/>
    <col min="5880" max="5880" width="48.08984375" style="3" customWidth="1"/>
    <col min="5881" max="5881" width="38.54296875" style="3" customWidth="1"/>
    <col min="5882" max="5882" width="30.90625" style="3" customWidth="1"/>
    <col min="5883" max="5883" width="16.90625" style="3" customWidth="1"/>
    <col min="5884" max="5885" width="4.08984375" style="3" customWidth="1"/>
    <col min="5886" max="5886" width="3.81640625" style="3" customWidth="1"/>
    <col min="5887" max="5887" width="4.453125" style="3" customWidth="1"/>
    <col min="5888" max="5888" width="22.1796875" style="3" customWidth="1"/>
    <col min="5889" max="5889" width="6.54296875" style="3" customWidth="1"/>
    <col min="5890" max="5890" width="6.90625" style="3" customWidth="1"/>
    <col min="5891" max="5891" width="8.90625" style="3" customWidth="1"/>
    <col min="5892" max="5892" width="14.453125" style="3" customWidth="1"/>
    <col min="5893" max="5893" width="10.90625" style="3"/>
    <col min="5894" max="5894" width="11.81640625" style="3" bestFit="1" customWidth="1"/>
    <col min="5895" max="6135" width="10.90625" style="3"/>
    <col min="6136" max="6136" width="48.08984375" style="3" customWidth="1"/>
    <col min="6137" max="6137" width="38.54296875" style="3" customWidth="1"/>
    <col min="6138" max="6138" width="30.90625" style="3" customWidth="1"/>
    <col min="6139" max="6139" width="16.90625" style="3" customWidth="1"/>
    <col min="6140" max="6141" width="4.08984375" style="3" customWidth="1"/>
    <col min="6142" max="6142" width="3.81640625" style="3" customWidth="1"/>
    <col min="6143" max="6143" width="4.453125" style="3" customWidth="1"/>
    <col min="6144" max="6144" width="22.1796875" style="3" customWidth="1"/>
    <col min="6145" max="6145" width="6.54296875" style="3" customWidth="1"/>
    <col min="6146" max="6146" width="6.90625" style="3" customWidth="1"/>
    <col min="6147" max="6147" width="8.90625" style="3" customWidth="1"/>
    <col min="6148" max="6148" width="14.453125" style="3" customWidth="1"/>
    <col min="6149" max="6149" width="10.90625" style="3"/>
    <col min="6150" max="6150" width="11.81640625" style="3" bestFit="1" customWidth="1"/>
    <col min="6151" max="6391" width="10.90625" style="3"/>
    <col min="6392" max="6392" width="48.08984375" style="3" customWidth="1"/>
    <col min="6393" max="6393" width="38.54296875" style="3" customWidth="1"/>
    <col min="6394" max="6394" width="30.90625" style="3" customWidth="1"/>
    <col min="6395" max="6395" width="16.90625" style="3" customWidth="1"/>
    <col min="6396" max="6397" width="4.08984375" style="3" customWidth="1"/>
    <col min="6398" max="6398" width="3.81640625" style="3" customWidth="1"/>
    <col min="6399" max="6399" width="4.453125" style="3" customWidth="1"/>
    <col min="6400" max="6400" width="22.1796875" style="3" customWidth="1"/>
    <col min="6401" max="6401" width="6.54296875" style="3" customWidth="1"/>
    <col min="6402" max="6402" width="6.90625" style="3" customWidth="1"/>
    <col min="6403" max="6403" width="8.90625" style="3" customWidth="1"/>
    <col min="6404" max="6404" width="14.453125" style="3" customWidth="1"/>
    <col min="6405" max="6405" width="10.90625" style="3"/>
    <col min="6406" max="6406" width="11.81640625" style="3" bestFit="1" customWidth="1"/>
    <col min="6407" max="6647" width="10.90625" style="3"/>
    <col min="6648" max="6648" width="48.08984375" style="3" customWidth="1"/>
    <col min="6649" max="6649" width="38.54296875" style="3" customWidth="1"/>
    <col min="6650" max="6650" width="30.90625" style="3" customWidth="1"/>
    <col min="6651" max="6651" width="16.90625" style="3" customWidth="1"/>
    <col min="6652" max="6653" width="4.08984375" style="3" customWidth="1"/>
    <col min="6654" max="6654" width="3.81640625" style="3" customWidth="1"/>
    <col min="6655" max="6655" width="4.453125" style="3" customWidth="1"/>
    <col min="6656" max="6656" width="22.1796875" style="3" customWidth="1"/>
    <col min="6657" max="6657" width="6.54296875" style="3" customWidth="1"/>
    <col min="6658" max="6658" width="6.90625" style="3" customWidth="1"/>
    <col min="6659" max="6659" width="8.90625" style="3" customWidth="1"/>
    <col min="6660" max="6660" width="14.453125" style="3" customWidth="1"/>
    <col min="6661" max="6661" width="10.90625" style="3"/>
    <col min="6662" max="6662" width="11.81640625" style="3" bestFit="1" customWidth="1"/>
    <col min="6663" max="6903" width="10.90625" style="3"/>
    <col min="6904" max="6904" width="48.08984375" style="3" customWidth="1"/>
    <col min="6905" max="6905" width="38.54296875" style="3" customWidth="1"/>
    <col min="6906" max="6906" width="30.90625" style="3" customWidth="1"/>
    <col min="6907" max="6907" width="16.90625" style="3" customWidth="1"/>
    <col min="6908" max="6909" width="4.08984375" style="3" customWidth="1"/>
    <col min="6910" max="6910" width="3.81640625" style="3" customWidth="1"/>
    <col min="6911" max="6911" width="4.453125" style="3" customWidth="1"/>
    <col min="6912" max="6912" width="22.1796875" style="3" customWidth="1"/>
    <col min="6913" max="6913" width="6.54296875" style="3" customWidth="1"/>
    <col min="6914" max="6914" width="6.90625" style="3" customWidth="1"/>
    <col min="6915" max="6915" width="8.90625" style="3" customWidth="1"/>
    <col min="6916" max="6916" width="14.453125" style="3" customWidth="1"/>
    <col min="6917" max="6917" width="10.90625" style="3"/>
    <col min="6918" max="6918" width="11.81640625" style="3" bestFit="1" customWidth="1"/>
    <col min="6919" max="7159" width="10.90625" style="3"/>
    <col min="7160" max="7160" width="48.08984375" style="3" customWidth="1"/>
    <col min="7161" max="7161" width="38.54296875" style="3" customWidth="1"/>
    <col min="7162" max="7162" width="30.90625" style="3" customWidth="1"/>
    <col min="7163" max="7163" width="16.90625" style="3" customWidth="1"/>
    <col min="7164" max="7165" width="4.08984375" style="3" customWidth="1"/>
    <col min="7166" max="7166" width="3.81640625" style="3" customWidth="1"/>
    <col min="7167" max="7167" width="4.453125" style="3" customWidth="1"/>
    <col min="7168" max="7168" width="22.1796875" style="3" customWidth="1"/>
    <col min="7169" max="7169" width="6.54296875" style="3" customWidth="1"/>
    <col min="7170" max="7170" width="6.90625" style="3" customWidth="1"/>
    <col min="7171" max="7171" width="8.90625" style="3" customWidth="1"/>
    <col min="7172" max="7172" width="14.453125" style="3" customWidth="1"/>
    <col min="7173" max="7173" width="10.90625" style="3"/>
    <col min="7174" max="7174" width="11.81640625" style="3" bestFit="1" customWidth="1"/>
    <col min="7175" max="7415" width="10.90625" style="3"/>
    <col min="7416" max="7416" width="48.08984375" style="3" customWidth="1"/>
    <col min="7417" max="7417" width="38.54296875" style="3" customWidth="1"/>
    <col min="7418" max="7418" width="30.90625" style="3" customWidth="1"/>
    <col min="7419" max="7419" width="16.90625" style="3" customWidth="1"/>
    <col min="7420" max="7421" width="4.08984375" style="3" customWidth="1"/>
    <col min="7422" max="7422" width="3.81640625" style="3" customWidth="1"/>
    <col min="7423" max="7423" width="4.453125" style="3" customWidth="1"/>
    <col min="7424" max="7424" width="22.1796875" style="3" customWidth="1"/>
    <col min="7425" max="7425" width="6.54296875" style="3" customWidth="1"/>
    <col min="7426" max="7426" width="6.90625" style="3" customWidth="1"/>
    <col min="7427" max="7427" width="8.90625" style="3" customWidth="1"/>
    <col min="7428" max="7428" width="14.453125" style="3" customWidth="1"/>
    <col min="7429" max="7429" width="10.90625" style="3"/>
    <col min="7430" max="7430" width="11.81640625" style="3" bestFit="1" customWidth="1"/>
    <col min="7431" max="7671" width="10.90625" style="3"/>
    <col min="7672" max="7672" width="48.08984375" style="3" customWidth="1"/>
    <col min="7673" max="7673" width="38.54296875" style="3" customWidth="1"/>
    <col min="7674" max="7674" width="30.90625" style="3" customWidth="1"/>
    <col min="7675" max="7675" width="16.90625" style="3" customWidth="1"/>
    <col min="7676" max="7677" width="4.08984375" style="3" customWidth="1"/>
    <col min="7678" max="7678" width="3.81640625" style="3" customWidth="1"/>
    <col min="7679" max="7679" width="4.453125" style="3" customWidth="1"/>
    <col min="7680" max="7680" width="22.1796875" style="3" customWidth="1"/>
    <col min="7681" max="7681" width="6.54296875" style="3" customWidth="1"/>
    <col min="7682" max="7682" width="6.90625" style="3" customWidth="1"/>
    <col min="7683" max="7683" width="8.90625" style="3" customWidth="1"/>
    <col min="7684" max="7684" width="14.453125" style="3" customWidth="1"/>
    <col min="7685" max="7685" width="10.90625" style="3"/>
    <col min="7686" max="7686" width="11.81640625" style="3" bestFit="1" customWidth="1"/>
    <col min="7687" max="7927" width="10.90625" style="3"/>
    <col min="7928" max="7928" width="48.08984375" style="3" customWidth="1"/>
    <col min="7929" max="7929" width="38.54296875" style="3" customWidth="1"/>
    <col min="7930" max="7930" width="30.90625" style="3" customWidth="1"/>
    <col min="7931" max="7931" width="16.90625" style="3" customWidth="1"/>
    <col min="7932" max="7933" width="4.08984375" style="3" customWidth="1"/>
    <col min="7934" max="7934" width="3.81640625" style="3" customWidth="1"/>
    <col min="7935" max="7935" width="4.453125" style="3" customWidth="1"/>
    <col min="7936" max="7936" width="22.1796875" style="3" customWidth="1"/>
    <col min="7937" max="7937" width="6.54296875" style="3" customWidth="1"/>
    <col min="7938" max="7938" width="6.90625" style="3" customWidth="1"/>
    <col min="7939" max="7939" width="8.90625" style="3" customWidth="1"/>
    <col min="7940" max="7940" width="14.453125" style="3" customWidth="1"/>
    <col min="7941" max="7941" width="10.90625" style="3"/>
    <col min="7942" max="7942" width="11.81640625" style="3" bestFit="1" customWidth="1"/>
    <col min="7943" max="8183" width="10.90625" style="3"/>
    <col min="8184" max="8184" width="48.08984375" style="3" customWidth="1"/>
    <col min="8185" max="8185" width="38.54296875" style="3" customWidth="1"/>
    <col min="8186" max="8186" width="30.90625" style="3" customWidth="1"/>
    <col min="8187" max="8187" width="16.90625" style="3" customWidth="1"/>
    <col min="8188" max="8189" width="4.08984375" style="3" customWidth="1"/>
    <col min="8190" max="8190" width="3.81640625" style="3" customWidth="1"/>
    <col min="8191" max="8191" width="4.453125" style="3" customWidth="1"/>
    <col min="8192" max="8192" width="22.1796875" style="3" customWidth="1"/>
    <col min="8193" max="8193" width="6.54296875" style="3" customWidth="1"/>
    <col min="8194" max="8194" width="6.90625" style="3" customWidth="1"/>
    <col min="8195" max="8195" width="8.90625" style="3" customWidth="1"/>
    <col min="8196" max="8196" width="14.453125" style="3" customWidth="1"/>
    <col min="8197" max="8197" width="10.90625" style="3"/>
    <col min="8198" max="8198" width="11.81640625" style="3" bestFit="1" customWidth="1"/>
    <col min="8199" max="8439" width="10.90625" style="3"/>
    <col min="8440" max="8440" width="48.08984375" style="3" customWidth="1"/>
    <col min="8441" max="8441" width="38.54296875" style="3" customWidth="1"/>
    <col min="8442" max="8442" width="30.90625" style="3" customWidth="1"/>
    <col min="8443" max="8443" width="16.90625" style="3" customWidth="1"/>
    <col min="8444" max="8445" width="4.08984375" style="3" customWidth="1"/>
    <col min="8446" max="8446" width="3.81640625" style="3" customWidth="1"/>
    <col min="8447" max="8447" width="4.453125" style="3" customWidth="1"/>
    <col min="8448" max="8448" width="22.1796875" style="3" customWidth="1"/>
    <col min="8449" max="8449" width="6.54296875" style="3" customWidth="1"/>
    <col min="8450" max="8450" width="6.90625" style="3" customWidth="1"/>
    <col min="8451" max="8451" width="8.90625" style="3" customWidth="1"/>
    <col min="8452" max="8452" width="14.453125" style="3" customWidth="1"/>
    <col min="8453" max="8453" width="10.90625" style="3"/>
    <col min="8454" max="8454" width="11.81640625" style="3" bestFit="1" customWidth="1"/>
    <col min="8455" max="8695" width="10.90625" style="3"/>
    <col min="8696" max="8696" width="48.08984375" style="3" customWidth="1"/>
    <col min="8697" max="8697" width="38.54296875" style="3" customWidth="1"/>
    <col min="8698" max="8698" width="30.90625" style="3" customWidth="1"/>
    <col min="8699" max="8699" width="16.90625" style="3" customWidth="1"/>
    <col min="8700" max="8701" width="4.08984375" style="3" customWidth="1"/>
    <col min="8702" max="8702" width="3.81640625" style="3" customWidth="1"/>
    <col min="8703" max="8703" width="4.453125" style="3" customWidth="1"/>
    <col min="8704" max="8704" width="22.1796875" style="3" customWidth="1"/>
    <col min="8705" max="8705" width="6.54296875" style="3" customWidth="1"/>
    <col min="8706" max="8706" width="6.90625" style="3" customWidth="1"/>
    <col min="8707" max="8707" width="8.90625" style="3" customWidth="1"/>
    <col min="8708" max="8708" width="14.453125" style="3" customWidth="1"/>
    <col min="8709" max="8709" width="10.90625" style="3"/>
    <col min="8710" max="8710" width="11.81640625" style="3" bestFit="1" customWidth="1"/>
    <col min="8711" max="8951" width="10.90625" style="3"/>
    <col min="8952" max="8952" width="48.08984375" style="3" customWidth="1"/>
    <col min="8953" max="8953" width="38.54296875" style="3" customWidth="1"/>
    <col min="8954" max="8954" width="30.90625" style="3" customWidth="1"/>
    <col min="8955" max="8955" width="16.90625" style="3" customWidth="1"/>
    <col min="8956" max="8957" width="4.08984375" style="3" customWidth="1"/>
    <col min="8958" max="8958" width="3.81640625" style="3" customWidth="1"/>
    <col min="8959" max="8959" width="4.453125" style="3" customWidth="1"/>
    <col min="8960" max="8960" width="22.1796875" style="3" customWidth="1"/>
    <col min="8961" max="8961" width="6.54296875" style="3" customWidth="1"/>
    <col min="8962" max="8962" width="6.90625" style="3" customWidth="1"/>
    <col min="8963" max="8963" width="8.90625" style="3" customWidth="1"/>
    <col min="8964" max="8964" width="14.453125" style="3" customWidth="1"/>
    <col min="8965" max="8965" width="10.90625" style="3"/>
    <col min="8966" max="8966" width="11.81640625" style="3" bestFit="1" customWidth="1"/>
    <col min="8967" max="9207" width="10.90625" style="3"/>
    <col min="9208" max="9208" width="48.08984375" style="3" customWidth="1"/>
    <col min="9209" max="9209" width="38.54296875" style="3" customWidth="1"/>
    <col min="9210" max="9210" width="30.90625" style="3" customWidth="1"/>
    <col min="9211" max="9211" width="16.90625" style="3" customWidth="1"/>
    <col min="9212" max="9213" width="4.08984375" style="3" customWidth="1"/>
    <col min="9214" max="9214" width="3.81640625" style="3" customWidth="1"/>
    <col min="9215" max="9215" width="4.453125" style="3" customWidth="1"/>
    <col min="9216" max="9216" width="22.1796875" style="3" customWidth="1"/>
    <col min="9217" max="9217" width="6.54296875" style="3" customWidth="1"/>
    <col min="9218" max="9218" width="6.90625" style="3" customWidth="1"/>
    <col min="9219" max="9219" width="8.90625" style="3" customWidth="1"/>
    <col min="9220" max="9220" width="14.453125" style="3" customWidth="1"/>
    <col min="9221" max="9221" width="10.90625" style="3"/>
    <col min="9222" max="9222" width="11.81640625" style="3" bestFit="1" customWidth="1"/>
    <col min="9223" max="9463" width="10.90625" style="3"/>
    <col min="9464" max="9464" width="48.08984375" style="3" customWidth="1"/>
    <col min="9465" max="9465" width="38.54296875" style="3" customWidth="1"/>
    <col min="9466" max="9466" width="30.90625" style="3" customWidth="1"/>
    <col min="9467" max="9467" width="16.90625" style="3" customWidth="1"/>
    <col min="9468" max="9469" width="4.08984375" style="3" customWidth="1"/>
    <col min="9470" max="9470" width="3.81640625" style="3" customWidth="1"/>
    <col min="9471" max="9471" width="4.453125" style="3" customWidth="1"/>
    <col min="9472" max="9472" width="22.1796875" style="3" customWidth="1"/>
    <col min="9473" max="9473" width="6.54296875" style="3" customWidth="1"/>
    <col min="9474" max="9474" width="6.90625" style="3" customWidth="1"/>
    <col min="9475" max="9475" width="8.90625" style="3" customWidth="1"/>
    <col min="9476" max="9476" width="14.453125" style="3" customWidth="1"/>
    <col min="9477" max="9477" width="10.90625" style="3"/>
    <col min="9478" max="9478" width="11.81640625" style="3" bestFit="1" customWidth="1"/>
    <col min="9479" max="9719" width="10.90625" style="3"/>
    <col min="9720" max="9720" width="48.08984375" style="3" customWidth="1"/>
    <col min="9721" max="9721" width="38.54296875" style="3" customWidth="1"/>
    <col min="9722" max="9722" width="30.90625" style="3" customWidth="1"/>
    <col min="9723" max="9723" width="16.90625" style="3" customWidth="1"/>
    <col min="9724" max="9725" width="4.08984375" style="3" customWidth="1"/>
    <col min="9726" max="9726" width="3.81640625" style="3" customWidth="1"/>
    <col min="9727" max="9727" width="4.453125" style="3" customWidth="1"/>
    <col min="9728" max="9728" width="22.1796875" style="3" customWidth="1"/>
    <col min="9729" max="9729" width="6.54296875" style="3" customWidth="1"/>
    <col min="9730" max="9730" width="6.90625" style="3" customWidth="1"/>
    <col min="9731" max="9731" width="8.90625" style="3" customWidth="1"/>
    <col min="9732" max="9732" width="14.453125" style="3" customWidth="1"/>
    <col min="9733" max="9733" width="10.90625" style="3"/>
    <col min="9734" max="9734" width="11.81640625" style="3" bestFit="1" customWidth="1"/>
    <col min="9735" max="9975" width="10.90625" style="3"/>
    <col min="9976" max="9976" width="48.08984375" style="3" customWidth="1"/>
    <col min="9977" max="9977" width="38.54296875" style="3" customWidth="1"/>
    <col min="9978" max="9978" width="30.90625" style="3" customWidth="1"/>
    <col min="9979" max="9979" width="16.90625" style="3" customWidth="1"/>
    <col min="9980" max="9981" width="4.08984375" style="3" customWidth="1"/>
    <col min="9982" max="9982" width="3.81640625" style="3" customWidth="1"/>
    <col min="9983" max="9983" width="4.453125" style="3" customWidth="1"/>
    <col min="9984" max="9984" width="22.1796875" style="3" customWidth="1"/>
    <col min="9985" max="9985" width="6.54296875" style="3" customWidth="1"/>
    <col min="9986" max="9986" width="6.90625" style="3" customWidth="1"/>
    <col min="9987" max="9987" width="8.90625" style="3" customWidth="1"/>
    <col min="9988" max="9988" width="14.453125" style="3" customWidth="1"/>
    <col min="9989" max="9989" width="10.90625" style="3"/>
    <col min="9990" max="9990" width="11.81640625" style="3" bestFit="1" customWidth="1"/>
    <col min="9991" max="10231" width="10.90625" style="3"/>
    <col min="10232" max="10232" width="48.08984375" style="3" customWidth="1"/>
    <col min="10233" max="10233" width="38.54296875" style="3" customWidth="1"/>
    <col min="10234" max="10234" width="30.90625" style="3" customWidth="1"/>
    <col min="10235" max="10235" width="16.90625" style="3" customWidth="1"/>
    <col min="10236" max="10237" width="4.08984375" style="3" customWidth="1"/>
    <col min="10238" max="10238" width="3.81640625" style="3" customWidth="1"/>
    <col min="10239" max="10239" width="4.453125" style="3" customWidth="1"/>
    <col min="10240" max="10240" width="22.1796875" style="3" customWidth="1"/>
    <col min="10241" max="10241" width="6.54296875" style="3" customWidth="1"/>
    <col min="10242" max="10242" width="6.90625" style="3" customWidth="1"/>
    <col min="10243" max="10243" width="8.90625" style="3" customWidth="1"/>
    <col min="10244" max="10244" width="14.453125" style="3" customWidth="1"/>
    <col min="10245" max="10245" width="10.90625" style="3"/>
    <col min="10246" max="10246" width="11.81640625" style="3" bestFit="1" customWidth="1"/>
    <col min="10247" max="10487" width="10.90625" style="3"/>
    <col min="10488" max="10488" width="48.08984375" style="3" customWidth="1"/>
    <col min="10489" max="10489" width="38.54296875" style="3" customWidth="1"/>
    <col min="10490" max="10490" width="30.90625" style="3" customWidth="1"/>
    <col min="10491" max="10491" width="16.90625" style="3" customWidth="1"/>
    <col min="10492" max="10493" width="4.08984375" style="3" customWidth="1"/>
    <col min="10494" max="10494" width="3.81640625" style="3" customWidth="1"/>
    <col min="10495" max="10495" width="4.453125" style="3" customWidth="1"/>
    <col min="10496" max="10496" width="22.1796875" style="3" customWidth="1"/>
    <col min="10497" max="10497" width="6.54296875" style="3" customWidth="1"/>
    <col min="10498" max="10498" width="6.90625" style="3" customWidth="1"/>
    <col min="10499" max="10499" width="8.90625" style="3" customWidth="1"/>
    <col min="10500" max="10500" width="14.453125" style="3" customWidth="1"/>
    <col min="10501" max="10501" width="10.90625" style="3"/>
    <col min="10502" max="10502" width="11.81640625" style="3" bestFit="1" customWidth="1"/>
    <col min="10503" max="10743" width="10.90625" style="3"/>
    <col min="10744" max="10744" width="48.08984375" style="3" customWidth="1"/>
    <col min="10745" max="10745" width="38.54296875" style="3" customWidth="1"/>
    <col min="10746" max="10746" width="30.90625" style="3" customWidth="1"/>
    <col min="10747" max="10747" width="16.90625" style="3" customWidth="1"/>
    <col min="10748" max="10749" width="4.08984375" style="3" customWidth="1"/>
    <col min="10750" max="10750" width="3.81640625" style="3" customWidth="1"/>
    <col min="10751" max="10751" width="4.453125" style="3" customWidth="1"/>
    <col min="10752" max="10752" width="22.1796875" style="3" customWidth="1"/>
    <col min="10753" max="10753" width="6.54296875" style="3" customWidth="1"/>
    <col min="10754" max="10754" width="6.90625" style="3" customWidth="1"/>
    <col min="10755" max="10755" width="8.90625" style="3" customWidth="1"/>
    <col min="10756" max="10756" width="14.453125" style="3" customWidth="1"/>
    <col min="10757" max="10757" width="10.90625" style="3"/>
    <col min="10758" max="10758" width="11.81640625" style="3" bestFit="1" customWidth="1"/>
    <col min="10759" max="10999" width="10.90625" style="3"/>
    <col min="11000" max="11000" width="48.08984375" style="3" customWidth="1"/>
    <col min="11001" max="11001" width="38.54296875" style="3" customWidth="1"/>
    <col min="11002" max="11002" width="30.90625" style="3" customWidth="1"/>
    <col min="11003" max="11003" width="16.90625" style="3" customWidth="1"/>
    <col min="11004" max="11005" width="4.08984375" style="3" customWidth="1"/>
    <col min="11006" max="11006" width="3.81640625" style="3" customWidth="1"/>
    <col min="11007" max="11007" width="4.453125" style="3" customWidth="1"/>
    <col min="11008" max="11008" width="22.1796875" style="3" customWidth="1"/>
    <col min="11009" max="11009" width="6.54296875" style="3" customWidth="1"/>
    <col min="11010" max="11010" width="6.90625" style="3" customWidth="1"/>
    <col min="11011" max="11011" width="8.90625" style="3" customWidth="1"/>
    <col min="11012" max="11012" width="14.453125" style="3" customWidth="1"/>
    <col min="11013" max="11013" width="10.90625" style="3"/>
    <col min="11014" max="11014" width="11.81640625" style="3" bestFit="1" customWidth="1"/>
    <col min="11015" max="11255" width="10.90625" style="3"/>
    <col min="11256" max="11256" width="48.08984375" style="3" customWidth="1"/>
    <col min="11257" max="11257" width="38.54296875" style="3" customWidth="1"/>
    <col min="11258" max="11258" width="30.90625" style="3" customWidth="1"/>
    <col min="11259" max="11259" width="16.90625" style="3" customWidth="1"/>
    <col min="11260" max="11261" width="4.08984375" style="3" customWidth="1"/>
    <col min="11262" max="11262" width="3.81640625" style="3" customWidth="1"/>
    <col min="11263" max="11263" width="4.453125" style="3" customWidth="1"/>
    <col min="11264" max="11264" width="22.1796875" style="3" customWidth="1"/>
    <col min="11265" max="11265" width="6.54296875" style="3" customWidth="1"/>
    <col min="11266" max="11266" width="6.90625" style="3" customWidth="1"/>
    <col min="11267" max="11267" width="8.90625" style="3" customWidth="1"/>
    <col min="11268" max="11268" width="14.453125" style="3" customWidth="1"/>
    <col min="11269" max="11269" width="10.90625" style="3"/>
    <col min="11270" max="11270" width="11.81640625" style="3" bestFit="1" customWidth="1"/>
    <col min="11271" max="11511" width="10.90625" style="3"/>
    <col min="11512" max="11512" width="48.08984375" style="3" customWidth="1"/>
    <col min="11513" max="11513" width="38.54296875" style="3" customWidth="1"/>
    <col min="11514" max="11514" width="30.90625" style="3" customWidth="1"/>
    <col min="11515" max="11515" width="16.90625" style="3" customWidth="1"/>
    <col min="11516" max="11517" width="4.08984375" style="3" customWidth="1"/>
    <col min="11518" max="11518" width="3.81640625" style="3" customWidth="1"/>
    <col min="11519" max="11519" width="4.453125" style="3" customWidth="1"/>
    <col min="11520" max="11520" width="22.1796875" style="3" customWidth="1"/>
    <col min="11521" max="11521" width="6.54296875" style="3" customWidth="1"/>
    <col min="11522" max="11522" width="6.90625" style="3" customWidth="1"/>
    <col min="11523" max="11523" width="8.90625" style="3" customWidth="1"/>
    <col min="11524" max="11524" width="14.453125" style="3" customWidth="1"/>
    <col min="11525" max="11525" width="10.90625" style="3"/>
    <col min="11526" max="11526" width="11.81640625" style="3" bestFit="1" customWidth="1"/>
    <col min="11527" max="11767" width="10.90625" style="3"/>
    <col min="11768" max="11768" width="48.08984375" style="3" customWidth="1"/>
    <col min="11769" max="11769" width="38.54296875" style="3" customWidth="1"/>
    <col min="11770" max="11770" width="30.90625" style="3" customWidth="1"/>
    <col min="11771" max="11771" width="16.90625" style="3" customWidth="1"/>
    <col min="11772" max="11773" width="4.08984375" style="3" customWidth="1"/>
    <col min="11774" max="11774" width="3.81640625" style="3" customWidth="1"/>
    <col min="11775" max="11775" width="4.453125" style="3" customWidth="1"/>
    <col min="11776" max="11776" width="22.1796875" style="3" customWidth="1"/>
    <col min="11777" max="11777" width="6.54296875" style="3" customWidth="1"/>
    <col min="11778" max="11778" width="6.90625" style="3" customWidth="1"/>
    <col min="11779" max="11779" width="8.90625" style="3" customWidth="1"/>
    <col min="11780" max="11780" width="14.453125" style="3" customWidth="1"/>
    <col min="11781" max="11781" width="10.90625" style="3"/>
    <col min="11782" max="11782" width="11.81640625" style="3" bestFit="1" customWidth="1"/>
    <col min="11783" max="12023" width="10.90625" style="3"/>
    <col min="12024" max="12024" width="48.08984375" style="3" customWidth="1"/>
    <col min="12025" max="12025" width="38.54296875" style="3" customWidth="1"/>
    <col min="12026" max="12026" width="30.90625" style="3" customWidth="1"/>
    <col min="12027" max="12027" width="16.90625" style="3" customWidth="1"/>
    <col min="12028" max="12029" width="4.08984375" style="3" customWidth="1"/>
    <col min="12030" max="12030" width="3.81640625" style="3" customWidth="1"/>
    <col min="12031" max="12031" width="4.453125" style="3" customWidth="1"/>
    <col min="12032" max="12032" width="22.1796875" style="3" customWidth="1"/>
    <col min="12033" max="12033" width="6.54296875" style="3" customWidth="1"/>
    <col min="12034" max="12034" width="6.90625" style="3" customWidth="1"/>
    <col min="12035" max="12035" width="8.90625" style="3" customWidth="1"/>
    <col min="12036" max="12036" width="14.453125" style="3" customWidth="1"/>
    <col min="12037" max="12037" width="10.90625" style="3"/>
    <col min="12038" max="12038" width="11.81640625" style="3" bestFit="1" customWidth="1"/>
    <col min="12039" max="12279" width="10.90625" style="3"/>
    <col min="12280" max="12280" width="48.08984375" style="3" customWidth="1"/>
    <col min="12281" max="12281" width="38.54296875" style="3" customWidth="1"/>
    <col min="12282" max="12282" width="30.90625" style="3" customWidth="1"/>
    <col min="12283" max="12283" width="16.90625" style="3" customWidth="1"/>
    <col min="12284" max="12285" width="4.08984375" style="3" customWidth="1"/>
    <col min="12286" max="12286" width="3.81640625" style="3" customWidth="1"/>
    <col min="12287" max="12287" width="4.453125" style="3" customWidth="1"/>
    <col min="12288" max="12288" width="22.1796875" style="3" customWidth="1"/>
    <col min="12289" max="12289" width="6.54296875" style="3" customWidth="1"/>
    <col min="12290" max="12290" width="6.90625" style="3" customWidth="1"/>
    <col min="12291" max="12291" width="8.90625" style="3" customWidth="1"/>
    <col min="12292" max="12292" width="14.453125" style="3" customWidth="1"/>
    <col min="12293" max="12293" width="10.90625" style="3"/>
    <col min="12294" max="12294" width="11.81640625" style="3" bestFit="1" customWidth="1"/>
    <col min="12295" max="12535" width="10.90625" style="3"/>
    <col min="12536" max="12536" width="48.08984375" style="3" customWidth="1"/>
    <col min="12537" max="12537" width="38.54296875" style="3" customWidth="1"/>
    <col min="12538" max="12538" width="30.90625" style="3" customWidth="1"/>
    <col min="12539" max="12539" width="16.90625" style="3" customWidth="1"/>
    <col min="12540" max="12541" width="4.08984375" style="3" customWidth="1"/>
    <col min="12542" max="12542" width="3.81640625" style="3" customWidth="1"/>
    <col min="12543" max="12543" width="4.453125" style="3" customWidth="1"/>
    <col min="12544" max="12544" width="22.1796875" style="3" customWidth="1"/>
    <col min="12545" max="12545" width="6.54296875" style="3" customWidth="1"/>
    <col min="12546" max="12546" width="6.90625" style="3" customWidth="1"/>
    <col min="12547" max="12547" width="8.90625" style="3" customWidth="1"/>
    <col min="12548" max="12548" width="14.453125" style="3" customWidth="1"/>
    <col min="12549" max="12549" width="10.90625" style="3"/>
    <col min="12550" max="12550" width="11.81640625" style="3" bestFit="1" customWidth="1"/>
    <col min="12551" max="12791" width="10.90625" style="3"/>
    <col min="12792" max="12792" width="48.08984375" style="3" customWidth="1"/>
    <col min="12793" max="12793" width="38.54296875" style="3" customWidth="1"/>
    <col min="12794" max="12794" width="30.90625" style="3" customWidth="1"/>
    <col min="12795" max="12795" width="16.90625" style="3" customWidth="1"/>
    <col min="12796" max="12797" width="4.08984375" style="3" customWidth="1"/>
    <col min="12798" max="12798" width="3.81640625" style="3" customWidth="1"/>
    <col min="12799" max="12799" width="4.453125" style="3" customWidth="1"/>
    <col min="12800" max="12800" width="22.1796875" style="3" customWidth="1"/>
    <col min="12801" max="12801" width="6.54296875" style="3" customWidth="1"/>
    <col min="12802" max="12802" width="6.90625" style="3" customWidth="1"/>
    <col min="12803" max="12803" width="8.90625" style="3" customWidth="1"/>
    <col min="12804" max="12804" width="14.453125" style="3" customWidth="1"/>
    <col min="12805" max="12805" width="10.90625" style="3"/>
    <col min="12806" max="12806" width="11.81640625" style="3" bestFit="1" customWidth="1"/>
    <col min="12807" max="13047" width="10.90625" style="3"/>
    <col min="13048" max="13048" width="48.08984375" style="3" customWidth="1"/>
    <col min="13049" max="13049" width="38.54296875" style="3" customWidth="1"/>
    <col min="13050" max="13050" width="30.90625" style="3" customWidth="1"/>
    <col min="13051" max="13051" width="16.90625" style="3" customWidth="1"/>
    <col min="13052" max="13053" width="4.08984375" style="3" customWidth="1"/>
    <col min="13054" max="13054" width="3.81640625" style="3" customWidth="1"/>
    <col min="13055" max="13055" width="4.453125" style="3" customWidth="1"/>
    <col min="13056" max="13056" width="22.1796875" style="3" customWidth="1"/>
    <col min="13057" max="13057" width="6.54296875" style="3" customWidth="1"/>
    <col min="13058" max="13058" width="6.90625" style="3" customWidth="1"/>
    <col min="13059" max="13059" width="8.90625" style="3" customWidth="1"/>
    <col min="13060" max="13060" width="14.453125" style="3" customWidth="1"/>
    <col min="13061" max="13061" width="10.90625" style="3"/>
    <col min="13062" max="13062" width="11.81640625" style="3" bestFit="1" customWidth="1"/>
    <col min="13063" max="13303" width="10.90625" style="3"/>
    <col min="13304" max="13304" width="48.08984375" style="3" customWidth="1"/>
    <col min="13305" max="13305" width="38.54296875" style="3" customWidth="1"/>
    <col min="13306" max="13306" width="30.90625" style="3" customWidth="1"/>
    <col min="13307" max="13307" width="16.90625" style="3" customWidth="1"/>
    <col min="13308" max="13309" width="4.08984375" style="3" customWidth="1"/>
    <col min="13310" max="13310" width="3.81640625" style="3" customWidth="1"/>
    <col min="13311" max="13311" width="4.453125" style="3" customWidth="1"/>
    <col min="13312" max="13312" width="22.1796875" style="3" customWidth="1"/>
    <col min="13313" max="13313" width="6.54296875" style="3" customWidth="1"/>
    <col min="13314" max="13314" width="6.90625" style="3" customWidth="1"/>
    <col min="13315" max="13315" width="8.90625" style="3" customWidth="1"/>
    <col min="13316" max="13316" width="14.453125" style="3" customWidth="1"/>
    <col min="13317" max="13317" width="10.90625" style="3"/>
    <col min="13318" max="13318" width="11.81640625" style="3" bestFit="1" customWidth="1"/>
    <col min="13319" max="13559" width="10.90625" style="3"/>
    <col min="13560" max="13560" width="48.08984375" style="3" customWidth="1"/>
    <col min="13561" max="13561" width="38.54296875" style="3" customWidth="1"/>
    <col min="13562" max="13562" width="30.90625" style="3" customWidth="1"/>
    <col min="13563" max="13563" width="16.90625" style="3" customWidth="1"/>
    <col min="13564" max="13565" width="4.08984375" style="3" customWidth="1"/>
    <col min="13566" max="13566" width="3.81640625" style="3" customWidth="1"/>
    <col min="13567" max="13567" width="4.453125" style="3" customWidth="1"/>
    <col min="13568" max="13568" width="22.1796875" style="3" customWidth="1"/>
    <col min="13569" max="13569" width="6.54296875" style="3" customWidth="1"/>
    <col min="13570" max="13570" width="6.90625" style="3" customWidth="1"/>
    <col min="13571" max="13571" width="8.90625" style="3" customWidth="1"/>
    <col min="13572" max="13572" width="14.453125" style="3" customWidth="1"/>
    <col min="13573" max="13573" width="10.90625" style="3"/>
    <col min="13574" max="13574" width="11.81640625" style="3" bestFit="1" customWidth="1"/>
    <col min="13575" max="13815" width="10.90625" style="3"/>
    <col min="13816" max="13816" width="48.08984375" style="3" customWidth="1"/>
    <col min="13817" max="13817" width="38.54296875" style="3" customWidth="1"/>
    <col min="13818" max="13818" width="30.90625" style="3" customWidth="1"/>
    <col min="13819" max="13819" width="16.90625" style="3" customWidth="1"/>
    <col min="13820" max="13821" width="4.08984375" style="3" customWidth="1"/>
    <col min="13822" max="13822" width="3.81640625" style="3" customWidth="1"/>
    <col min="13823" max="13823" width="4.453125" style="3" customWidth="1"/>
    <col min="13824" max="13824" width="22.1796875" style="3" customWidth="1"/>
    <col min="13825" max="13825" width="6.54296875" style="3" customWidth="1"/>
    <col min="13826" max="13826" width="6.90625" style="3" customWidth="1"/>
    <col min="13827" max="13827" width="8.90625" style="3" customWidth="1"/>
    <col min="13828" max="13828" width="14.453125" style="3" customWidth="1"/>
    <col min="13829" max="13829" width="10.90625" style="3"/>
    <col min="13830" max="13830" width="11.81640625" style="3" bestFit="1" customWidth="1"/>
    <col min="13831" max="14071" width="10.90625" style="3"/>
    <col min="14072" max="14072" width="48.08984375" style="3" customWidth="1"/>
    <col min="14073" max="14073" width="38.54296875" style="3" customWidth="1"/>
    <col min="14074" max="14074" width="30.90625" style="3" customWidth="1"/>
    <col min="14075" max="14075" width="16.90625" style="3" customWidth="1"/>
    <col min="14076" max="14077" width="4.08984375" style="3" customWidth="1"/>
    <col min="14078" max="14078" width="3.81640625" style="3" customWidth="1"/>
    <col min="14079" max="14079" width="4.453125" style="3" customWidth="1"/>
    <col min="14080" max="14080" width="22.1796875" style="3" customWidth="1"/>
    <col min="14081" max="14081" width="6.54296875" style="3" customWidth="1"/>
    <col min="14082" max="14082" width="6.90625" style="3" customWidth="1"/>
    <col min="14083" max="14083" width="8.90625" style="3" customWidth="1"/>
    <col min="14084" max="14084" width="14.453125" style="3" customWidth="1"/>
    <col min="14085" max="14085" width="10.90625" style="3"/>
    <col min="14086" max="14086" width="11.81640625" style="3" bestFit="1" customWidth="1"/>
    <col min="14087" max="14327" width="10.90625" style="3"/>
    <col min="14328" max="14328" width="48.08984375" style="3" customWidth="1"/>
    <col min="14329" max="14329" width="38.54296875" style="3" customWidth="1"/>
    <col min="14330" max="14330" width="30.90625" style="3" customWidth="1"/>
    <col min="14331" max="14331" width="16.90625" style="3" customWidth="1"/>
    <col min="14332" max="14333" width="4.08984375" style="3" customWidth="1"/>
    <col min="14334" max="14334" width="3.81640625" style="3" customWidth="1"/>
    <col min="14335" max="14335" width="4.453125" style="3" customWidth="1"/>
    <col min="14336" max="14336" width="22.1796875" style="3" customWidth="1"/>
    <col min="14337" max="14337" width="6.54296875" style="3" customWidth="1"/>
    <col min="14338" max="14338" width="6.90625" style="3" customWidth="1"/>
    <col min="14339" max="14339" width="8.90625" style="3" customWidth="1"/>
    <col min="14340" max="14340" width="14.453125" style="3" customWidth="1"/>
    <col min="14341" max="14341" width="10.90625" style="3"/>
    <col min="14342" max="14342" width="11.81640625" style="3" bestFit="1" customWidth="1"/>
    <col min="14343" max="14583" width="10.90625" style="3"/>
    <col min="14584" max="14584" width="48.08984375" style="3" customWidth="1"/>
    <col min="14585" max="14585" width="38.54296875" style="3" customWidth="1"/>
    <col min="14586" max="14586" width="30.90625" style="3" customWidth="1"/>
    <col min="14587" max="14587" width="16.90625" style="3" customWidth="1"/>
    <col min="14588" max="14589" width="4.08984375" style="3" customWidth="1"/>
    <col min="14590" max="14590" width="3.81640625" style="3" customWidth="1"/>
    <col min="14591" max="14591" width="4.453125" style="3" customWidth="1"/>
    <col min="14592" max="14592" width="22.1796875" style="3" customWidth="1"/>
    <col min="14593" max="14593" width="6.54296875" style="3" customWidth="1"/>
    <col min="14594" max="14594" width="6.90625" style="3" customWidth="1"/>
    <col min="14595" max="14595" width="8.90625" style="3" customWidth="1"/>
    <col min="14596" max="14596" width="14.453125" style="3" customWidth="1"/>
    <col min="14597" max="14597" width="10.90625" style="3"/>
    <col min="14598" max="14598" width="11.81640625" style="3" bestFit="1" customWidth="1"/>
    <col min="14599" max="14839" width="10.90625" style="3"/>
    <col min="14840" max="14840" width="48.08984375" style="3" customWidth="1"/>
    <col min="14841" max="14841" width="38.54296875" style="3" customWidth="1"/>
    <col min="14842" max="14842" width="30.90625" style="3" customWidth="1"/>
    <col min="14843" max="14843" width="16.90625" style="3" customWidth="1"/>
    <col min="14844" max="14845" width="4.08984375" style="3" customWidth="1"/>
    <col min="14846" max="14846" width="3.81640625" style="3" customWidth="1"/>
    <col min="14847" max="14847" width="4.453125" style="3" customWidth="1"/>
    <col min="14848" max="14848" width="22.1796875" style="3" customWidth="1"/>
    <col min="14849" max="14849" width="6.54296875" style="3" customWidth="1"/>
    <col min="14850" max="14850" width="6.90625" style="3" customWidth="1"/>
    <col min="14851" max="14851" width="8.90625" style="3" customWidth="1"/>
    <col min="14852" max="14852" width="14.453125" style="3" customWidth="1"/>
    <col min="14853" max="14853" width="10.90625" style="3"/>
    <col min="14854" max="14854" width="11.81640625" style="3" bestFit="1" customWidth="1"/>
    <col min="14855" max="15095" width="10.90625" style="3"/>
    <col min="15096" max="15096" width="48.08984375" style="3" customWidth="1"/>
    <col min="15097" max="15097" width="38.54296875" style="3" customWidth="1"/>
    <col min="15098" max="15098" width="30.90625" style="3" customWidth="1"/>
    <col min="15099" max="15099" width="16.90625" style="3" customWidth="1"/>
    <col min="15100" max="15101" width="4.08984375" style="3" customWidth="1"/>
    <col min="15102" max="15102" width="3.81640625" style="3" customWidth="1"/>
    <col min="15103" max="15103" width="4.453125" style="3" customWidth="1"/>
    <col min="15104" max="15104" width="22.1796875" style="3" customWidth="1"/>
    <col min="15105" max="15105" width="6.54296875" style="3" customWidth="1"/>
    <col min="15106" max="15106" width="6.90625" style="3" customWidth="1"/>
    <col min="15107" max="15107" width="8.90625" style="3" customWidth="1"/>
    <col min="15108" max="15108" width="14.453125" style="3" customWidth="1"/>
    <col min="15109" max="15109" width="10.90625" style="3"/>
    <col min="15110" max="15110" width="11.81640625" style="3" bestFit="1" customWidth="1"/>
    <col min="15111" max="15351" width="10.90625" style="3"/>
    <col min="15352" max="15352" width="48.08984375" style="3" customWidth="1"/>
    <col min="15353" max="15353" width="38.54296875" style="3" customWidth="1"/>
    <col min="15354" max="15354" width="30.90625" style="3" customWidth="1"/>
    <col min="15355" max="15355" width="16.90625" style="3" customWidth="1"/>
    <col min="15356" max="15357" width="4.08984375" style="3" customWidth="1"/>
    <col min="15358" max="15358" width="3.81640625" style="3" customWidth="1"/>
    <col min="15359" max="15359" width="4.453125" style="3" customWidth="1"/>
    <col min="15360" max="15360" width="22.1796875" style="3" customWidth="1"/>
    <col min="15361" max="15361" width="6.54296875" style="3" customWidth="1"/>
    <col min="15362" max="15362" width="6.90625" style="3" customWidth="1"/>
    <col min="15363" max="15363" width="8.90625" style="3" customWidth="1"/>
    <col min="15364" max="15364" width="14.453125" style="3" customWidth="1"/>
    <col min="15365" max="15365" width="10.90625" style="3"/>
    <col min="15366" max="15366" width="11.81640625" style="3" bestFit="1" customWidth="1"/>
    <col min="15367" max="15607" width="10.90625" style="3"/>
    <col min="15608" max="15608" width="48.08984375" style="3" customWidth="1"/>
    <col min="15609" max="15609" width="38.54296875" style="3" customWidth="1"/>
    <col min="15610" max="15610" width="30.90625" style="3" customWidth="1"/>
    <col min="15611" max="15611" width="16.90625" style="3" customWidth="1"/>
    <col min="15612" max="15613" width="4.08984375" style="3" customWidth="1"/>
    <col min="15614" max="15614" width="3.81640625" style="3" customWidth="1"/>
    <col min="15615" max="15615" width="4.453125" style="3" customWidth="1"/>
    <col min="15616" max="15616" width="22.1796875" style="3" customWidth="1"/>
    <col min="15617" max="15617" width="6.54296875" style="3" customWidth="1"/>
    <col min="15618" max="15618" width="6.90625" style="3" customWidth="1"/>
    <col min="15619" max="15619" width="8.90625" style="3" customWidth="1"/>
    <col min="15620" max="15620" width="14.453125" style="3" customWidth="1"/>
    <col min="15621" max="15621" width="10.90625" style="3"/>
    <col min="15622" max="15622" width="11.81640625" style="3" bestFit="1" customWidth="1"/>
    <col min="15623" max="15863" width="10.90625" style="3"/>
    <col min="15864" max="15864" width="48.08984375" style="3" customWidth="1"/>
    <col min="15865" max="15865" width="38.54296875" style="3" customWidth="1"/>
    <col min="15866" max="15866" width="30.90625" style="3" customWidth="1"/>
    <col min="15867" max="15867" width="16.90625" style="3" customWidth="1"/>
    <col min="15868" max="15869" width="4.08984375" style="3" customWidth="1"/>
    <col min="15870" max="15870" width="3.81640625" style="3" customWidth="1"/>
    <col min="15871" max="15871" width="4.453125" style="3" customWidth="1"/>
    <col min="15872" max="15872" width="22.1796875" style="3" customWidth="1"/>
    <col min="15873" max="15873" width="6.54296875" style="3" customWidth="1"/>
    <col min="15874" max="15874" width="6.90625" style="3" customWidth="1"/>
    <col min="15875" max="15875" width="8.90625" style="3" customWidth="1"/>
    <col min="15876" max="15876" width="14.453125" style="3" customWidth="1"/>
    <col min="15877" max="15877" width="10.90625" style="3"/>
    <col min="15878" max="15878" width="11.81640625" style="3" bestFit="1" customWidth="1"/>
    <col min="15879" max="16119" width="10.90625" style="3"/>
    <col min="16120" max="16120" width="48.08984375" style="3" customWidth="1"/>
    <col min="16121" max="16121" width="38.54296875" style="3" customWidth="1"/>
    <col min="16122" max="16122" width="30.90625" style="3" customWidth="1"/>
    <col min="16123" max="16123" width="16.90625" style="3" customWidth="1"/>
    <col min="16124" max="16125" width="4.08984375" style="3" customWidth="1"/>
    <col min="16126" max="16126" width="3.81640625" style="3" customWidth="1"/>
    <col min="16127" max="16127" width="4.453125" style="3" customWidth="1"/>
    <col min="16128" max="16128" width="22.1796875" style="3" customWidth="1"/>
    <col min="16129" max="16129" width="6.54296875" style="3" customWidth="1"/>
    <col min="16130" max="16130" width="6.90625" style="3" customWidth="1"/>
    <col min="16131" max="16131" width="8.90625" style="3" customWidth="1"/>
    <col min="16132" max="16132" width="14.453125" style="3" customWidth="1"/>
    <col min="16133" max="16133" width="10.90625" style="3"/>
    <col min="16134" max="16134" width="11.81640625" style="3" bestFit="1" customWidth="1"/>
    <col min="16135" max="16384" width="10.90625" style="3"/>
  </cols>
  <sheetData>
    <row r="1" spans="1:15" ht="7.25" customHeight="1">
      <c r="A1" s="2"/>
      <c r="B1" s="2"/>
      <c r="C1" s="2"/>
      <c r="D1" s="2"/>
      <c r="E1" s="2"/>
      <c r="F1" s="2"/>
      <c r="G1" s="2"/>
      <c r="H1" s="2"/>
    </row>
    <row r="2" spans="1:15">
      <c r="A2" s="4"/>
      <c r="B2" s="4"/>
      <c r="C2" s="4"/>
      <c r="D2" s="4"/>
      <c r="E2" s="4"/>
      <c r="F2" s="4"/>
      <c r="G2" s="4"/>
      <c r="H2" s="4"/>
    </row>
    <row r="3" spans="1:15" ht="16.25" customHeight="1">
      <c r="A3" s="310" t="s">
        <v>293</v>
      </c>
      <c r="B3" s="127"/>
      <c r="C3" s="128"/>
      <c r="D3" s="128"/>
      <c r="E3" s="5"/>
      <c r="F3" s="5"/>
      <c r="G3" s="5"/>
      <c r="H3" s="5"/>
    </row>
    <row r="4" spans="1:15" ht="15.65" customHeight="1">
      <c r="A4" s="310" t="s">
        <v>2</v>
      </c>
      <c r="B4" s="127"/>
      <c r="C4" s="128"/>
      <c r="D4" s="128"/>
      <c r="E4" s="5"/>
      <c r="F4" s="5"/>
      <c r="G4" s="5"/>
      <c r="H4" s="5"/>
    </row>
    <row r="5" spans="1:15" ht="17.399999999999999" customHeight="1">
      <c r="A5" s="310" t="s">
        <v>3</v>
      </c>
      <c r="B5" s="127"/>
      <c r="C5" s="128"/>
      <c r="D5" s="128"/>
      <c r="E5" s="5"/>
      <c r="F5" s="5"/>
      <c r="G5" s="5"/>
      <c r="H5" s="5"/>
    </row>
    <row r="6" spans="1:15" ht="18.649999999999999" customHeight="1">
      <c r="A6" s="289" t="s">
        <v>4</v>
      </c>
      <c r="B6" s="127"/>
      <c r="C6" s="6"/>
      <c r="D6" s="6"/>
      <c r="E6" s="6"/>
      <c r="F6" s="6"/>
      <c r="G6" s="6"/>
      <c r="H6" s="6"/>
    </row>
    <row r="7" spans="1:15" ht="21" customHeight="1">
      <c r="A7" s="6" t="s">
        <v>5</v>
      </c>
      <c r="B7" s="6"/>
      <c r="C7" s="6"/>
      <c r="D7" s="6"/>
      <c r="E7" s="6"/>
      <c r="F7" s="6"/>
      <c r="G7" s="6"/>
      <c r="H7" s="6"/>
      <c r="L7" s="126"/>
      <c r="M7" s="118"/>
    </row>
    <row r="8" spans="1:15" ht="21.65" customHeight="1">
      <c r="A8" s="382" t="s">
        <v>6</v>
      </c>
      <c r="B8" s="382" t="s">
        <v>7</v>
      </c>
      <c r="C8" s="497" t="s">
        <v>0</v>
      </c>
      <c r="D8" s="494" t="s">
        <v>280</v>
      </c>
      <c r="E8" s="496" t="s">
        <v>281</v>
      </c>
      <c r="F8" s="494" t="s">
        <v>8</v>
      </c>
      <c r="G8" s="494" t="s">
        <v>199</v>
      </c>
      <c r="H8" s="494" t="s">
        <v>197</v>
      </c>
      <c r="I8" s="495" t="s">
        <v>9</v>
      </c>
      <c r="J8" s="495"/>
      <c r="K8" s="495"/>
      <c r="L8" s="486" t="s">
        <v>203</v>
      </c>
      <c r="M8" s="118"/>
    </row>
    <row r="9" spans="1:15" ht="26" customHeight="1">
      <c r="A9" s="382" t="s">
        <v>10</v>
      </c>
      <c r="B9" s="382" t="s">
        <v>11</v>
      </c>
      <c r="C9" s="498"/>
      <c r="D9" s="494"/>
      <c r="E9" s="496"/>
      <c r="F9" s="494"/>
      <c r="G9" s="494"/>
      <c r="H9" s="494"/>
      <c r="I9" s="125" t="s">
        <v>198</v>
      </c>
      <c r="J9" s="125" t="s">
        <v>63</v>
      </c>
      <c r="K9" s="125" t="s">
        <v>64</v>
      </c>
      <c r="L9" s="486"/>
      <c r="M9" s="118"/>
    </row>
    <row r="10" spans="1:15" ht="24" customHeight="1">
      <c r="A10" s="487"/>
      <c r="B10" s="487"/>
      <c r="C10" s="487"/>
      <c r="D10" s="487"/>
      <c r="E10" s="487"/>
      <c r="F10" s="487"/>
      <c r="G10" s="487"/>
      <c r="H10" s="487"/>
      <c r="I10" s="487"/>
      <c r="J10" s="487"/>
      <c r="K10" s="487"/>
      <c r="L10" s="276"/>
      <c r="M10" s="118"/>
    </row>
    <row r="11" spans="1:15" ht="34.5" customHeight="1">
      <c r="A11" s="488" t="s">
        <v>12</v>
      </c>
      <c r="B11" s="488"/>
      <c r="C11" s="488"/>
      <c r="D11" s="488"/>
      <c r="E11" s="488"/>
      <c r="F11" s="488"/>
      <c r="G11" s="488"/>
      <c r="H11" s="488"/>
      <c r="I11" s="488"/>
      <c r="J11" s="488"/>
      <c r="K11" s="488"/>
      <c r="L11" s="276"/>
      <c r="M11" s="118"/>
    </row>
    <row r="12" spans="1:15" ht="32.5" customHeight="1">
      <c r="A12" s="489" t="s">
        <v>13</v>
      </c>
      <c r="B12" s="489"/>
      <c r="C12" s="489"/>
      <c r="D12" s="489"/>
      <c r="E12" s="489"/>
      <c r="F12" s="489"/>
      <c r="G12" s="489"/>
      <c r="H12" s="489"/>
      <c r="I12" s="489"/>
      <c r="J12" s="489"/>
      <c r="K12" s="489"/>
      <c r="L12" s="276"/>
      <c r="M12" s="118"/>
    </row>
    <row r="13" spans="1:15" ht="28.25" customHeight="1">
      <c r="A13" s="493" t="s">
        <v>14</v>
      </c>
      <c r="B13" s="493"/>
      <c r="C13" s="288" t="s">
        <v>215</v>
      </c>
      <c r="D13" s="281">
        <v>1685</v>
      </c>
      <c r="E13" s="120">
        <v>715</v>
      </c>
      <c r="F13" s="281">
        <f t="shared" ref="F13:F21" si="0">+D13-E13</f>
        <v>970</v>
      </c>
      <c r="G13" s="280">
        <f t="shared" ref="G13:G21" si="1">E13/D13</f>
        <v>0.42433234421364985</v>
      </c>
      <c r="H13" s="281"/>
      <c r="I13" s="7" t="s">
        <v>16</v>
      </c>
      <c r="J13" s="8" t="s">
        <v>17</v>
      </c>
      <c r="K13" s="7" t="s">
        <v>216</v>
      </c>
      <c r="L13" s="276" t="s">
        <v>201</v>
      </c>
      <c r="M13" s="118"/>
      <c r="N13" s="307" t="s">
        <v>201</v>
      </c>
      <c r="O13" s="112">
        <f>+E13+E14+E15+E16+E18+E21</f>
        <v>15622</v>
      </c>
    </row>
    <row r="14" spans="1:15" ht="36" customHeight="1">
      <c r="A14" s="493"/>
      <c r="B14" s="493"/>
      <c r="C14" s="288" t="s">
        <v>15</v>
      </c>
      <c r="D14" s="281">
        <v>1500</v>
      </c>
      <c r="E14" s="120">
        <v>74</v>
      </c>
      <c r="F14" s="308">
        <f t="shared" si="0"/>
        <v>1426</v>
      </c>
      <c r="G14" s="309">
        <f t="shared" si="1"/>
        <v>4.9333333333333333E-2</v>
      </c>
      <c r="H14" s="281"/>
      <c r="I14" s="7" t="s">
        <v>16</v>
      </c>
      <c r="J14" s="8" t="s">
        <v>17</v>
      </c>
      <c r="K14" s="7" t="s">
        <v>18</v>
      </c>
      <c r="L14" s="276" t="s">
        <v>201</v>
      </c>
      <c r="M14" s="118"/>
    </row>
    <row r="15" spans="1:15" ht="31.75" customHeight="1">
      <c r="A15" s="493"/>
      <c r="B15" s="493"/>
      <c r="C15" s="288" t="s">
        <v>19</v>
      </c>
      <c r="D15" s="281">
        <v>792.40800000000002</v>
      </c>
      <c r="E15" s="120">
        <f>810-74</f>
        <v>736</v>
      </c>
      <c r="F15" s="308">
        <f t="shared" si="0"/>
        <v>56.408000000000015</v>
      </c>
      <c r="G15" s="309">
        <f t="shared" si="1"/>
        <v>0.92881444912216937</v>
      </c>
      <c r="H15" s="281"/>
      <c r="I15" s="7" t="s">
        <v>16</v>
      </c>
      <c r="J15" s="8" t="s">
        <v>17</v>
      </c>
      <c r="K15" s="7" t="s">
        <v>18</v>
      </c>
      <c r="L15" s="276" t="s">
        <v>201</v>
      </c>
      <c r="M15" s="118"/>
      <c r="N15" s="307" t="s">
        <v>132</v>
      </c>
      <c r="O15" s="112">
        <f>+E19+E23+E24+E57+E69+E73</f>
        <v>17444</v>
      </c>
    </row>
    <row r="16" spans="1:15" ht="33.65" customHeight="1">
      <c r="A16" s="493"/>
      <c r="B16" s="493"/>
      <c r="C16" s="9" t="s">
        <v>20</v>
      </c>
      <c r="D16" s="281">
        <v>3000</v>
      </c>
      <c r="E16" s="120">
        <f>288+85</f>
        <v>373</v>
      </c>
      <c r="F16" s="308">
        <f t="shared" si="0"/>
        <v>2627</v>
      </c>
      <c r="G16" s="309">
        <f t="shared" si="1"/>
        <v>0.12433333333333334</v>
      </c>
      <c r="H16" s="281"/>
      <c r="I16" s="7" t="s">
        <v>16</v>
      </c>
      <c r="J16" s="8" t="s">
        <v>17</v>
      </c>
      <c r="K16" s="7" t="s">
        <v>21</v>
      </c>
      <c r="L16" s="276" t="s">
        <v>201</v>
      </c>
      <c r="M16" s="118"/>
    </row>
    <row r="17" spans="1:788" s="10" customFormat="1" ht="47.4" customHeight="1">
      <c r="A17" s="493"/>
      <c r="B17" s="493"/>
      <c r="C17" s="9" t="s">
        <v>22</v>
      </c>
      <c r="D17" s="281">
        <v>1000</v>
      </c>
      <c r="E17" s="120">
        <v>0</v>
      </c>
      <c r="F17" s="308">
        <f t="shared" si="0"/>
        <v>1000</v>
      </c>
      <c r="G17" s="309">
        <f t="shared" si="1"/>
        <v>0</v>
      </c>
      <c r="H17" s="281"/>
      <c r="I17" s="7" t="s">
        <v>16</v>
      </c>
      <c r="J17" s="8" t="s">
        <v>17</v>
      </c>
      <c r="K17" s="145" t="s">
        <v>23</v>
      </c>
      <c r="L17" s="276" t="s">
        <v>132</v>
      </c>
      <c r="M17" s="118"/>
      <c r="N17" s="307" t="s">
        <v>126</v>
      </c>
      <c r="O17" s="112">
        <f>+E34+E35+E40+E51</f>
        <v>214210</v>
      </c>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row>
    <row r="18" spans="1:788" ht="61.5" customHeight="1">
      <c r="A18" s="493"/>
      <c r="B18" s="493"/>
      <c r="C18" s="25" t="s">
        <v>24</v>
      </c>
      <c r="D18" s="11">
        <v>1400</v>
      </c>
      <c r="E18" s="121">
        <v>1335</v>
      </c>
      <c r="F18" s="308">
        <f t="shared" si="0"/>
        <v>65</v>
      </c>
      <c r="G18" s="309">
        <f t="shared" si="1"/>
        <v>0.95357142857142863</v>
      </c>
      <c r="H18" s="11"/>
      <c r="I18" s="7" t="s">
        <v>16</v>
      </c>
      <c r="J18" s="8" t="s">
        <v>17</v>
      </c>
      <c r="K18" s="146" t="s">
        <v>25</v>
      </c>
      <c r="L18" s="276" t="s">
        <v>201</v>
      </c>
      <c r="M18" s="118"/>
    </row>
    <row r="19" spans="1:788" s="10" customFormat="1" ht="44.4" customHeight="1">
      <c r="A19" s="493"/>
      <c r="B19" s="493"/>
      <c r="C19" s="25" t="s">
        <v>26</v>
      </c>
      <c r="D19" s="281">
        <v>3000</v>
      </c>
      <c r="E19" s="311">
        <v>9667</v>
      </c>
      <c r="F19" s="308">
        <f t="shared" si="0"/>
        <v>-6667</v>
      </c>
      <c r="G19" s="309">
        <f t="shared" si="1"/>
        <v>3.2223333333333333</v>
      </c>
      <c r="H19" s="281"/>
      <c r="I19" s="7" t="s">
        <v>16</v>
      </c>
      <c r="J19" s="8" t="s">
        <v>17</v>
      </c>
      <c r="K19" s="146" t="s">
        <v>27</v>
      </c>
      <c r="L19" s="189" t="s">
        <v>129</v>
      </c>
      <c r="M19" s="118"/>
      <c r="N19" s="189" t="s">
        <v>129</v>
      </c>
      <c r="O19" s="112">
        <f>+E41+E55+E58+E66+E67+E72</f>
        <v>40652</v>
      </c>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row>
    <row r="20" spans="1:788" ht="33.5" customHeight="1">
      <c r="A20" s="493"/>
      <c r="B20" s="493"/>
      <c r="C20" s="25" t="s">
        <v>28</v>
      </c>
      <c r="D20" s="281">
        <f>15500-340.261+23.879-1.732+0.121-0.008</f>
        <v>15181.999</v>
      </c>
      <c r="E20" s="290"/>
      <c r="F20" s="308">
        <f t="shared" si="0"/>
        <v>15181.999</v>
      </c>
      <c r="G20" s="309">
        <f t="shared" si="1"/>
        <v>0</v>
      </c>
      <c r="H20" s="281"/>
      <c r="I20" s="7" t="s">
        <v>16</v>
      </c>
      <c r="J20" s="8" t="s">
        <v>17</v>
      </c>
      <c r="K20" s="8" t="s">
        <v>27</v>
      </c>
      <c r="L20" s="276" t="s">
        <v>201</v>
      </c>
      <c r="M20" s="118"/>
    </row>
    <row r="21" spans="1:788" ht="27.65" customHeight="1" thickBot="1">
      <c r="A21" s="493"/>
      <c r="B21" s="493"/>
      <c r="C21" s="25" t="s">
        <v>29</v>
      </c>
      <c r="D21" s="281">
        <v>12400</v>
      </c>
      <c r="E21" s="120">
        <v>12389</v>
      </c>
      <c r="F21" s="308">
        <f t="shared" si="0"/>
        <v>11</v>
      </c>
      <c r="G21" s="309">
        <f t="shared" si="1"/>
        <v>0.99911290322580648</v>
      </c>
      <c r="H21" s="281"/>
      <c r="I21" s="7" t="s">
        <v>16</v>
      </c>
      <c r="J21" s="8" t="s">
        <v>17</v>
      </c>
      <c r="K21" s="8" t="s">
        <v>30</v>
      </c>
      <c r="L21" s="276" t="s">
        <v>201</v>
      </c>
      <c r="M21" s="118"/>
      <c r="N21" s="144" t="s">
        <v>130</v>
      </c>
      <c r="O21" s="112">
        <f>+E63</f>
        <v>4745</v>
      </c>
    </row>
    <row r="22" spans="1:788" ht="28.75" customHeight="1">
      <c r="A22" s="493"/>
      <c r="B22" s="493"/>
      <c r="C22" s="288" t="s">
        <v>31</v>
      </c>
      <c r="D22" s="281">
        <v>0</v>
      </c>
      <c r="E22" s="308"/>
      <c r="F22" s="308"/>
      <c r="G22" s="309">
        <v>0</v>
      </c>
      <c r="H22" s="281"/>
      <c r="I22" s="7" t="s">
        <v>16</v>
      </c>
      <c r="J22" s="8" t="s">
        <v>17</v>
      </c>
      <c r="K22" s="7" t="s">
        <v>32</v>
      </c>
      <c r="L22" s="276" t="s">
        <v>132</v>
      </c>
      <c r="M22" s="118"/>
    </row>
    <row r="23" spans="1:788" ht="34" customHeight="1">
      <c r="A23" s="493"/>
      <c r="B23" s="493"/>
      <c r="C23" s="129" t="s">
        <v>33</v>
      </c>
      <c r="D23" s="139">
        <v>28000</v>
      </c>
      <c r="E23" s="140">
        <v>1579</v>
      </c>
      <c r="F23" s="308">
        <f>+D23-E23</f>
        <v>26421</v>
      </c>
      <c r="G23" s="309">
        <f>E23/D23</f>
        <v>5.639285714285714E-2</v>
      </c>
      <c r="H23" s="139"/>
      <c r="I23" s="278" t="s">
        <v>16</v>
      </c>
      <c r="J23" s="12" t="s">
        <v>17</v>
      </c>
      <c r="K23" s="278" t="s">
        <v>32</v>
      </c>
      <c r="L23" s="276" t="s">
        <v>132</v>
      </c>
      <c r="M23" s="118"/>
    </row>
    <row r="24" spans="1:788" ht="32" customHeight="1">
      <c r="A24" s="493"/>
      <c r="B24" s="493"/>
      <c r="C24" s="129" t="s">
        <v>208</v>
      </c>
      <c r="D24" s="139">
        <v>1515</v>
      </c>
      <c r="E24" s="140">
        <v>1515</v>
      </c>
      <c r="F24" s="308">
        <f>+D24-E24</f>
        <v>0</v>
      </c>
      <c r="G24" s="309">
        <f>E24/D24</f>
        <v>1</v>
      </c>
      <c r="H24" s="139"/>
      <c r="I24" s="278" t="s">
        <v>16</v>
      </c>
      <c r="J24" s="12" t="s">
        <v>17</v>
      </c>
      <c r="K24" s="278" t="s">
        <v>200</v>
      </c>
      <c r="L24" s="276" t="s">
        <v>132</v>
      </c>
      <c r="M24" s="118"/>
    </row>
    <row r="25" spans="1:788" ht="26.4" customHeight="1">
      <c r="A25" s="493"/>
      <c r="B25" s="493"/>
      <c r="C25" s="129" t="s">
        <v>218</v>
      </c>
      <c r="D25" s="139"/>
      <c r="E25" s="140">
        <v>7</v>
      </c>
      <c r="F25" s="308">
        <f>+D25-E25</f>
        <v>-7</v>
      </c>
      <c r="G25" s="309">
        <v>0</v>
      </c>
      <c r="H25" s="139"/>
      <c r="I25" s="278" t="s">
        <v>16</v>
      </c>
      <c r="J25" s="12" t="s">
        <v>17</v>
      </c>
      <c r="K25" s="278" t="s">
        <v>219</v>
      </c>
      <c r="L25" s="307" t="s">
        <v>132</v>
      </c>
      <c r="M25" s="118"/>
    </row>
    <row r="26" spans="1:788" ht="27.65" customHeight="1">
      <c r="A26" s="493"/>
      <c r="B26" s="493"/>
      <c r="C26" s="129" t="s">
        <v>217</v>
      </c>
      <c r="D26" s="139">
        <v>0</v>
      </c>
      <c r="E26" s="140"/>
      <c r="F26" s="308">
        <f>+D26-E26</f>
        <v>0</v>
      </c>
      <c r="G26" s="309">
        <v>0</v>
      </c>
      <c r="H26" s="139"/>
      <c r="I26" s="278" t="s">
        <v>16</v>
      </c>
      <c r="J26" s="12" t="s">
        <v>17</v>
      </c>
      <c r="K26" s="278" t="s">
        <v>220</v>
      </c>
      <c r="L26" s="276" t="s">
        <v>132</v>
      </c>
      <c r="M26" s="118"/>
    </row>
    <row r="27" spans="1:788" ht="27" customHeight="1">
      <c r="A27" s="130" t="s">
        <v>34</v>
      </c>
      <c r="B27" s="130"/>
      <c r="C27" s="130"/>
      <c r="D27" s="130">
        <f>SUM(D13:D26)</f>
        <v>69474.407000000007</v>
      </c>
      <c r="E27" s="130">
        <f t="shared" ref="E27:F27" si="2">SUM(E13:E26)</f>
        <v>28390</v>
      </c>
      <c r="F27" s="130">
        <f t="shared" si="2"/>
        <v>41084.406999999999</v>
      </c>
      <c r="G27" s="383">
        <f>E27/D27</f>
        <v>0.40863968799330663</v>
      </c>
      <c r="H27" s="130">
        <f t="shared" ref="H27:K27" si="3">SUM(H13:H26)</f>
        <v>0</v>
      </c>
      <c r="I27" s="130">
        <f t="shared" si="3"/>
        <v>0</v>
      </c>
      <c r="J27" s="130">
        <f t="shared" si="3"/>
        <v>0</v>
      </c>
      <c r="K27" s="130">
        <f t="shared" si="3"/>
        <v>0</v>
      </c>
      <c r="L27" s="276"/>
      <c r="M27" s="118"/>
    </row>
    <row r="28" spans="1:788" ht="57.65" customHeight="1">
      <c r="A28" s="277" t="s">
        <v>35</v>
      </c>
      <c r="B28" s="277" t="s">
        <v>36</v>
      </c>
      <c r="C28" s="492" t="s">
        <v>37</v>
      </c>
      <c r="D28" s="281">
        <v>1000</v>
      </c>
      <c r="E28" s="120"/>
      <c r="F28" s="308">
        <f>+D28-E28</f>
        <v>1000</v>
      </c>
      <c r="G28" s="309">
        <f>E28/D28</f>
        <v>0</v>
      </c>
      <c r="H28" s="281"/>
      <c r="I28" s="491" t="s">
        <v>16</v>
      </c>
      <c r="J28" s="490">
        <v>11363</v>
      </c>
      <c r="K28" s="491" t="s">
        <v>23</v>
      </c>
      <c r="L28" s="276" t="s">
        <v>132</v>
      </c>
      <c r="M28" s="118"/>
    </row>
    <row r="29" spans="1:788" ht="78" customHeight="1">
      <c r="A29" s="277" t="s">
        <v>38</v>
      </c>
      <c r="B29" s="277" t="s">
        <v>39</v>
      </c>
      <c r="C29" s="492"/>
      <c r="D29" s="281"/>
      <c r="E29" s="120"/>
      <c r="F29" s="308">
        <f>+D29-E29</f>
        <v>0</v>
      </c>
      <c r="G29" s="309">
        <v>0</v>
      </c>
      <c r="H29" s="281"/>
      <c r="I29" s="491"/>
      <c r="J29" s="490"/>
      <c r="K29" s="491"/>
      <c r="L29" s="276" t="s">
        <v>132</v>
      </c>
      <c r="M29" s="118"/>
    </row>
    <row r="30" spans="1:788" ht="87.65" customHeight="1">
      <c r="A30" s="277" t="s">
        <v>40</v>
      </c>
      <c r="B30" s="288" t="s">
        <v>41</v>
      </c>
      <c r="C30" s="492"/>
      <c r="D30" s="281"/>
      <c r="E30" s="120"/>
      <c r="F30" s="308">
        <f>+D30-E30</f>
        <v>0</v>
      </c>
      <c r="G30" s="309">
        <v>0</v>
      </c>
      <c r="H30" s="281"/>
      <c r="I30" s="491"/>
      <c r="J30" s="490"/>
      <c r="K30" s="491"/>
      <c r="L30" s="276" t="s">
        <v>132</v>
      </c>
      <c r="M30" s="118"/>
    </row>
    <row r="31" spans="1:788" s="13" customFormat="1" ht="25.75" customHeight="1">
      <c r="A31" s="147" t="s">
        <v>42</v>
      </c>
      <c r="B31" s="147"/>
      <c r="C31" s="147"/>
      <c r="D31" s="147">
        <f>SUM(D28:D30)</f>
        <v>1000</v>
      </c>
      <c r="E31" s="147">
        <f t="shared" ref="E31" si="4">SUM(E28:E30)</f>
        <v>0</v>
      </c>
      <c r="F31" s="147">
        <f>+D31-E31</f>
        <v>1000</v>
      </c>
      <c r="G31" s="291">
        <f>E31/D31</f>
        <v>0</v>
      </c>
      <c r="H31" s="147"/>
      <c r="I31" s="147"/>
      <c r="J31" s="147"/>
      <c r="K31" s="147"/>
      <c r="L31" s="142"/>
      <c r="M31" s="119"/>
    </row>
    <row r="32" spans="1:788" ht="24.65" customHeight="1">
      <c r="A32" s="131" t="s">
        <v>43</v>
      </c>
      <c r="B32" s="131"/>
      <c r="C32" s="131"/>
      <c r="D32" s="131">
        <f>D31+D27</f>
        <v>70474.407000000007</v>
      </c>
      <c r="E32" s="131">
        <f t="shared" ref="E32" si="5">E31+E27</f>
        <v>28390</v>
      </c>
      <c r="F32" s="131">
        <f>+D32-E32</f>
        <v>42084.407000000007</v>
      </c>
      <c r="G32" s="133">
        <f>E32/D32</f>
        <v>0.40284127541505949</v>
      </c>
      <c r="H32" s="131"/>
      <c r="I32" s="131"/>
      <c r="J32" s="131"/>
      <c r="K32" s="131"/>
      <c r="L32" s="276"/>
      <c r="M32" s="118"/>
    </row>
    <row r="33" spans="1:13" ht="23.4" customHeight="1">
      <c r="A33" s="489" t="s">
        <v>44</v>
      </c>
      <c r="B33" s="489"/>
      <c r="C33" s="489"/>
      <c r="D33" s="489"/>
      <c r="E33" s="489"/>
      <c r="F33" s="489"/>
      <c r="G33" s="489"/>
      <c r="H33" s="489"/>
      <c r="I33" s="489"/>
      <c r="J33" s="489"/>
      <c r="K33" s="489"/>
      <c r="L33" s="276"/>
      <c r="M33" s="118"/>
    </row>
    <row r="34" spans="1:13" ht="83.5" customHeight="1">
      <c r="A34" s="277" t="s">
        <v>45</v>
      </c>
      <c r="B34" s="277" t="s">
        <v>46</v>
      </c>
      <c r="C34" s="277" t="s">
        <v>47</v>
      </c>
      <c r="D34" s="261">
        <v>133536</v>
      </c>
      <c r="E34" s="120">
        <f>68823+37490+9153+8569+860+7234</f>
        <v>132129</v>
      </c>
      <c r="F34" s="264">
        <f>D34-E34</f>
        <v>1407</v>
      </c>
      <c r="G34" s="280">
        <f>+E34/D34</f>
        <v>0.98946351545650613</v>
      </c>
      <c r="H34" s="261"/>
      <c r="I34" s="282" t="s">
        <v>16</v>
      </c>
      <c r="J34" s="279" t="s">
        <v>17</v>
      </c>
      <c r="K34" s="279" t="s">
        <v>57</v>
      </c>
      <c r="L34" s="276" t="s">
        <v>126</v>
      </c>
      <c r="M34" s="118"/>
    </row>
    <row r="35" spans="1:13" ht="61.5" customHeight="1">
      <c r="B35" s="14" t="s">
        <v>278</v>
      </c>
      <c r="C35" s="14" t="s">
        <v>279</v>
      </c>
      <c r="D35" s="134">
        <f>40138.5+9400</f>
        <v>49538.5</v>
      </c>
      <c r="E35" s="306">
        <f>2500+7000</f>
        <v>9500</v>
      </c>
      <c r="F35" s="264">
        <f>D35-E35</f>
        <v>40038.5</v>
      </c>
      <c r="G35" s="280">
        <f>+E35/D35</f>
        <v>0.1917700374456231</v>
      </c>
      <c r="H35" s="514"/>
      <c r="I35" s="511" t="s">
        <v>16</v>
      </c>
      <c r="J35" s="512" t="s">
        <v>17</v>
      </c>
      <c r="K35" s="7" t="s">
        <v>57</v>
      </c>
      <c r="L35" s="276" t="s">
        <v>126</v>
      </c>
    </row>
    <row r="36" spans="1:13" ht="110.5" customHeight="1">
      <c r="A36" s="288" t="s">
        <v>48</v>
      </c>
      <c r="B36" s="288" t="s">
        <v>49</v>
      </c>
      <c r="C36" s="9" t="s">
        <v>50</v>
      </c>
      <c r="D36" s="281">
        <v>1000</v>
      </c>
      <c r="E36" s="300">
        <v>0</v>
      </c>
      <c r="F36" s="264">
        <f>D36-E36</f>
        <v>1000</v>
      </c>
      <c r="G36" s="309">
        <v>0</v>
      </c>
      <c r="H36" s="514"/>
      <c r="I36" s="511"/>
      <c r="J36" s="512"/>
      <c r="K36" s="7" t="s">
        <v>23</v>
      </c>
      <c r="L36" s="276" t="s">
        <v>132</v>
      </c>
      <c r="M36" s="118"/>
    </row>
    <row r="37" spans="1:13" ht="105.5" customHeight="1">
      <c r="A37" s="15" t="s">
        <v>51</v>
      </c>
      <c r="B37" s="15" t="s">
        <v>204</v>
      </c>
      <c r="C37" s="275"/>
      <c r="D37" s="281"/>
      <c r="E37" s="120"/>
      <c r="F37" s="264">
        <f>D37-E37</f>
        <v>0</v>
      </c>
      <c r="G37" s="309">
        <v>0</v>
      </c>
      <c r="H37" s="514"/>
      <c r="I37" s="511"/>
      <c r="J37" s="512"/>
      <c r="K37" s="7"/>
      <c r="L37" s="276" t="s">
        <v>132</v>
      </c>
      <c r="M37" s="118"/>
    </row>
    <row r="38" spans="1:13" ht="22.25" customHeight="1">
      <c r="A38" s="131" t="s">
        <v>52</v>
      </c>
      <c r="B38" s="131"/>
      <c r="C38" s="131"/>
      <c r="D38" s="131">
        <f>SUM(D34:D37)</f>
        <v>184074.5</v>
      </c>
      <c r="E38" s="132">
        <f t="shared" ref="E38" si="6">SUM(E34:E37)</f>
        <v>141629</v>
      </c>
      <c r="F38" s="131">
        <f>D38-E38</f>
        <v>42445.5</v>
      </c>
      <c r="G38" s="133">
        <f>+E38/D38</f>
        <v>0.76941129814287146</v>
      </c>
      <c r="H38" s="131"/>
      <c r="I38" s="131"/>
      <c r="J38" s="131"/>
      <c r="K38" s="131"/>
      <c r="L38" s="276"/>
      <c r="M38" s="118"/>
    </row>
    <row r="39" spans="1:13" ht="21.65" customHeight="1">
      <c r="A39" s="513" t="s">
        <v>53</v>
      </c>
      <c r="B39" s="513"/>
      <c r="C39" s="513"/>
      <c r="D39" s="513"/>
      <c r="E39" s="513"/>
      <c r="F39" s="513"/>
      <c r="G39" s="513"/>
      <c r="H39" s="513"/>
      <c r="I39" s="513"/>
      <c r="J39" s="513"/>
      <c r="K39" s="513"/>
      <c r="L39" s="276"/>
      <c r="M39" s="118"/>
    </row>
    <row r="40" spans="1:13" ht="47.4" customHeight="1">
      <c r="A40" s="515" t="s">
        <v>54</v>
      </c>
      <c r="B40" s="141" t="s">
        <v>55</v>
      </c>
      <c r="C40" s="141" t="s">
        <v>56</v>
      </c>
      <c r="D40" s="134">
        <v>35281.5</v>
      </c>
      <c r="E40" s="294">
        <f>19300+2221+5000</f>
        <v>26521</v>
      </c>
      <c r="F40" s="265">
        <f>D40-E40</f>
        <v>8760.5</v>
      </c>
      <c r="G40" s="309">
        <f>+E40/D40</f>
        <v>0.75169706503408307</v>
      </c>
      <c r="H40" s="134"/>
      <c r="I40" s="295" t="s">
        <v>16</v>
      </c>
      <c r="J40" s="296" t="s">
        <v>17</v>
      </c>
      <c r="K40" s="296" t="s">
        <v>57</v>
      </c>
      <c r="L40" s="189" t="s">
        <v>126</v>
      </c>
      <c r="M40" s="118"/>
    </row>
    <row r="41" spans="1:13" ht="43.5" customHeight="1">
      <c r="A41" s="515"/>
      <c r="B41" s="141" t="s">
        <v>206</v>
      </c>
      <c r="C41" s="141" t="s">
        <v>207</v>
      </c>
      <c r="D41" s="134">
        <v>9400</v>
      </c>
      <c r="E41" s="294">
        <f>6236+2600</f>
        <v>8836</v>
      </c>
      <c r="F41" s="265">
        <f t="shared" ref="F41:F46" si="7">D41-E41</f>
        <v>564</v>
      </c>
      <c r="G41" s="309">
        <f>+E41/D41</f>
        <v>0.94</v>
      </c>
      <c r="H41" s="134"/>
      <c r="I41" s="295" t="s">
        <v>16</v>
      </c>
      <c r="J41" s="296" t="s">
        <v>17</v>
      </c>
      <c r="K41" s="296" t="s">
        <v>205</v>
      </c>
      <c r="L41" s="189" t="s">
        <v>129</v>
      </c>
      <c r="M41" s="118"/>
    </row>
    <row r="42" spans="1:13" ht="34" customHeight="1">
      <c r="A42" s="515"/>
      <c r="B42" s="141" t="s">
        <v>58</v>
      </c>
      <c r="C42" s="141" t="s">
        <v>56</v>
      </c>
      <c r="D42" s="134">
        <f>14400</f>
        <v>14400</v>
      </c>
      <c r="E42" s="294">
        <f>SUM(E40:E41)</f>
        <v>35357</v>
      </c>
      <c r="F42" s="265">
        <f t="shared" si="7"/>
        <v>-20957</v>
      </c>
      <c r="G42" s="309">
        <v>0</v>
      </c>
      <c r="H42" s="134"/>
      <c r="I42" s="295" t="s">
        <v>16</v>
      </c>
      <c r="J42" s="296" t="s">
        <v>17</v>
      </c>
      <c r="K42" s="296" t="s">
        <v>57</v>
      </c>
      <c r="L42" s="189" t="s">
        <v>126</v>
      </c>
      <c r="M42" s="118"/>
    </row>
    <row r="43" spans="1:13" ht="29.4" customHeight="1">
      <c r="A43" s="516" t="s">
        <v>59</v>
      </c>
      <c r="B43" s="517"/>
      <c r="C43" s="518"/>
      <c r="D43" s="292">
        <f>SUM(D40:D42)</f>
        <v>59081.5</v>
      </c>
      <c r="E43" s="405">
        <f>SUM(E40:E42)</f>
        <v>70714</v>
      </c>
      <c r="F43" s="405">
        <f>SUM(F40:F42)</f>
        <v>-11632.5</v>
      </c>
      <c r="G43" s="293">
        <f>+E43/D43</f>
        <v>1.1968890431014785</v>
      </c>
      <c r="H43" s="131"/>
      <c r="I43" s="131"/>
      <c r="J43" s="131"/>
      <c r="K43" s="131"/>
      <c r="L43" s="276"/>
      <c r="M43" s="118"/>
    </row>
    <row r="44" spans="1:13" ht="23.4" customHeight="1">
      <c r="A44" s="502" t="s">
        <v>60</v>
      </c>
      <c r="B44" s="503"/>
      <c r="C44" s="504"/>
      <c r="D44" s="148">
        <f>D43+D38+D32</f>
        <v>313630.40700000001</v>
      </c>
      <c r="E44" s="149">
        <f t="shared" ref="E44" si="8">E43+E38+E32</f>
        <v>240733</v>
      </c>
      <c r="F44" s="149">
        <f t="shared" si="7"/>
        <v>72897.407000000007</v>
      </c>
      <c r="G44" s="297">
        <f>+E44/D44</f>
        <v>0.76756907055890145</v>
      </c>
      <c r="H44" s="148"/>
      <c r="I44" s="148"/>
      <c r="J44" s="148"/>
      <c r="K44" s="148"/>
      <c r="L44" s="276"/>
      <c r="M44" s="118"/>
    </row>
    <row r="45" spans="1:13" ht="25.75" customHeight="1">
      <c r="A45" s="505" t="s">
        <v>61</v>
      </c>
      <c r="B45" s="506"/>
      <c r="C45" s="507"/>
      <c r="D45" s="26">
        <v>18486</v>
      </c>
      <c r="E45" s="150">
        <v>12925</v>
      </c>
      <c r="F45" s="150">
        <f t="shared" si="7"/>
        <v>5561</v>
      </c>
      <c r="G45" s="302">
        <f>+E45/D45</f>
        <v>0.6991777561397815</v>
      </c>
      <c r="H45" s="26"/>
      <c r="I45" s="26" t="s">
        <v>16</v>
      </c>
      <c r="J45" s="26" t="s">
        <v>17</v>
      </c>
      <c r="K45" s="284">
        <v>75100</v>
      </c>
      <c r="L45" s="276"/>
      <c r="M45" s="118"/>
    </row>
    <row r="46" spans="1:13" ht="28.25" customHeight="1" thickBot="1">
      <c r="A46" s="508" t="s">
        <v>62</v>
      </c>
      <c r="B46" s="509"/>
      <c r="C46" s="510"/>
      <c r="D46" s="151">
        <f>+D44+D45</f>
        <v>332116.40700000001</v>
      </c>
      <c r="E46" s="152">
        <f t="shared" ref="E46" si="9">+E44+E45</f>
        <v>253658</v>
      </c>
      <c r="F46" s="152">
        <f t="shared" si="7"/>
        <v>78458.407000000007</v>
      </c>
      <c r="G46" s="298">
        <f>+E46/D46</f>
        <v>0.7637623274661044</v>
      </c>
      <c r="H46" s="151"/>
      <c r="I46" s="151"/>
      <c r="J46" s="151"/>
      <c r="K46" s="151"/>
      <c r="L46" s="143"/>
      <c r="M46" s="118"/>
    </row>
    <row r="47" spans="1:13" ht="23.4" customHeight="1">
      <c r="A47" s="382" t="s">
        <v>6</v>
      </c>
      <c r="B47" s="382" t="s">
        <v>7</v>
      </c>
      <c r="C47" s="497" t="s">
        <v>0</v>
      </c>
      <c r="D47" s="494" t="s">
        <v>280</v>
      </c>
      <c r="E47" s="496" t="s">
        <v>281</v>
      </c>
      <c r="F47" s="494" t="s">
        <v>8</v>
      </c>
      <c r="G47" s="494" t="s">
        <v>199</v>
      </c>
      <c r="H47" s="494" t="s">
        <v>197</v>
      </c>
      <c r="I47" s="495" t="s">
        <v>9</v>
      </c>
      <c r="J47" s="495"/>
      <c r="K47" s="495"/>
      <c r="L47" s="486" t="s">
        <v>203</v>
      </c>
      <c r="M47" s="118"/>
    </row>
    <row r="48" spans="1:13" ht="18" customHeight="1">
      <c r="A48" s="382" t="s">
        <v>10</v>
      </c>
      <c r="B48" s="382" t="s">
        <v>11</v>
      </c>
      <c r="C48" s="498"/>
      <c r="D48" s="494"/>
      <c r="E48" s="496"/>
      <c r="F48" s="494"/>
      <c r="G48" s="494"/>
      <c r="H48" s="494"/>
      <c r="I48" s="125" t="s">
        <v>198</v>
      </c>
      <c r="J48" s="125" t="s">
        <v>63</v>
      </c>
      <c r="K48" s="125" t="s">
        <v>64</v>
      </c>
      <c r="L48" s="486"/>
      <c r="M48" s="118"/>
    </row>
    <row r="49" spans="1:13" ht="23.4" customHeight="1">
      <c r="A49" s="503"/>
      <c r="B49" s="503"/>
      <c r="C49" s="503"/>
      <c r="D49" s="503"/>
      <c r="E49" s="503"/>
      <c r="F49" s="503"/>
      <c r="G49" s="503"/>
      <c r="H49" s="503"/>
      <c r="I49" s="503"/>
      <c r="J49" s="503"/>
      <c r="K49" s="503"/>
      <c r="L49" s="504"/>
      <c r="M49" s="118"/>
    </row>
    <row r="50" spans="1:13" ht="25.25" customHeight="1">
      <c r="A50" s="526" t="s">
        <v>65</v>
      </c>
      <c r="B50" s="527"/>
      <c r="C50" s="527"/>
      <c r="D50" s="527"/>
      <c r="E50" s="527"/>
      <c r="F50" s="527"/>
      <c r="G50" s="527"/>
      <c r="H50" s="527"/>
      <c r="I50" s="527"/>
      <c r="J50" s="527"/>
      <c r="K50" s="527"/>
      <c r="L50" s="528"/>
      <c r="M50" s="118"/>
    </row>
    <row r="51" spans="1:13" ht="79.5" customHeight="1">
      <c r="A51" s="153" t="s">
        <v>66</v>
      </c>
      <c r="B51" s="288" t="s">
        <v>67</v>
      </c>
      <c r="C51" s="16" t="s">
        <v>68</v>
      </c>
      <c r="D51" s="261">
        <v>45531</v>
      </c>
      <c r="E51" s="120">
        <v>46060</v>
      </c>
      <c r="F51" s="264">
        <f>+D51-E51</f>
        <v>-529</v>
      </c>
      <c r="G51" s="309">
        <f>+E51/D51</f>
        <v>1.0116184577540577</v>
      </c>
      <c r="H51" s="261"/>
      <c r="I51" s="17" t="s">
        <v>16</v>
      </c>
      <c r="J51" s="18" t="s">
        <v>17</v>
      </c>
      <c r="K51" s="16">
        <v>71400</v>
      </c>
      <c r="L51" s="276" t="s">
        <v>126</v>
      </c>
      <c r="M51" s="118"/>
    </row>
    <row r="52" spans="1:13" ht="43" customHeight="1">
      <c r="A52" s="499" t="s">
        <v>69</v>
      </c>
      <c r="B52" s="499" t="s">
        <v>70</v>
      </c>
      <c r="C52" s="277" t="s">
        <v>71</v>
      </c>
      <c r="D52" s="281">
        <v>7000</v>
      </c>
      <c r="E52" s="120"/>
      <c r="F52" s="264">
        <f>D52-E52</f>
        <v>7000</v>
      </c>
      <c r="G52" s="309">
        <v>0</v>
      </c>
      <c r="H52" s="281"/>
      <c r="I52" s="278" t="s">
        <v>16</v>
      </c>
      <c r="J52" s="12" t="s">
        <v>17</v>
      </c>
      <c r="K52" s="138">
        <v>75700</v>
      </c>
      <c r="L52" s="276" t="s">
        <v>132</v>
      </c>
      <c r="M52" s="118"/>
    </row>
    <row r="53" spans="1:13" ht="0.65" hidden="1" customHeight="1">
      <c r="A53" s="500"/>
      <c r="B53" s="500"/>
      <c r="C53" s="135" t="s">
        <v>72</v>
      </c>
      <c r="D53" s="136"/>
      <c r="E53" s="137"/>
      <c r="F53" s="264" t="e">
        <f>#REF!-E53</f>
        <v>#REF!</v>
      </c>
      <c r="G53" s="309" t="e">
        <f>+E53/#REF!</f>
        <v>#REF!</v>
      </c>
      <c r="H53" s="136"/>
      <c r="I53" s="278" t="s">
        <v>16</v>
      </c>
      <c r="J53" s="12" t="s">
        <v>17</v>
      </c>
      <c r="K53" s="135"/>
      <c r="L53" s="276"/>
      <c r="M53" s="118"/>
    </row>
    <row r="54" spans="1:13" ht="24.5" hidden="1" customHeight="1">
      <c r="A54" s="500"/>
      <c r="B54" s="500"/>
      <c r="C54" s="283" t="s">
        <v>73</v>
      </c>
      <c r="D54" s="136"/>
      <c r="E54" s="137"/>
      <c r="F54" s="264" t="e">
        <f>#REF!-E54</f>
        <v>#REF!</v>
      </c>
      <c r="G54" s="309" t="e">
        <f>+E54/#REF!</f>
        <v>#REF!</v>
      </c>
      <c r="H54" s="136"/>
      <c r="I54" s="278" t="s">
        <v>16</v>
      </c>
      <c r="J54" s="12" t="s">
        <v>17</v>
      </c>
      <c r="K54" s="277"/>
      <c r="L54" s="276"/>
      <c r="M54" s="118"/>
    </row>
    <row r="55" spans="1:13" ht="33.65" customHeight="1">
      <c r="A55" s="501"/>
      <c r="B55" s="501"/>
      <c r="C55" s="283" t="s">
        <v>74</v>
      </c>
      <c r="D55" s="136">
        <v>25000</v>
      </c>
      <c r="E55" s="137">
        <v>14940</v>
      </c>
      <c r="F55" s="264">
        <f>D55-E55</f>
        <v>10060</v>
      </c>
      <c r="G55" s="309">
        <f>+E55/D55</f>
        <v>0.59760000000000002</v>
      </c>
      <c r="H55" s="136"/>
      <c r="I55" s="278" t="s">
        <v>16</v>
      </c>
      <c r="J55" s="12" t="s">
        <v>17</v>
      </c>
      <c r="K55" s="277">
        <v>71200</v>
      </c>
      <c r="L55" s="276" t="s">
        <v>129</v>
      </c>
      <c r="M55" s="118"/>
    </row>
    <row r="56" spans="1:13" ht="46.5" customHeight="1">
      <c r="A56" s="16" t="s">
        <v>255</v>
      </c>
      <c r="B56" s="16" t="s">
        <v>75</v>
      </c>
      <c r="C56" s="19" t="s">
        <v>76</v>
      </c>
      <c r="D56" s="20"/>
      <c r="E56" s="123"/>
      <c r="F56" s="264">
        <f t="shared" ref="F56:F64" si="10">D56-E56</f>
        <v>0</v>
      </c>
      <c r="G56" s="309">
        <v>0</v>
      </c>
      <c r="H56" s="20"/>
      <c r="I56" s="17" t="s">
        <v>16</v>
      </c>
      <c r="J56" s="18" t="s">
        <v>17</v>
      </c>
      <c r="K56" s="16"/>
      <c r="L56" s="276"/>
      <c r="M56" s="118"/>
    </row>
    <row r="57" spans="1:13" ht="119.4" customHeight="1">
      <c r="A57" s="288" t="s">
        <v>77</v>
      </c>
      <c r="B57" s="288" t="s">
        <v>78</v>
      </c>
      <c r="C57" s="288" t="s">
        <v>79</v>
      </c>
      <c r="D57" s="11">
        <v>5495</v>
      </c>
      <c r="E57" s="121">
        <v>4085</v>
      </c>
      <c r="F57" s="264">
        <f t="shared" si="10"/>
        <v>1410</v>
      </c>
      <c r="G57" s="309">
        <f t="shared" ref="G57:G64" si="11">+E57/D57</f>
        <v>0.7434030937215651</v>
      </c>
      <c r="H57" s="11"/>
      <c r="I57" s="7" t="s">
        <v>16</v>
      </c>
      <c r="J57" s="8" t="s">
        <v>17</v>
      </c>
      <c r="K57" s="138">
        <v>75700</v>
      </c>
      <c r="L57" s="276" t="s">
        <v>132</v>
      </c>
      <c r="M57" s="118"/>
    </row>
    <row r="58" spans="1:13" ht="73.75" customHeight="1">
      <c r="A58" s="288"/>
      <c r="B58" s="288" t="s">
        <v>80</v>
      </c>
      <c r="C58" s="288" t="s">
        <v>81</v>
      </c>
      <c r="D58" s="11">
        <v>8000</v>
      </c>
      <c r="E58" s="121">
        <v>5927</v>
      </c>
      <c r="F58" s="264">
        <f t="shared" si="10"/>
        <v>2073</v>
      </c>
      <c r="G58" s="309">
        <f t="shared" si="11"/>
        <v>0.74087499999999995</v>
      </c>
      <c r="H58" s="11"/>
      <c r="I58" s="7" t="s">
        <v>16</v>
      </c>
      <c r="J58" s="8" t="s">
        <v>17</v>
      </c>
      <c r="K58" s="138">
        <v>71300</v>
      </c>
      <c r="L58" s="276" t="s">
        <v>129</v>
      </c>
      <c r="M58" s="118"/>
    </row>
    <row r="59" spans="1:13" ht="45" customHeight="1">
      <c r="A59" s="490" t="s">
        <v>210</v>
      </c>
      <c r="B59" s="525" t="s">
        <v>82</v>
      </c>
      <c r="C59" s="277" t="s">
        <v>83</v>
      </c>
      <c r="D59" s="21">
        <v>3000</v>
      </c>
      <c r="E59" s="121"/>
      <c r="F59" s="264">
        <f t="shared" si="10"/>
        <v>3000</v>
      </c>
      <c r="G59" s="309">
        <f t="shared" si="11"/>
        <v>0</v>
      </c>
      <c r="H59" s="21"/>
      <c r="I59" s="278" t="s">
        <v>16</v>
      </c>
      <c r="J59" s="12" t="s">
        <v>17</v>
      </c>
      <c r="K59" s="138">
        <v>75700</v>
      </c>
      <c r="L59" s="276" t="s">
        <v>132</v>
      </c>
      <c r="M59" s="118"/>
    </row>
    <row r="60" spans="1:13" ht="37.75" customHeight="1">
      <c r="A60" s="490"/>
      <c r="B60" s="525"/>
      <c r="C60" s="277" t="s">
        <v>84</v>
      </c>
      <c r="D60" s="21"/>
      <c r="E60" s="121"/>
      <c r="F60" s="264">
        <f t="shared" si="10"/>
        <v>0</v>
      </c>
      <c r="G60" s="309">
        <v>0</v>
      </c>
      <c r="H60" s="21"/>
      <c r="I60" s="278" t="s">
        <v>16</v>
      </c>
      <c r="J60" s="12" t="s">
        <v>17</v>
      </c>
      <c r="K60" s="138"/>
      <c r="L60" s="276" t="s">
        <v>129</v>
      </c>
      <c r="M60" s="118"/>
    </row>
    <row r="61" spans="1:13" ht="74.400000000000006" customHeight="1">
      <c r="A61" s="288" t="s">
        <v>85</v>
      </c>
      <c r="B61" s="288" t="s">
        <v>86</v>
      </c>
      <c r="C61" s="288" t="s">
        <v>87</v>
      </c>
      <c r="D61" s="21"/>
      <c r="E61" s="121"/>
      <c r="F61" s="264">
        <f t="shared" si="10"/>
        <v>0</v>
      </c>
      <c r="G61" s="309">
        <v>0</v>
      </c>
      <c r="H61" s="21"/>
      <c r="I61" s="278" t="s">
        <v>16</v>
      </c>
      <c r="J61" s="12" t="s">
        <v>17</v>
      </c>
      <c r="K61" s="138">
        <v>75700</v>
      </c>
      <c r="L61" s="276" t="s">
        <v>132</v>
      </c>
      <c r="M61" s="118"/>
    </row>
    <row r="62" spans="1:13" ht="46" customHeight="1">
      <c r="A62" s="525" t="s">
        <v>88</v>
      </c>
      <c r="B62" s="288" t="s">
        <v>89</v>
      </c>
      <c r="C62" s="9" t="s">
        <v>90</v>
      </c>
      <c r="D62" s="21"/>
      <c r="E62" s="121"/>
      <c r="F62" s="264">
        <f t="shared" si="10"/>
        <v>0</v>
      </c>
      <c r="G62" s="309">
        <v>0</v>
      </c>
      <c r="H62" s="21"/>
      <c r="I62" s="7" t="s">
        <v>16</v>
      </c>
      <c r="J62" s="8" t="s">
        <v>17</v>
      </c>
      <c r="K62" s="138"/>
      <c r="L62" s="276" t="s">
        <v>132</v>
      </c>
      <c r="M62" s="118"/>
    </row>
    <row r="63" spans="1:13" ht="99.65" customHeight="1" thickBot="1">
      <c r="A63" s="525"/>
      <c r="B63" s="288" t="s">
        <v>91</v>
      </c>
      <c r="C63" s="9" t="s">
        <v>92</v>
      </c>
      <c r="D63" s="21">
        <v>13000</v>
      </c>
      <c r="E63" s="121">
        <v>4745</v>
      </c>
      <c r="F63" s="264">
        <f t="shared" si="10"/>
        <v>8255</v>
      </c>
      <c r="G63" s="309">
        <f t="shared" si="11"/>
        <v>0.36499999999999999</v>
      </c>
      <c r="H63" s="21"/>
      <c r="I63" s="7" t="s">
        <v>16</v>
      </c>
      <c r="J63" s="8" t="s">
        <v>17</v>
      </c>
      <c r="K63" s="138">
        <v>71600</v>
      </c>
      <c r="L63" s="144" t="s">
        <v>130</v>
      </c>
      <c r="M63" s="118"/>
    </row>
    <row r="64" spans="1:13" ht="25.75" customHeight="1">
      <c r="A64" s="273" t="s">
        <v>93</v>
      </c>
      <c r="B64" s="273"/>
      <c r="C64" s="273"/>
      <c r="D64" s="22">
        <f>SUM(D51:D63)</f>
        <v>107026</v>
      </c>
      <c r="E64" s="122">
        <f t="shared" ref="E64" si="12">SUM(E51:E63)</f>
        <v>75757</v>
      </c>
      <c r="F64" s="122">
        <f t="shared" si="10"/>
        <v>31269</v>
      </c>
      <c r="G64" s="299">
        <f t="shared" si="11"/>
        <v>0.70783734793414688</v>
      </c>
      <c r="H64" s="22"/>
      <c r="I64" s="22"/>
      <c r="J64" s="22"/>
      <c r="K64" s="22"/>
      <c r="L64" s="276"/>
      <c r="M64" s="118"/>
    </row>
    <row r="65" spans="1:13" ht="24.65" customHeight="1">
      <c r="A65" s="527"/>
      <c r="B65" s="527"/>
      <c r="C65" s="527"/>
      <c r="D65" s="527"/>
      <c r="E65" s="527"/>
      <c r="F65" s="527"/>
      <c r="G65" s="527"/>
      <c r="H65" s="527"/>
      <c r="I65" s="527"/>
      <c r="J65" s="527"/>
      <c r="K65" s="527"/>
      <c r="L65" s="528"/>
      <c r="M65" s="118"/>
    </row>
    <row r="66" spans="1:13" ht="49.75" customHeight="1">
      <c r="A66" s="523" t="s">
        <v>94</v>
      </c>
      <c r="B66" s="524" t="s">
        <v>95</v>
      </c>
      <c r="C66" s="277" t="s">
        <v>96</v>
      </c>
      <c r="D66" s="23">
        <v>7000</v>
      </c>
      <c r="E66" s="124">
        <f>6695+172</f>
        <v>6867</v>
      </c>
      <c r="F66" s="266">
        <f>+D66-E66</f>
        <v>133</v>
      </c>
      <c r="G66" s="309">
        <f>+E66/D66</f>
        <v>0.98099999999999998</v>
      </c>
      <c r="H66" s="23"/>
      <c r="I66" s="7" t="s">
        <v>16</v>
      </c>
      <c r="J66" s="8" t="s">
        <v>17</v>
      </c>
      <c r="K66" s="277">
        <v>71300</v>
      </c>
      <c r="L66" s="276" t="s">
        <v>129</v>
      </c>
      <c r="M66" s="118"/>
    </row>
    <row r="67" spans="1:13" ht="24.65" customHeight="1">
      <c r="A67" s="523"/>
      <c r="B67" s="524"/>
      <c r="C67" s="286" t="s">
        <v>97</v>
      </c>
      <c r="D67" s="154">
        <v>12500</v>
      </c>
      <c r="E67" s="155">
        <v>1670</v>
      </c>
      <c r="F67" s="266">
        <f>+D67-E67</f>
        <v>10830</v>
      </c>
      <c r="G67" s="309">
        <f>+E67/D67</f>
        <v>0.1336</v>
      </c>
      <c r="H67" s="154"/>
      <c r="I67" s="7" t="s">
        <v>16</v>
      </c>
      <c r="J67" s="8" t="s">
        <v>17</v>
      </c>
      <c r="K67" s="277">
        <v>71500</v>
      </c>
      <c r="L67" s="276" t="s">
        <v>129</v>
      </c>
      <c r="M67" s="118"/>
    </row>
    <row r="68" spans="1:13" ht="42.5" customHeight="1">
      <c r="A68" s="24" t="s">
        <v>209</v>
      </c>
      <c r="B68" s="25" t="s">
        <v>98</v>
      </c>
      <c r="C68" s="24"/>
      <c r="D68" s="156"/>
      <c r="E68" s="294"/>
      <c r="F68" s="266">
        <f t="shared" ref="F68:F80" si="13">+D68-E68</f>
        <v>0</v>
      </c>
      <c r="G68" s="309">
        <v>0</v>
      </c>
      <c r="H68" s="156"/>
      <c r="I68" s="7" t="s">
        <v>16</v>
      </c>
      <c r="J68" s="8" t="s">
        <v>17</v>
      </c>
      <c r="K68" s="277">
        <v>75700</v>
      </c>
      <c r="L68" s="276" t="s">
        <v>129</v>
      </c>
      <c r="M68" s="118"/>
    </row>
    <row r="69" spans="1:13" ht="64.5" customHeight="1">
      <c r="A69" s="24" t="s">
        <v>20</v>
      </c>
      <c r="B69" s="25"/>
      <c r="C69" s="24"/>
      <c r="D69" s="156">
        <v>1000</v>
      </c>
      <c r="E69" s="294">
        <f>204+552</f>
        <v>756</v>
      </c>
      <c r="F69" s="266">
        <f t="shared" si="13"/>
        <v>244</v>
      </c>
      <c r="G69" s="309">
        <f t="shared" ref="G69:G80" si="14">+E69/D69</f>
        <v>0.75600000000000001</v>
      </c>
      <c r="H69" s="156"/>
      <c r="I69" s="7" t="s">
        <v>16</v>
      </c>
      <c r="J69" s="8" t="s">
        <v>17</v>
      </c>
      <c r="K69" s="277">
        <v>74100</v>
      </c>
      <c r="L69" s="276" t="s">
        <v>132</v>
      </c>
      <c r="M69" s="118"/>
    </row>
    <row r="70" spans="1:13" ht="81" customHeight="1">
      <c r="A70" s="286" t="s">
        <v>99</v>
      </c>
      <c r="B70" s="287" t="s">
        <v>100</v>
      </c>
      <c r="C70" s="286"/>
      <c r="D70" s="156"/>
      <c r="E70" s="294"/>
      <c r="F70" s="266">
        <f t="shared" si="13"/>
        <v>0</v>
      </c>
      <c r="G70" s="309">
        <v>0</v>
      </c>
      <c r="H70" s="156"/>
      <c r="I70" s="7" t="s">
        <v>16</v>
      </c>
      <c r="J70" s="8" t="s">
        <v>17</v>
      </c>
      <c r="K70" s="277">
        <v>74200</v>
      </c>
      <c r="L70" s="276" t="s">
        <v>129</v>
      </c>
      <c r="M70" s="118"/>
    </row>
    <row r="71" spans="1:13" ht="70.5" customHeight="1">
      <c r="A71" s="24" t="s">
        <v>101</v>
      </c>
      <c r="B71" s="25" t="s">
        <v>102</v>
      </c>
      <c r="C71" s="24"/>
      <c r="D71" s="156"/>
      <c r="E71" s="294"/>
      <c r="F71" s="266">
        <f t="shared" si="13"/>
        <v>0</v>
      </c>
      <c r="G71" s="309">
        <v>0</v>
      </c>
      <c r="H71" s="156"/>
      <c r="I71" s="7" t="s">
        <v>16</v>
      </c>
      <c r="J71" s="8" t="s">
        <v>17</v>
      </c>
      <c r="K71" s="277">
        <v>74200</v>
      </c>
      <c r="L71" s="276" t="s">
        <v>129</v>
      </c>
      <c r="M71" s="118"/>
    </row>
    <row r="72" spans="1:13" ht="73.75" customHeight="1">
      <c r="A72" s="164" t="s">
        <v>103</v>
      </c>
      <c r="B72" s="25" t="s">
        <v>104</v>
      </c>
      <c r="C72" s="24" t="s">
        <v>105</v>
      </c>
      <c r="D72" s="156">
        <v>6500</v>
      </c>
      <c r="E72" s="294">
        <f>1025+1387</f>
        <v>2412</v>
      </c>
      <c r="F72" s="266">
        <f t="shared" si="13"/>
        <v>4088</v>
      </c>
      <c r="G72" s="309">
        <f t="shared" si="14"/>
        <v>0.37107692307692308</v>
      </c>
      <c r="H72" s="156"/>
      <c r="I72" s="7" t="s">
        <v>16</v>
      </c>
      <c r="J72" s="8" t="s">
        <v>17</v>
      </c>
      <c r="K72" s="277">
        <v>74200</v>
      </c>
      <c r="L72" s="276" t="s">
        <v>129</v>
      </c>
      <c r="M72" s="118"/>
    </row>
    <row r="73" spans="1:13" ht="51.5" customHeight="1">
      <c r="A73" s="164"/>
      <c r="B73" s="25"/>
      <c r="C73" s="129" t="s">
        <v>218</v>
      </c>
      <c r="D73" s="139"/>
      <c r="E73" s="140">
        <v>-158</v>
      </c>
      <c r="F73" s="266">
        <f t="shared" si="13"/>
        <v>158</v>
      </c>
      <c r="G73" s="309">
        <v>0</v>
      </c>
      <c r="H73" s="139"/>
      <c r="I73" s="278" t="s">
        <v>16</v>
      </c>
      <c r="J73" s="12" t="s">
        <v>17</v>
      </c>
      <c r="K73" s="278" t="s">
        <v>219</v>
      </c>
      <c r="L73" s="305" t="s">
        <v>132</v>
      </c>
      <c r="M73" s="118"/>
    </row>
    <row r="74" spans="1:13" ht="25.25" customHeight="1">
      <c r="A74" s="516" t="s">
        <v>106</v>
      </c>
      <c r="B74" s="517"/>
      <c r="C74" s="518"/>
      <c r="D74" s="131">
        <f t="shared" ref="D74" si="15">SUM(D66:D73)</f>
        <v>27000</v>
      </c>
      <c r="E74" s="132">
        <f>SUM(E66:E73)</f>
        <v>11547</v>
      </c>
      <c r="F74" s="132">
        <f t="shared" si="13"/>
        <v>15453</v>
      </c>
      <c r="G74" s="293">
        <f t="shared" si="14"/>
        <v>0.42766666666666664</v>
      </c>
      <c r="H74" s="131"/>
      <c r="I74" s="131">
        <f>SUM(I67:I72)</f>
        <v>0</v>
      </c>
      <c r="J74" s="131">
        <f>SUM(J67:J72)</f>
        <v>0</v>
      </c>
      <c r="K74" s="131"/>
      <c r="L74" s="276"/>
      <c r="M74" s="118"/>
    </row>
    <row r="75" spans="1:13" ht="25.75" customHeight="1">
      <c r="A75" s="502" t="s">
        <v>107</v>
      </c>
      <c r="B75" s="503"/>
      <c r="C75" s="504"/>
      <c r="D75" s="157">
        <f>+D64+D74</f>
        <v>134026</v>
      </c>
      <c r="E75" s="158">
        <f>+E64+E74</f>
        <v>87304</v>
      </c>
      <c r="F75" s="158">
        <f t="shared" si="13"/>
        <v>46722</v>
      </c>
      <c r="G75" s="301">
        <f t="shared" si="14"/>
        <v>0.65139599779147328</v>
      </c>
      <c r="H75" s="157"/>
      <c r="I75" s="274"/>
      <c r="J75" s="274"/>
      <c r="K75" s="274"/>
      <c r="L75" s="276"/>
      <c r="M75" s="118"/>
    </row>
    <row r="76" spans="1:13" ht="29.4" customHeight="1">
      <c r="A76" s="505" t="s">
        <v>61</v>
      </c>
      <c r="B76" s="506"/>
      <c r="C76" s="507"/>
      <c r="D76" s="26">
        <v>12849</v>
      </c>
      <c r="E76" s="159">
        <v>5365</v>
      </c>
      <c r="F76" s="159">
        <f t="shared" si="13"/>
        <v>7484</v>
      </c>
      <c r="G76" s="302">
        <f t="shared" si="14"/>
        <v>0.417542221184528</v>
      </c>
      <c r="H76" s="26"/>
      <c r="I76" s="26" t="s">
        <v>16</v>
      </c>
      <c r="J76" s="26" t="s">
        <v>17</v>
      </c>
      <c r="K76" s="284">
        <v>75100</v>
      </c>
      <c r="L76" s="276"/>
      <c r="M76" s="118"/>
    </row>
    <row r="77" spans="1:13" ht="26.4" customHeight="1">
      <c r="A77" s="508" t="s">
        <v>108</v>
      </c>
      <c r="B77" s="509"/>
      <c r="C77" s="510"/>
      <c r="D77" s="151">
        <f>+D75+D76</f>
        <v>146875</v>
      </c>
      <c r="E77" s="152">
        <f t="shared" ref="E77" si="16">+E75+E76</f>
        <v>92669</v>
      </c>
      <c r="F77" s="152">
        <f t="shared" si="13"/>
        <v>54206</v>
      </c>
      <c r="G77" s="298">
        <f t="shared" si="14"/>
        <v>0.63093787234042553</v>
      </c>
      <c r="H77" s="151"/>
      <c r="I77" s="272"/>
      <c r="J77" s="272"/>
      <c r="K77" s="272"/>
      <c r="L77" s="276"/>
      <c r="M77" s="118"/>
    </row>
    <row r="78" spans="1:13" ht="25.25" customHeight="1">
      <c r="A78" s="503"/>
      <c r="B78" s="503"/>
      <c r="C78" s="504"/>
      <c r="D78" s="157">
        <f t="shared" ref="D78:E80" si="17">+D75+D44</f>
        <v>447656.40700000001</v>
      </c>
      <c r="E78" s="158">
        <f t="shared" si="17"/>
        <v>328037</v>
      </c>
      <c r="F78" s="158">
        <f t="shared" si="13"/>
        <v>119619.40700000001</v>
      </c>
      <c r="G78" s="301">
        <f t="shared" si="14"/>
        <v>0.73278745678714252</v>
      </c>
      <c r="H78" s="157"/>
      <c r="I78" s="274"/>
      <c r="J78" s="274"/>
      <c r="K78" s="274"/>
      <c r="L78" s="276"/>
      <c r="M78" s="118"/>
    </row>
    <row r="79" spans="1:13" ht="23.4" customHeight="1">
      <c r="A79" s="519"/>
      <c r="B79" s="519"/>
      <c r="C79" s="520"/>
      <c r="D79" s="160">
        <f t="shared" si="17"/>
        <v>31335</v>
      </c>
      <c r="E79" s="161">
        <f t="shared" si="17"/>
        <v>18290</v>
      </c>
      <c r="F79" s="161">
        <f t="shared" si="13"/>
        <v>13045</v>
      </c>
      <c r="G79" s="303">
        <f t="shared" si="14"/>
        <v>0.58369235678953246</v>
      </c>
      <c r="H79" s="160"/>
      <c r="I79" s="26" t="s">
        <v>16</v>
      </c>
      <c r="J79" s="26" t="s">
        <v>17</v>
      </c>
      <c r="K79" s="284">
        <v>75100</v>
      </c>
      <c r="L79" s="276"/>
      <c r="M79" s="118"/>
    </row>
    <row r="80" spans="1:13" ht="25.75" customHeight="1">
      <c r="A80" s="521"/>
      <c r="B80" s="521"/>
      <c r="C80" s="522"/>
      <c r="D80" s="162">
        <f t="shared" si="17"/>
        <v>478991.40700000001</v>
      </c>
      <c r="E80" s="163">
        <f t="shared" si="17"/>
        <v>346327</v>
      </c>
      <c r="F80" s="163">
        <f t="shared" si="13"/>
        <v>132664.40700000001</v>
      </c>
      <c r="G80" s="304">
        <f t="shared" si="14"/>
        <v>0.72303384766148837</v>
      </c>
      <c r="H80" s="162"/>
      <c r="I80" s="285"/>
      <c r="J80" s="285"/>
      <c r="K80" s="285"/>
      <c r="L80" s="276"/>
      <c r="M80" s="118"/>
    </row>
    <row r="81" spans="1:13">
      <c r="L81" s="118"/>
      <c r="M81" s="118"/>
    </row>
    <row r="82" spans="1:13">
      <c r="E82" s="28"/>
      <c r="L82" s="118"/>
      <c r="M82" s="118"/>
    </row>
    <row r="83" spans="1:13">
      <c r="D83" s="27"/>
      <c r="E83" s="28"/>
      <c r="L83" s="118"/>
      <c r="M83" s="118"/>
    </row>
    <row r="84" spans="1:13">
      <c r="D84" s="27"/>
      <c r="E84" s="27"/>
      <c r="F84" s="27"/>
      <c r="G84" s="27"/>
      <c r="H84" s="27"/>
    </row>
    <row r="85" spans="1:13">
      <c r="E85" s="28"/>
    </row>
    <row r="87" spans="1:13">
      <c r="A87" s="29"/>
      <c r="C87" s="28"/>
    </row>
    <row r="89" spans="1:13">
      <c r="D89" s="28"/>
      <c r="E89" s="28"/>
      <c r="F89" s="28"/>
      <c r="G89" s="28"/>
      <c r="H89" s="28"/>
    </row>
  </sheetData>
  <mergeCells count="51">
    <mergeCell ref="A79:C79"/>
    <mergeCell ref="A80:C80"/>
    <mergeCell ref="A78:C78"/>
    <mergeCell ref="D47:D48"/>
    <mergeCell ref="A66:A67"/>
    <mergeCell ref="B66:B67"/>
    <mergeCell ref="A59:A60"/>
    <mergeCell ref="B59:B60"/>
    <mergeCell ref="A62:A63"/>
    <mergeCell ref="A77:C77"/>
    <mergeCell ref="A76:C76"/>
    <mergeCell ref="A75:C75"/>
    <mergeCell ref="A74:C74"/>
    <mergeCell ref="A49:L49"/>
    <mergeCell ref="A50:L50"/>
    <mergeCell ref="A65:L65"/>
    <mergeCell ref="A33:K33"/>
    <mergeCell ref="I35:I37"/>
    <mergeCell ref="J35:J37"/>
    <mergeCell ref="A39:K39"/>
    <mergeCell ref="L47:L48"/>
    <mergeCell ref="G47:G48"/>
    <mergeCell ref="H35:H37"/>
    <mergeCell ref="H47:H48"/>
    <mergeCell ref="I47:K47"/>
    <mergeCell ref="E47:E48"/>
    <mergeCell ref="F47:F48"/>
    <mergeCell ref="A40:A42"/>
    <mergeCell ref="A43:C43"/>
    <mergeCell ref="A52:A55"/>
    <mergeCell ref="B52:B55"/>
    <mergeCell ref="A44:C44"/>
    <mergeCell ref="A45:C45"/>
    <mergeCell ref="C47:C48"/>
    <mergeCell ref="A46:C46"/>
    <mergeCell ref="L8:L9"/>
    <mergeCell ref="A10:K10"/>
    <mergeCell ref="A11:K11"/>
    <mergeCell ref="A12:K12"/>
    <mergeCell ref="J28:J30"/>
    <mergeCell ref="K28:K30"/>
    <mergeCell ref="I28:I30"/>
    <mergeCell ref="C28:C30"/>
    <mergeCell ref="A13:B26"/>
    <mergeCell ref="G8:G9"/>
    <mergeCell ref="H8:H9"/>
    <mergeCell ref="I8:K8"/>
    <mergeCell ref="E8:E9"/>
    <mergeCell ref="F8:F9"/>
    <mergeCell ref="D8:D9"/>
    <mergeCell ref="C8:C9"/>
  </mergeCells>
  <printOptions horizontalCentered="1"/>
  <pageMargins left="3.937007874015748E-2" right="3.937007874015748E-2" top="3.937007874015748E-2" bottom="3.937007874015748E-2"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BDC8D-BE85-42DC-9864-7DE77722C704}">
  <dimension ref="A1:ADH88"/>
  <sheetViews>
    <sheetView tabSelected="1" topLeftCell="A73" zoomScale="60" zoomScaleNormal="60" workbookViewId="0">
      <selection activeCell="N81" sqref="N81"/>
    </sheetView>
  </sheetViews>
  <sheetFormatPr baseColWidth="10" defaultRowHeight="14.5"/>
  <cols>
    <col min="1" max="1" width="26.54296875" style="3" customWidth="1"/>
    <col min="2" max="2" width="27.6328125" style="3" customWidth="1"/>
    <col min="3" max="3" width="39.08984375" style="3" customWidth="1"/>
    <col min="4" max="4" width="22" style="3" customWidth="1"/>
    <col min="5" max="5" width="16.81640625" style="3" customWidth="1"/>
    <col min="6" max="6" width="16.36328125" style="3" customWidth="1"/>
    <col min="7" max="7" width="12.1796875" style="3" customWidth="1"/>
    <col min="8" max="8" width="20.54296875" style="3" customWidth="1"/>
    <col min="9" max="9" width="5.81640625" style="3" customWidth="1"/>
    <col min="10" max="10" width="6.08984375" style="3" customWidth="1"/>
    <col min="11" max="11" width="6.7265625" style="3" customWidth="1"/>
    <col min="12" max="12" width="21.7265625" style="3" customWidth="1"/>
    <col min="13" max="13" width="10.90625" style="3"/>
    <col min="14" max="14" width="33.36328125" style="3" customWidth="1"/>
    <col min="15" max="247" width="10.90625" style="3"/>
    <col min="248" max="248" width="48.08984375" style="3" customWidth="1"/>
    <col min="249" max="249" width="38.54296875" style="3" customWidth="1"/>
    <col min="250" max="250" width="30.90625" style="3" customWidth="1"/>
    <col min="251" max="251" width="16.90625" style="3" customWidth="1"/>
    <col min="252" max="253" width="4.08984375" style="3" customWidth="1"/>
    <col min="254" max="254" width="3.81640625" style="3" customWidth="1"/>
    <col min="255" max="255" width="4.453125" style="3" customWidth="1"/>
    <col min="256" max="256" width="22.1796875" style="3" customWidth="1"/>
    <col min="257" max="257" width="6.54296875" style="3" customWidth="1"/>
    <col min="258" max="258" width="6.90625" style="3" customWidth="1"/>
    <col min="259" max="259" width="8.90625" style="3" customWidth="1"/>
    <col min="260" max="260" width="14.453125" style="3" customWidth="1"/>
    <col min="261" max="261" width="10.90625" style="3"/>
    <col min="262" max="262" width="11.81640625" style="3" bestFit="1" customWidth="1"/>
    <col min="263" max="503" width="10.90625" style="3"/>
    <col min="504" max="504" width="48.08984375" style="3" customWidth="1"/>
    <col min="505" max="505" width="38.54296875" style="3" customWidth="1"/>
    <col min="506" max="506" width="30.90625" style="3" customWidth="1"/>
    <col min="507" max="507" width="16.90625" style="3" customWidth="1"/>
    <col min="508" max="509" width="4.08984375" style="3" customWidth="1"/>
    <col min="510" max="510" width="3.81640625" style="3" customWidth="1"/>
    <col min="511" max="511" width="4.453125" style="3" customWidth="1"/>
    <col min="512" max="512" width="22.1796875" style="3" customWidth="1"/>
    <col min="513" max="513" width="6.54296875" style="3" customWidth="1"/>
    <col min="514" max="514" width="6.90625" style="3" customWidth="1"/>
    <col min="515" max="515" width="8.90625" style="3" customWidth="1"/>
    <col min="516" max="516" width="14.453125" style="3" customWidth="1"/>
    <col min="517" max="517" width="10.90625" style="3"/>
    <col min="518" max="518" width="11.81640625" style="3" bestFit="1" customWidth="1"/>
    <col min="519" max="759" width="10.90625" style="3"/>
    <col min="760" max="760" width="48.08984375" style="3" customWidth="1"/>
    <col min="761" max="761" width="38.54296875" style="3" customWidth="1"/>
    <col min="762" max="762" width="30.90625" style="3" customWidth="1"/>
    <col min="763" max="763" width="16.90625" style="3" customWidth="1"/>
    <col min="764" max="765" width="4.08984375" style="3" customWidth="1"/>
    <col min="766" max="766" width="3.81640625" style="3" customWidth="1"/>
    <col min="767" max="767" width="4.453125" style="3" customWidth="1"/>
    <col min="768" max="768" width="22.1796875" style="3" customWidth="1"/>
    <col min="769" max="769" width="6.54296875" style="3" customWidth="1"/>
    <col min="770" max="770" width="6.90625" style="3" customWidth="1"/>
    <col min="771" max="771" width="8.90625" style="3" customWidth="1"/>
    <col min="772" max="772" width="14.453125" style="3" customWidth="1"/>
    <col min="773" max="773" width="10.90625" style="3"/>
    <col min="774" max="774" width="11.81640625" style="3" bestFit="1" customWidth="1"/>
    <col min="775" max="1015" width="10.90625" style="3"/>
    <col min="1016" max="1016" width="48.08984375" style="3" customWidth="1"/>
    <col min="1017" max="1017" width="38.54296875" style="3" customWidth="1"/>
    <col min="1018" max="1018" width="30.90625" style="3" customWidth="1"/>
    <col min="1019" max="1019" width="16.90625" style="3" customWidth="1"/>
    <col min="1020" max="1021" width="4.08984375" style="3" customWidth="1"/>
    <col min="1022" max="1022" width="3.81640625" style="3" customWidth="1"/>
    <col min="1023" max="1023" width="4.453125" style="3" customWidth="1"/>
    <col min="1024" max="1024" width="22.1796875" style="3" customWidth="1"/>
    <col min="1025" max="1025" width="6.54296875" style="3" customWidth="1"/>
    <col min="1026" max="1026" width="6.90625" style="3" customWidth="1"/>
    <col min="1027" max="1027" width="8.90625" style="3" customWidth="1"/>
    <col min="1028" max="1028" width="14.453125" style="3" customWidth="1"/>
    <col min="1029" max="1029" width="10.90625" style="3"/>
    <col min="1030" max="1030" width="11.81640625" style="3" bestFit="1" customWidth="1"/>
    <col min="1031" max="1271" width="10.90625" style="3"/>
    <col min="1272" max="1272" width="48.08984375" style="3" customWidth="1"/>
    <col min="1273" max="1273" width="38.54296875" style="3" customWidth="1"/>
    <col min="1274" max="1274" width="30.90625" style="3" customWidth="1"/>
    <col min="1275" max="1275" width="16.90625" style="3" customWidth="1"/>
    <col min="1276" max="1277" width="4.08984375" style="3" customWidth="1"/>
    <col min="1278" max="1278" width="3.81640625" style="3" customWidth="1"/>
    <col min="1279" max="1279" width="4.453125" style="3" customWidth="1"/>
    <col min="1280" max="1280" width="22.1796875" style="3" customWidth="1"/>
    <col min="1281" max="1281" width="6.54296875" style="3" customWidth="1"/>
    <col min="1282" max="1282" width="6.90625" style="3" customWidth="1"/>
    <col min="1283" max="1283" width="8.90625" style="3" customWidth="1"/>
    <col min="1284" max="1284" width="14.453125" style="3" customWidth="1"/>
    <col min="1285" max="1285" width="10.90625" style="3"/>
    <col min="1286" max="1286" width="11.81640625" style="3" bestFit="1" customWidth="1"/>
    <col min="1287" max="1527" width="10.90625" style="3"/>
    <col min="1528" max="1528" width="48.08984375" style="3" customWidth="1"/>
    <col min="1529" max="1529" width="38.54296875" style="3" customWidth="1"/>
    <col min="1530" max="1530" width="30.90625" style="3" customWidth="1"/>
    <col min="1531" max="1531" width="16.90625" style="3" customWidth="1"/>
    <col min="1532" max="1533" width="4.08984375" style="3" customWidth="1"/>
    <col min="1534" max="1534" width="3.81640625" style="3" customWidth="1"/>
    <col min="1535" max="1535" width="4.453125" style="3" customWidth="1"/>
    <col min="1536" max="1536" width="22.1796875" style="3" customWidth="1"/>
    <col min="1537" max="1537" width="6.54296875" style="3" customWidth="1"/>
    <col min="1538" max="1538" width="6.90625" style="3" customWidth="1"/>
    <col min="1539" max="1539" width="8.90625" style="3" customWidth="1"/>
    <col min="1540" max="1540" width="14.453125" style="3" customWidth="1"/>
    <col min="1541" max="1541" width="10.90625" style="3"/>
    <col min="1542" max="1542" width="11.81640625" style="3" bestFit="1" customWidth="1"/>
    <col min="1543" max="1783" width="10.90625" style="3"/>
    <col min="1784" max="1784" width="48.08984375" style="3" customWidth="1"/>
    <col min="1785" max="1785" width="38.54296875" style="3" customWidth="1"/>
    <col min="1786" max="1786" width="30.90625" style="3" customWidth="1"/>
    <col min="1787" max="1787" width="16.90625" style="3" customWidth="1"/>
    <col min="1788" max="1789" width="4.08984375" style="3" customWidth="1"/>
    <col min="1790" max="1790" width="3.81640625" style="3" customWidth="1"/>
    <col min="1791" max="1791" width="4.453125" style="3" customWidth="1"/>
    <col min="1792" max="1792" width="22.1796875" style="3" customWidth="1"/>
    <col min="1793" max="1793" width="6.54296875" style="3" customWidth="1"/>
    <col min="1794" max="1794" width="6.90625" style="3" customWidth="1"/>
    <col min="1795" max="1795" width="8.90625" style="3" customWidth="1"/>
    <col min="1796" max="1796" width="14.453125" style="3" customWidth="1"/>
    <col min="1797" max="1797" width="10.90625" style="3"/>
    <col min="1798" max="1798" width="11.81640625" style="3" bestFit="1" customWidth="1"/>
    <col min="1799" max="2039" width="10.90625" style="3"/>
    <col min="2040" max="2040" width="48.08984375" style="3" customWidth="1"/>
    <col min="2041" max="2041" width="38.54296875" style="3" customWidth="1"/>
    <col min="2042" max="2042" width="30.90625" style="3" customWidth="1"/>
    <col min="2043" max="2043" width="16.90625" style="3" customWidth="1"/>
    <col min="2044" max="2045" width="4.08984375" style="3" customWidth="1"/>
    <col min="2046" max="2046" width="3.81640625" style="3" customWidth="1"/>
    <col min="2047" max="2047" width="4.453125" style="3" customWidth="1"/>
    <col min="2048" max="2048" width="22.1796875" style="3" customWidth="1"/>
    <col min="2049" max="2049" width="6.54296875" style="3" customWidth="1"/>
    <col min="2050" max="2050" width="6.90625" style="3" customWidth="1"/>
    <col min="2051" max="2051" width="8.90625" style="3" customWidth="1"/>
    <col min="2052" max="2052" width="14.453125" style="3" customWidth="1"/>
    <col min="2053" max="2053" width="10.90625" style="3"/>
    <col min="2054" max="2054" width="11.81640625" style="3" bestFit="1" customWidth="1"/>
    <col min="2055" max="2295" width="10.90625" style="3"/>
    <col min="2296" max="2296" width="48.08984375" style="3" customWidth="1"/>
    <col min="2297" max="2297" width="38.54296875" style="3" customWidth="1"/>
    <col min="2298" max="2298" width="30.90625" style="3" customWidth="1"/>
    <col min="2299" max="2299" width="16.90625" style="3" customWidth="1"/>
    <col min="2300" max="2301" width="4.08984375" style="3" customWidth="1"/>
    <col min="2302" max="2302" width="3.81640625" style="3" customWidth="1"/>
    <col min="2303" max="2303" width="4.453125" style="3" customWidth="1"/>
    <col min="2304" max="2304" width="22.1796875" style="3" customWidth="1"/>
    <col min="2305" max="2305" width="6.54296875" style="3" customWidth="1"/>
    <col min="2306" max="2306" width="6.90625" style="3" customWidth="1"/>
    <col min="2307" max="2307" width="8.90625" style="3" customWidth="1"/>
    <col min="2308" max="2308" width="14.453125" style="3" customWidth="1"/>
    <col min="2309" max="2309" width="10.90625" style="3"/>
    <col min="2310" max="2310" width="11.81640625" style="3" bestFit="1" customWidth="1"/>
    <col min="2311" max="2551" width="10.90625" style="3"/>
    <col min="2552" max="2552" width="48.08984375" style="3" customWidth="1"/>
    <col min="2553" max="2553" width="38.54296875" style="3" customWidth="1"/>
    <col min="2554" max="2554" width="30.90625" style="3" customWidth="1"/>
    <col min="2555" max="2555" width="16.90625" style="3" customWidth="1"/>
    <col min="2556" max="2557" width="4.08984375" style="3" customWidth="1"/>
    <col min="2558" max="2558" width="3.81640625" style="3" customWidth="1"/>
    <col min="2559" max="2559" width="4.453125" style="3" customWidth="1"/>
    <col min="2560" max="2560" width="22.1796875" style="3" customWidth="1"/>
    <col min="2561" max="2561" width="6.54296875" style="3" customWidth="1"/>
    <col min="2562" max="2562" width="6.90625" style="3" customWidth="1"/>
    <col min="2563" max="2563" width="8.90625" style="3" customWidth="1"/>
    <col min="2564" max="2564" width="14.453125" style="3" customWidth="1"/>
    <col min="2565" max="2565" width="10.90625" style="3"/>
    <col min="2566" max="2566" width="11.81640625" style="3" bestFit="1" customWidth="1"/>
    <col min="2567" max="2807" width="10.90625" style="3"/>
    <col min="2808" max="2808" width="48.08984375" style="3" customWidth="1"/>
    <col min="2809" max="2809" width="38.54296875" style="3" customWidth="1"/>
    <col min="2810" max="2810" width="30.90625" style="3" customWidth="1"/>
    <col min="2811" max="2811" width="16.90625" style="3" customWidth="1"/>
    <col min="2812" max="2813" width="4.08984375" style="3" customWidth="1"/>
    <col min="2814" max="2814" width="3.81640625" style="3" customWidth="1"/>
    <col min="2815" max="2815" width="4.453125" style="3" customWidth="1"/>
    <col min="2816" max="2816" width="22.1796875" style="3" customWidth="1"/>
    <col min="2817" max="2817" width="6.54296875" style="3" customWidth="1"/>
    <col min="2818" max="2818" width="6.90625" style="3" customWidth="1"/>
    <col min="2819" max="2819" width="8.90625" style="3" customWidth="1"/>
    <col min="2820" max="2820" width="14.453125" style="3" customWidth="1"/>
    <col min="2821" max="2821" width="10.90625" style="3"/>
    <col min="2822" max="2822" width="11.81640625" style="3" bestFit="1" customWidth="1"/>
    <col min="2823" max="3063" width="10.90625" style="3"/>
    <col min="3064" max="3064" width="48.08984375" style="3" customWidth="1"/>
    <col min="3065" max="3065" width="38.54296875" style="3" customWidth="1"/>
    <col min="3066" max="3066" width="30.90625" style="3" customWidth="1"/>
    <col min="3067" max="3067" width="16.90625" style="3" customWidth="1"/>
    <col min="3068" max="3069" width="4.08984375" style="3" customWidth="1"/>
    <col min="3070" max="3070" width="3.81640625" style="3" customWidth="1"/>
    <col min="3071" max="3071" width="4.453125" style="3" customWidth="1"/>
    <col min="3072" max="3072" width="22.1796875" style="3" customWidth="1"/>
    <col min="3073" max="3073" width="6.54296875" style="3" customWidth="1"/>
    <col min="3074" max="3074" width="6.90625" style="3" customWidth="1"/>
    <col min="3075" max="3075" width="8.90625" style="3" customWidth="1"/>
    <col min="3076" max="3076" width="14.453125" style="3" customWidth="1"/>
    <col min="3077" max="3077" width="10.90625" style="3"/>
    <col min="3078" max="3078" width="11.81640625" style="3" bestFit="1" customWidth="1"/>
    <col min="3079" max="3319" width="10.90625" style="3"/>
    <col min="3320" max="3320" width="48.08984375" style="3" customWidth="1"/>
    <col min="3321" max="3321" width="38.54296875" style="3" customWidth="1"/>
    <col min="3322" max="3322" width="30.90625" style="3" customWidth="1"/>
    <col min="3323" max="3323" width="16.90625" style="3" customWidth="1"/>
    <col min="3324" max="3325" width="4.08984375" style="3" customWidth="1"/>
    <col min="3326" max="3326" width="3.81640625" style="3" customWidth="1"/>
    <col min="3327" max="3327" width="4.453125" style="3" customWidth="1"/>
    <col min="3328" max="3328" width="22.1796875" style="3" customWidth="1"/>
    <col min="3329" max="3329" width="6.54296875" style="3" customWidth="1"/>
    <col min="3330" max="3330" width="6.90625" style="3" customWidth="1"/>
    <col min="3331" max="3331" width="8.90625" style="3" customWidth="1"/>
    <col min="3332" max="3332" width="14.453125" style="3" customWidth="1"/>
    <col min="3333" max="3333" width="10.90625" style="3"/>
    <col min="3334" max="3334" width="11.81640625" style="3" bestFit="1" customWidth="1"/>
    <col min="3335" max="3575" width="10.90625" style="3"/>
    <col min="3576" max="3576" width="48.08984375" style="3" customWidth="1"/>
    <col min="3577" max="3577" width="38.54296875" style="3" customWidth="1"/>
    <col min="3578" max="3578" width="30.90625" style="3" customWidth="1"/>
    <col min="3579" max="3579" width="16.90625" style="3" customWidth="1"/>
    <col min="3580" max="3581" width="4.08984375" style="3" customWidth="1"/>
    <col min="3582" max="3582" width="3.81640625" style="3" customWidth="1"/>
    <col min="3583" max="3583" width="4.453125" style="3" customWidth="1"/>
    <col min="3584" max="3584" width="22.1796875" style="3" customWidth="1"/>
    <col min="3585" max="3585" width="6.54296875" style="3" customWidth="1"/>
    <col min="3586" max="3586" width="6.90625" style="3" customWidth="1"/>
    <col min="3587" max="3587" width="8.90625" style="3" customWidth="1"/>
    <col min="3588" max="3588" width="14.453125" style="3" customWidth="1"/>
    <col min="3589" max="3589" width="10.90625" style="3"/>
    <col min="3590" max="3590" width="11.81640625" style="3" bestFit="1" customWidth="1"/>
    <col min="3591" max="3831" width="10.90625" style="3"/>
    <col min="3832" max="3832" width="48.08984375" style="3" customWidth="1"/>
    <col min="3833" max="3833" width="38.54296875" style="3" customWidth="1"/>
    <col min="3834" max="3834" width="30.90625" style="3" customWidth="1"/>
    <col min="3835" max="3835" width="16.90625" style="3" customWidth="1"/>
    <col min="3836" max="3837" width="4.08984375" style="3" customWidth="1"/>
    <col min="3838" max="3838" width="3.81640625" style="3" customWidth="1"/>
    <col min="3839" max="3839" width="4.453125" style="3" customWidth="1"/>
    <col min="3840" max="3840" width="22.1796875" style="3" customWidth="1"/>
    <col min="3841" max="3841" width="6.54296875" style="3" customWidth="1"/>
    <col min="3842" max="3842" width="6.90625" style="3" customWidth="1"/>
    <col min="3843" max="3843" width="8.90625" style="3" customWidth="1"/>
    <col min="3844" max="3844" width="14.453125" style="3" customWidth="1"/>
    <col min="3845" max="3845" width="10.90625" style="3"/>
    <col min="3846" max="3846" width="11.81640625" style="3" bestFit="1" customWidth="1"/>
    <col min="3847" max="4087" width="10.90625" style="3"/>
    <col min="4088" max="4088" width="48.08984375" style="3" customWidth="1"/>
    <col min="4089" max="4089" width="38.54296875" style="3" customWidth="1"/>
    <col min="4090" max="4090" width="30.90625" style="3" customWidth="1"/>
    <col min="4091" max="4091" width="16.90625" style="3" customWidth="1"/>
    <col min="4092" max="4093" width="4.08984375" style="3" customWidth="1"/>
    <col min="4094" max="4094" width="3.81640625" style="3" customWidth="1"/>
    <col min="4095" max="4095" width="4.453125" style="3" customWidth="1"/>
    <col min="4096" max="4096" width="22.1796875" style="3" customWidth="1"/>
    <col min="4097" max="4097" width="6.54296875" style="3" customWidth="1"/>
    <col min="4098" max="4098" width="6.90625" style="3" customWidth="1"/>
    <col min="4099" max="4099" width="8.90625" style="3" customWidth="1"/>
    <col min="4100" max="4100" width="14.453125" style="3" customWidth="1"/>
    <col min="4101" max="4101" width="10.90625" style="3"/>
    <col min="4102" max="4102" width="11.81640625" style="3" bestFit="1" customWidth="1"/>
    <col min="4103" max="4343" width="10.90625" style="3"/>
    <col min="4344" max="4344" width="48.08984375" style="3" customWidth="1"/>
    <col min="4345" max="4345" width="38.54296875" style="3" customWidth="1"/>
    <col min="4346" max="4346" width="30.90625" style="3" customWidth="1"/>
    <col min="4347" max="4347" width="16.90625" style="3" customWidth="1"/>
    <col min="4348" max="4349" width="4.08984375" style="3" customWidth="1"/>
    <col min="4350" max="4350" width="3.81640625" style="3" customWidth="1"/>
    <col min="4351" max="4351" width="4.453125" style="3" customWidth="1"/>
    <col min="4352" max="4352" width="22.1796875" style="3" customWidth="1"/>
    <col min="4353" max="4353" width="6.54296875" style="3" customWidth="1"/>
    <col min="4354" max="4354" width="6.90625" style="3" customWidth="1"/>
    <col min="4355" max="4355" width="8.90625" style="3" customWidth="1"/>
    <col min="4356" max="4356" width="14.453125" style="3" customWidth="1"/>
    <col min="4357" max="4357" width="10.90625" style="3"/>
    <col min="4358" max="4358" width="11.81640625" style="3" bestFit="1" customWidth="1"/>
    <col min="4359" max="4599" width="10.90625" style="3"/>
    <col min="4600" max="4600" width="48.08984375" style="3" customWidth="1"/>
    <col min="4601" max="4601" width="38.54296875" style="3" customWidth="1"/>
    <col min="4602" max="4602" width="30.90625" style="3" customWidth="1"/>
    <col min="4603" max="4603" width="16.90625" style="3" customWidth="1"/>
    <col min="4604" max="4605" width="4.08984375" style="3" customWidth="1"/>
    <col min="4606" max="4606" width="3.81640625" style="3" customWidth="1"/>
    <col min="4607" max="4607" width="4.453125" style="3" customWidth="1"/>
    <col min="4608" max="4608" width="22.1796875" style="3" customWidth="1"/>
    <col min="4609" max="4609" width="6.54296875" style="3" customWidth="1"/>
    <col min="4610" max="4610" width="6.90625" style="3" customWidth="1"/>
    <col min="4611" max="4611" width="8.90625" style="3" customWidth="1"/>
    <col min="4612" max="4612" width="14.453125" style="3" customWidth="1"/>
    <col min="4613" max="4613" width="10.90625" style="3"/>
    <col min="4614" max="4614" width="11.81640625" style="3" bestFit="1" customWidth="1"/>
    <col min="4615" max="4855" width="10.90625" style="3"/>
    <col min="4856" max="4856" width="48.08984375" style="3" customWidth="1"/>
    <col min="4857" max="4857" width="38.54296875" style="3" customWidth="1"/>
    <col min="4858" max="4858" width="30.90625" style="3" customWidth="1"/>
    <col min="4859" max="4859" width="16.90625" style="3" customWidth="1"/>
    <col min="4860" max="4861" width="4.08984375" style="3" customWidth="1"/>
    <col min="4862" max="4862" width="3.81640625" style="3" customWidth="1"/>
    <col min="4863" max="4863" width="4.453125" style="3" customWidth="1"/>
    <col min="4864" max="4864" width="22.1796875" style="3" customWidth="1"/>
    <col min="4865" max="4865" width="6.54296875" style="3" customWidth="1"/>
    <col min="4866" max="4866" width="6.90625" style="3" customWidth="1"/>
    <col min="4867" max="4867" width="8.90625" style="3" customWidth="1"/>
    <col min="4868" max="4868" width="14.453125" style="3" customWidth="1"/>
    <col min="4869" max="4869" width="10.90625" style="3"/>
    <col min="4870" max="4870" width="11.81640625" style="3" bestFit="1" customWidth="1"/>
    <col min="4871" max="5111" width="10.90625" style="3"/>
    <col min="5112" max="5112" width="48.08984375" style="3" customWidth="1"/>
    <col min="5113" max="5113" width="38.54296875" style="3" customWidth="1"/>
    <col min="5114" max="5114" width="30.90625" style="3" customWidth="1"/>
    <col min="5115" max="5115" width="16.90625" style="3" customWidth="1"/>
    <col min="5116" max="5117" width="4.08984375" style="3" customWidth="1"/>
    <col min="5118" max="5118" width="3.81640625" style="3" customWidth="1"/>
    <col min="5119" max="5119" width="4.453125" style="3" customWidth="1"/>
    <col min="5120" max="5120" width="22.1796875" style="3" customWidth="1"/>
    <col min="5121" max="5121" width="6.54296875" style="3" customWidth="1"/>
    <col min="5122" max="5122" width="6.90625" style="3" customWidth="1"/>
    <col min="5123" max="5123" width="8.90625" style="3" customWidth="1"/>
    <col min="5124" max="5124" width="14.453125" style="3" customWidth="1"/>
    <col min="5125" max="5125" width="10.90625" style="3"/>
    <col min="5126" max="5126" width="11.81640625" style="3" bestFit="1" customWidth="1"/>
    <col min="5127" max="5367" width="10.90625" style="3"/>
    <col min="5368" max="5368" width="48.08984375" style="3" customWidth="1"/>
    <col min="5369" max="5369" width="38.54296875" style="3" customWidth="1"/>
    <col min="5370" max="5370" width="30.90625" style="3" customWidth="1"/>
    <col min="5371" max="5371" width="16.90625" style="3" customWidth="1"/>
    <col min="5372" max="5373" width="4.08984375" style="3" customWidth="1"/>
    <col min="5374" max="5374" width="3.81640625" style="3" customWidth="1"/>
    <col min="5375" max="5375" width="4.453125" style="3" customWidth="1"/>
    <col min="5376" max="5376" width="22.1796875" style="3" customWidth="1"/>
    <col min="5377" max="5377" width="6.54296875" style="3" customWidth="1"/>
    <col min="5378" max="5378" width="6.90625" style="3" customWidth="1"/>
    <col min="5379" max="5379" width="8.90625" style="3" customWidth="1"/>
    <col min="5380" max="5380" width="14.453125" style="3" customWidth="1"/>
    <col min="5381" max="5381" width="10.90625" style="3"/>
    <col min="5382" max="5382" width="11.81640625" style="3" bestFit="1" customWidth="1"/>
    <col min="5383" max="5623" width="10.90625" style="3"/>
    <col min="5624" max="5624" width="48.08984375" style="3" customWidth="1"/>
    <col min="5625" max="5625" width="38.54296875" style="3" customWidth="1"/>
    <col min="5626" max="5626" width="30.90625" style="3" customWidth="1"/>
    <col min="5627" max="5627" width="16.90625" style="3" customWidth="1"/>
    <col min="5628" max="5629" width="4.08984375" style="3" customWidth="1"/>
    <col min="5630" max="5630" width="3.81640625" style="3" customWidth="1"/>
    <col min="5631" max="5631" width="4.453125" style="3" customWidth="1"/>
    <col min="5632" max="5632" width="22.1796875" style="3" customWidth="1"/>
    <col min="5633" max="5633" width="6.54296875" style="3" customWidth="1"/>
    <col min="5634" max="5634" width="6.90625" style="3" customWidth="1"/>
    <col min="5635" max="5635" width="8.90625" style="3" customWidth="1"/>
    <col min="5636" max="5636" width="14.453125" style="3" customWidth="1"/>
    <col min="5637" max="5637" width="10.90625" style="3"/>
    <col min="5638" max="5638" width="11.81640625" style="3" bestFit="1" customWidth="1"/>
    <col min="5639" max="5879" width="10.90625" style="3"/>
    <col min="5880" max="5880" width="48.08984375" style="3" customWidth="1"/>
    <col min="5881" max="5881" width="38.54296875" style="3" customWidth="1"/>
    <col min="5882" max="5882" width="30.90625" style="3" customWidth="1"/>
    <col min="5883" max="5883" width="16.90625" style="3" customWidth="1"/>
    <col min="5884" max="5885" width="4.08984375" style="3" customWidth="1"/>
    <col min="5886" max="5886" width="3.81640625" style="3" customWidth="1"/>
    <col min="5887" max="5887" width="4.453125" style="3" customWidth="1"/>
    <col min="5888" max="5888" width="22.1796875" style="3" customWidth="1"/>
    <col min="5889" max="5889" width="6.54296875" style="3" customWidth="1"/>
    <col min="5890" max="5890" width="6.90625" style="3" customWidth="1"/>
    <col min="5891" max="5891" width="8.90625" style="3" customWidth="1"/>
    <col min="5892" max="5892" width="14.453125" style="3" customWidth="1"/>
    <col min="5893" max="5893" width="10.90625" style="3"/>
    <col min="5894" max="5894" width="11.81640625" style="3" bestFit="1" customWidth="1"/>
    <col min="5895" max="6135" width="10.90625" style="3"/>
    <col min="6136" max="6136" width="48.08984375" style="3" customWidth="1"/>
    <col min="6137" max="6137" width="38.54296875" style="3" customWidth="1"/>
    <col min="6138" max="6138" width="30.90625" style="3" customWidth="1"/>
    <col min="6139" max="6139" width="16.90625" style="3" customWidth="1"/>
    <col min="6140" max="6141" width="4.08984375" style="3" customWidth="1"/>
    <col min="6142" max="6142" width="3.81640625" style="3" customWidth="1"/>
    <col min="6143" max="6143" width="4.453125" style="3" customWidth="1"/>
    <col min="6144" max="6144" width="22.1796875" style="3" customWidth="1"/>
    <col min="6145" max="6145" width="6.54296875" style="3" customWidth="1"/>
    <col min="6146" max="6146" width="6.90625" style="3" customWidth="1"/>
    <col min="6147" max="6147" width="8.90625" style="3" customWidth="1"/>
    <col min="6148" max="6148" width="14.453125" style="3" customWidth="1"/>
    <col min="6149" max="6149" width="10.90625" style="3"/>
    <col min="6150" max="6150" width="11.81640625" style="3" bestFit="1" customWidth="1"/>
    <col min="6151" max="6391" width="10.90625" style="3"/>
    <col min="6392" max="6392" width="48.08984375" style="3" customWidth="1"/>
    <col min="6393" max="6393" width="38.54296875" style="3" customWidth="1"/>
    <col min="6394" max="6394" width="30.90625" style="3" customWidth="1"/>
    <col min="6395" max="6395" width="16.90625" style="3" customWidth="1"/>
    <col min="6396" max="6397" width="4.08984375" style="3" customWidth="1"/>
    <col min="6398" max="6398" width="3.81640625" style="3" customWidth="1"/>
    <col min="6399" max="6399" width="4.453125" style="3" customWidth="1"/>
    <col min="6400" max="6400" width="22.1796875" style="3" customWidth="1"/>
    <col min="6401" max="6401" width="6.54296875" style="3" customWidth="1"/>
    <col min="6402" max="6402" width="6.90625" style="3" customWidth="1"/>
    <col min="6403" max="6403" width="8.90625" style="3" customWidth="1"/>
    <col min="6404" max="6404" width="14.453125" style="3" customWidth="1"/>
    <col min="6405" max="6405" width="10.90625" style="3"/>
    <col min="6406" max="6406" width="11.81640625" style="3" bestFit="1" customWidth="1"/>
    <col min="6407" max="6647" width="10.90625" style="3"/>
    <col min="6648" max="6648" width="48.08984375" style="3" customWidth="1"/>
    <col min="6649" max="6649" width="38.54296875" style="3" customWidth="1"/>
    <col min="6650" max="6650" width="30.90625" style="3" customWidth="1"/>
    <col min="6651" max="6651" width="16.90625" style="3" customWidth="1"/>
    <col min="6652" max="6653" width="4.08984375" style="3" customWidth="1"/>
    <col min="6654" max="6654" width="3.81640625" style="3" customWidth="1"/>
    <col min="6655" max="6655" width="4.453125" style="3" customWidth="1"/>
    <col min="6656" max="6656" width="22.1796875" style="3" customWidth="1"/>
    <col min="6657" max="6657" width="6.54296875" style="3" customWidth="1"/>
    <col min="6658" max="6658" width="6.90625" style="3" customWidth="1"/>
    <col min="6659" max="6659" width="8.90625" style="3" customWidth="1"/>
    <col min="6660" max="6660" width="14.453125" style="3" customWidth="1"/>
    <col min="6661" max="6661" width="10.90625" style="3"/>
    <col min="6662" max="6662" width="11.81640625" style="3" bestFit="1" customWidth="1"/>
    <col min="6663" max="6903" width="10.90625" style="3"/>
    <col min="6904" max="6904" width="48.08984375" style="3" customWidth="1"/>
    <col min="6905" max="6905" width="38.54296875" style="3" customWidth="1"/>
    <col min="6906" max="6906" width="30.90625" style="3" customWidth="1"/>
    <col min="6907" max="6907" width="16.90625" style="3" customWidth="1"/>
    <col min="6908" max="6909" width="4.08984375" style="3" customWidth="1"/>
    <col min="6910" max="6910" width="3.81640625" style="3" customWidth="1"/>
    <col min="6911" max="6911" width="4.453125" style="3" customWidth="1"/>
    <col min="6912" max="6912" width="22.1796875" style="3" customWidth="1"/>
    <col min="6913" max="6913" width="6.54296875" style="3" customWidth="1"/>
    <col min="6914" max="6914" width="6.90625" style="3" customWidth="1"/>
    <col min="6915" max="6915" width="8.90625" style="3" customWidth="1"/>
    <col min="6916" max="6916" width="14.453125" style="3" customWidth="1"/>
    <col min="6917" max="6917" width="10.90625" style="3"/>
    <col min="6918" max="6918" width="11.81640625" style="3" bestFit="1" customWidth="1"/>
    <col min="6919" max="7159" width="10.90625" style="3"/>
    <col min="7160" max="7160" width="48.08984375" style="3" customWidth="1"/>
    <col min="7161" max="7161" width="38.54296875" style="3" customWidth="1"/>
    <col min="7162" max="7162" width="30.90625" style="3" customWidth="1"/>
    <col min="7163" max="7163" width="16.90625" style="3" customWidth="1"/>
    <col min="7164" max="7165" width="4.08984375" style="3" customWidth="1"/>
    <col min="7166" max="7166" width="3.81640625" style="3" customWidth="1"/>
    <col min="7167" max="7167" width="4.453125" style="3" customWidth="1"/>
    <col min="7168" max="7168" width="22.1796875" style="3" customWidth="1"/>
    <col min="7169" max="7169" width="6.54296875" style="3" customWidth="1"/>
    <col min="7170" max="7170" width="6.90625" style="3" customWidth="1"/>
    <col min="7171" max="7171" width="8.90625" style="3" customWidth="1"/>
    <col min="7172" max="7172" width="14.453125" style="3" customWidth="1"/>
    <col min="7173" max="7173" width="10.90625" style="3"/>
    <col min="7174" max="7174" width="11.81640625" style="3" bestFit="1" customWidth="1"/>
    <col min="7175" max="7415" width="10.90625" style="3"/>
    <col min="7416" max="7416" width="48.08984375" style="3" customWidth="1"/>
    <col min="7417" max="7417" width="38.54296875" style="3" customWidth="1"/>
    <col min="7418" max="7418" width="30.90625" style="3" customWidth="1"/>
    <col min="7419" max="7419" width="16.90625" style="3" customWidth="1"/>
    <col min="7420" max="7421" width="4.08984375" style="3" customWidth="1"/>
    <col min="7422" max="7422" width="3.81640625" style="3" customWidth="1"/>
    <col min="7423" max="7423" width="4.453125" style="3" customWidth="1"/>
    <col min="7424" max="7424" width="22.1796875" style="3" customWidth="1"/>
    <col min="7425" max="7425" width="6.54296875" style="3" customWidth="1"/>
    <col min="7426" max="7426" width="6.90625" style="3" customWidth="1"/>
    <col min="7427" max="7427" width="8.90625" style="3" customWidth="1"/>
    <col min="7428" max="7428" width="14.453125" style="3" customWidth="1"/>
    <col min="7429" max="7429" width="10.90625" style="3"/>
    <col min="7430" max="7430" width="11.81640625" style="3" bestFit="1" customWidth="1"/>
    <col min="7431" max="7671" width="10.90625" style="3"/>
    <col min="7672" max="7672" width="48.08984375" style="3" customWidth="1"/>
    <col min="7673" max="7673" width="38.54296875" style="3" customWidth="1"/>
    <col min="7674" max="7674" width="30.90625" style="3" customWidth="1"/>
    <col min="7675" max="7675" width="16.90625" style="3" customWidth="1"/>
    <col min="7676" max="7677" width="4.08984375" style="3" customWidth="1"/>
    <col min="7678" max="7678" width="3.81640625" style="3" customWidth="1"/>
    <col min="7679" max="7679" width="4.453125" style="3" customWidth="1"/>
    <col min="7680" max="7680" width="22.1796875" style="3" customWidth="1"/>
    <col min="7681" max="7681" width="6.54296875" style="3" customWidth="1"/>
    <col min="7682" max="7682" width="6.90625" style="3" customWidth="1"/>
    <col min="7683" max="7683" width="8.90625" style="3" customWidth="1"/>
    <col min="7684" max="7684" width="14.453125" style="3" customWidth="1"/>
    <col min="7685" max="7685" width="10.90625" style="3"/>
    <col min="7686" max="7686" width="11.81640625" style="3" bestFit="1" customWidth="1"/>
    <col min="7687" max="7927" width="10.90625" style="3"/>
    <col min="7928" max="7928" width="48.08984375" style="3" customWidth="1"/>
    <col min="7929" max="7929" width="38.54296875" style="3" customWidth="1"/>
    <col min="7930" max="7930" width="30.90625" style="3" customWidth="1"/>
    <col min="7931" max="7931" width="16.90625" style="3" customWidth="1"/>
    <col min="7932" max="7933" width="4.08984375" style="3" customWidth="1"/>
    <col min="7934" max="7934" width="3.81640625" style="3" customWidth="1"/>
    <col min="7935" max="7935" width="4.453125" style="3" customWidth="1"/>
    <col min="7936" max="7936" width="22.1796875" style="3" customWidth="1"/>
    <col min="7937" max="7937" width="6.54296875" style="3" customWidth="1"/>
    <col min="7938" max="7938" width="6.90625" style="3" customWidth="1"/>
    <col min="7939" max="7939" width="8.90625" style="3" customWidth="1"/>
    <col min="7940" max="7940" width="14.453125" style="3" customWidth="1"/>
    <col min="7941" max="7941" width="10.90625" style="3"/>
    <col min="7942" max="7942" width="11.81640625" style="3" bestFit="1" customWidth="1"/>
    <col min="7943" max="8183" width="10.90625" style="3"/>
    <col min="8184" max="8184" width="48.08984375" style="3" customWidth="1"/>
    <col min="8185" max="8185" width="38.54296875" style="3" customWidth="1"/>
    <col min="8186" max="8186" width="30.90625" style="3" customWidth="1"/>
    <col min="8187" max="8187" width="16.90625" style="3" customWidth="1"/>
    <col min="8188" max="8189" width="4.08984375" style="3" customWidth="1"/>
    <col min="8190" max="8190" width="3.81640625" style="3" customWidth="1"/>
    <col min="8191" max="8191" width="4.453125" style="3" customWidth="1"/>
    <col min="8192" max="8192" width="22.1796875" style="3" customWidth="1"/>
    <col min="8193" max="8193" width="6.54296875" style="3" customWidth="1"/>
    <col min="8194" max="8194" width="6.90625" style="3" customWidth="1"/>
    <col min="8195" max="8195" width="8.90625" style="3" customWidth="1"/>
    <col min="8196" max="8196" width="14.453125" style="3" customWidth="1"/>
    <col min="8197" max="8197" width="10.90625" style="3"/>
    <col min="8198" max="8198" width="11.81640625" style="3" bestFit="1" customWidth="1"/>
    <col min="8199" max="8439" width="10.90625" style="3"/>
    <col min="8440" max="8440" width="48.08984375" style="3" customWidth="1"/>
    <col min="8441" max="8441" width="38.54296875" style="3" customWidth="1"/>
    <col min="8442" max="8442" width="30.90625" style="3" customWidth="1"/>
    <col min="8443" max="8443" width="16.90625" style="3" customWidth="1"/>
    <col min="8444" max="8445" width="4.08984375" style="3" customWidth="1"/>
    <col min="8446" max="8446" width="3.81640625" style="3" customWidth="1"/>
    <col min="8447" max="8447" width="4.453125" style="3" customWidth="1"/>
    <col min="8448" max="8448" width="22.1796875" style="3" customWidth="1"/>
    <col min="8449" max="8449" width="6.54296875" style="3" customWidth="1"/>
    <col min="8450" max="8450" width="6.90625" style="3" customWidth="1"/>
    <col min="8451" max="8451" width="8.90625" style="3" customWidth="1"/>
    <col min="8452" max="8452" width="14.453125" style="3" customWidth="1"/>
    <col min="8453" max="8453" width="10.90625" style="3"/>
    <col min="8454" max="8454" width="11.81640625" style="3" bestFit="1" customWidth="1"/>
    <col min="8455" max="8695" width="10.90625" style="3"/>
    <col min="8696" max="8696" width="48.08984375" style="3" customWidth="1"/>
    <col min="8697" max="8697" width="38.54296875" style="3" customWidth="1"/>
    <col min="8698" max="8698" width="30.90625" style="3" customWidth="1"/>
    <col min="8699" max="8699" width="16.90625" style="3" customWidth="1"/>
    <col min="8700" max="8701" width="4.08984375" style="3" customWidth="1"/>
    <col min="8702" max="8702" width="3.81640625" style="3" customWidth="1"/>
    <col min="8703" max="8703" width="4.453125" style="3" customWidth="1"/>
    <col min="8704" max="8704" width="22.1796875" style="3" customWidth="1"/>
    <col min="8705" max="8705" width="6.54296875" style="3" customWidth="1"/>
    <col min="8706" max="8706" width="6.90625" style="3" customWidth="1"/>
    <col min="8707" max="8707" width="8.90625" style="3" customWidth="1"/>
    <col min="8708" max="8708" width="14.453125" style="3" customWidth="1"/>
    <col min="8709" max="8709" width="10.90625" style="3"/>
    <col min="8710" max="8710" width="11.81640625" style="3" bestFit="1" customWidth="1"/>
    <col min="8711" max="8951" width="10.90625" style="3"/>
    <col min="8952" max="8952" width="48.08984375" style="3" customWidth="1"/>
    <col min="8953" max="8953" width="38.54296875" style="3" customWidth="1"/>
    <col min="8954" max="8954" width="30.90625" style="3" customWidth="1"/>
    <col min="8955" max="8955" width="16.90625" style="3" customWidth="1"/>
    <col min="8956" max="8957" width="4.08984375" style="3" customWidth="1"/>
    <col min="8958" max="8958" width="3.81640625" style="3" customWidth="1"/>
    <col min="8959" max="8959" width="4.453125" style="3" customWidth="1"/>
    <col min="8960" max="8960" width="22.1796875" style="3" customWidth="1"/>
    <col min="8961" max="8961" width="6.54296875" style="3" customWidth="1"/>
    <col min="8962" max="8962" width="6.90625" style="3" customWidth="1"/>
    <col min="8963" max="8963" width="8.90625" style="3" customWidth="1"/>
    <col min="8964" max="8964" width="14.453125" style="3" customWidth="1"/>
    <col min="8965" max="8965" width="10.90625" style="3"/>
    <col min="8966" max="8966" width="11.81640625" style="3" bestFit="1" customWidth="1"/>
    <col min="8967" max="9207" width="10.90625" style="3"/>
    <col min="9208" max="9208" width="48.08984375" style="3" customWidth="1"/>
    <col min="9209" max="9209" width="38.54296875" style="3" customWidth="1"/>
    <col min="9210" max="9210" width="30.90625" style="3" customWidth="1"/>
    <col min="9211" max="9211" width="16.90625" style="3" customWidth="1"/>
    <col min="9212" max="9213" width="4.08984375" style="3" customWidth="1"/>
    <col min="9214" max="9214" width="3.81640625" style="3" customWidth="1"/>
    <col min="9215" max="9215" width="4.453125" style="3" customWidth="1"/>
    <col min="9216" max="9216" width="22.1796875" style="3" customWidth="1"/>
    <col min="9217" max="9217" width="6.54296875" style="3" customWidth="1"/>
    <col min="9218" max="9218" width="6.90625" style="3" customWidth="1"/>
    <col min="9219" max="9219" width="8.90625" style="3" customWidth="1"/>
    <col min="9220" max="9220" width="14.453125" style="3" customWidth="1"/>
    <col min="9221" max="9221" width="10.90625" style="3"/>
    <col min="9222" max="9222" width="11.81640625" style="3" bestFit="1" customWidth="1"/>
    <col min="9223" max="9463" width="10.90625" style="3"/>
    <col min="9464" max="9464" width="48.08984375" style="3" customWidth="1"/>
    <col min="9465" max="9465" width="38.54296875" style="3" customWidth="1"/>
    <col min="9466" max="9466" width="30.90625" style="3" customWidth="1"/>
    <col min="9467" max="9467" width="16.90625" style="3" customWidth="1"/>
    <col min="9468" max="9469" width="4.08984375" style="3" customWidth="1"/>
    <col min="9470" max="9470" width="3.81640625" style="3" customWidth="1"/>
    <col min="9471" max="9471" width="4.453125" style="3" customWidth="1"/>
    <col min="9472" max="9472" width="22.1796875" style="3" customWidth="1"/>
    <col min="9473" max="9473" width="6.54296875" style="3" customWidth="1"/>
    <col min="9474" max="9474" width="6.90625" style="3" customWidth="1"/>
    <col min="9475" max="9475" width="8.90625" style="3" customWidth="1"/>
    <col min="9476" max="9476" width="14.453125" style="3" customWidth="1"/>
    <col min="9477" max="9477" width="10.90625" style="3"/>
    <col min="9478" max="9478" width="11.81640625" style="3" bestFit="1" customWidth="1"/>
    <col min="9479" max="9719" width="10.90625" style="3"/>
    <col min="9720" max="9720" width="48.08984375" style="3" customWidth="1"/>
    <col min="9721" max="9721" width="38.54296875" style="3" customWidth="1"/>
    <col min="9722" max="9722" width="30.90625" style="3" customWidth="1"/>
    <col min="9723" max="9723" width="16.90625" style="3" customWidth="1"/>
    <col min="9724" max="9725" width="4.08984375" style="3" customWidth="1"/>
    <col min="9726" max="9726" width="3.81640625" style="3" customWidth="1"/>
    <col min="9727" max="9727" width="4.453125" style="3" customWidth="1"/>
    <col min="9728" max="9728" width="22.1796875" style="3" customWidth="1"/>
    <col min="9729" max="9729" width="6.54296875" style="3" customWidth="1"/>
    <col min="9730" max="9730" width="6.90625" style="3" customWidth="1"/>
    <col min="9731" max="9731" width="8.90625" style="3" customWidth="1"/>
    <col min="9732" max="9732" width="14.453125" style="3" customWidth="1"/>
    <col min="9733" max="9733" width="10.90625" style="3"/>
    <col min="9734" max="9734" width="11.81640625" style="3" bestFit="1" customWidth="1"/>
    <col min="9735" max="9975" width="10.90625" style="3"/>
    <col min="9976" max="9976" width="48.08984375" style="3" customWidth="1"/>
    <col min="9977" max="9977" width="38.54296875" style="3" customWidth="1"/>
    <col min="9978" max="9978" width="30.90625" style="3" customWidth="1"/>
    <col min="9979" max="9979" width="16.90625" style="3" customWidth="1"/>
    <col min="9980" max="9981" width="4.08984375" style="3" customWidth="1"/>
    <col min="9982" max="9982" width="3.81640625" style="3" customWidth="1"/>
    <col min="9983" max="9983" width="4.453125" style="3" customWidth="1"/>
    <col min="9984" max="9984" width="22.1796875" style="3" customWidth="1"/>
    <col min="9985" max="9985" width="6.54296875" style="3" customWidth="1"/>
    <col min="9986" max="9986" width="6.90625" style="3" customWidth="1"/>
    <col min="9987" max="9987" width="8.90625" style="3" customWidth="1"/>
    <col min="9988" max="9988" width="14.453125" style="3" customWidth="1"/>
    <col min="9989" max="9989" width="10.90625" style="3"/>
    <col min="9990" max="9990" width="11.81640625" style="3" bestFit="1" customWidth="1"/>
    <col min="9991" max="10231" width="10.90625" style="3"/>
    <col min="10232" max="10232" width="48.08984375" style="3" customWidth="1"/>
    <col min="10233" max="10233" width="38.54296875" style="3" customWidth="1"/>
    <col min="10234" max="10234" width="30.90625" style="3" customWidth="1"/>
    <col min="10235" max="10235" width="16.90625" style="3" customWidth="1"/>
    <col min="10236" max="10237" width="4.08984375" style="3" customWidth="1"/>
    <col min="10238" max="10238" width="3.81640625" style="3" customWidth="1"/>
    <col min="10239" max="10239" width="4.453125" style="3" customWidth="1"/>
    <col min="10240" max="10240" width="22.1796875" style="3" customWidth="1"/>
    <col min="10241" max="10241" width="6.54296875" style="3" customWidth="1"/>
    <col min="10242" max="10242" width="6.90625" style="3" customWidth="1"/>
    <col min="10243" max="10243" width="8.90625" style="3" customWidth="1"/>
    <col min="10244" max="10244" width="14.453125" style="3" customWidth="1"/>
    <col min="10245" max="10245" width="10.90625" style="3"/>
    <col min="10246" max="10246" width="11.81640625" style="3" bestFit="1" customWidth="1"/>
    <col min="10247" max="10487" width="10.90625" style="3"/>
    <col min="10488" max="10488" width="48.08984375" style="3" customWidth="1"/>
    <col min="10489" max="10489" width="38.54296875" style="3" customWidth="1"/>
    <col min="10490" max="10490" width="30.90625" style="3" customWidth="1"/>
    <col min="10491" max="10491" width="16.90625" style="3" customWidth="1"/>
    <col min="10492" max="10493" width="4.08984375" style="3" customWidth="1"/>
    <col min="10494" max="10494" width="3.81640625" style="3" customWidth="1"/>
    <col min="10495" max="10495" width="4.453125" style="3" customWidth="1"/>
    <col min="10496" max="10496" width="22.1796875" style="3" customWidth="1"/>
    <col min="10497" max="10497" width="6.54296875" style="3" customWidth="1"/>
    <col min="10498" max="10498" width="6.90625" style="3" customWidth="1"/>
    <col min="10499" max="10499" width="8.90625" style="3" customWidth="1"/>
    <col min="10500" max="10500" width="14.453125" style="3" customWidth="1"/>
    <col min="10501" max="10501" width="10.90625" style="3"/>
    <col min="10502" max="10502" width="11.81640625" style="3" bestFit="1" customWidth="1"/>
    <col min="10503" max="10743" width="10.90625" style="3"/>
    <col min="10744" max="10744" width="48.08984375" style="3" customWidth="1"/>
    <col min="10745" max="10745" width="38.54296875" style="3" customWidth="1"/>
    <col min="10746" max="10746" width="30.90625" style="3" customWidth="1"/>
    <col min="10747" max="10747" width="16.90625" style="3" customWidth="1"/>
    <col min="10748" max="10749" width="4.08984375" style="3" customWidth="1"/>
    <col min="10750" max="10750" width="3.81640625" style="3" customWidth="1"/>
    <col min="10751" max="10751" width="4.453125" style="3" customWidth="1"/>
    <col min="10752" max="10752" width="22.1796875" style="3" customWidth="1"/>
    <col min="10753" max="10753" width="6.54296875" style="3" customWidth="1"/>
    <col min="10754" max="10754" width="6.90625" style="3" customWidth="1"/>
    <col min="10755" max="10755" width="8.90625" style="3" customWidth="1"/>
    <col min="10756" max="10756" width="14.453125" style="3" customWidth="1"/>
    <col min="10757" max="10757" width="10.90625" style="3"/>
    <col min="10758" max="10758" width="11.81640625" style="3" bestFit="1" customWidth="1"/>
    <col min="10759" max="10999" width="10.90625" style="3"/>
    <col min="11000" max="11000" width="48.08984375" style="3" customWidth="1"/>
    <col min="11001" max="11001" width="38.54296875" style="3" customWidth="1"/>
    <col min="11002" max="11002" width="30.90625" style="3" customWidth="1"/>
    <col min="11003" max="11003" width="16.90625" style="3" customWidth="1"/>
    <col min="11004" max="11005" width="4.08984375" style="3" customWidth="1"/>
    <col min="11006" max="11006" width="3.81640625" style="3" customWidth="1"/>
    <col min="11007" max="11007" width="4.453125" style="3" customWidth="1"/>
    <col min="11008" max="11008" width="22.1796875" style="3" customWidth="1"/>
    <col min="11009" max="11009" width="6.54296875" style="3" customWidth="1"/>
    <col min="11010" max="11010" width="6.90625" style="3" customWidth="1"/>
    <col min="11011" max="11011" width="8.90625" style="3" customWidth="1"/>
    <col min="11012" max="11012" width="14.453125" style="3" customWidth="1"/>
    <col min="11013" max="11013" width="10.90625" style="3"/>
    <col min="11014" max="11014" width="11.81640625" style="3" bestFit="1" customWidth="1"/>
    <col min="11015" max="11255" width="10.90625" style="3"/>
    <col min="11256" max="11256" width="48.08984375" style="3" customWidth="1"/>
    <col min="11257" max="11257" width="38.54296875" style="3" customWidth="1"/>
    <col min="11258" max="11258" width="30.90625" style="3" customWidth="1"/>
    <col min="11259" max="11259" width="16.90625" style="3" customWidth="1"/>
    <col min="11260" max="11261" width="4.08984375" style="3" customWidth="1"/>
    <col min="11262" max="11262" width="3.81640625" style="3" customWidth="1"/>
    <col min="11263" max="11263" width="4.453125" style="3" customWidth="1"/>
    <col min="11264" max="11264" width="22.1796875" style="3" customWidth="1"/>
    <col min="11265" max="11265" width="6.54296875" style="3" customWidth="1"/>
    <col min="11266" max="11266" width="6.90625" style="3" customWidth="1"/>
    <col min="11267" max="11267" width="8.90625" style="3" customWidth="1"/>
    <col min="11268" max="11268" width="14.453125" style="3" customWidth="1"/>
    <col min="11269" max="11269" width="10.90625" style="3"/>
    <col min="11270" max="11270" width="11.81640625" style="3" bestFit="1" customWidth="1"/>
    <col min="11271" max="11511" width="10.90625" style="3"/>
    <col min="11512" max="11512" width="48.08984375" style="3" customWidth="1"/>
    <col min="11513" max="11513" width="38.54296875" style="3" customWidth="1"/>
    <col min="11514" max="11514" width="30.90625" style="3" customWidth="1"/>
    <col min="11515" max="11515" width="16.90625" style="3" customWidth="1"/>
    <col min="11516" max="11517" width="4.08984375" style="3" customWidth="1"/>
    <col min="11518" max="11518" width="3.81640625" style="3" customWidth="1"/>
    <col min="11519" max="11519" width="4.453125" style="3" customWidth="1"/>
    <col min="11520" max="11520" width="22.1796875" style="3" customWidth="1"/>
    <col min="11521" max="11521" width="6.54296875" style="3" customWidth="1"/>
    <col min="11522" max="11522" width="6.90625" style="3" customWidth="1"/>
    <col min="11523" max="11523" width="8.90625" style="3" customWidth="1"/>
    <col min="11524" max="11524" width="14.453125" style="3" customWidth="1"/>
    <col min="11525" max="11525" width="10.90625" style="3"/>
    <col min="11526" max="11526" width="11.81640625" style="3" bestFit="1" customWidth="1"/>
    <col min="11527" max="11767" width="10.90625" style="3"/>
    <col min="11768" max="11768" width="48.08984375" style="3" customWidth="1"/>
    <col min="11769" max="11769" width="38.54296875" style="3" customWidth="1"/>
    <col min="11770" max="11770" width="30.90625" style="3" customWidth="1"/>
    <col min="11771" max="11771" width="16.90625" style="3" customWidth="1"/>
    <col min="11772" max="11773" width="4.08984375" style="3" customWidth="1"/>
    <col min="11774" max="11774" width="3.81640625" style="3" customWidth="1"/>
    <col min="11775" max="11775" width="4.453125" style="3" customWidth="1"/>
    <col min="11776" max="11776" width="22.1796875" style="3" customWidth="1"/>
    <col min="11777" max="11777" width="6.54296875" style="3" customWidth="1"/>
    <col min="11778" max="11778" width="6.90625" style="3" customWidth="1"/>
    <col min="11779" max="11779" width="8.90625" style="3" customWidth="1"/>
    <col min="11780" max="11780" width="14.453125" style="3" customWidth="1"/>
    <col min="11781" max="11781" width="10.90625" style="3"/>
    <col min="11782" max="11782" width="11.81640625" style="3" bestFit="1" customWidth="1"/>
    <col min="11783" max="12023" width="10.90625" style="3"/>
    <col min="12024" max="12024" width="48.08984375" style="3" customWidth="1"/>
    <col min="12025" max="12025" width="38.54296875" style="3" customWidth="1"/>
    <col min="12026" max="12026" width="30.90625" style="3" customWidth="1"/>
    <col min="12027" max="12027" width="16.90625" style="3" customWidth="1"/>
    <col min="12028" max="12029" width="4.08984375" style="3" customWidth="1"/>
    <col min="12030" max="12030" width="3.81640625" style="3" customWidth="1"/>
    <col min="12031" max="12031" width="4.453125" style="3" customWidth="1"/>
    <col min="12032" max="12032" width="22.1796875" style="3" customWidth="1"/>
    <col min="12033" max="12033" width="6.54296875" style="3" customWidth="1"/>
    <col min="12034" max="12034" width="6.90625" style="3" customWidth="1"/>
    <col min="12035" max="12035" width="8.90625" style="3" customWidth="1"/>
    <col min="12036" max="12036" width="14.453125" style="3" customWidth="1"/>
    <col min="12037" max="12037" width="10.90625" style="3"/>
    <col min="12038" max="12038" width="11.81640625" style="3" bestFit="1" customWidth="1"/>
    <col min="12039" max="12279" width="10.90625" style="3"/>
    <col min="12280" max="12280" width="48.08984375" style="3" customWidth="1"/>
    <col min="12281" max="12281" width="38.54296875" style="3" customWidth="1"/>
    <col min="12282" max="12282" width="30.90625" style="3" customWidth="1"/>
    <col min="12283" max="12283" width="16.90625" style="3" customWidth="1"/>
    <col min="12284" max="12285" width="4.08984375" style="3" customWidth="1"/>
    <col min="12286" max="12286" width="3.81640625" style="3" customWidth="1"/>
    <col min="12287" max="12287" width="4.453125" style="3" customWidth="1"/>
    <col min="12288" max="12288" width="22.1796875" style="3" customWidth="1"/>
    <col min="12289" max="12289" width="6.54296875" style="3" customWidth="1"/>
    <col min="12290" max="12290" width="6.90625" style="3" customWidth="1"/>
    <col min="12291" max="12291" width="8.90625" style="3" customWidth="1"/>
    <col min="12292" max="12292" width="14.453125" style="3" customWidth="1"/>
    <col min="12293" max="12293" width="10.90625" style="3"/>
    <col min="12294" max="12294" width="11.81640625" style="3" bestFit="1" customWidth="1"/>
    <col min="12295" max="12535" width="10.90625" style="3"/>
    <col min="12536" max="12536" width="48.08984375" style="3" customWidth="1"/>
    <col min="12537" max="12537" width="38.54296875" style="3" customWidth="1"/>
    <col min="12538" max="12538" width="30.90625" style="3" customWidth="1"/>
    <col min="12539" max="12539" width="16.90625" style="3" customWidth="1"/>
    <col min="12540" max="12541" width="4.08984375" style="3" customWidth="1"/>
    <col min="12542" max="12542" width="3.81640625" style="3" customWidth="1"/>
    <col min="12543" max="12543" width="4.453125" style="3" customWidth="1"/>
    <col min="12544" max="12544" width="22.1796875" style="3" customWidth="1"/>
    <col min="12545" max="12545" width="6.54296875" style="3" customWidth="1"/>
    <col min="12546" max="12546" width="6.90625" style="3" customWidth="1"/>
    <col min="12547" max="12547" width="8.90625" style="3" customWidth="1"/>
    <col min="12548" max="12548" width="14.453125" style="3" customWidth="1"/>
    <col min="12549" max="12549" width="10.90625" style="3"/>
    <col min="12550" max="12550" width="11.81640625" style="3" bestFit="1" customWidth="1"/>
    <col min="12551" max="12791" width="10.90625" style="3"/>
    <col min="12792" max="12792" width="48.08984375" style="3" customWidth="1"/>
    <col min="12793" max="12793" width="38.54296875" style="3" customWidth="1"/>
    <col min="12794" max="12794" width="30.90625" style="3" customWidth="1"/>
    <col min="12795" max="12795" width="16.90625" style="3" customWidth="1"/>
    <col min="12796" max="12797" width="4.08984375" style="3" customWidth="1"/>
    <col min="12798" max="12798" width="3.81640625" style="3" customWidth="1"/>
    <col min="12799" max="12799" width="4.453125" style="3" customWidth="1"/>
    <col min="12800" max="12800" width="22.1796875" style="3" customWidth="1"/>
    <col min="12801" max="12801" width="6.54296875" style="3" customWidth="1"/>
    <col min="12802" max="12802" width="6.90625" style="3" customWidth="1"/>
    <col min="12803" max="12803" width="8.90625" style="3" customWidth="1"/>
    <col min="12804" max="12804" width="14.453125" style="3" customWidth="1"/>
    <col min="12805" max="12805" width="10.90625" style="3"/>
    <col min="12806" max="12806" width="11.81640625" style="3" bestFit="1" customWidth="1"/>
    <col min="12807" max="13047" width="10.90625" style="3"/>
    <col min="13048" max="13048" width="48.08984375" style="3" customWidth="1"/>
    <col min="13049" max="13049" width="38.54296875" style="3" customWidth="1"/>
    <col min="13050" max="13050" width="30.90625" style="3" customWidth="1"/>
    <col min="13051" max="13051" width="16.90625" style="3" customWidth="1"/>
    <col min="13052" max="13053" width="4.08984375" style="3" customWidth="1"/>
    <col min="13054" max="13054" width="3.81640625" style="3" customWidth="1"/>
    <col min="13055" max="13055" width="4.453125" style="3" customWidth="1"/>
    <col min="13056" max="13056" width="22.1796875" style="3" customWidth="1"/>
    <col min="13057" max="13057" width="6.54296875" style="3" customWidth="1"/>
    <col min="13058" max="13058" width="6.90625" style="3" customWidth="1"/>
    <col min="13059" max="13059" width="8.90625" style="3" customWidth="1"/>
    <col min="13060" max="13060" width="14.453125" style="3" customWidth="1"/>
    <col min="13061" max="13061" width="10.90625" style="3"/>
    <col min="13062" max="13062" width="11.81640625" style="3" bestFit="1" customWidth="1"/>
    <col min="13063" max="13303" width="10.90625" style="3"/>
    <col min="13304" max="13304" width="48.08984375" style="3" customWidth="1"/>
    <col min="13305" max="13305" width="38.54296875" style="3" customWidth="1"/>
    <col min="13306" max="13306" width="30.90625" style="3" customWidth="1"/>
    <col min="13307" max="13307" width="16.90625" style="3" customWidth="1"/>
    <col min="13308" max="13309" width="4.08984375" style="3" customWidth="1"/>
    <col min="13310" max="13310" width="3.81640625" style="3" customWidth="1"/>
    <col min="13311" max="13311" width="4.453125" style="3" customWidth="1"/>
    <col min="13312" max="13312" width="22.1796875" style="3" customWidth="1"/>
    <col min="13313" max="13313" width="6.54296875" style="3" customWidth="1"/>
    <col min="13314" max="13314" width="6.90625" style="3" customWidth="1"/>
    <col min="13315" max="13315" width="8.90625" style="3" customWidth="1"/>
    <col min="13316" max="13316" width="14.453125" style="3" customWidth="1"/>
    <col min="13317" max="13317" width="10.90625" style="3"/>
    <col min="13318" max="13318" width="11.81640625" style="3" bestFit="1" customWidth="1"/>
    <col min="13319" max="13559" width="10.90625" style="3"/>
    <col min="13560" max="13560" width="48.08984375" style="3" customWidth="1"/>
    <col min="13561" max="13561" width="38.54296875" style="3" customWidth="1"/>
    <col min="13562" max="13562" width="30.90625" style="3" customWidth="1"/>
    <col min="13563" max="13563" width="16.90625" style="3" customWidth="1"/>
    <col min="13564" max="13565" width="4.08984375" style="3" customWidth="1"/>
    <col min="13566" max="13566" width="3.81640625" style="3" customWidth="1"/>
    <col min="13567" max="13567" width="4.453125" style="3" customWidth="1"/>
    <col min="13568" max="13568" width="22.1796875" style="3" customWidth="1"/>
    <col min="13569" max="13569" width="6.54296875" style="3" customWidth="1"/>
    <col min="13570" max="13570" width="6.90625" style="3" customWidth="1"/>
    <col min="13571" max="13571" width="8.90625" style="3" customWidth="1"/>
    <col min="13572" max="13572" width="14.453125" style="3" customWidth="1"/>
    <col min="13573" max="13573" width="10.90625" style="3"/>
    <col min="13574" max="13574" width="11.81640625" style="3" bestFit="1" customWidth="1"/>
    <col min="13575" max="13815" width="10.90625" style="3"/>
    <col min="13816" max="13816" width="48.08984375" style="3" customWidth="1"/>
    <col min="13817" max="13817" width="38.54296875" style="3" customWidth="1"/>
    <col min="13818" max="13818" width="30.90625" style="3" customWidth="1"/>
    <col min="13819" max="13819" width="16.90625" style="3" customWidth="1"/>
    <col min="13820" max="13821" width="4.08984375" style="3" customWidth="1"/>
    <col min="13822" max="13822" width="3.81640625" style="3" customWidth="1"/>
    <col min="13823" max="13823" width="4.453125" style="3" customWidth="1"/>
    <col min="13824" max="13824" width="22.1796875" style="3" customWidth="1"/>
    <col min="13825" max="13825" width="6.54296875" style="3" customWidth="1"/>
    <col min="13826" max="13826" width="6.90625" style="3" customWidth="1"/>
    <col min="13827" max="13827" width="8.90625" style="3" customWidth="1"/>
    <col min="13828" max="13828" width="14.453125" style="3" customWidth="1"/>
    <col min="13829" max="13829" width="10.90625" style="3"/>
    <col min="13830" max="13830" width="11.81640625" style="3" bestFit="1" customWidth="1"/>
    <col min="13831" max="14071" width="10.90625" style="3"/>
    <col min="14072" max="14072" width="48.08984375" style="3" customWidth="1"/>
    <col min="14073" max="14073" width="38.54296875" style="3" customWidth="1"/>
    <col min="14074" max="14074" width="30.90625" style="3" customWidth="1"/>
    <col min="14075" max="14075" width="16.90625" style="3" customWidth="1"/>
    <col min="14076" max="14077" width="4.08984375" style="3" customWidth="1"/>
    <col min="14078" max="14078" width="3.81640625" style="3" customWidth="1"/>
    <col min="14079" max="14079" width="4.453125" style="3" customWidth="1"/>
    <col min="14080" max="14080" width="22.1796875" style="3" customWidth="1"/>
    <col min="14081" max="14081" width="6.54296875" style="3" customWidth="1"/>
    <col min="14082" max="14082" width="6.90625" style="3" customWidth="1"/>
    <col min="14083" max="14083" width="8.90625" style="3" customWidth="1"/>
    <col min="14084" max="14084" width="14.453125" style="3" customWidth="1"/>
    <col min="14085" max="14085" width="10.90625" style="3"/>
    <col min="14086" max="14086" width="11.81640625" style="3" bestFit="1" customWidth="1"/>
    <col min="14087" max="14327" width="10.90625" style="3"/>
    <col min="14328" max="14328" width="48.08984375" style="3" customWidth="1"/>
    <col min="14329" max="14329" width="38.54296875" style="3" customWidth="1"/>
    <col min="14330" max="14330" width="30.90625" style="3" customWidth="1"/>
    <col min="14331" max="14331" width="16.90625" style="3" customWidth="1"/>
    <col min="14332" max="14333" width="4.08984375" style="3" customWidth="1"/>
    <col min="14334" max="14334" width="3.81640625" style="3" customWidth="1"/>
    <col min="14335" max="14335" width="4.453125" style="3" customWidth="1"/>
    <col min="14336" max="14336" width="22.1796875" style="3" customWidth="1"/>
    <col min="14337" max="14337" width="6.54296875" style="3" customWidth="1"/>
    <col min="14338" max="14338" width="6.90625" style="3" customWidth="1"/>
    <col min="14339" max="14339" width="8.90625" style="3" customWidth="1"/>
    <col min="14340" max="14340" width="14.453125" style="3" customWidth="1"/>
    <col min="14341" max="14341" width="10.90625" style="3"/>
    <col min="14342" max="14342" width="11.81640625" style="3" bestFit="1" customWidth="1"/>
    <col min="14343" max="14583" width="10.90625" style="3"/>
    <col min="14584" max="14584" width="48.08984375" style="3" customWidth="1"/>
    <col min="14585" max="14585" width="38.54296875" style="3" customWidth="1"/>
    <col min="14586" max="14586" width="30.90625" style="3" customWidth="1"/>
    <col min="14587" max="14587" width="16.90625" style="3" customWidth="1"/>
    <col min="14588" max="14589" width="4.08984375" style="3" customWidth="1"/>
    <col min="14590" max="14590" width="3.81640625" style="3" customWidth="1"/>
    <col min="14591" max="14591" width="4.453125" style="3" customWidth="1"/>
    <col min="14592" max="14592" width="22.1796875" style="3" customWidth="1"/>
    <col min="14593" max="14593" width="6.54296875" style="3" customWidth="1"/>
    <col min="14594" max="14594" width="6.90625" style="3" customWidth="1"/>
    <col min="14595" max="14595" width="8.90625" style="3" customWidth="1"/>
    <col min="14596" max="14596" width="14.453125" style="3" customWidth="1"/>
    <col min="14597" max="14597" width="10.90625" style="3"/>
    <col min="14598" max="14598" width="11.81640625" style="3" bestFit="1" customWidth="1"/>
    <col min="14599" max="14839" width="10.90625" style="3"/>
    <col min="14840" max="14840" width="48.08984375" style="3" customWidth="1"/>
    <col min="14841" max="14841" width="38.54296875" style="3" customWidth="1"/>
    <col min="14842" max="14842" width="30.90625" style="3" customWidth="1"/>
    <col min="14843" max="14843" width="16.90625" style="3" customWidth="1"/>
    <col min="14844" max="14845" width="4.08984375" style="3" customWidth="1"/>
    <col min="14846" max="14846" width="3.81640625" style="3" customWidth="1"/>
    <col min="14847" max="14847" width="4.453125" style="3" customWidth="1"/>
    <col min="14848" max="14848" width="22.1796875" style="3" customWidth="1"/>
    <col min="14849" max="14849" width="6.54296875" style="3" customWidth="1"/>
    <col min="14850" max="14850" width="6.90625" style="3" customWidth="1"/>
    <col min="14851" max="14851" width="8.90625" style="3" customWidth="1"/>
    <col min="14852" max="14852" width="14.453125" style="3" customWidth="1"/>
    <col min="14853" max="14853" width="10.90625" style="3"/>
    <col min="14854" max="14854" width="11.81640625" style="3" bestFit="1" customWidth="1"/>
    <col min="14855" max="15095" width="10.90625" style="3"/>
    <col min="15096" max="15096" width="48.08984375" style="3" customWidth="1"/>
    <col min="15097" max="15097" width="38.54296875" style="3" customWidth="1"/>
    <col min="15098" max="15098" width="30.90625" style="3" customWidth="1"/>
    <col min="15099" max="15099" width="16.90625" style="3" customWidth="1"/>
    <col min="15100" max="15101" width="4.08984375" style="3" customWidth="1"/>
    <col min="15102" max="15102" width="3.81640625" style="3" customWidth="1"/>
    <col min="15103" max="15103" width="4.453125" style="3" customWidth="1"/>
    <col min="15104" max="15104" width="22.1796875" style="3" customWidth="1"/>
    <col min="15105" max="15105" width="6.54296875" style="3" customWidth="1"/>
    <col min="15106" max="15106" width="6.90625" style="3" customWidth="1"/>
    <col min="15107" max="15107" width="8.90625" style="3" customWidth="1"/>
    <col min="15108" max="15108" width="14.453125" style="3" customWidth="1"/>
    <col min="15109" max="15109" width="10.90625" style="3"/>
    <col min="15110" max="15110" width="11.81640625" style="3" bestFit="1" customWidth="1"/>
    <col min="15111" max="15351" width="10.90625" style="3"/>
    <col min="15352" max="15352" width="48.08984375" style="3" customWidth="1"/>
    <col min="15353" max="15353" width="38.54296875" style="3" customWidth="1"/>
    <col min="15354" max="15354" width="30.90625" style="3" customWidth="1"/>
    <col min="15355" max="15355" width="16.90625" style="3" customWidth="1"/>
    <col min="15356" max="15357" width="4.08984375" style="3" customWidth="1"/>
    <col min="15358" max="15358" width="3.81640625" style="3" customWidth="1"/>
    <col min="15359" max="15359" width="4.453125" style="3" customWidth="1"/>
    <col min="15360" max="15360" width="22.1796875" style="3" customWidth="1"/>
    <col min="15361" max="15361" width="6.54296875" style="3" customWidth="1"/>
    <col min="15362" max="15362" width="6.90625" style="3" customWidth="1"/>
    <col min="15363" max="15363" width="8.90625" style="3" customWidth="1"/>
    <col min="15364" max="15364" width="14.453125" style="3" customWidth="1"/>
    <col min="15365" max="15365" width="10.90625" style="3"/>
    <col min="15366" max="15366" width="11.81640625" style="3" bestFit="1" customWidth="1"/>
    <col min="15367" max="15607" width="10.90625" style="3"/>
    <col min="15608" max="15608" width="48.08984375" style="3" customWidth="1"/>
    <col min="15609" max="15609" width="38.54296875" style="3" customWidth="1"/>
    <col min="15610" max="15610" width="30.90625" style="3" customWidth="1"/>
    <col min="15611" max="15611" width="16.90625" style="3" customWidth="1"/>
    <col min="15612" max="15613" width="4.08984375" style="3" customWidth="1"/>
    <col min="15614" max="15614" width="3.81640625" style="3" customWidth="1"/>
    <col min="15615" max="15615" width="4.453125" style="3" customWidth="1"/>
    <col min="15616" max="15616" width="22.1796875" style="3" customWidth="1"/>
    <col min="15617" max="15617" width="6.54296875" style="3" customWidth="1"/>
    <col min="15618" max="15618" width="6.90625" style="3" customWidth="1"/>
    <col min="15619" max="15619" width="8.90625" style="3" customWidth="1"/>
    <col min="15620" max="15620" width="14.453125" style="3" customWidth="1"/>
    <col min="15621" max="15621" width="10.90625" style="3"/>
    <col min="15622" max="15622" width="11.81640625" style="3" bestFit="1" customWidth="1"/>
    <col min="15623" max="15863" width="10.90625" style="3"/>
    <col min="15864" max="15864" width="48.08984375" style="3" customWidth="1"/>
    <col min="15865" max="15865" width="38.54296875" style="3" customWidth="1"/>
    <col min="15866" max="15866" width="30.90625" style="3" customWidth="1"/>
    <col min="15867" max="15867" width="16.90625" style="3" customWidth="1"/>
    <col min="15868" max="15869" width="4.08984375" style="3" customWidth="1"/>
    <col min="15870" max="15870" width="3.81640625" style="3" customWidth="1"/>
    <col min="15871" max="15871" width="4.453125" style="3" customWidth="1"/>
    <col min="15872" max="15872" width="22.1796875" style="3" customWidth="1"/>
    <col min="15873" max="15873" width="6.54296875" style="3" customWidth="1"/>
    <col min="15874" max="15874" width="6.90625" style="3" customWidth="1"/>
    <col min="15875" max="15875" width="8.90625" style="3" customWidth="1"/>
    <col min="15876" max="15876" width="14.453125" style="3" customWidth="1"/>
    <col min="15877" max="15877" width="10.90625" style="3"/>
    <col min="15878" max="15878" width="11.81640625" style="3" bestFit="1" customWidth="1"/>
    <col min="15879" max="16119" width="10.90625" style="3"/>
    <col min="16120" max="16120" width="48.08984375" style="3" customWidth="1"/>
    <col min="16121" max="16121" width="38.54296875" style="3" customWidth="1"/>
    <col min="16122" max="16122" width="30.90625" style="3" customWidth="1"/>
    <col min="16123" max="16123" width="16.90625" style="3" customWidth="1"/>
    <col min="16124" max="16125" width="4.08984375" style="3" customWidth="1"/>
    <col min="16126" max="16126" width="3.81640625" style="3" customWidth="1"/>
    <col min="16127" max="16127" width="4.453125" style="3" customWidth="1"/>
    <col min="16128" max="16128" width="22.1796875" style="3" customWidth="1"/>
    <col min="16129" max="16129" width="6.54296875" style="3" customWidth="1"/>
    <col min="16130" max="16130" width="6.90625" style="3" customWidth="1"/>
    <col min="16131" max="16131" width="8.90625" style="3" customWidth="1"/>
    <col min="16132" max="16132" width="14.453125" style="3" customWidth="1"/>
    <col min="16133" max="16133" width="10.90625" style="3"/>
    <col min="16134" max="16134" width="11.81640625" style="3" bestFit="1" customWidth="1"/>
    <col min="16135" max="16384" width="10.90625" style="3"/>
  </cols>
  <sheetData>
    <row r="1" spans="1:14" ht="7.25" customHeight="1">
      <c r="A1" s="2"/>
      <c r="B1" s="2"/>
      <c r="C1" s="2"/>
      <c r="D1" s="2"/>
      <c r="E1" s="2"/>
      <c r="F1" s="2"/>
      <c r="G1" s="2"/>
      <c r="H1" s="2"/>
    </row>
    <row r="2" spans="1:14">
      <c r="A2" s="421" t="s">
        <v>292</v>
      </c>
      <c r="B2" s="4"/>
      <c r="C2" s="4"/>
      <c r="D2" s="4"/>
      <c r="E2" s="4"/>
      <c r="F2" s="4"/>
      <c r="G2" s="4"/>
      <c r="H2" s="4"/>
    </row>
    <row r="3" spans="1:14" ht="16.25" customHeight="1">
      <c r="A3" s="310" t="s">
        <v>293</v>
      </c>
      <c r="B3" s="127"/>
      <c r="C3" s="127"/>
      <c r="D3" s="128"/>
      <c r="E3" s="128"/>
      <c r="F3" s="128"/>
      <c r="G3" s="128"/>
      <c r="H3" s="128"/>
    </row>
    <row r="4" spans="1:14" ht="15.65" customHeight="1">
      <c r="A4" s="310" t="s">
        <v>2</v>
      </c>
      <c r="B4" s="422"/>
      <c r="C4" s="127"/>
      <c r="D4" s="128"/>
      <c r="E4" s="128"/>
      <c r="F4" s="128"/>
      <c r="G4" s="128"/>
      <c r="H4" s="128"/>
    </row>
    <row r="5" spans="1:14" ht="17.399999999999999" customHeight="1">
      <c r="A5" s="310" t="s">
        <v>3</v>
      </c>
      <c r="B5" s="422"/>
      <c r="C5" s="127"/>
      <c r="D5" s="128"/>
      <c r="E5" s="128"/>
      <c r="F5" s="128"/>
      <c r="G5" s="128"/>
      <c r="H5" s="128"/>
    </row>
    <row r="6" spans="1:14" ht="18.649999999999999" customHeight="1">
      <c r="A6" s="310" t="s">
        <v>4</v>
      </c>
      <c r="D6" s="423"/>
      <c r="E6" s="423"/>
      <c r="F6" s="423"/>
      <c r="G6" s="423"/>
      <c r="H6" s="423"/>
      <c r="I6" s="423"/>
    </row>
    <row r="7" spans="1:14" ht="21" customHeight="1">
      <c r="A7" s="6" t="s">
        <v>5</v>
      </c>
      <c r="B7" s="6"/>
      <c r="C7" s="6"/>
      <c r="D7" s="6"/>
      <c r="E7" s="6"/>
      <c r="F7" s="6"/>
      <c r="G7" s="6"/>
      <c r="H7" s="6"/>
      <c r="L7" s="424"/>
      <c r="M7" s="118"/>
    </row>
    <row r="8" spans="1:14" ht="21.65" customHeight="1">
      <c r="A8" s="417" t="s">
        <v>6</v>
      </c>
      <c r="B8" s="417" t="s">
        <v>7</v>
      </c>
      <c r="C8" s="556" t="s">
        <v>294</v>
      </c>
      <c r="D8" s="557"/>
      <c r="E8" s="496" t="s">
        <v>321</v>
      </c>
      <c r="F8" s="494" t="s">
        <v>8</v>
      </c>
      <c r="G8" s="494" t="s">
        <v>199</v>
      </c>
      <c r="H8" s="494" t="s">
        <v>197</v>
      </c>
      <c r="I8" s="420" t="s">
        <v>9</v>
      </c>
      <c r="J8" s="420"/>
      <c r="K8" s="420"/>
      <c r="L8" s="425" t="s">
        <v>203</v>
      </c>
      <c r="M8" s="118"/>
    </row>
    <row r="9" spans="1:14" ht="25" customHeight="1">
      <c r="A9" s="417" t="s">
        <v>10</v>
      </c>
      <c r="B9" s="417" t="s">
        <v>11</v>
      </c>
      <c r="C9" s="426" t="s">
        <v>0</v>
      </c>
      <c r="D9" s="417" t="s">
        <v>318</v>
      </c>
      <c r="E9" s="496"/>
      <c r="F9" s="494"/>
      <c r="G9" s="494"/>
      <c r="H9" s="494"/>
      <c r="I9" s="125" t="s">
        <v>198</v>
      </c>
      <c r="J9" s="125" t="s">
        <v>63</v>
      </c>
      <c r="K9" s="125" t="s">
        <v>64</v>
      </c>
      <c r="L9" s="427"/>
      <c r="M9" s="118"/>
    </row>
    <row r="10" spans="1:14" ht="16.5" customHeight="1">
      <c r="A10" s="454"/>
      <c r="B10" s="454"/>
      <c r="C10" s="454"/>
      <c r="D10" s="454"/>
      <c r="E10" s="454"/>
      <c r="F10" s="454"/>
      <c r="G10" s="454"/>
      <c r="H10" s="454"/>
      <c r="I10" s="454"/>
      <c r="J10" s="454"/>
      <c r="K10" s="454"/>
      <c r="L10" s="427"/>
      <c r="M10" s="118"/>
    </row>
    <row r="11" spans="1:14" ht="20" customHeight="1">
      <c r="A11" s="502" t="s">
        <v>12</v>
      </c>
      <c r="B11" s="503"/>
      <c r="C11" s="503"/>
      <c r="D11" s="503"/>
      <c r="E11" s="503"/>
      <c r="F11" s="503"/>
      <c r="G11" s="503"/>
      <c r="H11" s="503"/>
      <c r="I11" s="503"/>
      <c r="J11" s="503"/>
      <c r="K11" s="503"/>
      <c r="L11" s="504"/>
      <c r="M11" s="118"/>
    </row>
    <row r="12" spans="1:14" ht="23" customHeight="1">
      <c r="A12" s="526" t="s">
        <v>13</v>
      </c>
      <c r="B12" s="527"/>
      <c r="C12" s="527"/>
      <c r="D12" s="527"/>
      <c r="E12" s="527"/>
      <c r="F12" s="527"/>
      <c r="G12" s="527"/>
      <c r="H12" s="527"/>
      <c r="I12" s="527"/>
      <c r="J12" s="527"/>
      <c r="K12" s="527"/>
      <c r="L12" s="528"/>
      <c r="M12" s="118"/>
    </row>
    <row r="13" spans="1:14" ht="40" customHeight="1">
      <c r="A13" s="493" t="s">
        <v>14</v>
      </c>
      <c r="B13" s="493"/>
      <c r="C13" s="416" t="s">
        <v>215</v>
      </c>
      <c r="D13" s="411">
        <v>0</v>
      </c>
      <c r="E13" s="450"/>
      <c r="F13" s="419">
        <f>+D13-E13</f>
        <v>0</v>
      </c>
      <c r="G13" s="419"/>
      <c r="H13" s="419"/>
      <c r="I13" s="7" t="s">
        <v>16</v>
      </c>
      <c r="J13" s="8" t="s">
        <v>17</v>
      </c>
      <c r="K13" s="7" t="s">
        <v>216</v>
      </c>
      <c r="L13" s="406" t="s">
        <v>201</v>
      </c>
      <c r="M13" s="118"/>
    </row>
    <row r="14" spans="1:14" ht="43" customHeight="1">
      <c r="A14" s="493"/>
      <c r="B14" s="493"/>
      <c r="C14" s="416" t="s">
        <v>15</v>
      </c>
      <c r="D14" s="411">
        <v>15000</v>
      </c>
      <c r="E14" s="450"/>
      <c r="F14" s="264">
        <f t="shared" ref="F14:F33" si="0">+D14-E14</f>
        <v>15000</v>
      </c>
      <c r="G14" s="419"/>
      <c r="H14" s="419"/>
      <c r="I14" s="7" t="s">
        <v>16</v>
      </c>
      <c r="J14" s="8" t="s">
        <v>17</v>
      </c>
      <c r="K14" s="7" t="s">
        <v>18</v>
      </c>
      <c r="L14" s="406" t="s">
        <v>201</v>
      </c>
      <c r="M14" s="118"/>
    </row>
    <row r="15" spans="1:14" ht="43" customHeight="1">
      <c r="A15" s="493"/>
      <c r="B15" s="493"/>
      <c r="C15" s="416" t="s">
        <v>19</v>
      </c>
      <c r="D15" s="411">
        <v>0</v>
      </c>
      <c r="E15" s="450"/>
      <c r="F15" s="264">
        <f t="shared" si="0"/>
        <v>0</v>
      </c>
      <c r="G15" s="419"/>
      <c r="H15" s="419"/>
      <c r="I15" s="7" t="s">
        <v>16</v>
      </c>
      <c r="J15" s="8" t="s">
        <v>17</v>
      </c>
      <c r="K15" s="7" t="s">
        <v>18</v>
      </c>
      <c r="L15" s="406" t="s">
        <v>201</v>
      </c>
      <c r="M15" s="118"/>
      <c r="N15" s="428"/>
    </row>
    <row r="16" spans="1:14" ht="33.65" customHeight="1">
      <c r="A16" s="493"/>
      <c r="B16" s="493"/>
      <c r="C16" s="9" t="s">
        <v>20</v>
      </c>
      <c r="D16" s="411">
        <v>3000</v>
      </c>
      <c r="E16" s="450"/>
      <c r="F16" s="264">
        <f t="shared" si="0"/>
        <v>3000</v>
      </c>
      <c r="G16" s="419"/>
      <c r="H16" s="419"/>
      <c r="I16" s="7" t="s">
        <v>16</v>
      </c>
      <c r="J16" s="8" t="s">
        <v>17</v>
      </c>
      <c r="K16" s="7" t="s">
        <v>21</v>
      </c>
      <c r="L16" s="406" t="s">
        <v>201</v>
      </c>
      <c r="M16" s="118"/>
      <c r="N16" s="428"/>
    </row>
    <row r="17" spans="1:788" s="10" customFormat="1" ht="47.4" customHeight="1">
      <c r="A17" s="493"/>
      <c r="B17" s="493"/>
      <c r="C17" s="9" t="s">
        <v>22</v>
      </c>
      <c r="D17" s="411"/>
      <c r="E17" s="450"/>
      <c r="F17" s="264">
        <f t="shared" si="0"/>
        <v>0</v>
      </c>
      <c r="G17" s="419"/>
      <c r="H17" s="419"/>
      <c r="I17" s="7" t="s">
        <v>16</v>
      </c>
      <c r="J17" s="8" t="s">
        <v>17</v>
      </c>
      <c r="K17" s="145" t="s">
        <v>23</v>
      </c>
      <c r="L17" s="406" t="s">
        <v>295</v>
      </c>
      <c r="M17" s="11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row>
    <row r="18" spans="1:788" s="10" customFormat="1" ht="47.4" customHeight="1">
      <c r="A18" s="493"/>
      <c r="B18" s="493"/>
      <c r="C18" s="9" t="s">
        <v>317</v>
      </c>
      <c r="D18" s="419">
        <v>0</v>
      </c>
      <c r="E18" s="450">
        <v>2016</v>
      </c>
      <c r="F18" s="264">
        <f t="shared" si="0"/>
        <v>-2016</v>
      </c>
      <c r="G18" s="419"/>
      <c r="H18" s="419"/>
      <c r="I18" s="7" t="s">
        <v>16</v>
      </c>
      <c r="J18" s="8" t="s">
        <v>17</v>
      </c>
      <c r="K18" s="145" t="s">
        <v>316</v>
      </c>
      <c r="L18" s="418" t="s">
        <v>295</v>
      </c>
      <c r="M18" s="118"/>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row>
    <row r="19" spans="1:788" ht="55.5" customHeight="1">
      <c r="A19" s="493"/>
      <c r="B19" s="493"/>
      <c r="C19" s="25" t="s">
        <v>24</v>
      </c>
      <c r="D19" s="11">
        <v>5000</v>
      </c>
      <c r="E19" s="451"/>
      <c r="F19" s="264">
        <f t="shared" si="0"/>
        <v>5000</v>
      </c>
      <c r="G19" s="11"/>
      <c r="H19" s="11"/>
      <c r="I19" s="7" t="s">
        <v>16</v>
      </c>
      <c r="J19" s="8" t="s">
        <v>17</v>
      </c>
      <c r="K19" s="146" t="s">
        <v>25</v>
      </c>
      <c r="L19" s="406" t="s">
        <v>201</v>
      </c>
      <c r="M19" s="118"/>
    </row>
    <row r="20" spans="1:788" s="10" customFormat="1" ht="44.4" customHeight="1">
      <c r="A20" s="493"/>
      <c r="B20" s="493"/>
      <c r="C20" s="25" t="s">
        <v>26</v>
      </c>
      <c r="D20" s="411">
        <v>5000</v>
      </c>
      <c r="E20" s="450">
        <v>460</v>
      </c>
      <c r="F20" s="264">
        <f t="shared" si="0"/>
        <v>4540</v>
      </c>
      <c r="G20" s="419"/>
      <c r="H20" s="419"/>
      <c r="I20" s="7" t="s">
        <v>16</v>
      </c>
      <c r="J20" s="8" t="s">
        <v>17</v>
      </c>
      <c r="K20" s="146" t="s">
        <v>27</v>
      </c>
      <c r="L20" s="406" t="s">
        <v>295</v>
      </c>
      <c r="M20" s="118"/>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row>
    <row r="21" spans="1:788" ht="27.65" customHeight="1">
      <c r="A21" s="493"/>
      <c r="B21" s="493"/>
      <c r="C21" s="25" t="s">
        <v>28</v>
      </c>
      <c r="D21" s="411">
        <v>5000</v>
      </c>
      <c r="E21" s="450"/>
      <c r="F21" s="264">
        <f t="shared" si="0"/>
        <v>5000</v>
      </c>
      <c r="G21" s="419"/>
      <c r="H21" s="419"/>
      <c r="I21" s="7" t="s">
        <v>16</v>
      </c>
      <c r="J21" s="8" t="s">
        <v>17</v>
      </c>
      <c r="K21" s="8" t="s">
        <v>27</v>
      </c>
      <c r="L21" s="406" t="s">
        <v>201</v>
      </c>
      <c r="M21" s="118"/>
    </row>
    <row r="22" spans="1:788" ht="36.5" customHeight="1">
      <c r="A22" s="493"/>
      <c r="B22" s="493"/>
      <c r="C22" s="25" t="s">
        <v>29</v>
      </c>
      <c r="D22" s="411">
        <v>2000</v>
      </c>
      <c r="E22" s="450"/>
      <c r="F22" s="264">
        <f t="shared" si="0"/>
        <v>2000</v>
      </c>
      <c r="G22" s="419"/>
      <c r="H22" s="419"/>
      <c r="I22" s="7" t="s">
        <v>16</v>
      </c>
      <c r="J22" s="8" t="s">
        <v>17</v>
      </c>
      <c r="K22" s="8" t="s">
        <v>30</v>
      </c>
      <c r="L22" s="406" t="s">
        <v>201</v>
      </c>
      <c r="M22" s="118"/>
    </row>
    <row r="23" spans="1:788" ht="28.75" customHeight="1">
      <c r="A23" s="493"/>
      <c r="B23" s="493"/>
      <c r="C23" s="416" t="s">
        <v>31</v>
      </c>
      <c r="D23" s="411"/>
      <c r="E23" s="450">
        <v>16319</v>
      </c>
      <c r="F23" s="264">
        <f t="shared" si="0"/>
        <v>-16319</v>
      </c>
      <c r="G23" s="419"/>
      <c r="H23" s="419"/>
      <c r="I23" s="7" t="s">
        <v>16</v>
      </c>
      <c r="J23" s="8" t="s">
        <v>17</v>
      </c>
      <c r="K23" s="7" t="s">
        <v>32</v>
      </c>
      <c r="L23" s="406" t="s">
        <v>295</v>
      </c>
      <c r="M23" s="118"/>
    </row>
    <row r="24" spans="1:788" ht="49.75" customHeight="1">
      <c r="A24" s="493"/>
      <c r="B24" s="493"/>
      <c r="C24" s="129" t="s">
        <v>33</v>
      </c>
      <c r="D24" s="139">
        <v>3000</v>
      </c>
      <c r="E24" s="452"/>
      <c r="F24" s="264">
        <f t="shared" si="0"/>
        <v>3000</v>
      </c>
      <c r="G24" s="139"/>
      <c r="H24" s="139"/>
      <c r="I24" s="409" t="s">
        <v>16</v>
      </c>
      <c r="J24" s="12" t="s">
        <v>17</v>
      </c>
      <c r="K24" s="409" t="s">
        <v>32</v>
      </c>
      <c r="L24" s="406" t="s">
        <v>296</v>
      </c>
      <c r="M24" s="118"/>
    </row>
    <row r="25" spans="1:788" ht="49.25" customHeight="1">
      <c r="A25" s="493"/>
      <c r="B25" s="493"/>
      <c r="C25" s="129" t="s">
        <v>208</v>
      </c>
      <c r="D25" s="139">
        <v>5000</v>
      </c>
      <c r="E25" s="452"/>
      <c r="F25" s="264">
        <f t="shared" si="0"/>
        <v>5000</v>
      </c>
      <c r="G25" s="139"/>
      <c r="H25" s="139"/>
      <c r="I25" s="409" t="s">
        <v>16</v>
      </c>
      <c r="J25" s="12" t="s">
        <v>17</v>
      </c>
      <c r="K25" s="409" t="s">
        <v>200</v>
      </c>
      <c r="L25" s="406" t="s">
        <v>295</v>
      </c>
      <c r="M25" s="118"/>
    </row>
    <row r="26" spans="1:788" ht="26.4" customHeight="1">
      <c r="A26" s="493"/>
      <c r="B26" s="493"/>
      <c r="C26" s="129" t="s">
        <v>218</v>
      </c>
      <c r="D26" s="139"/>
      <c r="E26" s="452"/>
      <c r="F26" s="264">
        <f t="shared" si="0"/>
        <v>0</v>
      </c>
      <c r="G26" s="139"/>
      <c r="H26" s="139"/>
      <c r="I26" s="409" t="s">
        <v>16</v>
      </c>
      <c r="J26" s="12" t="s">
        <v>17</v>
      </c>
      <c r="K26" s="409" t="s">
        <v>219</v>
      </c>
      <c r="L26" s="406"/>
      <c r="M26" s="118"/>
    </row>
    <row r="27" spans="1:788" ht="43.25" customHeight="1">
      <c r="A27" s="493"/>
      <c r="B27" s="493"/>
      <c r="C27" s="129" t="s">
        <v>217</v>
      </c>
      <c r="D27" s="139">
        <v>0</v>
      </c>
      <c r="E27" s="452"/>
      <c r="F27" s="264">
        <f t="shared" si="0"/>
        <v>0</v>
      </c>
      <c r="G27" s="139"/>
      <c r="H27" s="139"/>
      <c r="I27" s="409" t="s">
        <v>16</v>
      </c>
      <c r="J27" s="12" t="s">
        <v>17</v>
      </c>
      <c r="K27" s="409" t="s">
        <v>220</v>
      </c>
      <c r="L27" s="406" t="s">
        <v>295</v>
      </c>
      <c r="M27" s="118"/>
    </row>
    <row r="28" spans="1:788" ht="27" customHeight="1">
      <c r="A28" s="130" t="s">
        <v>34</v>
      </c>
      <c r="B28" s="130"/>
      <c r="C28" s="130"/>
      <c r="D28" s="130">
        <f>SUM(D13:D27)</f>
        <v>43000</v>
      </c>
      <c r="E28" s="130">
        <f>SUM(E13:E27)</f>
        <v>18795</v>
      </c>
      <c r="F28" s="461">
        <f t="shared" si="0"/>
        <v>24205</v>
      </c>
      <c r="G28" s="130"/>
      <c r="H28" s="130"/>
      <c r="I28" s="130">
        <f t="shared" ref="I28:K28" si="1">SUM(I13:I27)</f>
        <v>0</v>
      </c>
      <c r="J28" s="130">
        <f t="shared" si="1"/>
        <v>0</v>
      </c>
      <c r="K28" s="130">
        <f t="shared" si="1"/>
        <v>0</v>
      </c>
      <c r="L28" s="406"/>
      <c r="M28" s="118"/>
    </row>
    <row r="29" spans="1:788" ht="85" customHeight="1">
      <c r="A29" s="408" t="s">
        <v>35</v>
      </c>
      <c r="B29" s="408" t="s">
        <v>36</v>
      </c>
      <c r="C29" s="492" t="s">
        <v>37</v>
      </c>
      <c r="D29" s="411">
        <v>0</v>
      </c>
      <c r="E29" s="450"/>
      <c r="F29" s="264">
        <f t="shared" si="0"/>
        <v>0</v>
      </c>
      <c r="G29" s="419"/>
      <c r="H29" s="419"/>
      <c r="I29" s="491" t="s">
        <v>16</v>
      </c>
      <c r="J29" s="490">
        <v>11363</v>
      </c>
      <c r="K29" s="491" t="s">
        <v>23</v>
      </c>
      <c r="L29" s="406" t="s">
        <v>295</v>
      </c>
      <c r="M29" s="118"/>
    </row>
    <row r="30" spans="1:788" ht="102" customHeight="1">
      <c r="A30" s="408" t="s">
        <v>38</v>
      </c>
      <c r="B30" s="408" t="s">
        <v>297</v>
      </c>
      <c r="C30" s="492"/>
      <c r="D30" s="411">
        <v>0</v>
      </c>
      <c r="E30" s="450"/>
      <c r="F30" s="264">
        <f t="shared" si="0"/>
        <v>0</v>
      </c>
      <c r="G30" s="419"/>
      <c r="H30" s="419"/>
      <c r="I30" s="491"/>
      <c r="J30" s="490"/>
      <c r="K30" s="491"/>
      <c r="L30" s="406" t="s">
        <v>295</v>
      </c>
      <c r="M30" s="118"/>
    </row>
    <row r="31" spans="1:788" ht="72.5">
      <c r="A31" s="408" t="s">
        <v>40</v>
      </c>
      <c r="B31" s="416" t="s">
        <v>298</v>
      </c>
      <c r="C31" s="492"/>
      <c r="D31" s="411">
        <v>1000</v>
      </c>
      <c r="E31" s="450"/>
      <c r="F31" s="264">
        <f t="shared" si="0"/>
        <v>1000</v>
      </c>
      <c r="G31" s="419"/>
      <c r="H31" s="419"/>
      <c r="I31" s="491"/>
      <c r="J31" s="490"/>
      <c r="K31" s="491"/>
      <c r="L31" s="406" t="s">
        <v>295</v>
      </c>
      <c r="M31" s="118"/>
    </row>
    <row r="32" spans="1:788" s="13" customFormat="1" ht="25.75" customHeight="1">
      <c r="A32" s="147" t="s">
        <v>42</v>
      </c>
      <c r="B32" s="147"/>
      <c r="C32" s="147"/>
      <c r="D32" s="147">
        <f>SUM(D29:D31)</f>
        <v>1000</v>
      </c>
      <c r="E32" s="147">
        <f>SUM(E29:E31)</f>
        <v>0</v>
      </c>
      <c r="F32" s="264">
        <f t="shared" si="0"/>
        <v>1000</v>
      </c>
      <c r="G32" s="147"/>
      <c r="H32" s="147"/>
      <c r="I32" s="147"/>
      <c r="J32" s="147"/>
      <c r="K32" s="147"/>
      <c r="L32" s="142"/>
      <c r="M32" s="119"/>
    </row>
    <row r="33" spans="1:13" ht="24.65" customHeight="1">
      <c r="A33" s="131" t="s">
        <v>43</v>
      </c>
      <c r="B33" s="131"/>
      <c r="C33" s="131"/>
      <c r="D33" s="131">
        <f>D32+D28</f>
        <v>44000</v>
      </c>
      <c r="E33" s="131">
        <f>E32+E28</f>
        <v>18795</v>
      </c>
      <c r="F33" s="264">
        <f t="shared" si="0"/>
        <v>25205</v>
      </c>
      <c r="G33" s="131"/>
      <c r="H33" s="131"/>
      <c r="I33" s="131"/>
      <c r="J33" s="131"/>
      <c r="K33" s="131"/>
      <c r="L33" s="406"/>
      <c r="M33" s="118"/>
    </row>
    <row r="34" spans="1:13" ht="23.4" customHeight="1">
      <c r="A34" s="489" t="s">
        <v>44</v>
      </c>
      <c r="B34" s="489"/>
      <c r="C34" s="489"/>
      <c r="D34" s="489"/>
      <c r="E34" s="489"/>
      <c r="F34" s="489"/>
      <c r="G34" s="489"/>
      <c r="H34" s="489"/>
      <c r="I34" s="489"/>
      <c r="J34" s="489"/>
      <c r="K34" s="489"/>
      <c r="L34" s="406"/>
      <c r="M34" s="118"/>
    </row>
    <row r="35" spans="1:13" ht="71.400000000000006" customHeight="1">
      <c r="A35" s="408" t="s">
        <v>45</v>
      </c>
      <c r="B35" s="118" t="s">
        <v>278</v>
      </c>
      <c r="C35" s="408" t="s">
        <v>320</v>
      </c>
      <c r="D35" s="264">
        <v>42000</v>
      </c>
      <c r="E35" s="572">
        <v>32289</v>
      </c>
      <c r="F35" s="264">
        <f>+D35-E35</f>
        <v>9711</v>
      </c>
      <c r="G35" s="264"/>
      <c r="H35" s="264"/>
      <c r="I35" s="412" t="s">
        <v>16</v>
      </c>
      <c r="J35" s="413" t="s">
        <v>17</v>
      </c>
      <c r="K35" s="413" t="s">
        <v>57</v>
      </c>
      <c r="L35" s="406" t="s">
        <v>299</v>
      </c>
      <c r="M35" s="118"/>
    </row>
    <row r="36" spans="1:13" ht="132.5" customHeight="1">
      <c r="A36" s="416" t="s">
        <v>48</v>
      </c>
      <c r="B36" s="416" t="s">
        <v>49</v>
      </c>
      <c r="C36" s="9" t="s">
        <v>50</v>
      </c>
      <c r="D36" s="411"/>
      <c r="E36" s="419"/>
      <c r="F36" s="264">
        <f t="shared" ref="F36:F39" si="2">+D36-E36</f>
        <v>0</v>
      </c>
      <c r="G36" s="419"/>
      <c r="H36" s="419"/>
      <c r="I36" s="511" t="s">
        <v>16</v>
      </c>
      <c r="J36" s="512" t="s">
        <v>17</v>
      </c>
      <c r="K36" s="7" t="s">
        <v>23</v>
      </c>
      <c r="L36" s="406" t="s">
        <v>295</v>
      </c>
      <c r="M36" s="118"/>
    </row>
    <row r="37" spans="1:13" ht="85.5" customHeight="1">
      <c r="A37" s="460" t="s">
        <v>300</v>
      </c>
      <c r="B37" s="460" t="s">
        <v>301</v>
      </c>
      <c r="C37" s="9"/>
      <c r="D37" s="411">
        <v>15000</v>
      </c>
      <c r="E37" s="419"/>
      <c r="F37" s="264">
        <f t="shared" si="2"/>
        <v>15000</v>
      </c>
      <c r="G37" s="419"/>
      <c r="H37" s="419"/>
      <c r="I37" s="511"/>
      <c r="J37" s="512"/>
      <c r="K37" s="7" t="s">
        <v>23</v>
      </c>
      <c r="L37" s="406" t="s">
        <v>296</v>
      </c>
      <c r="M37" s="118"/>
    </row>
    <row r="38" spans="1:13" ht="111.65" customHeight="1">
      <c r="A38" s="408" t="s">
        <v>51</v>
      </c>
      <c r="B38" s="408" t="s">
        <v>204</v>
      </c>
      <c r="C38" s="275"/>
      <c r="D38" s="411"/>
      <c r="E38" s="419"/>
      <c r="F38" s="264">
        <f t="shared" si="2"/>
        <v>0</v>
      </c>
      <c r="G38" s="419"/>
      <c r="H38" s="419"/>
      <c r="I38" s="511"/>
      <c r="J38" s="512"/>
      <c r="K38" s="7"/>
      <c r="L38" s="406" t="s">
        <v>295</v>
      </c>
      <c r="M38" s="118"/>
    </row>
    <row r="39" spans="1:13" ht="22.25" customHeight="1">
      <c r="A39" s="131" t="s">
        <v>52</v>
      </c>
      <c r="B39" s="131"/>
      <c r="C39" s="131"/>
      <c r="D39" s="131">
        <f>SUM(D35:D38)</f>
        <v>57000</v>
      </c>
      <c r="E39" s="131">
        <f>SUM(E35:E38)</f>
        <v>32289</v>
      </c>
      <c r="F39" s="131">
        <f t="shared" si="2"/>
        <v>24711</v>
      </c>
      <c r="G39" s="131"/>
      <c r="H39" s="131"/>
      <c r="I39" s="131"/>
      <c r="J39" s="131"/>
      <c r="K39" s="131"/>
      <c r="L39" s="406"/>
      <c r="M39" s="118"/>
    </row>
    <row r="40" spans="1:13" ht="23" customHeight="1">
      <c r="A40" s="513" t="s">
        <v>53</v>
      </c>
      <c r="B40" s="513"/>
      <c r="C40" s="513"/>
      <c r="D40" s="513"/>
      <c r="E40" s="513"/>
      <c r="F40" s="513"/>
      <c r="G40" s="513"/>
      <c r="H40" s="513"/>
      <c r="I40" s="513"/>
      <c r="J40" s="513"/>
      <c r="K40" s="513"/>
      <c r="L40" s="406"/>
      <c r="M40" s="118"/>
    </row>
    <row r="41" spans="1:13" ht="73.5" customHeight="1">
      <c r="A41" s="554" t="s">
        <v>54</v>
      </c>
      <c r="B41" s="429" t="s">
        <v>315</v>
      </c>
      <c r="C41" s="408" t="s">
        <v>302</v>
      </c>
      <c r="D41" s="265">
        <v>7000</v>
      </c>
      <c r="E41" s="265">
        <v>6714</v>
      </c>
      <c r="F41" s="265">
        <f>D41-E41</f>
        <v>286</v>
      </c>
      <c r="G41" s="265"/>
      <c r="H41" s="265"/>
      <c r="I41" s="412" t="s">
        <v>16</v>
      </c>
      <c r="J41" s="413" t="s">
        <v>17</v>
      </c>
      <c r="K41" s="413" t="s">
        <v>205</v>
      </c>
      <c r="L41" s="189" t="s">
        <v>303</v>
      </c>
      <c r="M41" s="118"/>
    </row>
    <row r="42" spans="1:13" ht="59.5" customHeight="1">
      <c r="A42" s="555"/>
      <c r="B42" s="408" t="s">
        <v>58</v>
      </c>
      <c r="C42" s="408" t="s">
        <v>56</v>
      </c>
      <c r="D42" s="265">
        <v>13000</v>
      </c>
      <c r="E42" s="265">
        <f>19+2</f>
        <v>21</v>
      </c>
      <c r="F42" s="265">
        <f>D42-E42</f>
        <v>12979</v>
      </c>
      <c r="G42" s="265"/>
      <c r="H42" s="265"/>
      <c r="I42" s="412" t="s">
        <v>16</v>
      </c>
      <c r="J42" s="413" t="s">
        <v>17</v>
      </c>
      <c r="K42" s="413" t="s">
        <v>205</v>
      </c>
      <c r="L42" s="189" t="s">
        <v>303</v>
      </c>
      <c r="M42" s="118"/>
    </row>
    <row r="43" spans="1:13" ht="29.4" customHeight="1">
      <c r="A43" s="539" t="s">
        <v>59</v>
      </c>
      <c r="B43" s="539"/>
      <c r="C43" s="539"/>
      <c r="D43" s="131">
        <f>D41+D42</f>
        <v>20000</v>
      </c>
      <c r="E43" s="131">
        <f>E41+E42</f>
        <v>6735</v>
      </c>
      <c r="F43" s="131">
        <f t="shared" ref="F43" si="3">F41+F42</f>
        <v>13265</v>
      </c>
      <c r="G43" s="131"/>
      <c r="H43" s="131"/>
      <c r="I43" s="131"/>
      <c r="J43" s="131"/>
      <c r="K43" s="131"/>
      <c r="L43" s="406"/>
      <c r="M43" s="118"/>
    </row>
    <row r="44" spans="1:13" ht="23.4" customHeight="1">
      <c r="A44" s="488" t="s">
        <v>60</v>
      </c>
      <c r="B44" s="488"/>
      <c r="C44" s="488"/>
      <c r="D44" s="148">
        <f>D43+D39+D33</f>
        <v>121000</v>
      </c>
      <c r="E44" s="148">
        <f>E43+E39+E33</f>
        <v>57819</v>
      </c>
      <c r="F44" s="148">
        <f t="shared" ref="F44" si="4">F43+F39+F33</f>
        <v>63181</v>
      </c>
      <c r="G44" s="148"/>
      <c r="H44" s="148"/>
      <c r="I44" s="148"/>
      <c r="J44" s="148"/>
      <c r="K44" s="148"/>
      <c r="L44" s="406"/>
      <c r="M44" s="118"/>
    </row>
    <row r="45" spans="1:13" ht="25.75" customHeight="1">
      <c r="A45" s="540" t="s">
        <v>61</v>
      </c>
      <c r="B45" s="540"/>
      <c r="C45" s="540"/>
      <c r="D45" s="26">
        <v>8470</v>
      </c>
      <c r="E45" s="26">
        <v>1144</v>
      </c>
      <c r="F45" s="26">
        <f>D45-E45</f>
        <v>7326</v>
      </c>
      <c r="G45" s="26"/>
      <c r="H45" s="26"/>
      <c r="I45" s="26" t="s">
        <v>16</v>
      </c>
      <c r="J45" s="26" t="s">
        <v>17</v>
      </c>
      <c r="K45" s="430">
        <v>75100</v>
      </c>
      <c r="L45" s="406"/>
      <c r="M45" s="118"/>
    </row>
    <row r="46" spans="1:13" ht="28.25" customHeight="1" thickBot="1">
      <c r="A46" s="538" t="s">
        <v>62</v>
      </c>
      <c r="B46" s="538"/>
      <c r="C46" s="538"/>
      <c r="D46" s="151">
        <f>+D44+D45</f>
        <v>129470</v>
      </c>
      <c r="E46" s="151">
        <f t="shared" ref="E46:F46" si="5">+E44+E45</f>
        <v>58963</v>
      </c>
      <c r="F46" s="151">
        <f t="shared" si="5"/>
        <v>70507</v>
      </c>
      <c r="G46" s="151"/>
      <c r="H46" s="151"/>
      <c r="I46" s="151"/>
      <c r="J46" s="151"/>
      <c r="K46" s="151"/>
      <c r="L46" s="143"/>
      <c r="M46" s="118"/>
    </row>
    <row r="47" spans="1:13" ht="28.25" customHeight="1">
      <c r="A47" s="272"/>
      <c r="B47" s="272"/>
      <c r="C47" s="272"/>
      <c r="D47" s="151"/>
      <c r="E47" s="151"/>
      <c r="F47" s="151"/>
      <c r="G47" s="151"/>
      <c r="H47" s="151"/>
      <c r="I47" s="151"/>
      <c r="J47" s="151"/>
      <c r="K47" s="151"/>
      <c r="L47" s="431"/>
      <c r="M47" s="118"/>
    </row>
    <row r="48" spans="1:13" ht="28.25" customHeight="1">
      <c r="A48" s="541" t="s">
        <v>10</v>
      </c>
      <c r="B48" s="542"/>
      <c r="C48" s="543"/>
      <c r="D48" s="544" t="s">
        <v>294</v>
      </c>
      <c r="E48" s="535" t="s">
        <v>321</v>
      </c>
      <c r="F48" s="532" t="s">
        <v>8</v>
      </c>
      <c r="G48" s="532" t="s">
        <v>199</v>
      </c>
      <c r="H48" s="532" t="s">
        <v>197</v>
      </c>
      <c r="I48" s="547" t="s">
        <v>9</v>
      </c>
      <c r="J48" s="548"/>
      <c r="K48" s="549"/>
      <c r="L48" s="529" t="s">
        <v>203</v>
      </c>
      <c r="M48" s="118"/>
    </row>
    <row r="49" spans="1:13" ht="6" customHeight="1">
      <c r="A49" s="553" t="s">
        <v>11</v>
      </c>
      <c r="B49" s="512" t="s">
        <v>0</v>
      </c>
      <c r="C49" s="512"/>
      <c r="D49" s="545"/>
      <c r="E49" s="536"/>
      <c r="F49" s="533"/>
      <c r="G49" s="533"/>
      <c r="H49" s="533"/>
      <c r="I49" s="550"/>
      <c r="J49" s="551"/>
      <c r="K49" s="552"/>
      <c r="L49" s="530"/>
      <c r="M49" s="118"/>
    </row>
    <row r="50" spans="1:13" ht="18" customHeight="1">
      <c r="A50" s="553"/>
      <c r="B50" s="512"/>
      <c r="C50" s="512"/>
      <c r="D50" s="546"/>
      <c r="E50" s="537"/>
      <c r="F50" s="534"/>
      <c r="G50" s="534"/>
      <c r="H50" s="534"/>
      <c r="I50" s="432" t="s">
        <v>198</v>
      </c>
      <c r="J50" s="432" t="s">
        <v>63</v>
      </c>
      <c r="K50" s="432" t="s">
        <v>64</v>
      </c>
      <c r="L50" s="531"/>
      <c r="M50" s="118"/>
    </row>
    <row r="51" spans="1:13" ht="23.4" customHeight="1">
      <c r="A51" s="488"/>
      <c r="B51" s="488"/>
      <c r="C51" s="488"/>
      <c r="D51" s="488"/>
      <c r="E51" s="488"/>
      <c r="F51" s="488"/>
      <c r="G51" s="488"/>
      <c r="H51" s="488"/>
      <c r="I51" s="488"/>
      <c r="J51" s="488"/>
      <c r="K51" s="488"/>
      <c r="L51" s="406"/>
      <c r="M51" s="118"/>
    </row>
    <row r="52" spans="1:13" ht="25.25" customHeight="1">
      <c r="A52" s="489" t="s">
        <v>65</v>
      </c>
      <c r="B52" s="489"/>
      <c r="C52" s="489"/>
      <c r="D52" s="489"/>
      <c r="E52" s="489"/>
      <c r="F52" s="489"/>
      <c r="G52" s="489"/>
      <c r="H52" s="489"/>
      <c r="I52" s="489"/>
      <c r="J52" s="489"/>
      <c r="K52" s="489"/>
      <c r="L52" s="406"/>
      <c r="M52" s="118"/>
    </row>
    <row r="53" spans="1:13" ht="51.65" customHeight="1">
      <c r="A53" s="499" t="s">
        <v>304</v>
      </c>
      <c r="B53" s="499" t="s">
        <v>70</v>
      </c>
      <c r="C53" s="408" t="s">
        <v>71</v>
      </c>
      <c r="D53" s="411"/>
      <c r="E53" s="419">
        <f>5249-59</f>
        <v>5190</v>
      </c>
      <c r="F53" s="419">
        <f>+D53-E53</f>
        <v>-5190</v>
      </c>
      <c r="G53" s="419"/>
      <c r="H53" s="419"/>
      <c r="I53" s="409" t="s">
        <v>16</v>
      </c>
      <c r="J53" s="12" t="s">
        <v>17</v>
      </c>
      <c r="K53" s="138">
        <v>75700</v>
      </c>
      <c r="L53" s="406" t="s">
        <v>295</v>
      </c>
      <c r="M53" s="118"/>
    </row>
    <row r="54" spans="1:13" ht="0.65" customHeight="1">
      <c r="A54" s="500"/>
      <c r="B54" s="500"/>
      <c r="C54" s="135" t="s">
        <v>72</v>
      </c>
      <c r="D54" s="136"/>
      <c r="E54" s="136"/>
      <c r="F54" s="136"/>
      <c r="G54" s="136"/>
      <c r="H54" s="136"/>
      <c r="I54" s="409" t="s">
        <v>16</v>
      </c>
      <c r="J54" s="12" t="s">
        <v>17</v>
      </c>
      <c r="K54" s="135"/>
      <c r="L54" s="406"/>
      <c r="M54" s="118"/>
    </row>
    <row r="55" spans="1:13" ht="28.5" hidden="1" customHeight="1">
      <c r="A55" s="500"/>
      <c r="B55" s="500"/>
      <c r="C55" s="410" t="s">
        <v>73</v>
      </c>
      <c r="D55" s="136"/>
      <c r="E55" s="136"/>
      <c r="F55" s="136"/>
      <c r="G55" s="136"/>
      <c r="H55" s="136"/>
      <c r="I55" s="409" t="s">
        <v>16</v>
      </c>
      <c r="J55" s="12" t="s">
        <v>17</v>
      </c>
      <c r="K55" s="408"/>
      <c r="L55" s="406"/>
      <c r="M55" s="118"/>
    </row>
    <row r="56" spans="1:13" ht="33" customHeight="1">
      <c r="A56" s="500"/>
      <c r="B56" s="500"/>
      <c r="C56" s="447"/>
      <c r="D56" s="136"/>
      <c r="E56" s="136">
        <v>1414</v>
      </c>
      <c r="F56" s="448">
        <f t="shared" ref="F56:F65" si="6">+D56-E56</f>
        <v>-1414</v>
      </c>
      <c r="G56" s="136"/>
      <c r="H56" s="136"/>
      <c r="I56" s="446" t="s">
        <v>16</v>
      </c>
      <c r="J56" s="12" t="s">
        <v>17</v>
      </c>
      <c r="K56" s="138">
        <v>75700</v>
      </c>
      <c r="L56" s="444" t="s">
        <v>299</v>
      </c>
      <c r="M56" s="118"/>
    </row>
    <row r="57" spans="1:13" ht="33.65" customHeight="1">
      <c r="A57" s="501"/>
      <c r="B57" s="501"/>
      <c r="C57" s="410" t="s">
        <v>74</v>
      </c>
      <c r="D57" s="136"/>
      <c r="E57" s="136"/>
      <c r="F57" s="448">
        <f t="shared" si="6"/>
        <v>0</v>
      </c>
      <c r="G57" s="136"/>
      <c r="H57" s="136"/>
      <c r="I57" s="409" t="s">
        <v>16</v>
      </c>
      <c r="J57" s="12" t="s">
        <v>17</v>
      </c>
      <c r="K57" s="408">
        <v>71200</v>
      </c>
      <c r="L57" s="406" t="s">
        <v>305</v>
      </c>
      <c r="M57" s="118"/>
    </row>
    <row r="58" spans="1:13" ht="65" customHeight="1">
      <c r="A58" s="16" t="s">
        <v>255</v>
      </c>
      <c r="B58" s="16" t="s">
        <v>75</v>
      </c>
      <c r="C58" s="19" t="s">
        <v>76</v>
      </c>
      <c r="D58" s="20"/>
      <c r="E58" s="20"/>
      <c r="F58" s="448">
        <f t="shared" si="6"/>
        <v>0</v>
      </c>
      <c r="G58" s="20"/>
      <c r="H58" s="20"/>
      <c r="I58" s="17" t="s">
        <v>16</v>
      </c>
      <c r="J58" s="18" t="s">
        <v>17</v>
      </c>
      <c r="K58" s="16">
        <v>75700</v>
      </c>
      <c r="L58" s="406"/>
      <c r="M58" s="118"/>
    </row>
    <row r="59" spans="1:13" ht="119.4" customHeight="1">
      <c r="A59" s="416" t="s">
        <v>77</v>
      </c>
      <c r="B59" s="416" t="s">
        <v>78</v>
      </c>
      <c r="C59" s="416" t="s">
        <v>79</v>
      </c>
      <c r="D59" s="11"/>
      <c r="E59" s="11"/>
      <c r="F59" s="448">
        <f t="shared" si="6"/>
        <v>0</v>
      </c>
      <c r="G59" s="11"/>
      <c r="H59" s="11"/>
      <c r="I59" s="7" t="s">
        <v>16</v>
      </c>
      <c r="J59" s="8" t="s">
        <v>17</v>
      </c>
      <c r="K59" s="138">
        <v>75700</v>
      </c>
      <c r="L59" s="406" t="s">
        <v>295</v>
      </c>
      <c r="M59" s="118"/>
    </row>
    <row r="60" spans="1:13" ht="73.75" customHeight="1">
      <c r="A60" s="416"/>
      <c r="B60" s="416" t="s">
        <v>80</v>
      </c>
      <c r="C60" s="416" t="s">
        <v>81</v>
      </c>
      <c r="D60" s="11">
        <v>0</v>
      </c>
      <c r="E60" s="11"/>
      <c r="F60" s="448">
        <f t="shared" si="6"/>
        <v>0</v>
      </c>
      <c r="G60" s="11"/>
      <c r="H60" s="11"/>
      <c r="I60" s="7" t="s">
        <v>16</v>
      </c>
      <c r="J60" s="8" t="s">
        <v>17</v>
      </c>
      <c r="K60" s="138">
        <v>71300</v>
      </c>
      <c r="L60" s="406" t="s">
        <v>306</v>
      </c>
      <c r="M60" s="118"/>
    </row>
    <row r="61" spans="1:13" ht="52.5" customHeight="1">
      <c r="A61" s="490" t="s">
        <v>210</v>
      </c>
      <c r="B61" s="525" t="s">
        <v>82</v>
      </c>
      <c r="C61" s="408" t="s">
        <v>83</v>
      </c>
      <c r="D61" s="21"/>
      <c r="E61" s="21"/>
      <c r="F61" s="448">
        <f t="shared" si="6"/>
        <v>0</v>
      </c>
      <c r="G61" s="21"/>
      <c r="H61" s="21"/>
      <c r="I61" s="409" t="s">
        <v>16</v>
      </c>
      <c r="J61" s="12" t="s">
        <v>17</v>
      </c>
      <c r="K61" s="138">
        <v>75700</v>
      </c>
      <c r="L61" s="406" t="s">
        <v>296</v>
      </c>
      <c r="M61" s="118"/>
    </row>
    <row r="62" spans="1:13" ht="51" customHeight="1">
      <c r="A62" s="490"/>
      <c r="B62" s="525"/>
      <c r="C62" s="408" t="s">
        <v>84</v>
      </c>
      <c r="D62" s="21">
        <v>0</v>
      </c>
      <c r="E62" s="21"/>
      <c r="F62" s="448">
        <f t="shared" si="6"/>
        <v>0</v>
      </c>
      <c r="G62" s="21"/>
      <c r="H62" s="21"/>
      <c r="I62" s="409" t="s">
        <v>16</v>
      </c>
      <c r="J62" s="12" t="s">
        <v>17</v>
      </c>
      <c r="K62" s="138">
        <v>71300</v>
      </c>
      <c r="L62" s="406" t="s">
        <v>305</v>
      </c>
      <c r="M62" s="118"/>
    </row>
    <row r="63" spans="1:13" ht="98" customHeight="1">
      <c r="A63" s="416" t="s">
        <v>85</v>
      </c>
      <c r="B63" s="416" t="s">
        <v>86</v>
      </c>
      <c r="C63" s="416" t="s">
        <v>87</v>
      </c>
      <c r="D63" s="433">
        <v>6000</v>
      </c>
      <c r="E63" s="433"/>
      <c r="F63" s="448">
        <f t="shared" si="6"/>
        <v>6000</v>
      </c>
      <c r="G63" s="433"/>
      <c r="H63" s="433"/>
      <c r="I63" s="409" t="s">
        <v>16</v>
      </c>
      <c r="J63" s="12" t="s">
        <v>17</v>
      </c>
      <c r="K63" s="138">
        <v>75700</v>
      </c>
      <c r="L63" s="406" t="s">
        <v>295</v>
      </c>
      <c r="M63" s="118"/>
    </row>
    <row r="64" spans="1:13" ht="67.5" customHeight="1">
      <c r="A64" s="525" t="s">
        <v>88</v>
      </c>
      <c r="B64" s="416" t="s">
        <v>89</v>
      </c>
      <c r="C64" s="9" t="s">
        <v>90</v>
      </c>
      <c r="D64" s="433"/>
      <c r="E64" s="455">
        <v>12325</v>
      </c>
      <c r="F64" s="448">
        <f t="shared" si="6"/>
        <v>-12325</v>
      </c>
      <c r="G64" s="433"/>
      <c r="H64" s="433"/>
      <c r="I64" s="7" t="s">
        <v>16</v>
      </c>
      <c r="J64" s="8" t="s">
        <v>17</v>
      </c>
      <c r="K64" s="138">
        <v>75700</v>
      </c>
      <c r="L64" s="406" t="s">
        <v>296</v>
      </c>
      <c r="M64" s="118"/>
    </row>
    <row r="65" spans="1:13" ht="99.65" customHeight="1" thickBot="1">
      <c r="A65" s="525"/>
      <c r="B65" s="416" t="s">
        <v>91</v>
      </c>
      <c r="C65" s="9" t="s">
        <v>92</v>
      </c>
      <c r="D65" s="433">
        <v>30000</v>
      </c>
      <c r="E65" s="455">
        <f>1038</f>
        <v>1038</v>
      </c>
      <c r="F65" s="448">
        <f t="shared" si="6"/>
        <v>28962</v>
      </c>
      <c r="G65" s="433"/>
      <c r="H65" s="433"/>
      <c r="I65" s="7" t="s">
        <v>16</v>
      </c>
      <c r="J65" s="8" t="s">
        <v>17</v>
      </c>
      <c r="K65" s="138">
        <v>71600</v>
      </c>
      <c r="L65" s="144" t="s">
        <v>307</v>
      </c>
      <c r="M65" s="118"/>
    </row>
    <row r="66" spans="1:13" ht="25.75" customHeight="1">
      <c r="A66" s="539" t="s">
        <v>93</v>
      </c>
      <c r="B66" s="539"/>
      <c r="C66" s="539"/>
      <c r="D66" s="22">
        <f>SUM(D53:D65)</f>
        <v>36000</v>
      </c>
      <c r="E66" s="22">
        <f t="shared" ref="E66:F66" si="7">SUM(E53:E65)</f>
        <v>19967</v>
      </c>
      <c r="F66" s="22">
        <f t="shared" si="7"/>
        <v>16033</v>
      </c>
      <c r="G66" s="22"/>
      <c r="H66" s="22"/>
      <c r="I66" s="22"/>
      <c r="J66" s="22"/>
      <c r="K66" s="22"/>
      <c r="L66" s="406"/>
      <c r="M66" s="118"/>
    </row>
    <row r="67" spans="1:13" ht="24.65" customHeight="1">
      <c r="A67" s="489" t="s">
        <v>308</v>
      </c>
      <c r="B67" s="489"/>
      <c r="C67" s="489"/>
      <c r="D67" s="489"/>
      <c r="E67" s="489"/>
      <c r="F67" s="489"/>
      <c r="G67" s="489"/>
      <c r="H67" s="489"/>
      <c r="I67" s="489"/>
      <c r="J67" s="489"/>
      <c r="K67" s="489"/>
      <c r="L67" s="406"/>
      <c r="M67" s="118"/>
    </row>
    <row r="68" spans="1:13" ht="82.5" customHeight="1">
      <c r="A68" s="523" t="s">
        <v>309</v>
      </c>
      <c r="B68" s="434" t="s">
        <v>310</v>
      </c>
      <c r="C68" s="408" t="s">
        <v>96</v>
      </c>
      <c r="D68" s="23">
        <v>0</v>
      </c>
      <c r="E68" s="23"/>
      <c r="F68" s="448">
        <f>+D68-E68</f>
        <v>0</v>
      </c>
      <c r="G68" s="23"/>
      <c r="H68" s="23"/>
      <c r="I68" s="7" t="s">
        <v>16</v>
      </c>
      <c r="J68" s="8" t="s">
        <v>17</v>
      </c>
      <c r="K68" s="408">
        <v>71300</v>
      </c>
      <c r="L68" s="406" t="s">
        <v>305</v>
      </c>
      <c r="M68" s="118"/>
    </row>
    <row r="69" spans="1:13" ht="83.5" customHeight="1">
      <c r="A69" s="523"/>
      <c r="B69" s="434" t="s">
        <v>95</v>
      </c>
      <c r="C69" s="414" t="s">
        <v>97</v>
      </c>
      <c r="D69" s="435">
        <v>18000</v>
      </c>
      <c r="E69" s="435"/>
      <c r="F69" s="448">
        <f t="shared" ref="F69:F74" si="8">+D69-E69</f>
        <v>18000</v>
      </c>
      <c r="G69" s="435"/>
      <c r="H69" s="435"/>
      <c r="I69" s="7" t="s">
        <v>16</v>
      </c>
      <c r="J69" s="8" t="s">
        <v>17</v>
      </c>
      <c r="K69" s="408">
        <v>71500</v>
      </c>
      <c r="L69" s="406" t="s">
        <v>305</v>
      </c>
      <c r="M69" s="119"/>
    </row>
    <row r="70" spans="1:13" ht="52.25" customHeight="1">
      <c r="A70" s="24" t="s">
        <v>209</v>
      </c>
      <c r="B70" s="25" t="s">
        <v>98</v>
      </c>
      <c r="C70" s="445" t="s">
        <v>96</v>
      </c>
      <c r="D70" s="156"/>
      <c r="E70" s="156"/>
      <c r="F70" s="448">
        <f t="shared" si="8"/>
        <v>0</v>
      </c>
      <c r="G70" s="156"/>
      <c r="H70" s="156"/>
      <c r="I70" s="7" t="s">
        <v>16</v>
      </c>
      <c r="J70" s="8" t="s">
        <v>17</v>
      </c>
      <c r="K70" s="408">
        <v>75700</v>
      </c>
      <c r="L70" s="406" t="s">
        <v>305</v>
      </c>
      <c r="M70" s="118"/>
    </row>
    <row r="71" spans="1:13" ht="48" customHeight="1">
      <c r="A71" s="24" t="s">
        <v>20</v>
      </c>
      <c r="B71" s="25"/>
      <c r="C71" s="24"/>
      <c r="D71" s="156"/>
      <c r="E71" s="156">
        <v>543</v>
      </c>
      <c r="F71" s="448">
        <f t="shared" si="8"/>
        <v>-543</v>
      </c>
      <c r="G71" s="156"/>
      <c r="H71" s="156"/>
      <c r="I71" s="7" t="s">
        <v>16</v>
      </c>
      <c r="J71" s="8" t="s">
        <v>17</v>
      </c>
      <c r="K71" s="408">
        <v>74100</v>
      </c>
      <c r="L71" s="406" t="s">
        <v>296</v>
      </c>
      <c r="M71" s="118"/>
    </row>
    <row r="72" spans="1:13" ht="87.65" customHeight="1">
      <c r="A72" s="414" t="s">
        <v>311</v>
      </c>
      <c r="B72" s="415" t="s">
        <v>100</v>
      </c>
      <c r="C72" s="414"/>
      <c r="D72" s="156">
        <v>0</v>
      </c>
      <c r="E72" s="156"/>
      <c r="F72" s="448">
        <f t="shared" si="8"/>
        <v>0</v>
      </c>
      <c r="G72" s="156"/>
      <c r="H72" s="156"/>
      <c r="I72" s="7" t="s">
        <v>16</v>
      </c>
      <c r="J72" s="8" t="s">
        <v>17</v>
      </c>
      <c r="K72" s="408">
        <v>74200</v>
      </c>
      <c r="L72" s="406" t="s">
        <v>305</v>
      </c>
      <c r="M72" s="118"/>
    </row>
    <row r="73" spans="1:13" ht="86.4" customHeight="1">
      <c r="A73" s="24" t="s">
        <v>101</v>
      </c>
      <c r="B73" s="25" t="s">
        <v>102</v>
      </c>
      <c r="C73" s="24"/>
      <c r="D73" s="156"/>
      <c r="E73" s="156"/>
      <c r="F73" s="448">
        <f t="shared" si="8"/>
        <v>0</v>
      </c>
      <c r="G73" s="156"/>
      <c r="H73" s="156"/>
      <c r="I73" s="7" t="s">
        <v>16</v>
      </c>
      <c r="J73" s="8" t="s">
        <v>17</v>
      </c>
      <c r="K73" s="408">
        <v>74200</v>
      </c>
      <c r="L73" s="406" t="s">
        <v>305</v>
      </c>
      <c r="M73" s="118"/>
    </row>
    <row r="74" spans="1:13" ht="73.75" customHeight="1">
      <c r="A74" s="164" t="s">
        <v>103</v>
      </c>
      <c r="B74" s="25" t="s">
        <v>104</v>
      </c>
      <c r="C74" s="24" t="s">
        <v>105</v>
      </c>
      <c r="D74" s="156">
        <v>3561.68</v>
      </c>
      <c r="E74" s="462">
        <v>2457</v>
      </c>
      <c r="F74" s="448">
        <f t="shared" si="8"/>
        <v>1104.6799999999998</v>
      </c>
      <c r="G74" s="156"/>
      <c r="H74" s="156"/>
      <c r="I74" s="7" t="s">
        <v>16</v>
      </c>
      <c r="J74" s="8" t="s">
        <v>17</v>
      </c>
      <c r="K74" s="408">
        <v>74200</v>
      </c>
      <c r="L74" s="406" t="s">
        <v>305</v>
      </c>
      <c r="M74" s="436"/>
    </row>
    <row r="75" spans="1:13" ht="25.25" customHeight="1">
      <c r="A75" s="273" t="s">
        <v>106</v>
      </c>
      <c r="B75" s="273"/>
      <c r="C75" s="273"/>
      <c r="D75" s="131">
        <f>SUM(D68:D74)</f>
        <v>21561.68</v>
      </c>
      <c r="E75" s="131">
        <f t="shared" ref="E75:F75" si="9">SUM(E68:E74)</f>
        <v>3000</v>
      </c>
      <c r="F75" s="131">
        <f t="shared" si="9"/>
        <v>18561.68</v>
      </c>
      <c r="G75" s="456">
        <f t="shared" ref="G75:G80" si="10">+E75/D75</f>
        <v>0.13913572597311527</v>
      </c>
      <c r="H75" s="131"/>
      <c r="I75" s="131">
        <f>SUM(I69:I74)</f>
        <v>0</v>
      </c>
      <c r="J75" s="131">
        <f>SUM(J69:J74)</f>
        <v>0</v>
      </c>
      <c r="K75" s="131"/>
      <c r="L75" s="406"/>
      <c r="M75" s="437"/>
    </row>
    <row r="76" spans="1:13" ht="25.75" customHeight="1">
      <c r="A76" s="488" t="s">
        <v>107</v>
      </c>
      <c r="B76" s="488"/>
      <c r="C76" s="488"/>
      <c r="D76" s="157">
        <f>+D66+D75</f>
        <v>57561.68</v>
      </c>
      <c r="E76" s="157">
        <f t="shared" ref="E76:F76" si="11">+E66+E75</f>
        <v>22967</v>
      </c>
      <c r="F76" s="157">
        <f t="shared" si="11"/>
        <v>34594.68</v>
      </c>
      <c r="G76" s="456">
        <f t="shared" si="10"/>
        <v>0.39899808344718224</v>
      </c>
      <c r="H76" s="157"/>
      <c r="I76" s="407"/>
      <c r="J76" s="407"/>
      <c r="K76" s="407"/>
      <c r="L76" s="406"/>
      <c r="M76" s="118"/>
    </row>
    <row r="77" spans="1:13" ht="29.4" customHeight="1">
      <c r="A77" s="540" t="s">
        <v>61</v>
      </c>
      <c r="B77" s="540"/>
      <c r="C77" s="540"/>
      <c r="D77" s="26">
        <v>4029</v>
      </c>
      <c r="E77" s="26">
        <v>4029</v>
      </c>
      <c r="F77" s="26">
        <v>4029</v>
      </c>
      <c r="G77" s="456">
        <f t="shared" si="10"/>
        <v>1</v>
      </c>
      <c r="H77" s="26"/>
      <c r="I77" s="26" t="s">
        <v>16</v>
      </c>
      <c r="J77" s="26" t="s">
        <v>17</v>
      </c>
      <c r="K77" s="284">
        <v>75100</v>
      </c>
      <c r="L77" s="406"/>
      <c r="M77" s="118"/>
    </row>
    <row r="78" spans="1:13" ht="26.4" customHeight="1">
      <c r="A78" s="538" t="s">
        <v>108</v>
      </c>
      <c r="B78" s="538"/>
      <c r="C78" s="538"/>
      <c r="D78" s="151">
        <f>+D76+D77</f>
        <v>61590.68</v>
      </c>
      <c r="E78" s="151">
        <f t="shared" ref="E78:F78" si="12">+E76+E77</f>
        <v>26996</v>
      </c>
      <c r="F78" s="151">
        <f t="shared" si="12"/>
        <v>38623.68</v>
      </c>
      <c r="G78" s="457">
        <f>+E78/D78</f>
        <v>0.43831306944492249</v>
      </c>
      <c r="H78" s="151"/>
      <c r="I78" s="272"/>
      <c r="J78" s="272"/>
      <c r="K78" s="272"/>
      <c r="L78" s="406"/>
      <c r="M78" s="118"/>
    </row>
    <row r="79" spans="1:13" ht="25.25" customHeight="1">
      <c r="A79" s="438" t="s">
        <v>312</v>
      </c>
      <c r="B79" s="438"/>
      <c r="C79" s="438"/>
      <c r="D79" s="157">
        <f>+D76+D44</f>
        <v>178561.68</v>
      </c>
      <c r="E79" s="157">
        <f t="shared" ref="E79:F79" si="13">+E76+E44</f>
        <v>80786</v>
      </c>
      <c r="F79" s="157">
        <f t="shared" si="13"/>
        <v>97775.679999999993</v>
      </c>
      <c r="G79" s="458">
        <f t="shared" si="10"/>
        <v>0.4524262988565072</v>
      </c>
      <c r="H79" s="157"/>
      <c r="I79" s="407"/>
      <c r="J79" s="407"/>
      <c r="K79" s="407"/>
      <c r="L79" s="406"/>
      <c r="M79" s="118"/>
    </row>
    <row r="80" spans="1:13" ht="32" customHeight="1">
      <c r="A80" s="439" t="s">
        <v>313</v>
      </c>
      <c r="B80" s="440"/>
      <c r="C80" s="441"/>
      <c r="D80" s="160">
        <f>+D77+D45</f>
        <v>12499</v>
      </c>
      <c r="E80" s="160">
        <f t="shared" ref="E80:F80" si="14">+E77+E45</f>
        <v>5173</v>
      </c>
      <c r="F80" s="160">
        <f t="shared" si="14"/>
        <v>11355</v>
      </c>
      <c r="G80" s="459">
        <f t="shared" si="10"/>
        <v>0.41387310984878789</v>
      </c>
      <c r="H80" s="160"/>
      <c r="I80" s="160" t="s">
        <v>16</v>
      </c>
      <c r="J80" s="160" t="s">
        <v>17</v>
      </c>
      <c r="K80" s="449">
        <v>75100</v>
      </c>
      <c r="L80" s="406"/>
      <c r="M80" s="118"/>
    </row>
    <row r="81" spans="1:13" ht="25.75" customHeight="1">
      <c r="A81" s="442" t="s">
        <v>314</v>
      </c>
      <c r="B81" s="442"/>
      <c r="C81" s="442"/>
      <c r="D81" s="443">
        <f>+D78+D46</f>
        <v>191060.68</v>
      </c>
      <c r="E81" s="443">
        <f t="shared" ref="E81:F81" si="15">+E78+E46</f>
        <v>85959</v>
      </c>
      <c r="F81" s="443">
        <f t="shared" si="15"/>
        <v>109130.68</v>
      </c>
      <c r="G81" s="456">
        <f>+E81/D81</f>
        <v>0.44990418750734062</v>
      </c>
      <c r="H81" s="443"/>
      <c r="I81" s="285"/>
      <c r="J81" s="285"/>
      <c r="K81" s="285"/>
      <c r="L81" s="406"/>
      <c r="M81" s="118"/>
    </row>
    <row r="82" spans="1:13">
      <c r="L82" s="118"/>
      <c r="M82" s="118"/>
    </row>
    <row r="83" spans="1:13">
      <c r="D83" s="27"/>
      <c r="E83" s="27"/>
      <c r="F83" s="27"/>
      <c r="G83" s="27"/>
      <c r="H83" s="27"/>
      <c r="L83" s="118"/>
      <c r="M83" s="118"/>
    </row>
    <row r="84" spans="1:13" ht="18.5">
      <c r="C84" s="453"/>
      <c r="D84" s="453"/>
      <c r="E84"/>
      <c r="F84"/>
    </row>
    <row r="86" spans="1:13">
      <c r="E86" s="112"/>
    </row>
    <row r="88" spans="1:13">
      <c r="E88" s="573"/>
      <c r="F88" s="573"/>
    </row>
  </sheetData>
  <mergeCells count="44">
    <mergeCell ref="E8:E9"/>
    <mergeCell ref="F8:F9"/>
    <mergeCell ref="G8:G9"/>
    <mergeCell ref="H8:H9"/>
    <mergeCell ref="A12:L12"/>
    <mergeCell ref="A11:L11"/>
    <mergeCell ref="C8:D8"/>
    <mergeCell ref="K29:K31"/>
    <mergeCell ref="A34:K34"/>
    <mergeCell ref="A44:C44"/>
    <mergeCell ref="A13:B27"/>
    <mergeCell ref="C29:C31"/>
    <mergeCell ref="I29:I31"/>
    <mergeCell ref="J29:J31"/>
    <mergeCell ref="I36:I38"/>
    <mergeCell ref="J36:J38"/>
    <mergeCell ref="A40:K40"/>
    <mergeCell ref="A41:A42"/>
    <mergeCell ref="A43:C43"/>
    <mergeCell ref="A45:C45"/>
    <mergeCell ref="A46:C46"/>
    <mergeCell ref="A48:C48"/>
    <mergeCell ref="D48:D50"/>
    <mergeCell ref="I48:K49"/>
    <mergeCell ref="A49:A50"/>
    <mergeCell ref="B49:C50"/>
    <mergeCell ref="A51:K51"/>
    <mergeCell ref="A52:K52"/>
    <mergeCell ref="A53:A57"/>
    <mergeCell ref="B53:B57"/>
    <mergeCell ref="A61:A62"/>
    <mergeCell ref="B61:B62"/>
    <mergeCell ref="A78:C78"/>
    <mergeCell ref="A64:A65"/>
    <mergeCell ref="A66:C66"/>
    <mergeCell ref="A67:K67"/>
    <mergeCell ref="A68:A69"/>
    <mergeCell ref="A76:C76"/>
    <mergeCell ref="A77:C77"/>
    <mergeCell ref="L48:L50"/>
    <mergeCell ref="H48:H50"/>
    <mergeCell ref="G48:G50"/>
    <mergeCell ref="F48:F50"/>
    <mergeCell ref="E48:E50"/>
  </mergeCells>
  <printOptions horizontalCentered="1"/>
  <pageMargins left="3.937007874015748E-2" right="3.937007874015748E-2" top="3.937007874015748E-2" bottom="3.937007874015748E-2" header="0.31496062992125984" footer="0.31496062992125984"/>
  <pageSetup paperSize="9" scale="7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D33A0-0237-4C1D-8DB5-11CFCEB32330}">
  <dimension ref="A1:IS40"/>
  <sheetViews>
    <sheetView topLeftCell="D29" workbookViewId="0">
      <selection activeCell="H7" sqref="H7"/>
    </sheetView>
  </sheetViews>
  <sheetFormatPr baseColWidth="10" defaultColWidth="9.08984375" defaultRowHeight="14.5"/>
  <cols>
    <col min="1" max="1" width="20.81640625" customWidth="1"/>
    <col min="2" max="2" width="26.54296875" customWidth="1"/>
    <col min="3" max="3" width="16.6328125" style="67" customWidth="1"/>
    <col min="4" max="4" width="15.81640625" style="67" customWidth="1"/>
    <col min="5" max="5" width="15.6328125" style="67" customWidth="1"/>
    <col min="6" max="6" width="15.81640625" style="67" customWidth="1"/>
    <col min="7" max="8" width="18.54296875" style="67" customWidth="1"/>
    <col min="9" max="9" width="16.1796875" style="67" customWidth="1"/>
    <col min="10" max="10" width="16.36328125" style="68" customWidth="1"/>
    <col min="11" max="11" width="15.453125" customWidth="1"/>
    <col min="12" max="12" width="16.36328125" customWidth="1"/>
    <col min="13" max="13" width="17.08984375" customWidth="1"/>
  </cols>
  <sheetData>
    <row r="1" spans="1:253" ht="30" customHeight="1">
      <c r="A1" s="109" t="s">
        <v>136</v>
      </c>
      <c r="B1" s="110"/>
    </row>
    <row r="2" spans="1:253" ht="20.399999999999999" customHeight="1">
      <c r="A2" s="30"/>
      <c r="B2" s="30"/>
    </row>
    <row r="3" spans="1:253" ht="20.399999999999999" customHeight="1">
      <c r="A3" s="30" t="s">
        <v>137</v>
      </c>
      <c r="B3" s="30"/>
    </row>
    <row r="4" spans="1:253" ht="21" customHeight="1"/>
    <row r="5" spans="1:253" ht="15.5">
      <c r="A5" s="30" t="s">
        <v>138</v>
      </c>
    </row>
    <row r="6" spans="1:253" ht="15" customHeight="1"/>
    <row r="7" spans="1:253" ht="127.75" customHeight="1">
      <c r="A7" s="69" t="s">
        <v>139</v>
      </c>
      <c r="B7" s="69" t="s">
        <v>140</v>
      </c>
      <c r="C7" s="69" t="s">
        <v>141</v>
      </c>
      <c r="D7" s="69" t="s">
        <v>142</v>
      </c>
      <c r="E7" s="69" t="s">
        <v>143</v>
      </c>
      <c r="F7" s="69" t="s">
        <v>144</v>
      </c>
      <c r="G7" s="70" t="s">
        <v>145</v>
      </c>
      <c r="H7" s="70"/>
      <c r="I7" s="69" t="s">
        <v>146</v>
      </c>
      <c r="J7" s="71" t="s">
        <v>277</v>
      </c>
      <c r="K7" s="69" t="s">
        <v>147</v>
      </c>
      <c r="L7" s="69" t="s">
        <v>8</v>
      </c>
      <c r="M7" s="69" t="s">
        <v>148</v>
      </c>
    </row>
    <row r="8" spans="1:253" ht="10.75" customHeight="1">
      <c r="A8" s="558"/>
      <c r="B8" s="558"/>
      <c r="C8" s="558"/>
      <c r="D8" s="558"/>
      <c r="E8" s="558"/>
      <c r="F8" s="558"/>
      <c r="G8" s="558"/>
      <c r="H8" s="558"/>
      <c r="I8" s="558"/>
      <c r="J8" s="558"/>
      <c r="K8" s="558"/>
      <c r="L8" s="558"/>
      <c r="M8" s="558"/>
    </row>
    <row r="9" spans="1:253" s="77" customFormat="1" ht="130.75" customHeight="1">
      <c r="A9" s="72" t="s">
        <v>149</v>
      </c>
      <c r="B9" s="73" t="s">
        <v>150</v>
      </c>
      <c r="C9" s="74">
        <f t="shared" ref="C9:G9" si="0">SUM(C10:C12)</f>
        <v>660183</v>
      </c>
      <c r="D9" s="75">
        <f t="shared" si="0"/>
        <v>382221</v>
      </c>
      <c r="E9" s="75">
        <f t="shared" si="0"/>
        <v>359613</v>
      </c>
      <c r="F9" s="75">
        <f t="shared" si="0"/>
        <v>360612.66000000003</v>
      </c>
      <c r="G9" s="75">
        <f t="shared" si="0"/>
        <v>204112.66</v>
      </c>
      <c r="H9" s="75"/>
      <c r="I9" s="75">
        <f>SUM(C9:G9)</f>
        <v>1966742.32</v>
      </c>
      <c r="J9" s="76">
        <f t="shared" ref="J9:J22" si="1">+K9/I9</f>
        <v>0.92070254678813224</v>
      </c>
      <c r="K9" s="75">
        <f>SUM(K10:K13)</f>
        <v>1810784.6628999999</v>
      </c>
      <c r="L9" s="369">
        <f t="shared" ref="L9:L26" si="2">+I9-K9</f>
        <v>155957.65710000019</v>
      </c>
      <c r="M9" s="72"/>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84.65" customHeight="1">
      <c r="A10" s="78" t="s">
        <v>151</v>
      </c>
      <c r="B10" s="79" t="s">
        <v>152</v>
      </c>
      <c r="C10" s="80">
        <f>+'[5]cumul Activity2015-2018 '!N7</f>
        <v>120000</v>
      </c>
      <c r="D10" s="81">
        <f>+'[5]cumul Activity2015-2018 '!T7</f>
        <v>80000</v>
      </c>
      <c r="E10" s="81">
        <f>+'[3]BUDGET 2019'!C18</f>
        <v>7000</v>
      </c>
      <c r="F10" s="81">
        <v>20000</v>
      </c>
      <c r="G10" s="81"/>
      <c r="H10" s="81"/>
      <c r="I10" s="75">
        <f>SUM(C10:G10)</f>
        <v>227000</v>
      </c>
      <c r="J10" s="76">
        <f t="shared" si="1"/>
        <v>1.16474436123348</v>
      </c>
      <c r="K10" s="82">
        <f>+'RECAP 2015 2021 ANNEXE3'!AA7</f>
        <v>264396.96999999997</v>
      </c>
      <c r="L10" s="369">
        <f t="shared" si="2"/>
        <v>-37396.969999999972</v>
      </c>
      <c r="M10" s="69"/>
    </row>
    <row r="11" spans="1:253" ht="114" customHeight="1">
      <c r="A11" s="78" t="s">
        <v>153</v>
      </c>
      <c r="B11" s="79" t="s">
        <v>154</v>
      </c>
      <c r="C11" s="80">
        <f>+'[5]cumul Activity2015-2018 '!N8</f>
        <v>406983</v>
      </c>
      <c r="D11" s="83">
        <f>+'[5]cumul Activity2015-2018 '!T8</f>
        <v>302221</v>
      </c>
      <c r="E11" s="83">
        <f>'[3]BUD 2019'!C22</f>
        <v>305000</v>
      </c>
      <c r="F11" s="83">
        <v>293000</v>
      </c>
      <c r="G11" s="83">
        <f>+'[6]SHEET 1'!D20</f>
        <v>142500</v>
      </c>
      <c r="H11" s="83"/>
      <c r="I11" s="75">
        <f>SUM(C11:G11)</f>
        <v>1449704</v>
      </c>
      <c r="J11" s="76">
        <f t="shared" si="1"/>
        <v>0.79736092333331487</v>
      </c>
      <c r="K11" s="82">
        <f>+'RECAP 2015 2021 ANNEXE3'!AA8</f>
        <v>1155937.3199999998</v>
      </c>
      <c r="L11" s="369">
        <f t="shared" si="2"/>
        <v>293766.68000000017</v>
      </c>
      <c r="M11" s="84"/>
    </row>
    <row r="12" spans="1:253" ht="46.75" customHeight="1">
      <c r="A12" s="78" t="s">
        <v>155</v>
      </c>
      <c r="B12" s="79" t="s">
        <v>156</v>
      </c>
      <c r="C12" s="80">
        <f>+'[5]cumul Activity2015-2018 '!N9</f>
        <v>133200</v>
      </c>
      <c r="D12" s="81">
        <f>+'[5]cumul Activity2015-2018 '!T9</f>
        <v>0</v>
      </c>
      <c r="E12" s="81">
        <f>'[3]BUD 2019'!C28</f>
        <v>47613</v>
      </c>
      <c r="F12" s="81">
        <v>47612.66</v>
      </c>
      <c r="G12" s="81">
        <f>+'[6]SHEET 1'!D26</f>
        <v>61612.66</v>
      </c>
      <c r="H12" s="81"/>
      <c r="I12" s="75">
        <f>SUM(C12:G12)</f>
        <v>290038.32</v>
      </c>
      <c r="J12" s="76">
        <f t="shared" si="1"/>
        <v>0.96379206030430742</v>
      </c>
      <c r="K12" s="82">
        <f>+'RECAP 2015 2021 ANNEXE3'!AA9</f>
        <v>279536.63</v>
      </c>
      <c r="L12" s="369">
        <f t="shared" si="2"/>
        <v>10501.690000000002</v>
      </c>
      <c r="M12" s="84"/>
    </row>
    <row r="13" spans="1:253" ht="20.399999999999999" customHeight="1">
      <c r="A13" s="78"/>
      <c r="B13" s="79" t="s">
        <v>157</v>
      </c>
      <c r="C13" s="85"/>
      <c r="D13" s="83"/>
      <c r="E13" s="83"/>
      <c r="F13" s="83"/>
      <c r="G13" s="83"/>
      <c r="H13" s="83"/>
      <c r="I13" s="75">
        <f>SUM(C13:F13)</f>
        <v>0</v>
      </c>
      <c r="J13" s="76"/>
      <c r="K13" s="82">
        <f>+'RECAP 2015 2021 ANNEXE3'!AA10</f>
        <v>110913.7429</v>
      </c>
      <c r="L13" s="369">
        <f t="shared" si="2"/>
        <v>-110913.7429</v>
      </c>
      <c r="M13" s="84"/>
    </row>
    <row r="14" spans="1:253" s="77" customFormat="1" ht="84.65" customHeight="1">
      <c r="A14" s="73" t="s">
        <v>158</v>
      </c>
      <c r="B14" s="73" t="s">
        <v>159</v>
      </c>
      <c r="C14" s="86">
        <f>SUM(C15:C25)</f>
        <v>489818</v>
      </c>
      <c r="D14" s="86">
        <f>SUM(D15:D25)</f>
        <v>85069</v>
      </c>
      <c r="E14" s="86">
        <f>SUM(E15:E26)</f>
        <v>182905.97</v>
      </c>
      <c r="F14" s="86">
        <f>SUM(F15:F25)</f>
        <v>135069</v>
      </c>
      <c r="G14" s="86">
        <f>SUM(G15:G25)</f>
        <v>125069</v>
      </c>
      <c r="H14" s="86"/>
      <c r="I14" s="75">
        <f>SUM(C14:G14)</f>
        <v>1017930.97</v>
      </c>
      <c r="J14" s="76">
        <f t="shared" si="1"/>
        <v>0.92247651518059237</v>
      </c>
      <c r="K14" s="86">
        <f>SUM(K15:K26)</f>
        <v>939017.41390000004</v>
      </c>
      <c r="L14" s="369">
        <f t="shared" si="2"/>
        <v>78913.556099999929</v>
      </c>
      <c r="M14" s="73"/>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68.400000000000006" customHeight="1">
      <c r="A15" s="87" t="s">
        <v>160</v>
      </c>
      <c r="B15" s="79" t="s">
        <v>152</v>
      </c>
      <c r="C15" s="88">
        <f>'[5]cumul Activity2015-2018 '!N13</f>
        <v>172800</v>
      </c>
      <c r="D15" s="88">
        <f>'[5]cumul Activity2015-2018 '!T13</f>
        <v>60069</v>
      </c>
      <c r="E15" s="88">
        <f>'[3]BUD 2019'!C34</f>
        <v>60069</v>
      </c>
      <c r="F15" s="88">
        <v>60069</v>
      </c>
      <c r="G15" s="88">
        <f>+'[6]SHEET 1'!D34</f>
        <v>60069</v>
      </c>
      <c r="H15" s="88"/>
      <c r="I15" s="75">
        <f>SUM(C15:G15)</f>
        <v>413076</v>
      </c>
      <c r="J15" s="76">
        <f t="shared" si="1"/>
        <v>1.0271154218594156</v>
      </c>
      <c r="K15" s="88">
        <f>+'RECAP 2015 2021 ANNEXE3'!AA13</f>
        <v>424276.73</v>
      </c>
      <c r="L15" s="369">
        <f t="shared" si="2"/>
        <v>-11200.729999999981</v>
      </c>
      <c r="M15" s="79"/>
    </row>
    <row r="16" spans="1:253" ht="43.25" customHeight="1">
      <c r="A16" s="79" t="s">
        <v>161</v>
      </c>
      <c r="B16" s="79" t="s">
        <v>162</v>
      </c>
      <c r="C16" s="88">
        <f>'[5]cumul Activity2015-2018 '!N14</f>
        <v>100000</v>
      </c>
      <c r="D16" s="88">
        <f>'[5]cumul Activity2015-2018 '!T14</f>
        <v>0</v>
      </c>
      <c r="E16" s="89">
        <f>'[3]BUD 2019'!C40</f>
        <v>106482.97</v>
      </c>
      <c r="F16" s="89">
        <v>50000</v>
      </c>
      <c r="G16" s="89"/>
      <c r="H16" s="89"/>
      <c r="I16" s="75">
        <f>SUM(C16:G16)</f>
        <v>256482.97</v>
      </c>
      <c r="J16" s="76">
        <f t="shared" si="1"/>
        <v>0.74374138758608421</v>
      </c>
      <c r="K16" s="88">
        <f>+'RECAP 2015 2021 ANNEXE3'!AA14</f>
        <v>190757</v>
      </c>
      <c r="L16" s="369">
        <f t="shared" si="2"/>
        <v>65725.97</v>
      </c>
      <c r="M16" s="90"/>
    </row>
    <row r="17" spans="1:13" ht="32.4" customHeight="1">
      <c r="A17" s="79" t="s">
        <v>163</v>
      </c>
      <c r="B17" s="79" t="s">
        <v>164</v>
      </c>
      <c r="C17" s="88">
        <f>'[5]cumul Activity2015-2018 '!N15</f>
        <v>0</v>
      </c>
      <c r="D17" s="88">
        <f>'[5]cumul Activity2015-2018 '!T15</f>
        <v>0</v>
      </c>
      <c r="E17" s="88">
        <f>'[3]BUD 2019'!C43</f>
        <v>0</v>
      </c>
      <c r="F17" s="88"/>
      <c r="G17" s="88"/>
      <c r="H17" s="88"/>
      <c r="I17" s="75">
        <f>SUM(C17:F17)</f>
        <v>0</v>
      </c>
      <c r="J17" s="76"/>
      <c r="K17" s="88">
        <f>+'RECAP 2015 2021 ANNEXE3'!AA15</f>
        <v>0</v>
      </c>
      <c r="L17" s="369">
        <f t="shared" si="2"/>
        <v>0</v>
      </c>
      <c r="M17" s="79"/>
    </row>
    <row r="18" spans="1:13" ht="67.25" customHeight="1">
      <c r="A18" s="79" t="s">
        <v>165</v>
      </c>
      <c r="B18" s="79" t="s">
        <v>166</v>
      </c>
      <c r="C18" s="91">
        <f>'[5]cumul Activity2015-2018 '!N16</f>
        <v>50000</v>
      </c>
      <c r="D18" s="91">
        <f>'[5]cumul Activity2015-2018 '!T16</f>
        <v>10000</v>
      </c>
      <c r="E18" s="92">
        <f>'[3]BUD 2019'!C48</f>
        <v>4500</v>
      </c>
      <c r="F18" s="92">
        <v>5000</v>
      </c>
      <c r="G18" s="92"/>
      <c r="H18" s="92"/>
      <c r="I18" s="75">
        <f t="shared" ref="I18:I25" si="3">SUM(C18:G18)</f>
        <v>69500</v>
      </c>
      <c r="J18" s="76">
        <f t="shared" si="1"/>
        <v>0.94672446043165481</v>
      </c>
      <c r="K18" s="88">
        <f>+'RECAP 2015 2021 ANNEXE3'!AA16</f>
        <v>65797.350000000006</v>
      </c>
      <c r="L18" s="369">
        <f t="shared" si="2"/>
        <v>3702.6499999999942</v>
      </c>
      <c r="M18" s="79"/>
    </row>
    <row r="19" spans="1:13" ht="61.75" customHeight="1">
      <c r="A19" s="79" t="s">
        <v>167</v>
      </c>
      <c r="B19" s="79" t="s">
        <v>168</v>
      </c>
      <c r="C19" s="90">
        <f>'[5]cumul Activity2015-2018 '!N17</f>
        <v>30018</v>
      </c>
      <c r="D19" s="90">
        <f>'[5]cumul Activity2015-2018 '!T17</f>
        <v>0</v>
      </c>
      <c r="E19" s="90">
        <f>'[3]BUD 2019'!C51</f>
        <v>0</v>
      </c>
      <c r="F19" s="90"/>
      <c r="G19" s="90">
        <v>5000</v>
      </c>
      <c r="H19" s="90"/>
      <c r="I19" s="75">
        <f t="shared" si="3"/>
        <v>35018</v>
      </c>
      <c r="J19" s="76">
        <f t="shared" si="1"/>
        <v>0.40065480609972015</v>
      </c>
      <c r="K19" s="88">
        <f>+'RECAP 2015 2021 ANNEXE3'!AA17</f>
        <v>14030.130000000001</v>
      </c>
      <c r="L19" s="369">
        <f t="shared" si="2"/>
        <v>20987.87</v>
      </c>
      <c r="M19" s="90"/>
    </row>
    <row r="20" spans="1:13" ht="35.4" customHeight="1">
      <c r="A20" s="79" t="s">
        <v>169</v>
      </c>
      <c r="B20" s="79" t="s">
        <v>170</v>
      </c>
      <c r="C20" s="90">
        <f>'[5]cumul Activity2015-2018 '!N18</f>
        <v>45000</v>
      </c>
      <c r="D20" s="90">
        <f>'[5]cumul Activity2015-2018 '!T18</f>
        <v>0</v>
      </c>
      <c r="E20" s="90">
        <f>'[3]BUD 2019'!C54</f>
        <v>0</v>
      </c>
      <c r="F20" s="90">
        <v>5000</v>
      </c>
      <c r="G20" s="90"/>
      <c r="H20" s="90"/>
      <c r="I20" s="75">
        <f t="shared" si="3"/>
        <v>50000</v>
      </c>
      <c r="J20" s="76">
        <f t="shared" si="1"/>
        <v>0.5127254</v>
      </c>
      <c r="K20" s="88">
        <f>+'RECAP 2015 2021 ANNEXE3'!AA18</f>
        <v>25636.27</v>
      </c>
      <c r="L20" s="369">
        <f t="shared" si="2"/>
        <v>24363.73</v>
      </c>
      <c r="M20" s="90"/>
    </row>
    <row r="21" spans="1:13" ht="26.4" customHeight="1">
      <c r="A21" s="79"/>
      <c r="C21" s="90"/>
      <c r="D21" s="90"/>
      <c r="E21" s="90"/>
      <c r="F21" s="90"/>
      <c r="G21" s="90"/>
      <c r="H21" s="90"/>
      <c r="I21" s="75">
        <f t="shared" si="3"/>
        <v>0</v>
      </c>
      <c r="J21" s="76"/>
      <c r="K21" s="88">
        <f>+'RECAP 2015 2021 ANNEXE3'!AA19</f>
        <v>11004</v>
      </c>
      <c r="L21" s="369">
        <f t="shared" si="2"/>
        <v>-11004</v>
      </c>
      <c r="M21" s="90"/>
    </row>
    <row r="22" spans="1:13" ht="40.75" customHeight="1">
      <c r="A22" s="79" t="s">
        <v>171</v>
      </c>
      <c r="B22" s="79" t="s">
        <v>172</v>
      </c>
      <c r="C22" s="113">
        <f>'[5]cumul Activity2015-2018 '!N20</f>
        <v>39000</v>
      </c>
      <c r="D22" s="113">
        <f>'[5]cumul Activity2015-2018 '!T20</f>
        <v>10000</v>
      </c>
      <c r="E22" s="113">
        <f>'[3]BUD 2019'!C59</f>
        <v>10500</v>
      </c>
      <c r="F22" s="113">
        <v>10000</v>
      </c>
      <c r="G22" s="113"/>
      <c r="H22" s="113"/>
      <c r="I22" s="75">
        <f t="shared" si="3"/>
        <v>69500</v>
      </c>
      <c r="J22" s="93">
        <f t="shared" si="1"/>
        <v>1.2595021582733812</v>
      </c>
      <c r="K22" s="88">
        <f>+'RECAP 2015 2021 ANNEXE3'!AA20</f>
        <v>87535.4</v>
      </c>
      <c r="L22" s="369">
        <f t="shared" si="2"/>
        <v>-18035.399999999994</v>
      </c>
      <c r="M22" s="90"/>
    </row>
    <row r="23" spans="1:13" ht="48" customHeight="1">
      <c r="A23" s="79" t="s">
        <v>173</v>
      </c>
      <c r="B23" s="79" t="s">
        <v>174</v>
      </c>
      <c r="C23" s="90">
        <f>'[5]cumul Activity2015-2018 '!N21</f>
        <v>53000</v>
      </c>
      <c r="D23" s="90">
        <f>'[5]cumul Activity2015-2018 '!T21</f>
        <v>5000</v>
      </c>
      <c r="E23" s="90">
        <f>'[3]BUD 2019'!C64</f>
        <v>1354</v>
      </c>
      <c r="F23" s="90">
        <v>5000</v>
      </c>
      <c r="G23" s="90">
        <v>20000</v>
      </c>
      <c r="H23" s="90"/>
      <c r="I23" s="75">
        <f t="shared" si="3"/>
        <v>84354</v>
      </c>
      <c r="J23" s="93">
        <f>+K23/I23</f>
        <v>0.60241482324489648</v>
      </c>
      <c r="K23" s="88">
        <f>+'RECAP 2015 2021 ANNEXE3'!AA21</f>
        <v>50816.1</v>
      </c>
      <c r="L23" s="369">
        <f t="shared" si="2"/>
        <v>33537.9</v>
      </c>
      <c r="M23" s="90"/>
    </row>
    <row r="24" spans="1:13" ht="61.25" customHeight="1">
      <c r="A24" s="79" t="s">
        <v>175</v>
      </c>
      <c r="B24" s="108" t="s">
        <v>176</v>
      </c>
      <c r="C24" s="90"/>
      <c r="D24" s="90"/>
      <c r="E24" s="90"/>
      <c r="F24" s="90"/>
      <c r="G24" s="90">
        <f>+'[6]SHEET 1'!D45</f>
        <v>40000</v>
      </c>
      <c r="H24" s="90"/>
      <c r="I24" s="75">
        <f t="shared" si="3"/>
        <v>40000</v>
      </c>
      <c r="J24" s="93">
        <f>+K24/I24</f>
        <v>0.45974449999999994</v>
      </c>
      <c r="K24" s="88">
        <f>+'RECAP 2015 2021 ANNEXE3'!AA22</f>
        <v>18389.78</v>
      </c>
      <c r="L24" s="369">
        <f t="shared" si="2"/>
        <v>21610.22</v>
      </c>
      <c r="M24" s="90"/>
    </row>
    <row r="25" spans="1:13" ht="22.75" customHeight="1">
      <c r="A25" s="79" t="s">
        <v>177</v>
      </c>
      <c r="B25" s="79" t="s">
        <v>20</v>
      </c>
      <c r="C25" s="90"/>
      <c r="D25" s="90"/>
      <c r="F25" s="90"/>
      <c r="G25" s="90"/>
      <c r="H25" s="90"/>
      <c r="I25" s="75">
        <f t="shared" si="3"/>
        <v>0</v>
      </c>
      <c r="J25" s="93"/>
      <c r="L25" s="369">
        <f t="shared" si="2"/>
        <v>0</v>
      </c>
      <c r="M25" s="90"/>
    </row>
    <row r="26" spans="1:13" ht="21" customHeight="1">
      <c r="A26" s="94" t="s">
        <v>157</v>
      </c>
      <c r="B26" s="79" t="s">
        <v>178</v>
      </c>
      <c r="C26" s="88"/>
      <c r="D26" s="88"/>
      <c r="E26" s="90"/>
      <c r="F26" s="95"/>
      <c r="G26" s="95"/>
      <c r="H26" s="95"/>
      <c r="I26" s="75">
        <f>SUM(C26:F26)</f>
        <v>0</v>
      </c>
      <c r="J26" s="76"/>
      <c r="K26" s="88">
        <f>+'RECAP 2015 2021 ANNEXE3'!AA23</f>
        <v>50774.653900000005</v>
      </c>
      <c r="L26" s="369">
        <f t="shared" si="2"/>
        <v>-50774.653900000005</v>
      </c>
      <c r="M26" s="90"/>
    </row>
    <row r="27" spans="1:13" ht="29.25" customHeight="1">
      <c r="A27" s="559" t="s">
        <v>179</v>
      </c>
      <c r="B27" s="559"/>
      <c r="C27" s="559"/>
      <c r="D27" s="559"/>
      <c r="E27" s="559"/>
      <c r="F27" s="559"/>
      <c r="G27" s="559"/>
      <c r="H27" s="559"/>
      <c r="I27" s="559"/>
      <c r="J27" s="559"/>
      <c r="K27" s="559"/>
      <c r="L27" s="559"/>
      <c r="M27" s="559"/>
    </row>
    <row r="28" spans="1:13" ht="85.75" customHeight="1">
      <c r="A28" s="79" t="s">
        <v>180</v>
      </c>
      <c r="B28" s="79"/>
      <c r="C28" s="96"/>
      <c r="D28" s="97"/>
      <c r="E28" s="97"/>
      <c r="F28" s="97"/>
      <c r="G28" s="97"/>
      <c r="H28" s="97"/>
      <c r="I28" s="97"/>
      <c r="J28" s="98"/>
      <c r="K28" s="79"/>
      <c r="L28" s="75">
        <f t="shared" ref="L28:L33" si="4">+I28-K28</f>
        <v>0</v>
      </c>
      <c r="M28" s="99"/>
    </row>
    <row r="29" spans="1:13" ht="58.25" customHeight="1">
      <c r="A29" s="79" t="s">
        <v>181</v>
      </c>
      <c r="B29" s="79"/>
      <c r="C29" s="96"/>
      <c r="D29" s="97"/>
      <c r="E29" s="97"/>
      <c r="F29" s="97"/>
      <c r="G29" s="97"/>
      <c r="H29" s="97"/>
      <c r="I29" s="100">
        <f t="shared" ref="I29:I30" si="5">SUM(B29:E29)</f>
        <v>0</v>
      </c>
      <c r="J29" s="98"/>
      <c r="K29" s="79"/>
      <c r="L29" s="75">
        <f t="shared" si="4"/>
        <v>0</v>
      </c>
      <c r="M29" s="79"/>
    </row>
    <row r="30" spans="1:13" ht="22.75" customHeight="1">
      <c r="A30" s="79" t="s">
        <v>182</v>
      </c>
      <c r="B30" s="79" t="s">
        <v>1</v>
      </c>
      <c r="C30" s="96"/>
      <c r="D30" s="97"/>
      <c r="E30" s="97"/>
      <c r="F30" s="97"/>
      <c r="G30" s="97"/>
      <c r="H30" s="97"/>
      <c r="I30" s="100">
        <f t="shared" si="5"/>
        <v>0</v>
      </c>
      <c r="J30" s="98"/>
      <c r="K30" s="79"/>
      <c r="L30" s="75">
        <f t="shared" si="4"/>
        <v>0</v>
      </c>
      <c r="M30" s="99"/>
    </row>
    <row r="31" spans="1:13" ht="46.25" customHeight="1">
      <c r="A31" s="79" t="s">
        <v>183</v>
      </c>
      <c r="B31" s="79"/>
      <c r="C31" s="101">
        <f>C14+C9</f>
        <v>1150001</v>
      </c>
      <c r="D31" s="101">
        <f>D14+D9</f>
        <v>467290</v>
      </c>
      <c r="E31" s="101">
        <f>E14+E9</f>
        <v>542518.97</v>
      </c>
      <c r="F31" s="101">
        <f>F14+F9</f>
        <v>495681.66000000003</v>
      </c>
      <c r="G31" s="101">
        <f>G14+G9</f>
        <v>329181.66000000003</v>
      </c>
      <c r="H31" s="101"/>
      <c r="I31" s="75">
        <f t="shared" ref="I31:I33" si="6">SUM(C31:G31)</f>
        <v>2984673.29</v>
      </c>
      <c r="J31" s="76"/>
      <c r="K31" s="101">
        <f>+K14+K9</f>
        <v>2749802.0767999999</v>
      </c>
      <c r="L31" s="75">
        <f t="shared" si="4"/>
        <v>234871.21320000011</v>
      </c>
      <c r="M31" s="102"/>
    </row>
    <row r="32" spans="1:13" ht="32.4" customHeight="1">
      <c r="A32" s="78" t="s">
        <v>184</v>
      </c>
      <c r="B32" s="78"/>
      <c r="C32" s="78"/>
      <c r="D32" s="103">
        <f>'[5]cumul Activity2015-2018 '!T23</f>
        <v>32710</v>
      </c>
      <c r="E32" s="103">
        <f>39254.72+18262.69</f>
        <v>57517.41</v>
      </c>
      <c r="F32" s="103">
        <v>34697.72</v>
      </c>
      <c r="G32" s="103">
        <f>+'[6]SHEET 1'!D54</f>
        <v>23042.716200000006</v>
      </c>
      <c r="H32" s="103"/>
      <c r="I32" s="75">
        <f t="shared" si="6"/>
        <v>147967.8462</v>
      </c>
      <c r="J32" s="76"/>
      <c r="K32" s="101"/>
      <c r="L32" s="75">
        <f t="shared" si="4"/>
        <v>147967.8462</v>
      </c>
      <c r="M32" s="78"/>
    </row>
    <row r="33" spans="1:13" ht="37.75" customHeight="1">
      <c r="A33" s="104" t="s">
        <v>185</v>
      </c>
      <c r="B33" s="104"/>
      <c r="C33" s="105">
        <f>C31+C32</f>
        <v>1150001</v>
      </c>
      <c r="D33" s="105">
        <f>D31+D32</f>
        <v>500000</v>
      </c>
      <c r="E33" s="105">
        <f>E31+E32</f>
        <v>600036.38</v>
      </c>
      <c r="F33" s="105">
        <f>F31+F32</f>
        <v>530379.38</v>
      </c>
      <c r="G33" s="105">
        <f>G31+G32</f>
        <v>352224.37620000006</v>
      </c>
      <c r="H33" s="105"/>
      <c r="I33" s="75">
        <f t="shared" si="6"/>
        <v>3132641.1361999996</v>
      </c>
      <c r="J33" s="76">
        <f>+K33/I33</f>
        <v>0.87779032364224252</v>
      </c>
      <c r="K33" s="105">
        <f>+K32+K31</f>
        <v>2749802.0767999999</v>
      </c>
      <c r="L33" s="75">
        <f t="shared" si="4"/>
        <v>382839.05939999968</v>
      </c>
      <c r="M33" s="104"/>
    </row>
    <row r="34" spans="1:13">
      <c r="C34"/>
      <c r="D34"/>
      <c r="L34" s="49"/>
    </row>
    <row r="35" spans="1:13">
      <c r="C35"/>
      <c r="D35"/>
      <c r="E35" s="106">
        <f>+E33-600036.38</f>
        <v>0</v>
      </c>
      <c r="F35" s="106"/>
      <c r="G35" s="106"/>
      <c r="H35" s="106"/>
      <c r="K35" s="49"/>
    </row>
    <row r="36" spans="1:13">
      <c r="C36"/>
      <c r="D36"/>
      <c r="K36" s="107"/>
      <c r="L36" s="49"/>
    </row>
    <row r="37" spans="1:13">
      <c r="C37"/>
      <c r="D37"/>
      <c r="K37" s="49"/>
    </row>
    <row r="38" spans="1:13">
      <c r="C38"/>
      <c r="D38"/>
      <c r="K38" s="49"/>
    </row>
    <row r="39" spans="1:13" ht="25.5" customHeight="1">
      <c r="C39"/>
      <c r="D39"/>
    </row>
    <row r="40" spans="1:13">
      <c r="C40"/>
      <c r="D40"/>
      <c r="L40" s="49"/>
    </row>
  </sheetData>
  <mergeCells count="2">
    <mergeCell ref="A8:M8"/>
    <mergeCell ref="A27:M27"/>
  </mergeCells>
  <printOptions horizontalCentered="1"/>
  <pageMargins left="3.937007874015748E-2" right="3.937007874015748E-2" top="3.937007874015748E-2" bottom="3.937007874015748E-2"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9C139-6261-4B29-924E-2C808CB21A44}">
  <dimension ref="A1:O25"/>
  <sheetViews>
    <sheetView topLeftCell="A10" workbookViewId="0">
      <selection activeCell="N7" sqref="N7"/>
    </sheetView>
  </sheetViews>
  <sheetFormatPr baseColWidth="10" defaultColWidth="8.90625" defaultRowHeight="14.5"/>
  <cols>
    <col min="1" max="1" width="20.90625" customWidth="1"/>
    <col min="2" max="2" width="14.81640625" customWidth="1"/>
    <col min="3" max="3" width="13.08984375" customWidth="1"/>
    <col min="4" max="4" width="12.453125" customWidth="1"/>
    <col min="5" max="5" width="13.1796875" customWidth="1"/>
    <col min="6" max="6" width="11.81640625" customWidth="1"/>
    <col min="7" max="7" width="12.54296875" customWidth="1"/>
    <col min="8" max="8" width="12.90625" customWidth="1"/>
    <col min="9" max="9" width="11.6328125" customWidth="1"/>
    <col min="10" max="11" width="13.1796875" customWidth="1"/>
    <col min="12" max="12" width="13.81640625" customWidth="1"/>
    <col min="13" max="14" width="13.81640625" bestFit="1" customWidth="1"/>
  </cols>
  <sheetData>
    <row r="1" spans="1:15" ht="15.5">
      <c r="A1" s="30" t="s">
        <v>109</v>
      </c>
      <c r="L1">
        <v>8</v>
      </c>
    </row>
    <row r="2" spans="1:15">
      <c r="A2" s="31"/>
    </row>
    <row r="3" spans="1:15">
      <c r="A3" s="31" t="s">
        <v>110</v>
      </c>
    </row>
    <row r="4" spans="1:15" ht="15" thickBot="1"/>
    <row r="5" spans="1:15" ht="34.75" customHeight="1">
      <c r="A5" s="178" t="s">
        <v>111</v>
      </c>
      <c r="B5" s="165" t="s">
        <v>114</v>
      </c>
      <c r="C5" s="165" t="s">
        <v>115</v>
      </c>
      <c r="D5" s="165" t="s">
        <v>116</v>
      </c>
      <c r="E5" s="179" t="s">
        <v>117</v>
      </c>
      <c r="F5" s="180" t="s">
        <v>118</v>
      </c>
      <c r="G5" s="180" t="s">
        <v>119</v>
      </c>
      <c r="H5" s="179" t="s">
        <v>120</v>
      </c>
      <c r="I5" s="180" t="s">
        <v>121</v>
      </c>
      <c r="J5" s="180" t="s">
        <v>122</v>
      </c>
      <c r="K5" s="180" t="s">
        <v>319</v>
      </c>
      <c r="L5" s="165" t="s">
        <v>123</v>
      </c>
    </row>
    <row r="6" spans="1:15" ht="26" customHeight="1">
      <c r="A6" s="181"/>
      <c r="B6" s="167">
        <v>1150000</v>
      </c>
      <c r="C6" s="167">
        <v>500000</v>
      </c>
      <c r="D6" s="167">
        <f>+D16</f>
        <v>600036.37620000006</v>
      </c>
      <c r="E6" s="168">
        <f>+'[6]SHHET 2 BIS'!K6+'[6]SHHET 2 BIS'!L6</f>
        <v>530379.38</v>
      </c>
      <c r="F6" s="169">
        <f t="shared" ref="F6:L6" si="0">F16</f>
        <v>371265.5612</v>
      </c>
      <c r="G6" s="169">
        <f t="shared" si="0"/>
        <v>159113.815</v>
      </c>
      <c r="H6" s="170">
        <f t="shared" si="0"/>
        <v>352224.37620000006</v>
      </c>
      <c r="I6" s="169">
        <f>+'[6]SHHET 2 BIS'!N6</f>
        <v>246557.0612</v>
      </c>
      <c r="J6" s="169">
        <f>+H6-I6</f>
        <v>105667.31500000006</v>
      </c>
      <c r="K6" s="169"/>
      <c r="L6" s="114">
        <f t="shared" si="0"/>
        <v>3132640.1285999995</v>
      </c>
    </row>
    <row r="7" spans="1:15" ht="33.65" customHeight="1">
      <c r="A7" s="182" t="s">
        <v>126</v>
      </c>
      <c r="B7" s="115">
        <v>712983</v>
      </c>
      <c r="C7" s="115">
        <v>382200</v>
      </c>
      <c r="D7" s="115">
        <f>[7]Sheet1!C21+[7]Sheet1!C26+[7]Sheet1!C33</f>
        <v>392681.66000000003</v>
      </c>
      <c r="E7" s="117">
        <f>+F7+G7</f>
        <v>392681.66</v>
      </c>
      <c r="F7" s="171">
        <f>+'[6]SHHET 2 BIS'!K7</f>
        <v>300977.15999999997</v>
      </c>
      <c r="G7" s="171">
        <f>+'[6]SHHET 2 BIS'!L7</f>
        <v>91704.5</v>
      </c>
      <c r="H7" s="117">
        <f>[8]Sheet1!D27+[8]Sheet1!D33</f>
        <v>264181.66000000003</v>
      </c>
      <c r="I7" s="171">
        <f>+'[6]SHHET 2 BIS'!N7</f>
        <v>190427.16000000003</v>
      </c>
      <c r="J7" s="171">
        <f>H7-I7</f>
        <v>73754.5</v>
      </c>
      <c r="K7" s="171"/>
      <c r="L7" s="115">
        <f>B7+C7+D7+E7+H7</f>
        <v>2144727.98</v>
      </c>
      <c r="M7" s="49"/>
      <c r="N7" s="49"/>
      <c r="O7" s="49"/>
    </row>
    <row r="8" spans="1:15" ht="37.25" customHeight="1">
      <c r="A8" s="182" t="s">
        <v>127</v>
      </c>
      <c r="B8" s="115">
        <v>27284</v>
      </c>
      <c r="C8" s="172">
        <v>10000</v>
      </c>
      <c r="D8" s="115">
        <f>[7]Sheet1!C12+[7]Sheet1!C13+[7]Sheet1!C14+[7]Sheet1!C16</f>
        <v>35000</v>
      </c>
      <c r="E8" s="117">
        <f>+F8+G8</f>
        <v>10000</v>
      </c>
      <c r="F8" s="171">
        <f>+'[6]SHHET 2 BIS'!K8</f>
        <v>5000</v>
      </c>
      <c r="G8" s="171">
        <f>+'[6]SHHET 2 BIS'!L8</f>
        <v>5000</v>
      </c>
      <c r="H8" s="117">
        <v>10000</v>
      </c>
      <c r="I8" s="171">
        <v>0</v>
      </c>
      <c r="J8" s="171">
        <f t="shared" ref="J8:J16" si="1">H8-I8</f>
        <v>10000</v>
      </c>
      <c r="K8" s="171"/>
      <c r="L8" s="115">
        <f t="shared" ref="L8:L16" si="2">B8+C8+D8+E8+H8</f>
        <v>92284</v>
      </c>
      <c r="M8" s="49"/>
      <c r="N8" s="49"/>
      <c r="O8" s="384"/>
    </row>
    <row r="9" spans="1:15" ht="48.65" customHeight="1">
      <c r="A9" s="182" t="s">
        <v>128</v>
      </c>
      <c r="B9" s="115">
        <v>5283</v>
      </c>
      <c r="C9" s="115">
        <v>5000</v>
      </c>
      <c r="D9" s="115"/>
      <c r="E9" s="117"/>
      <c r="F9" s="171">
        <f t="shared" ref="F9:F12" si="3">E9*0.7</f>
        <v>0</v>
      </c>
      <c r="G9" s="171">
        <f t="shared" ref="G9:G12" si="4">E9-F9</f>
        <v>0</v>
      </c>
      <c r="H9" s="117"/>
      <c r="I9" s="171">
        <f t="shared" ref="I9:I12" si="5">H9*0.7</f>
        <v>0</v>
      </c>
      <c r="J9" s="171">
        <f t="shared" si="1"/>
        <v>0</v>
      </c>
      <c r="K9" s="171"/>
      <c r="L9" s="115">
        <f t="shared" si="2"/>
        <v>10283</v>
      </c>
      <c r="M9" s="49"/>
      <c r="N9" s="49"/>
      <c r="O9" s="384"/>
    </row>
    <row r="10" spans="1:15" ht="31.25" customHeight="1">
      <c r="A10" s="182" t="s">
        <v>129</v>
      </c>
      <c r="B10" s="115">
        <v>150500</v>
      </c>
      <c r="C10" s="115">
        <v>20000</v>
      </c>
      <c r="D10" s="115">
        <f>[7]Sheet1!C36+[7]Sheet1!C41+[7]Sheet1!C45</f>
        <v>84250</v>
      </c>
      <c r="E10" s="117">
        <f>+F10+G10</f>
        <v>55000</v>
      </c>
      <c r="F10" s="171">
        <f>+'[6]SHHET 2 BIS'!K10</f>
        <v>26000</v>
      </c>
      <c r="G10" s="171">
        <f>+'[6]SHHET 2 BIS'!L10</f>
        <v>29000</v>
      </c>
      <c r="H10" s="117">
        <v>50000</v>
      </c>
      <c r="I10" s="171">
        <v>40000</v>
      </c>
      <c r="J10" s="171">
        <f t="shared" si="1"/>
        <v>10000</v>
      </c>
      <c r="K10" s="171"/>
      <c r="L10" s="115">
        <f t="shared" si="2"/>
        <v>359750</v>
      </c>
      <c r="M10" s="49"/>
      <c r="N10" s="49"/>
      <c r="O10" s="384"/>
    </row>
    <row r="11" spans="1:15" ht="30" customHeight="1">
      <c r="A11" s="182" t="s">
        <v>130</v>
      </c>
      <c r="B11" s="115">
        <v>112529</v>
      </c>
      <c r="C11" s="115">
        <v>25000</v>
      </c>
      <c r="D11" s="115">
        <f>+[7]Sheet1!C17</f>
        <v>15000</v>
      </c>
      <c r="E11" s="117">
        <f>+F11+G11</f>
        <v>10000</v>
      </c>
      <c r="F11" s="171">
        <f>+'[6]SHHET 2 BIS'!K11</f>
        <v>5000</v>
      </c>
      <c r="G11" s="171">
        <f>+'[6]SHHET 2 BIS'!L11</f>
        <v>5000</v>
      </c>
      <c r="H11" s="117"/>
      <c r="I11" s="171">
        <f t="shared" si="5"/>
        <v>0</v>
      </c>
      <c r="J11" s="171">
        <f t="shared" si="1"/>
        <v>0</v>
      </c>
      <c r="K11" s="171"/>
      <c r="L11" s="115">
        <f t="shared" si="2"/>
        <v>162529</v>
      </c>
      <c r="M11" s="49"/>
      <c r="N11" s="49"/>
      <c r="O11" s="384"/>
    </row>
    <row r="12" spans="1:15" ht="39" customHeight="1">
      <c r="A12" s="182" t="s">
        <v>131</v>
      </c>
      <c r="B12" s="115"/>
      <c r="C12" s="115">
        <v>0</v>
      </c>
      <c r="D12" s="115"/>
      <c r="E12" s="117"/>
      <c r="F12" s="171">
        <f t="shared" si="3"/>
        <v>0</v>
      </c>
      <c r="G12" s="171">
        <f t="shared" si="4"/>
        <v>0</v>
      </c>
      <c r="H12" s="117"/>
      <c r="I12" s="171">
        <f t="shared" si="5"/>
        <v>0</v>
      </c>
      <c r="J12" s="171">
        <f t="shared" si="1"/>
        <v>0</v>
      </c>
      <c r="K12" s="171"/>
      <c r="L12" s="115">
        <f t="shared" si="2"/>
        <v>0</v>
      </c>
      <c r="M12" s="49"/>
      <c r="N12" s="49"/>
      <c r="O12" s="384"/>
    </row>
    <row r="13" spans="1:15" ht="45.65" customHeight="1">
      <c r="A13" s="182" t="s">
        <v>132</v>
      </c>
      <c r="B13" s="115">
        <v>66188</v>
      </c>
      <c r="C13" s="115">
        <v>25090</v>
      </c>
      <c r="D13" s="115">
        <f>+[7]Sheet1!C24+[7]Sheet1!C37+[7]Sheet1!C40</f>
        <v>33850</v>
      </c>
      <c r="E13" s="117">
        <f>+F13+G13</f>
        <v>28000</v>
      </c>
      <c r="F13" s="171">
        <f>+'[6]SHHET 2 BIS'!K13</f>
        <v>10000</v>
      </c>
      <c r="G13" s="171">
        <f>+'[6]SHHET 2 BIS'!L13</f>
        <v>18000</v>
      </c>
      <c r="H13" s="117">
        <v>5000</v>
      </c>
      <c r="I13" s="171"/>
      <c r="J13" s="171">
        <f t="shared" si="1"/>
        <v>5000</v>
      </c>
      <c r="K13" s="171"/>
      <c r="L13" s="115">
        <f t="shared" si="2"/>
        <v>158128</v>
      </c>
      <c r="M13" s="49"/>
      <c r="N13" s="49"/>
      <c r="O13" s="384"/>
    </row>
    <row r="14" spans="1:15" ht="33" customHeight="1">
      <c r="A14" s="183" t="s">
        <v>133</v>
      </c>
      <c r="B14" s="173">
        <f>SUM(B7:B13)</f>
        <v>1074767</v>
      </c>
      <c r="C14" s="173">
        <f>SUM(C7:C13)</f>
        <v>467290</v>
      </c>
      <c r="D14" s="173">
        <f>SUM(D7:D13)</f>
        <v>560781.66</v>
      </c>
      <c r="E14" s="174">
        <f>SUM(E7:E13)</f>
        <v>495681.66</v>
      </c>
      <c r="F14" s="175">
        <v>346977.16</v>
      </c>
      <c r="G14" s="175">
        <f>SUM(G7:G13)</f>
        <v>148704.5</v>
      </c>
      <c r="H14" s="116">
        <f>H7+H8+H10+H13</f>
        <v>329181.66000000003</v>
      </c>
      <c r="I14" s="176">
        <f>SUM(I7:I13)</f>
        <v>230427.16000000003</v>
      </c>
      <c r="J14" s="176">
        <f t="shared" si="1"/>
        <v>98754.5</v>
      </c>
      <c r="K14" s="176"/>
      <c r="L14" s="116">
        <f t="shared" si="2"/>
        <v>2927701.9800000004</v>
      </c>
      <c r="M14" s="49"/>
      <c r="N14" s="49"/>
      <c r="O14" s="384"/>
    </row>
    <row r="15" spans="1:15" ht="27" customHeight="1">
      <c r="A15" s="184" t="s">
        <v>134</v>
      </c>
      <c r="B15" s="115">
        <v>75233</v>
      </c>
      <c r="C15" s="115">
        <v>32710</v>
      </c>
      <c r="D15" s="115">
        <f>(D14*0.07)</f>
        <v>39254.716200000003</v>
      </c>
      <c r="E15" s="117">
        <f>(E14*0.07)</f>
        <v>34697.716200000003</v>
      </c>
      <c r="F15" s="177">
        <f>F14*0.07</f>
        <v>24288.4012</v>
      </c>
      <c r="G15" s="171">
        <f>G14*0.07</f>
        <v>10409.315000000001</v>
      </c>
      <c r="H15" s="117">
        <f>H14*0.07</f>
        <v>23042.716200000006</v>
      </c>
      <c r="I15" s="171">
        <f>+I14*7%</f>
        <v>16129.901200000004</v>
      </c>
      <c r="J15" s="171">
        <f t="shared" si="1"/>
        <v>6912.8150000000023</v>
      </c>
      <c r="K15" s="171"/>
      <c r="L15" s="117">
        <f t="shared" si="2"/>
        <v>204938.14859999999</v>
      </c>
      <c r="M15" s="49"/>
      <c r="N15" s="49"/>
      <c r="O15" s="384"/>
    </row>
    <row r="16" spans="1:15" ht="27.65" customHeight="1" thickBot="1">
      <c r="A16" s="185" t="s">
        <v>135</v>
      </c>
      <c r="B16" s="186">
        <f>+B14+B15</f>
        <v>1150000</v>
      </c>
      <c r="C16" s="186">
        <f>+C14+C15</f>
        <v>500000</v>
      </c>
      <c r="D16" s="186">
        <f>D14+D15</f>
        <v>600036.37620000006</v>
      </c>
      <c r="E16" s="166">
        <f>E14+E15</f>
        <v>530379.37619999994</v>
      </c>
      <c r="F16" s="187">
        <f>F14+F15</f>
        <v>371265.5612</v>
      </c>
      <c r="G16" s="187">
        <f>G14+G15</f>
        <v>159113.815</v>
      </c>
      <c r="H16" s="166">
        <f>H14+H15</f>
        <v>352224.37620000006</v>
      </c>
      <c r="I16" s="188">
        <f>+I14+I15</f>
        <v>246557.06120000003</v>
      </c>
      <c r="J16" s="188">
        <f t="shared" si="1"/>
        <v>105667.31500000003</v>
      </c>
      <c r="K16" s="188"/>
      <c r="L16" s="166">
        <f t="shared" si="2"/>
        <v>3132640.1285999995</v>
      </c>
      <c r="M16" s="49"/>
      <c r="N16" s="49"/>
      <c r="O16" s="384"/>
    </row>
    <row r="17" spans="2:15">
      <c r="N17" s="49"/>
      <c r="O17" s="384"/>
    </row>
    <row r="18" spans="2:15">
      <c r="C18" s="49"/>
      <c r="L18" s="190"/>
    </row>
    <row r="19" spans="2:15">
      <c r="C19" s="49"/>
      <c r="D19" s="49"/>
      <c r="I19" s="49"/>
      <c r="L19" s="190"/>
    </row>
    <row r="20" spans="2:15">
      <c r="C20" s="49"/>
      <c r="D20" s="49"/>
      <c r="E20" s="49"/>
      <c r="F20" s="65"/>
      <c r="G20" s="49"/>
      <c r="H20" s="49"/>
      <c r="I20" s="49"/>
      <c r="J20" s="49"/>
      <c r="K20" s="49"/>
      <c r="L20" s="190"/>
    </row>
    <row r="21" spans="2:15">
      <c r="E21" s="49"/>
      <c r="F21" s="65"/>
    </row>
    <row r="22" spans="2:15" ht="15.5">
      <c r="B22" s="66"/>
      <c r="F22" s="65"/>
      <c r="G22" s="49"/>
      <c r="H22" s="49"/>
      <c r="I22" s="49"/>
      <c r="J22" s="49"/>
      <c r="K22" s="49"/>
      <c r="L22" s="49"/>
    </row>
    <row r="23" spans="2:15" ht="15.5">
      <c r="B23" s="66"/>
      <c r="D23" s="49"/>
      <c r="F23" s="65"/>
    </row>
    <row r="24" spans="2:15" ht="15.5">
      <c r="B24" s="66"/>
    </row>
    <row r="25" spans="2:15" ht="15.5">
      <c r="B25" s="66"/>
    </row>
  </sheetData>
  <printOptions horizontalCentered="1"/>
  <pageMargins left="3.937007874015748E-2" right="3.937007874015748E-2" top="3.937007874015748E-2" bottom="3.937007874015748E-2"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0AD38-AB20-45B9-B126-5EAEA2913AEA}">
  <dimension ref="A1:F22"/>
  <sheetViews>
    <sheetView topLeftCell="A7" workbookViewId="0">
      <selection activeCell="B13" sqref="B13"/>
    </sheetView>
  </sheetViews>
  <sheetFormatPr baseColWidth="10" defaultRowHeight="14.5"/>
  <cols>
    <col min="1" max="1" width="40.81640625" customWidth="1"/>
    <col min="2" max="2" width="20.1796875" customWidth="1"/>
    <col min="3" max="3" width="20.36328125" customWidth="1"/>
    <col min="4" max="4" width="20" customWidth="1"/>
    <col min="5" max="5" width="21.1796875" customWidth="1"/>
    <col min="6" max="6" width="20.54296875" customWidth="1"/>
  </cols>
  <sheetData>
    <row r="1" spans="1:6" ht="15.5">
      <c r="A1" s="560" t="s">
        <v>282</v>
      </c>
      <c r="B1" s="560"/>
      <c r="C1" s="560"/>
      <c r="D1" s="560"/>
    </row>
    <row r="2" spans="1:6" ht="9" customHeight="1">
      <c r="A2" s="206"/>
      <c r="B2" s="205"/>
      <c r="C2" s="205"/>
      <c r="D2" s="205"/>
    </row>
    <row r="3" spans="1:6" ht="15.5">
      <c r="A3" s="561" t="s">
        <v>223</v>
      </c>
      <c r="B3" s="561"/>
      <c r="C3" s="561"/>
      <c r="D3" s="561"/>
    </row>
    <row r="4" spans="1:6" ht="14.4" customHeight="1" thickBot="1">
      <c r="A4" s="207"/>
      <c r="B4" s="205"/>
      <c r="C4" s="205"/>
      <c r="D4" s="205"/>
    </row>
    <row r="5" spans="1:6" ht="20.399999999999999" customHeight="1" thickBot="1">
      <c r="A5" s="208" t="s">
        <v>186</v>
      </c>
      <c r="B5" s="209">
        <v>126767.417</v>
      </c>
    </row>
    <row r="6" spans="1:6" ht="40.75" customHeight="1" thickBot="1">
      <c r="A6" s="210" t="s">
        <v>283</v>
      </c>
      <c r="B6" s="211">
        <v>246557.06</v>
      </c>
    </row>
    <row r="7" spans="1:6" ht="36" customHeight="1" thickBot="1">
      <c r="A7" s="210" t="s">
        <v>284</v>
      </c>
      <c r="B7" s="211">
        <v>105667.32</v>
      </c>
    </row>
    <row r="8" spans="1:6" ht="22.75" customHeight="1" thickBot="1">
      <c r="A8" s="212" t="s">
        <v>187</v>
      </c>
      <c r="B8" s="213">
        <f>SUM(B5:B7)</f>
        <v>478991.79700000002</v>
      </c>
    </row>
    <row r="9" spans="1:6" ht="15.65" customHeight="1">
      <c r="A9" s="205"/>
      <c r="B9" s="205"/>
      <c r="C9" s="205"/>
      <c r="D9" s="205"/>
    </row>
    <row r="10" spans="1:6" ht="22.25" customHeight="1" thickBot="1">
      <c r="A10" s="191" t="s">
        <v>222</v>
      </c>
      <c r="B10" s="192"/>
      <c r="C10" s="192"/>
      <c r="D10" s="192"/>
      <c r="E10" s="192"/>
    </row>
    <row r="11" spans="1:6" ht="46.75" customHeight="1">
      <c r="A11" s="193" t="s">
        <v>188</v>
      </c>
      <c r="B11" s="388" t="s">
        <v>285</v>
      </c>
      <c r="C11" s="389" t="s">
        <v>286</v>
      </c>
      <c r="D11" s="390" t="s">
        <v>193</v>
      </c>
      <c r="E11" s="391" t="s">
        <v>221</v>
      </c>
      <c r="F11" s="390" t="s">
        <v>287</v>
      </c>
    </row>
    <row r="12" spans="1:6" ht="20.399999999999999" customHeight="1" thickBot="1">
      <c r="A12" s="262"/>
      <c r="B12" s="385" t="s">
        <v>189</v>
      </c>
      <c r="C12" s="386" t="s">
        <v>190</v>
      </c>
      <c r="D12" s="196" t="s">
        <v>191</v>
      </c>
      <c r="E12" s="387" t="s">
        <v>288</v>
      </c>
      <c r="F12" s="196" t="s">
        <v>289</v>
      </c>
    </row>
    <row r="13" spans="1:6" ht="27.65" customHeight="1" thickBot="1">
      <c r="A13" s="197" t="s">
        <v>126</v>
      </c>
      <c r="B13" s="198">
        <f>+'TOTAL BUDGET 2015 2021'!O7</f>
        <v>190427.16000000003</v>
      </c>
      <c r="C13" s="199">
        <f>+'TOTAL BUDGET 2015 2021'!P7</f>
        <v>73754.5</v>
      </c>
      <c r="D13" s="376">
        <f>'RAPPORT EXECUTION PTA 2021'!E34+'RAPPORT EXECUTION PTA 2021'!E35+'RAPPORT EXECUTION PTA 2021'!E40+'RAPPORT EXECUTION PTA 2021'!E42+'RAPPORT EXECUTION PTA 2021'!E51</f>
        <v>249567</v>
      </c>
      <c r="E13" s="200">
        <f>+(B13+C13)-D13</f>
        <v>14614.660000000033</v>
      </c>
      <c r="F13" s="395">
        <f>D13/(B13+C13)</f>
        <v>0.94467950576130066</v>
      </c>
    </row>
    <row r="14" spans="1:6" ht="30.65" customHeight="1" thickBot="1">
      <c r="A14" s="197" t="s">
        <v>127</v>
      </c>
      <c r="B14" s="398">
        <f>+'TOTAL BUDGET 2015 2021'!O8</f>
        <v>0</v>
      </c>
      <c r="C14" s="199">
        <f>+'TOTAL BUDGET 2015 2021'!P8</f>
        <v>10000</v>
      </c>
      <c r="D14" s="376">
        <f>+'RAPPORT EXECUTION PTA 2021'!E13+'RAPPORT EXECUTION PTA 2021'!E14+'RAPPORT EXECUTION PTA 2021'!E15+'RAPPORT EXECUTION PTA 2021'!E16+'RAPPORT EXECUTION PTA 2021'!E18+'RAPPORT EXECUTION PTA 2021'!E20+'RAPPORT EXECUTION PTA 2021'!E21</f>
        <v>15622</v>
      </c>
      <c r="E14" s="200">
        <f t="shared" ref="E14:E22" si="0">+(B14+C14)-D14</f>
        <v>-5622</v>
      </c>
      <c r="F14" s="395">
        <f t="shared" ref="F14:F22" si="1">D14/(B14+C14)</f>
        <v>1.5622</v>
      </c>
    </row>
    <row r="15" spans="1:6" ht="45.65" customHeight="1" thickBot="1">
      <c r="A15" s="197" t="s">
        <v>128</v>
      </c>
      <c r="B15" s="198">
        <f>+'TOTAL BUDGET 2015 2021'!O9</f>
        <v>0</v>
      </c>
      <c r="C15" s="199">
        <f>+'TOTAL BUDGET 2015 2021'!P9</f>
        <v>0</v>
      </c>
      <c r="D15" s="376">
        <f>'SUIVI BUDGET PAR CATEGORIES'!C6</f>
        <v>0</v>
      </c>
      <c r="E15" s="200">
        <f t="shared" si="0"/>
        <v>0</v>
      </c>
      <c r="F15" s="395">
        <v>0</v>
      </c>
    </row>
    <row r="16" spans="1:6" ht="25.25" customHeight="1" thickBot="1">
      <c r="A16" s="197" t="s">
        <v>129</v>
      </c>
      <c r="B16" s="198">
        <v>40000</v>
      </c>
      <c r="C16" s="199">
        <f>+'TOTAL BUDGET 2015 2021'!P10</f>
        <v>10000</v>
      </c>
      <c r="D16" s="376">
        <f>+'RAPPORT EXECUTION PTA 2021'!E41+'RAPPORT EXECUTION PTA 2021'!E55+'RAPPORT EXECUTION PTA 2021'!E58+'RAPPORT EXECUTION PTA 2021'!E60+'RAPPORT EXECUTION PTA 2021'!E66+'RAPPORT EXECUTION PTA 2021'!E67+'RAPPORT EXECUTION PTA 2021'!E68+'RAPPORT EXECUTION PTA 2021'!E70+'RAPPORT EXECUTION PTA 2021'!E71+'RAPPORT EXECUTION PTA 2021'!E72+'RAPPORT EXECUTION PTA 2021'!E19</f>
        <v>50319</v>
      </c>
      <c r="E16" s="200">
        <f t="shared" si="0"/>
        <v>-319</v>
      </c>
      <c r="F16" s="395">
        <f t="shared" si="1"/>
        <v>1.0063800000000001</v>
      </c>
    </row>
    <row r="17" spans="1:6" ht="25.75" customHeight="1" thickBot="1">
      <c r="A17" s="197" t="s">
        <v>130</v>
      </c>
      <c r="B17" s="198">
        <f>+'TOTAL BUDGET 2015 2021'!O11</f>
        <v>0</v>
      </c>
      <c r="C17" s="199">
        <f>+'TOTAL BUDGET 2015 2021'!P11</f>
        <v>0</v>
      </c>
      <c r="D17" s="376">
        <f>+'RAPPORT EXECUTION PTA 2021'!E63</f>
        <v>4745</v>
      </c>
      <c r="E17" s="200">
        <f t="shared" si="0"/>
        <v>-4745</v>
      </c>
      <c r="F17" s="395">
        <v>0</v>
      </c>
    </row>
    <row r="18" spans="1:6" ht="41.4" customHeight="1" thickBot="1">
      <c r="A18" s="197" t="s">
        <v>131</v>
      </c>
      <c r="B18" s="198">
        <f>+'TOTAL BUDGET 2015 2021'!O12</f>
        <v>0</v>
      </c>
      <c r="C18" s="199">
        <f>+'TOTAL BUDGET 2015 2021'!P12</f>
        <v>0</v>
      </c>
      <c r="D18" s="376">
        <f>'SUIVI BUDGET PAR CATEGORIES'!C9</f>
        <v>0</v>
      </c>
      <c r="E18" s="200">
        <f t="shared" si="0"/>
        <v>0</v>
      </c>
      <c r="F18" s="395">
        <v>0</v>
      </c>
    </row>
    <row r="19" spans="1:6" ht="32.4" customHeight="1" thickBot="1">
      <c r="A19" s="197" t="s">
        <v>132</v>
      </c>
      <c r="B19" s="198">
        <v>0</v>
      </c>
      <c r="C19" s="199">
        <f>+'TOTAL BUDGET 2015 2021'!P13</f>
        <v>5000</v>
      </c>
      <c r="D19" s="376">
        <f>'RAPPORT EXECUTION PTA 2021'!E17+'RAPPORT EXECUTION PTA 2021'!E22+'RAPPORT EXECUTION PTA 2021'!E23+'RAPPORT EXECUTION PTA 2021'!E24+'RAPPORT EXECUTION PTA 2021'!E25+'RAPPORT EXECUTION PTA 2021'!E57+'RAPPORT EXECUTION PTA 2021'!E69+'RAPPORT EXECUTION PTA 2021'!E73</f>
        <v>7784</v>
      </c>
      <c r="E19" s="200">
        <f t="shared" si="0"/>
        <v>-2784</v>
      </c>
      <c r="F19" s="395">
        <f t="shared" si="1"/>
        <v>1.5568</v>
      </c>
    </row>
    <row r="20" spans="1:6" ht="22.75" customHeight="1" thickBot="1">
      <c r="A20" s="201" t="s">
        <v>133</v>
      </c>
      <c r="B20" s="202">
        <f>SUM(B13:B19)</f>
        <v>230427.16000000003</v>
      </c>
      <c r="C20" s="202">
        <f>SUM(C13:C19)</f>
        <v>98754.5</v>
      </c>
      <c r="D20" s="202">
        <f t="shared" ref="D20" si="2">SUM(D13:D19)</f>
        <v>328037</v>
      </c>
      <c r="E20" s="392">
        <f t="shared" si="0"/>
        <v>1144.6600000000326</v>
      </c>
      <c r="F20" s="396">
        <f t="shared" si="1"/>
        <v>0.99652271028707973</v>
      </c>
    </row>
    <row r="21" spans="1:6" ht="20.399999999999999" customHeight="1" thickBot="1">
      <c r="A21" s="197" t="s">
        <v>192</v>
      </c>
      <c r="B21" s="203">
        <f>+B20*7%</f>
        <v>16129.901200000004</v>
      </c>
      <c r="C21" s="203">
        <f>+'TOTAL BUDGET 2015 2021'!P15</f>
        <v>6912.8150000000023</v>
      </c>
      <c r="D21" s="203">
        <v>18290</v>
      </c>
      <c r="E21" s="393">
        <f t="shared" si="0"/>
        <v>4752.7162000000062</v>
      </c>
      <c r="F21" s="397">
        <f t="shared" si="1"/>
        <v>0.79374323067000219</v>
      </c>
    </row>
    <row r="22" spans="1:6" ht="22.75" customHeight="1" thickBot="1">
      <c r="A22" s="201" t="s">
        <v>135</v>
      </c>
      <c r="B22" s="204">
        <f>+B20+B21</f>
        <v>246557.06120000003</v>
      </c>
      <c r="C22" s="204">
        <f>+C20+C21</f>
        <v>105667.315</v>
      </c>
      <c r="D22" s="204">
        <f t="shared" ref="D22" si="3">+D20+D21</f>
        <v>346327</v>
      </c>
      <c r="E22" s="394">
        <f t="shared" si="0"/>
        <v>5897.376200000057</v>
      </c>
      <c r="F22" s="396">
        <f t="shared" si="1"/>
        <v>0.98325676302241105</v>
      </c>
    </row>
  </sheetData>
  <mergeCells count="2">
    <mergeCell ref="A1:D1"/>
    <mergeCell ref="A3:D3"/>
  </mergeCells>
  <printOptions horizontalCentered="1"/>
  <pageMargins left="3.937007874015748E-2" right="3.937007874015748E-2" top="3.937007874015748E-2" bottom="3.937007874015748E-2"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24669-8AC2-42DD-999C-A85BE37285D2}">
  <dimension ref="A1:G17"/>
  <sheetViews>
    <sheetView workbookViewId="0">
      <selection activeCell="D4" sqref="D4"/>
    </sheetView>
  </sheetViews>
  <sheetFormatPr baseColWidth="10" defaultRowHeight="14.5"/>
  <cols>
    <col min="1" max="1" width="48.08984375" customWidth="1"/>
    <col min="2" max="2" width="23.453125" customWidth="1"/>
    <col min="3" max="3" width="23.54296875" customWidth="1"/>
    <col min="4" max="4" width="26.54296875" customWidth="1"/>
    <col min="5" max="5" width="13.1796875" customWidth="1"/>
    <col min="6" max="6" width="16.81640625" customWidth="1"/>
    <col min="7" max="7" width="14.54296875" customWidth="1"/>
  </cols>
  <sheetData>
    <row r="1" spans="1:7" ht="15" thickBot="1">
      <c r="A1" s="191" t="s">
        <v>225</v>
      </c>
      <c r="B1" s="192"/>
      <c r="C1" s="192"/>
      <c r="D1" s="192"/>
    </row>
    <row r="2" spans="1:7" ht="27" customHeight="1">
      <c r="A2" s="193" t="s">
        <v>188</v>
      </c>
      <c r="B2" s="221" t="s">
        <v>120</v>
      </c>
      <c r="C2" s="194" t="s">
        <v>193</v>
      </c>
      <c r="D2" s="194" t="s">
        <v>194</v>
      </c>
    </row>
    <row r="3" spans="1:7" ht="21" customHeight="1" thickBot="1">
      <c r="A3" s="195"/>
      <c r="B3" s="222" t="s">
        <v>195</v>
      </c>
      <c r="C3" s="196" t="s">
        <v>190</v>
      </c>
      <c r="D3" s="196" t="s">
        <v>196</v>
      </c>
    </row>
    <row r="4" spans="1:7" ht="40.75" customHeight="1" thickBot="1">
      <c r="A4" s="197" t="s">
        <v>126</v>
      </c>
      <c r="B4" s="223">
        <f>'Rapport par catégorie de dépens'!B7</f>
        <v>264181.65999999997</v>
      </c>
      <c r="C4" s="376">
        <f>+' RESSOURCES DISPONIBLES'!D13</f>
        <v>249567</v>
      </c>
      <c r="D4" s="224">
        <f>+B4-C4</f>
        <v>14614.659999999974</v>
      </c>
      <c r="E4" s="190"/>
      <c r="F4" s="49"/>
      <c r="G4" s="49"/>
    </row>
    <row r="5" spans="1:7" ht="38.4" customHeight="1" thickBot="1">
      <c r="A5" s="197" t="s">
        <v>127</v>
      </c>
      <c r="B5" s="223">
        <f>'Rapport par catégorie de dépens'!B8</f>
        <v>25979.250000000004</v>
      </c>
      <c r="C5" s="376">
        <f>+' RESSOURCES DISPONIBLES'!D14</f>
        <v>15622</v>
      </c>
      <c r="D5" s="224">
        <f t="shared" ref="D5:D13" si="0">+B5-C5</f>
        <v>10357.250000000004</v>
      </c>
      <c r="E5" s="190"/>
      <c r="F5" s="49"/>
      <c r="G5" s="49"/>
    </row>
    <row r="6" spans="1:7" ht="54" customHeight="1" thickBot="1">
      <c r="A6" s="197" t="s">
        <v>128</v>
      </c>
      <c r="B6" s="223">
        <f>'Rapport par catégorie de dépens'!B9</f>
        <v>0</v>
      </c>
      <c r="C6" s="376">
        <v>0</v>
      </c>
      <c r="D6" s="224">
        <f t="shared" si="0"/>
        <v>0</v>
      </c>
      <c r="E6" s="190"/>
      <c r="F6" s="49"/>
      <c r="G6" s="49"/>
    </row>
    <row r="7" spans="1:7" ht="32.4" customHeight="1" thickBot="1">
      <c r="A7" s="197" t="s">
        <v>129</v>
      </c>
      <c r="B7" s="223">
        <f>'Rapport par catégorie de dépens'!B10</f>
        <v>70000</v>
      </c>
      <c r="C7" s="376">
        <f>+' RESSOURCES DISPONIBLES'!D16</f>
        <v>50319</v>
      </c>
      <c r="D7" s="224">
        <f t="shared" si="0"/>
        <v>19681</v>
      </c>
      <c r="E7" s="190"/>
      <c r="F7" s="49"/>
      <c r="G7" s="49"/>
    </row>
    <row r="8" spans="1:7" ht="29.4" customHeight="1" thickBot="1">
      <c r="A8" s="197" t="s">
        <v>130</v>
      </c>
      <c r="B8" s="223">
        <f>'Rapport par catégorie de dépens'!B11</f>
        <v>8000</v>
      </c>
      <c r="C8" s="376">
        <f>+' RESSOURCES DISPONIBLES'!D17</f>
        <v>4745</v>
      </c>
      <c r="D8" s="224">
        <f t="shared" si="0"/>
        <v>3255</v>
      </c>
      <c r="E8" s="190"/>
      <c r="F8" s="49"/>
      <c r="G8" s="49"/>
    </row>
    <row r="9" spans="1:7" ht="37.75" customHeight="1" thickBot="1">
      <c r="A9" s="197" t="s">
        <v>131</v>
      </c>
      <c r="B9" s="223">
        <f>'Rapport par catégorie de dépens'!B12</f>
        <v>0</v>
      </c>
      <c r="C9" s="376">
        <v>0</v>
      </c>
      <c r="D9" s="224">
        <f t="shared" si="0"/>
        <v>0</v>
      </c>
      <c r="E9" s="190"/>
      <c r="F9" s="49"/>
      <c r="G9" s="49"/>
    </row>
    <row r="10" spans="1:7" ht="25.5" thickBot="1">
      <c r="A10" s="197" t="s">
        <v>132</v>
      </c>
      <c r="B10" s="223">
        <f>'Rapport par catégorie de dépens'!B13</f>
        <v>79495.16</v>
      </c>
      <c r="C10" s="376">
        <f>+' RESSOURCES DISPONIBLES'!D19</f>
        <v>7784</v>
      </c>
      <c r="D10" s="224">
        <f t="shared" si="0"/>
        <v>71711.16</v>
      </c>
      <c r="E10" s="190"/>
      <c r="F10" s="49"/>
      <c r="G10" s="49"/>
    </row>
    <row r="11" spans="1:7" ht="25.25" customHeight="1" thickBot="1">
      <c r="A11" s="201" t="s">
        <v>133</v>
      </c>
      <c r="B11" s="225">
        <f>SUM(B4:B10)</f>
        <v>447656.06999999995</v>
      </c>
      <c r="C11" s="225">
        <f>SUM(C4:C10)</f>
        <v>328037</v>
      </c>
      <c r="D11" s="225">
        <f t="shared" si="0"/>
        <v>119619.06999999995</v>
      </c>
      <c r="E11" s="190"/>
      <c r="F11" s="49"/>
      <c r="G11" s="49"/>
    </row>
    <row r="12" spans="1:7" ht="26.4" customHeight="1" thickBot="1">
      <c r="A12" s="226" t="s">
        <v>192</v>
      </c>
      <c r="B12" s="227">
        <f>+'RAPPORT EXECUTION PTA 2021'!D79</f>
        <v>31335</v>
      </c>
      <c r="C12" s="227">
        <f>+' RESSOURCES DISPONIBLES'!D21</f>
        <v>18290</v>
      </c>
      <c r="D12" s="227">
        <f t="shared" si="0"/>
        <v>13045</v>
      </c>
      <c r="G12" s="1"/>
    </row>
    <row r="13" spans="1:7" ht="28.75" customHeight="1" thickBot="1">
      <c r="A13" s="201" t="s">
        <v>135</v>
      </c>
      <c r="B13" s="228">
        <f>+B11+B12</f>
        <v>478991.06999999995</v>
      </c>
      <c r="C13" s="228">
        <f t="shared" ref="C13" si="1">+C11+C12</f>
        <v>346327</v>
      </c>
      <c r="D13" s="228">
        <f t="shared" si="0"/>
        <v>132664.06999999995</v>
      </c>
      <c r="G13" s="49"/>
    </row>
    <row r="15" spans="1:7">
      <c r="C15" s="384"/>
      <c r="D15" s="190">
        <f>SHEET1!K35</f>
        <v>0</v>
      </c>
    </row>
    <row r="16" spans="1:7">
      <c r="B16" s="1"/>
    </row>
    <row r="17" spans="2:2">
      <c r="B17" s="49"/>
    </row>
  </sheetData>
  <printOptions horizontalCentered="1"/>
  <pageMargins left="3.937007874015748E-2" right="3.937007874015748E-2" top="3.937007874015748E-2" bottom="3.937007874015748E-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F55BA-7E18-49AB-A7C6-DB898054A4A1}">
  <dimension ref="A1:U25"/>
  <sheetViews>
    <sheetView topLeftCell="K11" workbookViewId="0">
      <selection activeCell="S7" sqref="S7"/>
    </sheetView>
  </sheetViews>
  <sheetFormatPr baseColWidth="10" defaultColWidth="8.90625" defaultRowHeight="38.4" customHeight="1"/>
  <cols>
    <col min="1" max="1" width="28" customWidth="1"/>
    <col min="2" max="2" width="0.81640625" hidden="1" customWidth="1"/>
    <col min="3" max="3" width="8.90625" hidden="1" customWidth="1"/>
    <col min="4" max="4" width="2.90625" hidden="1" customWidth="1"/>
    <col min="5" max="5" width="8.90625" hidden="1" customWidth="1"/>
    <col min="6" max="6" width="3" hidden="1" customWidth="1"/>
    <col min="7" max="7" width="2.54296875" hidden="1" customWidth="1"/>
    <col min="8" max="8" width="21.90625" customWidth="1"/>
    <col min="9" max="9" width="19.81640625" customWidth="1"/>
    <col min="10" max="10" width="23.6328125" customWidth="1"/>
    <col min="11" max="12" width="16.54296875" customWidth="1"/>
    <col min="13" max="16" width="16.6328125" customWidth="1"/>
    <col min="17" max="17" width="17.1796875" customWidth="1"/>
    <col min="18" max="18" width="13.81640625" bestFit="1" customWidth="1"/>
    <col min="19" max="19" width="16.453125" customWidth="1"/>
    <col min="20" max="21" width="13.81640625" bestFit="1" customWidth="1"/>
  </cols>
  <sheetData>
    <row r="1" spans="1:21" ht="24" customHeight="1">
      <c r="A1" s="30" t="s">
        <v>109</v>
      </c>
      <c r="B1" s="30"/>
      <c r="C1" s="30"/>
      <c r="D1" s="30"/>
    </row>
    <row r="2" spans="1:21" ht="14.4" customHeight="1">
      <c r="A2" s="31"/>
      <c r="B2" s="31"/>
      <c r="C2" s="31"/>
      <c r="D2" s="31"/>
    </row>
    <row r="3" spans="1:21" ht="27.65" customHeight="1">
      <c r="A3" s="31" t="s">
        <v>110</v>
      </c>
      <c r="B3" s="31"/>
      <c r="C3" s="31"/>
      <c r="D3" s="31"/>
    </row>
    <row r="4" spans="1:21" ht="15.65" customHeight="1" thickBot="1"/>
    <row r="5" spans="1:21" ht="38.4" customHeight="1" thickBot="1">
      <c r="A5" s="32" t="s">
        <v>111</v>
      </c>
      <c r="B5" s="33" t="s">
        <v>112</v>
      </c>
      <c r="C5" s="34"/>
      <c r="D5" s="33" t="s">
        <v>113</v>
      </c>
      <c r="E5" s="34"/>
      <c r="F5" s="33" t="s">
        <v>113</v>
      </c>
      <c r="G5" s="34"/>
      <c r="H5" s="35" t="s">
        <v>114</v>
      </c>
      <c r="I5" s="35" t="s">
        <v>115</v>
      </c>
      <c r="J5" s="35" t="s">
        <v>116</v>
      </c>
      <c r="K5" s="36" t="s">
        <v>117</v>
      </c>
      <c r="L5" s="37" t="s">
        <v>118</v>
      </c>
      <c r="M5" s="37" t="s">
        <v>119</v>
      </c>
      <c r="N5" s="36" t="s">
        <v>120</v>
      </c>
      <c r="O5" s="37" t="s">
        <v>121</v>
      </c>
      <c r="P5" s="37" t="s">
        <v>122</v>
      </c>
      <c r="Q5" s="32" t="s">
        <v>123</v>
      </c>
    </row>
    <row r="6" spans="1:21" ht="38.4" customHeight="1" thickBot="1">
      <c r="A6" s="38"/>
      <c r="B6" s="39" t="s">
        <v>124</v>
      </c>
      <c r="C6" s="39" t="s">
        <v>125</v>
      </c>
      <c r="D6" s="39" t="s">
        <v>124</v>
      </c>
      <c r="E6" s="39" t="s">
        <v>125</v>
      </c>
      <c r="F6" s="39" t="s">
        <v>124</v>
      </c>
      <c r="G6" s="39" t="s">
        <v>125</v>
      </c>
      <c r="H6" s="40">
        <v>1150000</v>
      </c>
      <c r="I6" s="40">
        <v>500000</v>
      </c>
      <c r="J6" s="40">
        <f>+J16</f>
        <v>600036.37620000006</v>
      </c>
      <c r="K6" s="41">
        <f>+'[6]SHHET 2 BIS'!K6+'[6]SHHET 2 BIS'!L6</f>
        <v>530379.38</v>
      </c>
      <c r="L6" s="42">
        <f t="shared" ref="L6:Q6" si="0">L16</f>
        <v>371265.5612</v>
      </c>
      <c r="M6" s="42">
        <f t="shared" si="0"/>
        <v>159113.815</v>
      </c>
      <c r="N6" s="41">
        <f t="shared" si="0"/>
        <v>352224.37620000006</v>
      </c>
      <c r="O6" s="42">
        <f>+'[6]SHHET 2 BIS'!N6</f>
        <v>246557.0612</v>
      </c>
      <c r="P6" s="42">
        <f>+N6-O6</f>
        <v>105667.31500000006</v>
      </c>
      <c r="Q6" s="43">
        <f t="shared" si="0"/>
        <v>3132640.1285999995</v>
      </c>
    </row>
    <row r="7" spans="1:21" ht="38.4" customHeight="1" thickBot="1">
      <c r="A7" s="44" t="s">
        <v>126</v>
      </c>
      <c r="B7" s="45"/>
      <c r="C7" s="45"/>
      <c r="D7" s="45"/>
      <c r="E7" s="45"/>
      <c r="F7" s="45"/>
      <c r="G7" s="45"/>
      <c r="H7" s="46">
        <v>712983</v>
      </c>
      <c r="I7" s="46">
        <v>382200</v>
      </c>
      <c r="J7" s="46">
        <f>[7]Sheet1!C21+[7]Sheet1!C26+[7]Sheet1!C33</f>
        <v>392681.66000000003</v>
      </c>
      <c r="K7" s="47">
        <f>+L7+M7</f>
        <v>392681.66</v>
      </c>
      <c r="L7" s="48">
        <f>+'[6]SHHET 2 BIS'!K7</f>
        <v>300977.15999999997</v>
      </c>
      <c r="M7" s="48">
        <f>+'[6]SHHET 2 BIS'!L7</f>
        <v>91704.5</v>
      </c>
      <c r="N7" s="47">
        <f>[8]Sheet1!D27+[8]Sheet1!D33</f>
        <v>264181.66000000003</v>
      </c>
      <c r="O7" s="48">
        <f>+'[6]SHHET 2 BIS'!N7</f>
        <v>190427.16000000003</v>
      </c>
      <c r="P7" s="48">
        <f>N7-O7</f>
        <v>73754.5</v>
      </c>
      <c r="Q7" s="46">
        <f>H7+I7+J7+K7+N7</f>
        <v>2144727.98</v>
      </c>
      <c r="R7" s="49"/>
      <c r="S7" s="49">
        <f>+N7-'SUIVI BUDGET PAR CATEGORIES'!B4</f>
        <v>0</v>
      </c>
      <c r="T7" s="49"/>
      <c r="U7" s="49"/>
    </row>
    <row r="8" spans="1:21" ht="38.4" customHeight="1" thickBot="1">
      <c r="A8" s="50" t="s">
        <v>127</v>
      </c>
      <c r="B8" s="45"/>
      <c r="C8" s="45"/>
      <c r="D8" s="51"/>
      <c r="E8" s="45"/>
      <c r="F8" s="45"/>
      <c r="G8" s="45"/>
      <c r="H8" s="46">
        <v>27284</v>
      </c>
      <c r="I8" s="52">
        <v>10000</v>
      </c>
      <c r="J8" s="46">
        <f>[7]Sheet1!C12+[7]Sheet1!C13+[7]Sheet1!C14+[7]Sheet1!C16</f>
        <v>35000</v>
      </c>
      <c r="K8" s="47">
        <f>+L8+M8</f>
        <v>10000</v>
      </c>
      <c r="L8" s="48">
        <f>+'[6]SHHET 2 BIS'!K8</f>
        <v>5000</v>
      </c>
      <c r="M8" s="48">
        <f>+'[6]SHHET 2 BIS'!L8</f>
        <v>5000</v>
      </c>
      <c r="N8" s="47">
        <v>10000</v>
      </c>
      <c r="O8" s="48">
        <v>0</v>
      </c>
      <c r="P8" s="48">
        <f t="shared" ref="P8:P16" si="1">N8-O8</f>
        <v>10000</v>
      </c>
      <c r="Q8" s="46">
        <f t="shared" ref="Q8:Q16" si="2">H8+I8+J8+K8+N8</f>
        <v>92284</v>
      </c>
      <c r="R8" s="49"/>
      <c r="S8" s="49"/>
      <c r="T8" s="49"/>
      <c r="U8" s="49"/>
    </row>
    <row r="9" spans="1:21" ht="38.4" customHeight="1" thickBot="1">
      <c r="A9" s="50" t="s">
        <v>128</v>
      </c>
      <c r="B9" s="45"/>
      <c r="C9" s="45"/>
      <c r="D9" s="45"/>
      <c r="E9" s="45"/>
      <c r="F9" s="45"/>
      <c r="G9" s="45"/>
      <c r="H9" s="46">
        <v>5283</v>
      </c>
      <c r="I9" s="46">
        <v>5000</v>
      </c>
      <c r="J9" s="46"/>
      <c r="K9" s="47"/>
      <c r="L9" s="48">
        <f t="shared" ref="L9:L12" si="3">K9*0.7</f>
        <v>0</v>
      </c>
      <c r="M9" s="48">
        <f t="shared" ref="M9:M12" si="4">K9-L9</f>
        <v>0</v>
      </c>
      <c r="N9" s="47"/>
      <c r="O9" s="48">
        <f t="shared" ref="O9:O12" si="5">N9*0.7</f>
        <v>0</v>
      </c>
      <c r="P9" s="48">
        <f t="shared" si="1"/>
        <v>0</v>
      </c>
      <c r="Q9" s="46">
        <f t="shared" si="2"/>
        <v>10283</v>
      </c>
      <c r="S9" s="49"/>
      <c r="T9" s="49"/>
      <c r="U9" s="49"/>
    </row>
    <row r="10" spans="1:21" ht="38.4" customHeight="1" thickBot="1">
      <c r="A10" s="50" t="s">
        <v>129</v>
      </c>
      <c r="B10" s="45"/>
      <c r="C10" s="45"/>
      <c r="D10" s="45"/>
      <c r="E10" s="45"/>
      <c r="F10" s="45"/>
      <c r="G10" s="45"/>
      <c r="H10" s="46">
        <v>150500</v>
      </c>
      <c r="I10" s="46">
        <v>20000</v>
      </c>
      <c r="J10" s="46">
        <f>[7]Sheet1!C36+[7]Sheet1!C41+[7]Sheet1!C45</f>
        <v>84250</v>
      </c>
      <c r="K10" s="47">
        <f>+L10+M10</f>
        <v>55000</v>
      </c>
      <c r="L10" s="48">
        <f>+'[6]SHHET 2 BIS'!K10</f>
        <v>26000</v>
      </c>
      <c r="M10" s="48">
        <f>+'[6]SHHET 2 BIS'!L10</f>
        <v>29000</v>
      </c>
      <c r="N10" s="47">
        <v>50000</v>
      </c>
      <c r="O10" s="48">
        <v>40000</v>
      </c>
      <c r="P10" s="48">
        <f t="shared" si="1"/>
        <v>10000</v>
      </c>
      <c r="Q10" s="46">
        <f t="shared" si="2"/>
        <v>359750</v>
      </c>
      <c r="S10" s="49"/>
      <c r="T10" s="49"/>
      <c r="U10" s="49"/>
    </row>
    <row r="11" spans="1:21" ht="38.4" customHeight="1" thickBot="1">
      <c r="A11" s="50" t="s">
        <v>130</v>
      </c>
      <c r="B11" s="45"/>
      <c r="C11" s="45"/>
      <c r="D11" s="45"/>
      <c r="E11" s="45"/>
      <c r="F11" s="45"/>
      <c r="G11" s="45"/>
      <c r="H11" s="46">
        <v>112529</v>
      </c>
      <c r="I11" s="46">
        <v>25000</v>
      </c>
      <c r="J11" s="46">
        <f>+[7]Sheet1!C17</f>
        <v>15000</v>
      </c>
      <c r="K11" s="47">
        <f>+L11+M11</f>
        <v>10000</v>
      </c>
      <c r="L11" s="48">
        <f>+'[6]SHHET 2 BIS'!K11</f>
        <v>5000</v>
      </c>
      <c r="M11" s="48">
        <f>+'[6]SHHET 2 BIS'!L11</f>
        <v>5000</v>
      </c>
      <c r="N11" s="47"/>
      <c r="O11" s="48">
        <f t="shared" si="5"/>
        <v>0</v>
      </c>
      <c r="P11" s="48">
        <f t="shared" si="1"/>
        <v>0</v>
      </c>
      <c r="Q11" s="46">
        <f t="shared" si="2"/>
        <v>162529</v>
      </c>
      <c r="R11" s="49"/>
      <c r="S11" s="49"/>
      <c r="T11" s="49"/>
      <c r="U11" s="49"/>
    </row>
    <row r="12" spans="1:21" ht="38.4" customHeight="1" thickBot="1">
      <c r="A12" s="50" t="s">
        <v>131</v>
      </c>
      <c r="B12" s="45"/>
      <c r="C12" s="45"/>
      <c r="D12" s="45"/>
      <c r="E12" s="45"/>
      <c r="F12" s="45"/>
      <c r="G12" s="45"/>
      <c r="H12" s="46"/>
      <c r="I12" s="46">
        <v>0</v>
      </c>
      <c r="J12" s="46"/>
      <c r="K12" s="47"/>
      <c r="L12" s="48">
        <f t="shared" si="3"/>
        <v>0</v>
      </c>
      <c r="M12" s="48">
        <f t="shared" si="4"/>
        <v>0</v>
      </c>
      <c r="N12" s="47"/>
      <c r="O12" s="48">
        <f t="shared" si="5"/>
        <v>0</v>
      </c>
      <c r="P12" s="48">
        <f t="shared" si="1"/>
        <v>0</v>
      </c>
      <c r="Q12" s="46">
        <f t="shared" si="2"/>
        <v>0</v>
      </c>
      <c r="S12" s="49"/>
      <c r="T12" s="49"/>
      <c r="U12" s="49"/>
    </row>
    <row r="13" spans="1:21" ht="38.4" customHeight="1" thickBot="1">
      <c r="A13" s="50" t="s">
        <v>132</v>
      </c>
      <c r="B13" s="45"/>
      <c r="C13" s="45"/>
      <c r="D13" s="45"/>
      <c r="E13" s="45"/>
      <c r="F13" s="45"/>
      <c r="G13" s="45"/>
      <c r="H13" s="46">
        <v>66188</v>
      </c>
      <c r="I13" s="46">
        <v>25090</v>
      </c>
      <c r="J13" s="46">
        <f>+[7]Sheet1!C24+[7]Sheet1!C37+[7]Sheet1!C40</f>
        <v>33850</v>
      </c>
      <c r="K13" s="47">
        <f>+L13+M13</f>
        <v>28000</v>
      </c>
      <c r="L13" s="48">
        <f>+'[6]SHHET 2 BIS'!K13</f>
        <v>10000</v>
      </c>
      <c r="M13" s="48">
        <f>+'[6]SHHET 2 BIS'!L13</f>
        <v>18000</v>
      </c>
      <c r="N13" s="47">
        <v>5000</v>
      </c>
      <c r="O13" s="48"/>
      <c r="P13" s="48">
        <f t="shared" si="1"/>
        <v>5000</v>
      </c>
      <c r="Q13" s="46">
        <f t="shared" si="2"/>
        <v>158128</v>
      </c>
      <c r="S13" s="49"/>
      <c r="T13" s="49"/>
      <c r="U13" s="49"/>
    </row>
    <row r="14" spans="1:21" ht="38.4" customHeight="1" thickBot="1">
      <c r="A14" s="53" t="s">
        <v>133</v>
      </c>
      <c r="B14" s="54"/>
      <c r="C14" s="54"/>
      <c r="D14" s="54"/>
      <c r="E14" s="54"/>
      <c r="F14" s="54"/>
      <c r="G14" s="54"/>
      <c r="H14" s="55">
        <f>SUM(H7:H13)</f>
        <v>1074767</v>
      </c>
      <c r="I14" s="55">
        <f>SUM(I7:I13)</f>
        <v>467290</v>
      </c>
      <c r="J14" s="55">
        <f>SUM(J7:J13)</f>
        <v>560781.66</v>
      </c>
      <c r="K14" s="56">
        <f>SUM(K7:K13)</f>
        <v>495681.66</v>
      </c>
      <c r="L14" s="57">
        <v>346977.16</v>
      </c>
      <c r="M14" s="57">
        <f>SUM(M7:M13)</f>
        <v>148704.5</v>
      </c>
      <c r="N14" s="58">
        <f>N7+N8+N10+N13</f>
        <v>329181.66000000003</v>
      </c>
      <c r="O14" s="59">
        <f>SUM(O7:O13)</f>
        <v>230427.16000000003</v>
      </c>
      <c r="P14" s="59">
        <f t="shared" si="1"/>
        <v>98754.5</v>
      </c>
      <c r="Q14" s="58">
        <f t="shared" si="2"/>
        <v>2927701.9800000004</v>
      </c>
      <c r="S14" s="49"/>
      <c r="T14" s="49"/>
      <c r="U14" s="49"/>
    </row>
    <row r="15" spans="1:21" ht="38.4" customHeight="1" thickBot="1">
      <c r="A15" s="60" t="s">
        <v>134</v>
      </c>
      <c r="B15" s="46"/>
      <c r="C15" s="46"/>
      <c r="D15" s="46"/>
      <c r="E15" s="46"/>
      <c r="F15" s="46"/>
      <c r="G15" s="46"/>
      <c r="H15" s="46">
        <v>75233</v>
      </c>
      <c r="I15" s="46">
        <v>32710</v>
      </c>
      <c r="J15" s="46">
        <f>(J14*0.07)</f>
        <v>39254.716200000003</v>
      </c>
      <c r="K15" s="47">
        <f>(K14*0.07)</f>
        <v>34697.716200000003</v>
      </c>
      <c r="L15" s="61">
        <f>L14*0.07</f>
        <v>24288.4012</v>
      </c>
      <c r="M15" s="48">
        <f>M14*0.07</f>
        <v>10409.315000000001</v>
      </c>
      <c r="N15" s="47">
        <f>N14*0.07</f>
        <v>23042.716200000006</v>
      </c>
      <c r="O15" s="48">
        <f>+O14*7%</f>
        <v>16129.901200000004</v>
      </c>
      <c r="P15" s="48">
        <f t="shared" si="1"/>
        <v>6912.8150000000023</v>
      </c>
      <c r="Q15" s="47">
        <f t="shared" si="2"/>
        <v>204938.14859999999</v>
      </c>
      <c r="S15" s="49"/>
      <c r="T15" s="49"/>
      <c r="U15" s="49"/>
    </row>
    <row r="16" spans="1:21" ht="38.4" customHeight="1" thickBot="1">
      <c r="A16" s="53" t="s">
        <v>135</v>
      </c>
      <c r="B16" s="54"/>
      <c r="C16" s="54"/>
      <c r="D16" s="54"/>
      <c r="E16" s="54"/>
      <c r="F16" s="54"/>
      <c r="G16" s="54"/>
      <c r="H16" s="62">
        <f>+H14+H15</f>
        <v>1150000</v>
      </c>
      <c r="I16" s="62">
        <f>+I14+I15</f>
        <v>500000</v>
      </c>
      <c r="J16" s="62">
        <f>J14+J15</f>
        <v>600036.37620000006</v>
      </c>
      <c r="K16" s="63">
        <f>K14+K15</f>
        <v>530379.37619999994</v>
      </c>
      <c r="L16" s="64">
        <f>L14+L15</f>
        <v>371265.5612</v>
      </c>
      <c r="M16" s="64">
        <f>M14+M15</f>
        <v>159113.815</v>
      </c>
      <c r="N16" s="63">
        <f>N14+N15</f>
        <v>352224.37620000006</v>
      </c>
      <c r="O16" s="59">
        <f>+O14+O15</f>
        <v>246557.06120000003</v>
      </c>
      <c r="P16" s="59">
        <f t="shared" si="1"/>
        <v>105667.31500000003</v>
      </c>
      <c r="Q16" s="63">
        <f t="shared" si="2"/>
        <v>3132640.1285999995</v>
      </c>
      <c r="S16" s="49"/>
      <c r="T16" s="49"/>
      <c r="U16" s="49"/>
    </row>
    <row r="18" spans="8:17" ht="38.4" customHeight="1">
      <c r="I18" s="49"/>
    </row>
    <row r="19" spans="8:17" ht="38.4" customHeight="1">
      <c r="I19" s="49"/>
      <c r="J19" s="49"/>
      <c r="O19" s="49"/>
    </row>
    <row r="20" spans="8:17" ht="38.4" customHeight="1">
      <c r="I20" s="49"/>
      <c r="J20" s="49"/>
      <c r="K20" s="49"/>
      <c r="L20" s="65"/>
      <c r="M20" s="49"/>
      <c r="N20" s="49"/>
      <c r="O20" s="49"/>
      <c r="P20" s="49"/>
    </row>
    <row r="21" spans="8:17" ht="38.4" customHeight="1">
      <c r="K21" s="49"/>
      <c r="L21" s="65"/>
    </row>
    <row r="22" spans="8:17" ht="38.4" customHeight="1">
      <c r="H22" s="66"/>
      <c r="L22" s="65"/>
      <c r="M22" s="49"/>
      <c r="N22" s="49"/>
      <c r="O22" s="49"/>
      <c r="P22" s="49"/>
      <c r="Q22" s="49"/>
    </row>
    <row r="23" spans="8:17" ht="38.4" customHeight="1">
      <c r="H23" s="66"/>
      <c r="J23" s="49"/>
      <c r="L23" s="65"/>
    </row>
    <row r="24" spans="8:17" ht="38.4" customHeight="1">
      <c r="H24" s="66"/>
    </row>
    <row r="25" spans="8:17" ht="38.4" customHeight="1">
      <c r="H25" s="66"/>
    </row>
  </sheetData>
  <printOptions horizontalCentered="1"/>
  <pageMargins left="3.937007874015748E-2" right="3.937007874015748E-2" top="3.937007874015748E-2" bottom="3.937007874015748E-2"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A44BB-CD6F-40B8-AE92-AA608D20B3A5}">
  <dimension ref="A2:E20"/>
  <sheetViews>
    <sheetView workbookViewId="0">
      <selection activeCell="H14" sqref="H14"/>
    </sheetView>
  </sheetViews>
  <sheetFormatPr baseColWidth="10" defaultRowHeight="14.5"/>
  <cols>
    <col min="1" max="1" width="32.81640625" customWidth="1"/>
    <col min="2" max="2" width="19" customWidth="1"/>
    <col min="3" max="3" width="18.36328125" customWidth="1"/>
    <col min="4" max="4" width="22.36328125" customWidth="1"/>
    <col min="5" max="5" width="18.08984375" customWidth="1"/>
  </cols>
  <sheetData>
    <row r="2" spans="1:5">
      <c r="A2" s="111"/>
    </row>
    <row r="3" spans="1:5">
      <c r="A3" s="214" t="s">
        <v>224</v>
      </c>
      <c r="B3" s="215"/>
      <c r="C3" s="215"/>
      <c r="D3" s="215"/>
      <c r="E3" s="215"/>
    </row>
    <row r="4" spans="1:5" ht="15" thickBot="1">
      <c r="A4" s="111"/>
    </row>
    <row r="5" spans="1:5" ht="60.65" customHeight="1">
      <c r="A5" s="562" t="s">
        <v>188</v>
      </c>
      <c r="B5" s="216" t="s">
        <v>211</v>
      </c>
      <c r="C5" s="216" t="s">
        <v>193</v>
      </c>
      <c r="D5" s="216" t="s">
        <v>290</v>
      </c>
      <c r="E5" s="401" t="s">
        <v>212</v>
      </c>
    </row>
    <row r="6" spans="1:5" ht="28.25" customHeight="1">
      <c r="A6" s="563"/>
      <c r="B6" s="399" t="s">
        <v>195</v>
      </c>
      <c r="C6" s="400" t="s">
        <v>190</v>
      </c>
      <c r="D6" s="400" t="s">
        <v>214</v>
      </c>
      <c r="E6" s="402" t="s">
        <v>213</v>
      </c>
    </row>
    <row r="7" spans="1:5" ht="28.75" customHeight="1">
      <c r="A7" s="217" t="s">
        <v>126</v>
      </c>
      <c r="B7" s="381">
        <f>252686.5+11495.16</f>
        <v>264181.65999999997</v>
      </c>
      <c r="C7" s="377">
        <f>+'SUIVI BUDGET PAR CATEGORIES'!C4</f>
        <v>249567</v>
      </c>
      <c r="D7" s="378">
        <f>+B7-C7</f>
        <v>14614.659999999974</v>
      </c>
      <c r="E7" s="403">
        <f>+C7/B7</f>
        <v>0.94467950576130089</v>
      </c>
    </row>
    <row r="8" spans="1:5" ht="51" customHeight="1">
      <c r="A8" s="217" t="s">
        <v>127</v>
      </c>
      <c r="B8" s="381">
        <f>37474.41-11495.16</f>
        <v>25979.250000000004</v>
      </c>
      <c r="C8" s="377">
        <f>+'SUIVI BUDGET PAR CATEGORIES'!C5</f>
        <v>15622</v>
      </c>
      <c r="D8" s="378">
        <f t="shared" ref="D8:D13" si="0">+B8-C8</f>
        <v>10357.250000000004</v>
      </c>
      <c r="E8" s="403">
        <f t="shared" ref="E8:E15" si="1">+C8/B8</f>
        <v>0.60132605829652508</v>
      </c>
    </row>
    <row r="9" spans="1:5" ht="39.5" customHeight="1">
      <c r="A9" s="217" t="s">
        <v>128</v>
      </c>
      <c r="B9" s="381">
        <v>0</v>
      </c>
      <c r="C9" s="377">
        <f>+'SUIVI BUDGET PAR CATEGORIES'!C6</f>
        <v>0</v>
      </c>
      <c r="D9" s="378">
        <v>0</v>
      </c>
      <c r="E9" s="403">
        <v>0</v>
      </c>
    </row>
    <row r="10" spans="1:5" ht="27" customHeight="1">
      <c r="A10" s="217" t="s">
        <v>129</v>
      </c>
      <c r="B10" s="381">
        <v>70000</v>
      </c>
      <c r="C10" s="377">
        <f>+'SUIVI BUDGET PAR CATEGORIES'!C7</f>
        <v>50319</v>
      </c>
      <c r="D10" s="378">
        <f t="shared" si="0"/>
        <v>19681</v>
      </c>
      <c r="E10" s="403">
        <f t="shared" si="1"/>
        <v>0.71884285714285712</v>
      </c>
    </row>
    <row r="11" spans="1:5" ht="23.4" customHeight="1">
      <c r="A11" s="217" t="s">
        <v>130</v>
      </c>
      <c r="B11" s="381">
        <v>8000</v>
      </c>
      <c r="C11" s="377">
        <f>+'SUIVI BUDGET PAR CATEGORIES'!C8</f>
        <v>4745</v>
      </c>
      <c r="D11" s="378">
        <f t="shared" si="0"/>
        <v>3255</v>
      </c>
      <c r="E11" s="403">
        <f t="shared" si="1"/>
        <v>0.59312500000000001</v>
      </c>
    </row>
    <row r="12" spans="1:5" ht="35.4" customHeight="1">
      <c r="A12" s="217" t="s">
        <v>131</v>
      </c>
      <c r="B12" s="381">
        <v>0</v>
      </c>
      <c r="C12" s="377">
        <f>+'SUIVI BUDGET PAR CATEGORIES'!C9</f>
        <v>0</v>
      </c>
      <c r="D12" s="378">
        <v>0</v>
      </c>
      <c r="E12" s="403">
        <v>0</v>
      </c>
    </row>
    <row r="13" spans="1:5" ht="35" customHeight="1">
      <c r="A13" s="217" t="s">
        <v>132</v>
      </c>
      <c r="B13" s="381">
        <v>79495.16</v>
      </c>
      <c r="C13" s="377">
        <f>+'SUIVI BUDGET PAR CATEGORIES'!C10</f>
        <v>7784</v>
      </c>
      <c r="D13" s="378">
        <f t="shared" si="0"/>
        <v>71711.16</v>
      </c>
      <c r="E13" s="403">
        <f t="shared" si="1"/>
        <v>9.7917910977221759E-2</v>
      </c>
    </row>
    <row r="14" spans="1:5" ht="28.25" customHeight="1">
      <c r="A14" s="218" t="s">
        <v>133</v>
      </c>
      <c r="B14" s="379">
        <f>SUM(B7:B13)</f>
        <v>447656.06999999995</v>
      </c>
      <c r="C14" s="379">
        <f t="shared" ref="C14:D14" si="2">SUM(C7:C13)</f>
        <v>328037</v>
      </c>
      <c r="D14" s="379">
        <f t="shared" si="2"/>
        <v>119619.06999999998</v>
      </c>
      <c r="E14" s="403">
        <f t="shared" si="1"/>
        <v>0.7327880084369236</v>
      </c>
    </row>
    <row r="15" spans="1:5" ht="25.75" customHeight="1">
      <c r="A15" s="219" t="s">
        <v>192</v>
      </c>
      <c r="B15" s="378">
        <f>+B14*7%</f>
        <v>31335.924899999998</v>
      </c>
      <c r="C15" s="378">
        <f>+'SUIVI BUDGET PAR CATEGORIES'!C12</f>
        <v>18290</v>
      </c>
      <c r="D15" s="378">
        <f>+B15-C15</f>
        <v>13045.924899999998</v>
      </c>
      <c r="E15" s="403">
        <f t="shared" si="1"/>
        <v>0.58367512873379401</v>
      </c>
    </row>
    <row r="16" spans="1:5" ht="30.65" customHeight="1" thickBot="1">
      <c r="A16" s="220" t="s">
        <v>135</v>
      </c>
      <c r="B16" s="380">
        <f>SUM(B14:B15)</f>
        <v>478991.99489999993</v>
      </c>
      <c r="C16" s="380">
        <f>+C14+C15</f>
        <v>346327</v>
      </c>
      <c r="D16" s="380">
        <f>D14+D15</f>
        <v>132664.99489999999</v>
      </c>
      <c r="E16" s="404">
        <f>C16/B16</f>
        <v>0.72303296023204588</v>
      </c>
    </row>
    <row r="17" spans="1:5">
      <c r="A17" s="111"/>
    </row>
    <row r="19" spans="1:5">
      <c r="A19" s="230" t="s">
        <v>291</v>
      </c>
      <c r="E19" s="49"/>
    </row>
    <row r="20" spans="1:5">
      <c r="E20" s="49"/>
    </row>
  </sheetData>
  <mergeCells count="1">
    <mergeCell ref="A5:A6"/>
  </mergeCells>
  <printOptions horizontalCentered="1"/>
  <pageMargins left="3.937007874015748E-2" right="3.937007874015748E-2" top="3.937007874015748E-2" bottom="3.937007874015748E-2"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MPTF_00006_00369</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2F1FDAD9-BB10-4081-90A5-B5659DD16CB1}"/>
</file>

<file path=customXml/itemProps2.xml><?xml version="1.0" encoding="utf-8"?>
<ds:datastoreItem xmlns:ds="http://schemas.openxmlformats.org/officeDocument/2006/customXml" ds:itemID="{D9F187F9-06C1-4694-95B3-FD24DE18550B}"/>
</file>

<file path=customXml/itemProps3.xml><?xml version="1.0" encoding="utf-8"?>
<ds:datastoreItem xmlns:ds="http://schemas.openxmlformats.org/officeDocument/2006/customXml" ds:itemID="{2F084549-D877-4DFC-891A-CB0EC81F49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RECAP 2015 2021 ANNEXE3</vt:lpstr>
      <vt:lpstr>RAPPORT EXECUTION PTA 2021</vt:lpstr>
      <vt:lpstr>RAPP FINANCIER 2022</vt:lpstr>
      <vt:lpstr>SHEET1</vt:lpstr>
      <vt:lpstr>SHEET2</vt:lpstr>
      <vt:lpstr> RESSOURCES DISPONIBLES</vt:lpstr>
      <vt:lpstr>SUIVI BUDGET PAR CATEGORIES</vt:lpstr>
      <vt:lpstr>TOTAL BUDGET 2015 2021</vt:lpstr>
      <vt:lpstr>Rapport par catégorie de dépens</vt:lpstr>
      <vt:lpstr>TAB2</vt:lpstr>
      <vt:lpstr>TAB1REZVISE</vt:lpstr>
      <vt:lpstr>TAB1REZVISE!_Hlk56090558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CIvoire_00095624_Finance Report_nov22.xlsx</dc:title>
  <dc:creator>Sanaba Coulibaly-Diakite</dc:creator>
  <cp:lastModifiedBy>TM</cp:lastModifiedBy>
  <cp:lastPrinted>2022-07-05T11:48:58Z</cp:lastPrinted>
  <dcterms:created xsi:type="dcterms:W3CDTF">2021-03-05T20:06:11Z</dcterms:created>
  <dcterms:modified xsi:type="dcterms:W3CDTF">2022-11-17T17:21:46Z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