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C:\Users\ICT_PROVIDER\Desktop\URGENT CE 16 NOV\"/>
    </mc:Choice>
  </mc:AlternateContent>
  <xr:revisionPtr revIDLastSave="0" documentId="13_ncr:1_{DCED178E-2822-444C-9D1F-4CB38E016EC1}" xr6:coauthVersionLast="47" xr6:coauthVersionMax="47" xr10:uidLastSave="{00000000-0000-0000-0000-000000000000}"/>
  <bookViews>
    <workbookView xWindow="-120" yWindow="-120" windowWidth="20730" windowHeight="11160" tabRatio="698" firstSheet="3" activeTab="4" xr2:uid="{00000000-000D-0000-FFFF-FFFF00000000}"/>
  </bookViews>
  <sheets>
    <sheet name="coûts unitaires" sheetId="11" state="hidden" r:id="rId1"/>
    <sheet name="Répartition_Final" sheetId="14" state="hidden" r:id="rId2"/>
    <sheet name="PTA Initial OBS" sheetId="16" state="hidden" r:id="rId3"/>
    <sheet name="1) RF par produit" sheetId="1" r:id="rId4"/>
    <sheet name="2) RF par categorie budgeta" sheetId="17" r:id="rId5"/>
    <sheet name="3) Pour utilisation par MPTFO" sheetId="15" r:id="rId6"/>
    <sheet name="Dropdowns" sheetId="8" state="hidden" r:id="rId7"/>
    <sheet name="Sheet2" sheetId="7" state="hidden"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A">#REF!</definedName>
    <definedName name="\P">#REF!</definedName>
    <definedName name="\S">#REF!</definedName>
    <definedName name="_________xlnm._FilterDatabase_1">#REF!</definedName>
    <definedName name="________xlnm._FilterDatabase_1">#REF!</definedName>
    <definedName name="_______xlnm._FilterDatabase_1">#REF!</definedName>
    <definedName name="______xlnm._FilterDatabase_1">#REF!</definedName>
    <definedName name="_____xlnm._FilterDatabase_1">#REF!</definedName>
    <definedName name="____xlnm._FilterDatabase_1">#REF!</definedName>
    <definedName name="___xlnm._FilterDatabase_1">#REF!</definedName>
    <definedName name="__xlnm._FilterDatabase_1">#REF!</definedName>
    <definedName name="_1_1">#REF!</definedName>
    <definedName name="_2_1034">#REF!</definedName>
    <definedName name="_3_1440">#REF!</definedName>
    <definedName name="_4_2">#REF!</definedName>
    <definedName name="_5_3">#REF!</definedName>
    <definedName name="_6_5">#REF!</definedName>
    <definedName name="_C">#REF!</definedName>
    <definedName name="_xlnm._FilterDatabase" localSheetId="2" hidden="1">'PTA Initial OBS'!$A$1:$P$135</definedName>
    <definedName name="_ftn1" localSheetId="1">Répartition_Final!$B$90</definedName>
    <definedName name="_ftn1">#REF!</definedName>
    <definedName name="_ftn2" localSheetId="1">Répartition_Final!$B$91</definedName>
    <definedName name="_ftnref1" localSheetId="1">Répartition_Final!#REF!</definedName>
    <definedName name="_ftnref2" localSheetId="1">Répartition_Final!$B$56</definedName>
    <definedName name="_ftnref3" localSheetId="1">Répartition_Final!$B$47</definedName>
    <definedName name="_Order1" hidden="1">0</definedName>
    <definedName name="_Order2" hidden="1">0</definedName>
    <definedName name="A111P" localSheetId="1">Répartition_Final!#REF!</definedName>
    <definedName name="A111P">#REF!</definedName>
    <definedName name="A111R" localSheetId="1">Répartition_Final!#REF!</definedName>
    <definedName name="A111R">#REF!</definedName>
    <definedName name="A112P" localSheetId="1">Répartition_Final!#REF!</definedName>
    <definedName name="A112P">#REF!</definedName>
    <definedName name="A112R" localSheetId="1">Répartition_Final!#REF!</definedName>
    <definedName name="A112R">#REF!</definedName>
    <definedName name="A113P" localSheetId="1">Répartition_Final!#REF!</definedName>
    <definedName name="A113P">#REF!</definedName>
    <definedName name="A113R" localSheetId="1">Répartition_Final!#REF!</definedName>
    <definedName name="A113R">#REF!</definedName>
    <definedName name="A121P" localSheetId="1">Répartition_Final!#REF!</definedName>
    <definedName name="A121P">#REF!</definedName>
    <definedName name="A121R" localSheetId="1">Répartition_Final!#REF!</definedName>
    <definedName name="A121R">#REF!</definedName>
    <definedName name="A122P" localSheetId="1">Répartition_Final!#REF!</definedName>
    <definedName name="A122P">#REF!</definedName>
    <definedName name="A122R" localSheetId="1">Répartition_Final!#REF!</definedName>
    <definedName name="A122R">#REF!</definedName>
    <definedName name="A211P" localSheetId="1">Répartition_Final!#REF!</definedName>
    <definedName name="A211P">#REF!</definedName>
    <definedName name="A211R" localSheetId="1">Répartition_Final!#REF!</definedName>
    <definedName name="A211R">#REF!</definedName>
    <definedName name="A212P" localSheetId="1">Répartition_Final!#REF!</definedName>
    <definedName name="A212P">#REF!</definedName>
    <definedName name="A212R" localSheetId="1">Répartition_Final!#REF!</definedName>
    <definedName name="A212R">#REF!</definedName>
    <definedName name="A221P" localSheetId="1">Répartition_Final!#REF!</definedName>
    <definedName name="A221P">#REF!</definedName>
    <definedName name="A221R" localSheetId="1">Répartition_Final!#REF!</definedName>
    <definedName name="A221R">#REF!</definedName>
    <definedName name="A222P" localSheetId="1">Répartition_Final!#REF!</definedName>
    <definedName name="A222P">#REF!</definedName>
    <definedName name="A222R" localSheetId="1">Répartition_Final!#REF!</definedName>
    <definedName name="A222R">#REF!</definedName>
    <definedName name="A223P" localSheetId="1">Répartition_Final!#REF!</definedName>
    <definedName name="A223P">#REF!</definedName>
    <definedName name="A223R" localSheetId="1">Répartition_Final!#REF!</definedName>
    <definedName name="A223R">#REF!</definedName>
    <definedName name="A311P" localSheetId="1">Répartition_Final!#REF!</definedName>
    <definedName name="A311P">#REF!</definedName>
    <definedName name="A311R" localSheetId="1">Répartition_Final!#REF!</definedName>
    <definedName name="A311R">#REF!</definedName>
    <definedName name="A312P" localSheetId="1">Répartition_Final!#REF!</definedName>
    <definedName name="A312P">#REF!</definedName>
    <definedName name="A312R" localSheetId="1">Répartition_Final!#REF!</definedName>
    <definedName name="A312R">#REF!</definedName>
    <definedName name="A313P" localSheetId="1">Répartition_Final!#REF!</definedName>
    <definedName name="A313P">#REF!</definedName>
    <definedName name="A313R" localSheetId="1">Répartition_Final!#REF!</definedName>
    <definedName name="A313R">#REF!</definedName>
    <definedName name="A314P" localSheetId="1">Répartition_Final!#REF!</definedName>
    <definedName name="A314P">#REF!</definedName>
    <definedName name="A314R" localSheetId="1">Répartition_Final!#REF!</definedName>
    <definedName name="A314R">#REF!</definedName>
    <definedName name="A321P" localSheetId="1">Répartition_Final!#REF!</definedName>
    <definedName name="A321P">#REF!</definedName>
    <definedName name="A321R" localSheetId="1">Répartition_Final!#REF!</definedName>
    <definedName name="A321R">#REF!</definedName>
    <definedName name="A322P" localSheetId="1">Répartition_Final!#REF!</definedName>
    <definedName name="A322P">#REF!</definedName>
    <definedName name="A322R" localSheetId="1">Répartition_Final!#REF!</definedName>
    <definedName name="A322R">#REF!</definedName>
    <definedName name="A323P" localSheetId="1">Répartition_Final!#REF!</definedName>
    <definedName name="A323P">#REF!</definedName>
    <definedName name="A323R" localSheetId="1">Répartition_Final!#REF!</definedName>
    <definedName name="A323R">#REF!</definedName>
    <definedName name="A331P" localSheetId="1">Répartition_Final!#REF!</definedName>
    <definedName name="A331P">#REF!</definedName>
    <definedName name="ACCOUNTS">[1]ACCOUNTS!$A$2:$A$85</definedName>
    <definedName name="affichegdnb">'coûts unitaires'!$B$20</definedName>
    <definedName name="afficheptnb">'[2]coûts unitaires (2)'!$B$23</definedName>
    <definedName name="Aller_Retour">#REF!</definedName>
    <definedName name="Analamitsivala">#REF!</definedName>
    <definedName name="annonceradio">'coûts unitaires'!$B$6</definedName>
    <definedName name="appelindemn">'coûts unitaires'!$B$59</definedName>
    <definedName name="applicform">'coûts unitaires'!$B$63</definedName>
    <definedName name="Atelier_communal">#REF!</definedName>
    <definedName name="Belo">#REF!</definedName>
    <definedName name="boost">'coûts unitaires'!$B$7</definedName>
    <definedName name="cc">#REF!</definedName>
    <definedName name="change">'coûts unitaires'!$B$1</definedName>
    <definedName name="Communal_Workshop">'[2]coûts unitaires (2)'!$B$46</definedName>
    <definedName name="Commune">#REF!</definedName>
    <definedName name="connexapprenants">'coûts unitaires'!$B$51</definedName>
    <definedName name="Consultants">#REF!</definedName>
    <definedName name="D">#REF!</definedName>
    <definedName name="date">[3]Parameters!$B$5</definedName>
    <definedName name="ddd">#REF!</definedName>
    <definedName name="DE">#REF!</definedName>
    <definedName name="delairoute">'coûts unitaires'!$B$71</definedName>
    <definedName name="Déplacement_national">[4]coût!$B$81</definedName>
    <definedName name="Deplacementdistrict">#REF!</definedName>
    <definedName name="Deplacementnat">#REF!</definedName>
    <definedName name="depladist">'coûts unitaires'!$B$46</definedName>
    <definedName name="deplanat">'coûts unitaires'!$B$33</definedName>
    <definedName name="deplareg">'coûts unitaires'!$B$40</definedName>
    <definedName name="depliantgdnb">'coûts unitaires'!$B$21</definedName>
    <definedName name="DETAIL">#REF!</definedName>
    <definedName name="DF">#REF!</definedName>
    <definedName name="DFD">#REF!</definedName>
    <definedName name="district">#REF!</definedName>
    <definedName name="doccoul">'coûts unitaires'!$B$18</definedName>
    <definedName name="docnb">'coûts unitaires'!$B$19</definedName>
    <definedName name="E">#REF!</definedName>
    <definedName name="ER">#REF!</definedName>
    <definedName name="erfer">#REF!</definedName>
    <definedName name="Excel_B2">#REF!</definedName>
    <definedName name="Excel_BuiltIn__FilterDatabase_1">#REF!</definedName>
    <definedName name="Excel_BuiltIn__FilterDatabase_1_1">#REF!</definedName>
    <definedName name="Excel_BuiltIn_Print_Area_1_1_1">#REF!</definedName>
    <definedName name="Excel_BuiltIn_Print_Area_1_1_1_1">#REF!</definedName>
    <definedName name="Excel_BuiltIn_Print_Area_1_1_1_1_1">#REF!</definedName>
    <definedName name="Excel_BuiltIn_Print_Titles_1">#REF!</definedName>
    <definedName name="Excel_BuiltIn_Print_Titles_1_1">#REF!</definedName>
    <definedName name="Excel_BuiltIn_Print_Titles_1_1_1">#REF!</definedName>
    <definedName name="Excel_BuiltIn_Print_Titles_1_1_1_1">#REF!</definedName>
    <definedName name="Excel_BuiltIn_print_Titles_1_1_2">#REF!</definedName>
    <definedName name="Excel_BuiltIn_Print_Titles_1_2">#REF!</definedName>
    <definedName name="ffer">#REF!</definedName>
    <definedName name="fff">#REF!</definedName>
    <definedName name="formindemn">'coûts unitaires'!$B$24</definedName>
    <definedName name="formindemnobs">'coûts unitaires'!$B$24</definedName>
    <definedName name="Fournitureatelier">#REF!</definedName>
    <definedName name="Fournitures">#REF!</definedName>
    <definedName name="fournituresatelier">'coûts unitaires'!$B$3</definedName>
    <definedName name="fournituresatelierok">#REF!</definedName>
    <definedName name="Fournituresnat">#REF!</definedName>
    <definedName name="frais_formation">'[5]coûts unitaires (2)'!$B$56</definedName>
    <definedName name="fsnmax">[3]Parameters!$B$26</definedName>
    <definedName name="fsntbd">[3]Parameters!#REF!</definedName>
    <definedName name="fx">[3]Parameters!$B$28</definedName>
    <definedName name="ggg">#REF!</definedName>
    <definedName name="goodies">'coûts unitaires'!$B$17</definedName>
    <definedName name="H">#REF!</definedName>
    <definedName name="habiscene">'[2]coûts unitaires (2)'!$B$85</definedName>
    <definedName name="hhhh">#REF!</definedName>
    <definedName name="illustr">#REF!</definedName>
    <definedName name="indemnagappel">'[2]coûts unitaires (2)'!$B$69</definedName>
    <definedName name="indemnrsocobs">'[6]coûts unitaires (2)'!$B$61</definedName>
    <definedName name="indemnrsocsup">#REF!</definedName>
    <definedName name="infographiste">'coûts unitaires'!$B$14</definedName>
    <definedName name="INSTRUCT">#REF!</definedName>
    <definedName name="irsa">#REF!</definedName>
    <definedName name="juristes">'coûts unitaires'!$B$66</definedName>
    <definedName name="K">#REF!</definedName>
    <definedName name="kitobsconnect">'[2]coûts unitaires (2)'!$B$68</definedName>
    <definedName name="Kitobserv">'[2]coûts unitaires (2)'!$B$65</definedName>
    <definedName name="Location_voiture_nationale">[4]coût!$B$84</definedName>
    <definedName name="Locationsalle">#REF!</definedName>
    <definedName name="Locationsalledist">#REF!</definedName>
    <definedName name="Locationsallenat">#REF!</definedName>
    <definedName name="lotconcours">#REF!</definedName>
    <definedName name="M">#REF!</definedName>
    <definedName name="MACROS">#REF!</definedName>
    <definedName name="msis">[3]Parameters!$B$10</definedName>
    <definedName name="name">[3]Parameters!$B$2</definedName>
    <definedName name="National_Consultant">'[2]coûts unitaires (2)'!$B$88</definedName>
    <definedName name="National_Workshop">'[2]coûts unitaires (2)'!$B$33</definedName>
    <definedName name="nbdistrict">#REF!</definedName>
    <definedName name="numerovert">'[2]coûts unitaires (2)'!$B$76</definedName>
    <definedName name="numeroverts">'coûts unitaires'!$B$57</definedName>
    <definedName name="obsformindemn">'coûts unitaires'!$B$25</definedName>
    <definedName name="OBSindemn">'coûts unitaires'!$B$56</definedName>
    <definedName name="P11A1" localSheetId="1">Répartition_Final!#REF!</definedName>
    <definedName name="P11A1">#REF!</definedName>
    <definedName name="partner">[7]parameters!$B$4</definedName>
    <definedName name="pat">#REF!</definedName>
    <definedName name="Per_diem_national">[4]coût!$B$82</definedName>
    <definedName name="PERDIEM">#REF!</definedName>
    <definedName name="perdiemdist">'coûts unitaires'!$B$47</definedName>
    <definedName name="Perdiemdistrict">#REF!</definedName>
    <definedName name="perdiemnat">'coûts unitaires'!$B$34</definedName>
    <definedName name="perdiemreg">'coûts unitaires'!$B$41</definedName>
    <definedName name="Perdiemregional">[4]coût!$B$46</definedName>
    <definedName name="Personnel" localSheetId="1">Répartition_Final!$F$93</definedName>
    <definedName name="Personnel">#REF!</definedName>
    <definedName name="pf">#REF!</definedName>
    <definedName name="photodessin">'coûts unitaires'!$B$16</definedName>
    <definedName name="pm">#REF!</definedName>
    <definedName name="Produit11" localSheetId="1">Répartition_Final!#REF!</definedName>
    <definedName name="Produit11">#REF!</definedName>
    <definedName name="Produit12" localSheetId="1">Répartition_Final!#REF!</definedName>
    <definedName name="Produit12">#REF!</definedName>
    <definedName name="Produit21" localSheetId="1">Répartition_Final!#REF!</definedName>
    <definedName name="Produit21">#REF!</definedName>
    <definedName name="Produit22" localSheetId="1">Répartition_Final!#REF!</definedName>
    <definedName name="Produit22">#REF!</definedName>
    <definedName name="Produit31" localSheetId="1">Répartition_Final!#REF!</definedName>
    <definedName name="Produit31">#REF!</definedName>
    <definedName name="Produit32" localSheetId="1">Répartition_Final!#REF!</definedName>
    <definedName name="Produit32">#REF!</definedName>
    <definedName name="PTA">#REF!</definedName>
    <definedName name="PTA3_BASE3">#REF!</definedName>
    <definedName name="PTA5_BASE5">#REF!</definedName>
    <definedName name="PTA6_BASE6">#REF!</definedName>
    <definedName name="publireportage">'[2]coûts unitaires (2)'!$B$13</definedName>
    <definedName name="radioreportprod">'coûts unitaires'!$B$10</definedName>
    <definedName name="region">#REF!</definedName>
    <definedName name="Regional_workshop">'[2]coûts unitaires (2)'!$B$40</definedName>
    <definedName name="regodc">[3]Parameters!#REF!</definedName>
    <definedName name="reportprod">'coûts unitaires'!$B$10</definedName>
    <definedName name="requete">#REF!</definedName>
    <definedName name="Requête2">#REF!</definedName>
    <definedName name="Restauration">#REF!</definedName>
    <definedName name="Restaurationat">#REF!</definedName>
    <definedName name="Restaurationdist">#REF!</definedName>
    <definedName name="restodist">'coûts unitaires'!$B$45</definedName>
    <definedName name="restonat">'coûts unitaires'!$B$32</definedName>
    <definedName name="restoreg">'coûts unitaires'!$B$39</definedName>
    <definedName name="Resultat1" localSheetId="1">Répartition_Final!#REF!</definedName>
    <definedName name="Resultat1">#REF!</definedName>
    <definedName name="Resultat2" localSheetId="1">Répartition_Final!#REF!</definedName>
    <definedName name="Resultat2">#REF!</definedName>
    <definedName name="Resultat3" localSheetId="1">Répartition_Final!#REF!</definedName>
    <definedName name="Resultat3">#REF!</definedName>
    <definedName name="rfdfer">#REF!</definedName>
    <definedName name="rfp">[3]Parameters!$B$3</definedName>
    <definedName name="RSOCindemn">'coûts unitaires'!$B$55</definedName>
    <definedName name="RSOFindemn">'coûts unitaires'!$B$55</definedName>
    <definedName name="s">#REF!</definedName>
    <definedName name="SAF_FJKM">#REF!</definedName>
    <definedName name="salle">'coûts unitaires'!$B$35</definedName>
    <definedName name="sallenat">'coûts unitaires'!$B$35</definedName>
    <definedName name="sallereg">'coûts unitaires'!$B$42</definedName>
    <definedName name="sanda">[8]PTT2!$I$4</definedName>
    <definedName name="SDFZF">#REF!</definedName>
    <definedName name="sdzds">#REF!</definedName>
    <definedName name="SEPDPPSE">#REF!</definedName>
    <definedName name="SFERGFERGFE">#REF!</definedName>
    <definedName name="smsOBS">'coûts unitaires'!$B$60</definedName>
    <definedName name="SOUSP05">#REF!</definedName>
    <definedName name="spot">'coûts unitaires'!$B$15</definedName>
    <definedName name="spotprod" localSheetId="1">'coûts unitaires'!#REF!</definedName>
    <definedName name="spotprod">'coûts unitaires'!#REF!</definedName>
    <definedName name="spotradiodif">'coûts unitaires'!$B$8</definedName>
    <definedName name="spottvdif">'coûts unitaires'!$B$9</definedName>
    <definedName name="Start">"#REF!"</definedName>
    <definedName name="subfive">[3]Parameters!#REF!</definedName>
    <definedName name="subfour">[3]Parameters!#REF!</definedName>
    <definedName name="subone">[3]Parameters!#REF!</definedName>
    <definedName name="subthree">[3]Parameters!#REF!</definedName>
    <definedName name="subtwo">[3]Parameters!#REF!</definedName>
    <definedName name="suividistrict">#REF!</definedName>
    <definedName name="SX">#REF!</definedName>
    <definedName name="T">#REF!</definedName>
    <definedName name="tadindemn">'coûts unitaires'!$B$54</definedName>
    <definedName name="taona">[9]CMK!$E$2</definedName>
    <definedName name="teleconseiller">'coûts unitaires'!$B$58</definedName>
    <definedName name="teleconseillerjur">'[2]coûts unitaires (2)'!$B$77</definedName>
    <definedName name="TINA">#REF!</definedName>
    <definedName name="total_cost">'[10]Worksheet 1 Project budget'!$E$56</definedName>
    <definedName name="total_cost_y1">'[10]Worksheet 1 Project budget'!$I$56</definedName>
    <definedName name="Travaux">#REF!</definedName>
    <definedName name="trg">[11]parameters!$D$5</definedName>
    <definedName name="tt">[11]parameters!$D$3</definedName>
    <definedName name="ttard">[3]Parameters!$B$4</definedName>
    <definedName name="ttt">#REF!</definedName>
    <definedName name="tvreportprod">'coûts unitaires'!$B$11</definedName>
    <definedName name="tvreportprodnat">'coûts unitaires'!$B$12</definedName>
    <definedName name="tvreportprodreg">'coûts unitaires'!$B$11</definedName>
    <definedName name="VBCVB">#REF!</definedName>
    <definedName name="VOLA">[12]Feuil3!$B$1</definedName>
    <definedName name="W">#REF!</definedName>
    <definedName name="wcs">[11]parameters!$D$6</definedName>
    <definedName name="WORKSHEET">#REF!</definedName>
    <definedName name="ZACCOUNTS">[13]ACCOUNTS!$A$2:$A$47</definedName>
    <definedName name="ZCLASS">[14]CLASS!$A$2:$A$15</definedName>
    <definedName name="ZCLASS1">[15]CLASS!$A$2:$A$15</definedName>
    <definedName name="ZCODE">'[13]CODE ACTIVITE'!$A$1:$A$11</definedName>
    <definedName name="_xlnm.Print_Area" localSheetId="3">'1) RF par produit'!$A$1:$N$73</definedName>
    <definedName name="_xlnm.Print_Area">#REF!</definedName>
    <definedName name="Zone_impression">#REF!</definedName>
    <definedName name="zz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7" i="17" l="1"/>
  <c r="G117" i="17"/>
  <c r="J117" i="17" l="1"/>
  <c r="E97" i="17" l="1"/>
  <c r="E96" i="17"/>
  <c r="E95" i="17"/>
  <c r="E94" i="17"/>
  <c r="E93" i="17"/>
  <c r="E92" i="17"/>
  <c r="E91" i="17"/>
  <c r="H99" i="17"/>
  <c r="D98" i="17"/>
  <c r="I97" i="17"/>
  <c r="H97" i="17"/>
  <c r="F97" i="17"/>
  <c r="I96" i="17"/>
  <c r="F96" i="17"/>
  <c r="I95" i="17"/>
  <c r="H95" i="17"/>
  <c r="F95" i="17"/>
  <c r="I94" i="17"/>
  <c r="H94" i="17"/>
  <c r="F94" i="17"/>
  <c r="I93" i="17"/>
  <c r="H93" i="17"/>
  <c r="F93" i="17"/>
  <c r="G93" i="17" s="1"/>
  <c r="I92" i="17"/>
  <c r="H92" i="17"/>
  <c r="F92" i="17"/>
  <c r="I91" i="17"/>
  <c r="H91" i="17"/>
  <c r="F91" i="17"/>
  <c r="F90" i="17"/>
  <c r="E90" i="17"/>
  <c r="I84" i="17"/>
  <c r="I76" i="17" s="1"/>
  <c r="H84" i="17"/>
  <c r="H76" i="17" s="1"/>
  <c r="F84" i="17"/>
  <c r="E84" i="17"/>
  <c r="D84" i="17"/>
  <c r="J83" i="17"/>
  <c r="G83" i="17"/>
  <c r="J82" i="17"/>
  <c r="G82" i="17"/>
  <c r="J81" i="17"/>
  <c r="G81" i="17"/>
  <c r="J80" i="17"/>
  <c r="G80" i="17"/>
  <c r="J79" i="17"/>
  <c r="G79" i="17"/>
  <c r="J78" i="17"/>
  <c r="G78" i="17"/>
  <c r="J77" i="17"/>
  <c r="G77" i="17"/>
  <c r="F76" i="17"/>
  <c r="E76" i="17"/>
  <c r="I73" i="17"/>
  <c r="I65" i="17" s="1"/>
  <c r="H73" i="17"/>
  <c r="H65" i="17" s="1"/>
  <c r="F73" i="17"/>
  <c r="E73" i="17"/>
  <c r="D73" i="17"/>
  <c r="J72" i="17"/>
  <c r="G72" i="17"/>
  <c r="J71" i="17"/>
  <c r="G71" i="17"/>
  <c r="J70" i="17"/>
  <c r="G70" i="17"/>
  <c r="J69" i="17"/>
  <c r="G69" i="17"/>
  <c r="J68" i="17"/>
  <c r="G68" i="17"/>
  <c r="J67" i="17"/>
  <c r="G67" i="17"/>
  <c r="J66" i="17"/>
  <c r="G66" i="17"/>
  <c r="F65" i="17"/>
  <c r="E65" i="17"/>
  <c r="I62" i="17"/>
  <c r="I54" i="17" s="1"/>
  <c r="F62" i="17"/>
  <c r="E62" i="17"/>
  <c r="D62" i="17"/>
  <c r="J61" i="17"/>
  <c r="G61" i="17"/>
  <c r="H60" i="17"/>
  <c r="H62" i="17" s="1"/>
  <c r="H54" i="17" s="1"/>
  <c r="G60" i="17"/>
  <c r="J59" i="17"/>
  <c r="G59" i="17"/>
  <c r="J58" i="17"/>
  <c r="G58" i="17"/>
  <c r="J57" i="17"/>
  <c r="G57" i="17"/>
  <c r="J56" i="17"/>
  <c r="G56" i="17"/>
  <c r="J55" i="17"/>
  <c r="G55" i="17"/>
  <c r="F54" i="17"/>
  <c r="E54" i="17"/>
  <c r="I49" i="17"/>
  <c r="I41" i="17" s="1"/>
  <c r="F49" i="17"/>
  <c r="E49" i="17"/>
  <c r="D49" i="17"/>
  <c r="J48" i="17"/>
  <c r="G48" i="17"/>
  <c r="H47" i="17"/>
  <c r="J47" i="17" s="1"/>
  <c r="G47" i="17"/>
  <c r="J46" i="17"/>
  <c r="G46" i="17"/>
  <c r="J45" i="17"/>
  <c r="G45" i="17"/>
  <c r="J44" i="17"/>
  <c r="G44" i="17"/>
  <c r="J43" i="17"/>
  <c r="G43" i="17"/>
  <c r="J42" i="17"/>
  <c r="G42" i="17"/>
  <c r="F41" i="17"/>
  <c r="E41" i="17"/>
  <c r="I38" i="17"/>
  <c r="I30" i="17" s="1"/>
  <c r="F38" i="17"/>
  <c r="E38" i="17"/>
  <c r="D38" i="17"/>
  <c r="J37" i="17"/>
  <c r="G37" i="17"/>
  <c r="H36" i="17"/>
  <c r="H96" i="17" s="1"/>
  <c r="G36" i="17"/>
  <c r="J35" i="17"/>
  <c r="G35" i="17"/>
  <c r="J34" i="17"/>
  <c r="G34" i="17"/>
  <c r="J33" i="17"/>
  <c r="G33" i="17"/>
  <c r="J32" i="17"/>
  <c r="G32" i="17"/>
  <c r="J31" i="17"/>
  <c r="G31" i="17"/>
  <c r="F30" i="17"/>
  <c r="E30" i="17"/>
  <c r="I26" i="17"/>
  <c r="H26" i="17"/>
  <c r="H18" i="17" s="1"/>
  <c r="F26" i="17"/>
  <c r="E26" i="17"/>
  <c r="D26" i="17"/>
  <c r="J25" i="17"/>
  <c r="G25" i="17"/>
  <c r="J24" i="17"/>
  <c r="G24" i="17"/>
  <c r="J23" i="17"/>
  <c r="G23" i="17"/>
  <c r="J22" i="17"/>
  <c r="G22" i="17"/>
  <c r="J21" i="17"/>
  <c r="G21" i="17"/>
  <c r="J20" i="17"/>
  <c r="G20" i="17"/>
  <c r="J19" i="17"/>
  <c r="G19" i="17"/>
  <c r="I18" i="17"/>
  <c r="F18" i="17"/>
  <c r="E18" i="17"/>
  <c r="I15" i="17"/>
  <c r="I7" i="17" s="1"/>
  <c r="H15" i="17"/>
  <c r="H7" i="17" s="1"/>
  <c r="F15" i="17"/>
  <c r="E15" i="17"/>
  <c r="D15" i="17"/>
  <c r="J14" i="17"/>
  <c r="G14" i="17"/>
  <c r="J13" i="17"/>
  <c r="G13" i="17"/>
  <c r="J12" i="17"/>
  <c r="G12" i="17"/>
  <c r="J11" i="17"/>
  <c r="G11" i="17"/>
  <c r="J10" i="17"/>
  <c r="G10" i="17"/>
  <c r="J9" i="17"/>
  <c r="G9" i="17"/>
  <c r="J8" i="17"/>
  <c r="G8" i="17"/>
  <c r="F7" i="17"/>
  <c r="E7" i="17"/>
  <c r="F4" i="17"/>
  <c r="G49" i="17" l="1"/>
  <c r="G54" i="17"/>
  <c r="G65" i="17"/>
  <c r="J92" i="17"/>
  <c r="G18" i="17"/>
  <c r="J73" i="17"/>
  <c r="J65" i="17" s="1"/>
  <c r="G92" i="17"/>
  <c r="G96" i="17"/>
  <c r="J96" i="17"/>
  <c r="G38" i="17"/>
  <c r="J15" i="17"/>
  <c r="J7" i="17" s="1"/>
  <c r="J49" i="17"/>
  <c r="J41" i="17" s="1"/>
  <c r="G62" i="17"/>
  <c r="J91" i="17"/>
  <c r="G94" i="17"/>
  <c r="J93" i="17"/>
  <c r="G95" i="17"/>
  <c r="G26" i="17"/>
  <c r="G30" i="17"/>
  <c r="G41" i="17"/>
  <c r="G84" i="17"/>
  <c r="J97" i="17"/>
  <c r="J26" i="17"/>
  <c r="J18" i="17" s="1"/>
  <c r="J60" i="17"/>
  <c r="I98" i="17"/>
  <c r="I99" i="17" s="1"/>
  <c r="J99" i="17" s="1"/>
  <c r="G15" i="17"/>
  <c r="G7" i="17"/>
  <c r="J62" i="17"/>
  <c r="J54" i="17" s="1"/>
  <c r="G73" i="17"/>
  <c r="G76" i="17"/>
  <c r="J84" i="17"/>
  <c r="J76" i="17" s="1"/>
  <c r="F98" i="17"/>
  <c r="F99" i="17" s="1"/>
  <c r="F100" i="17" s="1"/>
  <c r="C107" i="17" s="1"/>
  <c r="J94" i="17"/>
  <c r="J95" i="17"/>
  <c r="E98" i="17"/>
  <c r="E99" i="17" s="1"/>
  <c r="E100" i="17" s="1"/>
  <c r="C112" i="17" s="1"/>
  <c r="C118" i="17" s="1"/>
  <c r="G97" i="17"/>
  <c r="H38" i="17"/>
  <c r="H30" i="17" s="1"/>
  <c r="D99" i="17"/>
  <c r="D100" i="17" s="1"/>
  <c r="J36" i="17"/>
  <c r="J38" i="17" s="1"/>
  <c r="J30" i="17" s="1"/>
  <c r="H49" i="17"/>
  <c r="H41" i="17" s="1"/>
  <c r="H98" i="17"/>
  <c r="H100" i="17" s="1"/>
  <c r="E111" i="17" s="1"/>
  <c r="G91" i="17"/>
  <c r="F111" i="17" l="1"/>
  <c r="G111" i="17"/>
  <c r="E117" i="17"/>
  <c r="F117" i="17" s="1"/>
  <c r="J98" i="17"/>
  <c r="J100" i="17" s="1"/>
  <c r="I100" i="17"/>
  <c r="G98" i="17"/>
  <c r="G99" i="17" s="1"/>
  <c r="G100" i="17" s="1"/>
  <c r="G118" i="17"/>
  <c r="J118" i="17" s="1"/>
  <c r="E112" i="17"/>
  <c r="E107" i="17" l="1"/>
  <c r="F107" i="17" s="1"/>
  <c r="E106" i="17"/>
  <c r="H118" i="17"/>
  <c r="G107" i="17"/>
  <c r="E118" i="17"/>
  <c r="G112" i="17"/>
  <c r="F112" i="17"/>
  <c r="I118" i="17"/>
  <c r="F106" i="17" l="1"/>
  <c r="H117" i="17"/>
  <c r="I117" i="17" s="1"/>
  <c r="G106" i="17"/>
  <c r="F118" i="17"/>
  <c r="D58" i="1" l="1"/>
  <c r="D50" i="1"/>
  <c r="D44" i="1"/>
  <c r="D39" i="1"/>
  <c r="D30" i="1"/>
  <c r="D24" i="1"/>
  <c r="D18" i="1"/>
  <c r="D13" i="1"/>
  <c r="K44" i="1" l="1"/>
  <c r="J44" i="1"/>
  <c r="K39" i="1"/>
  <c r="L46" i="1" l="1"/>
  <c r="K24" i="1"/>
  <c r="L42" i="1" l="1"/>
  <c r="L43" i="1"/>
  <c r="L41" i="1"/>
  <c r="L35" i="1"/>
  <c r="L36" i="1"/>
  <c r="L37" i="1"/>
  <c r="L38" i="1"/>
  <c r="L34" i="1"/>
  <c r="L29" i="1"/>
  <c r="L26" i="1"/>
  <c r="L23" i="1"/>
  <c r="L22" i="1"/>
  <c r="L17" i="1"/>
  <c r="L15" i="1"/>
  <c r="L12" i="1"/>
  <c r="L11" i="1"/>
  <c r="L10" i="1"/>
  <c r="L44" i="1" l="1"/>
  <c r="L39" i="1"/>
  <c r="L24" i="1"/>
  <c r="L13" i="1"/>
  <c r="J13" i="1"/>
  <c r="P79" i="16" l="1"/>
  <c r="P78" i="16"/>
  <c r="P77" i="16"/>
  <c r="P44" i="16"/>
  <c r="P43" i="16"/>
  <c r="P42" i="16"/>
  <c r="P5" i="16"/>
  <c r="P4" i="16"/>
  <c r="P3" i="16"/>
  <c r="P120" i="16" l="1"/>
  <c r="P134" i="16" s="1"/>
  <c r="P121" i="16"/>
  <c r="P135" i="16" s="1"/>
  <c r="P119" i="16"/>
  <c r="P133" i="16" l="1"/>
  <c r="L28" i="1"/>
  <c r="K13" i="1"/>
  <c r="K30" i="1" l="1"/>
  <c r="L27" i="1"/>
  <c r="L30" i="1" s="1"/>
  <c r="K18" i="1"/>
  <c r="L16" i="1"/>
  <c r="L18" i="1" s="1"/>
  <c r="E23" i="15" l="1"/>
  <c r="D23" i="15"/>
  <c r="C23" i="15"/>
  <c r="F22" i="15"/>
  <c r="E22" i="15"/>
  <c r="D22" i="15"/>
  <c r="C22" i="15"/>
  <c r="F21" i="15"/>
  <c r="E21" i="15"/>
  <c r="D21" i="15"/>
  <c r="C21" i="15"/>
  <c r="F20" i="15"/>
  <c r="E20" i="15"/>
  <c r="D20" i="15"/>
  <c r="C20" i="15"/>
  <c r="D19" i="15"/>
  <c r="C19" i="15"/>
  <c r="D13" i="15"/>
  <c r="C13" i="15"/>
  <c r="D12" i="15"/>
  <c r="C12" i="15"/>
  <c r="D11" i="15"/>
  <c r="C11" i="15"/>
  <c r="D10" i="15"/>
  <c r="C10" i="15"/>
  <c r="D9" i="15"/>
  <c r="C9" i="15"/>
  <c r="D8" i="15"/>
  <c r="C8" i="15"/>
  <c r="D7" i="15"/>
  <c r="C7" i="15"/>
  <c r="D6" i="15"/>
  <c r="C6" i="15"/>
  <c r="L55" i="1"/>
  <c r="K55" i="1"/>
  <c r="J55" i="1"/>
  <c r="L49" i="1"/>
  <c r="L48" i="1"/>
  <c r="L47" i="1"/>
  <c r="K50" i="1"/>
  <c r="K56" i="1" s="1"/>
  <c r="J50" i="1"/>
  <c r="E10" i="15" l="1"/>
  <c r="K57" i="1"/>
  <c r="L57" i="1" s="1"/>
  <c r="E7" i="15"/>
  <c r="E9" i="15"/>
  <c r="E13" i="15"/>
  <c r="E12" i="15"/>
  <c r="D14" i="15"/>
  <c r="E11" i="15"/>
  <c r="E8" i="15"/>
  <c r="C14" i="15"/>
  <c r="L50" i="1"/>
  <c r="K58" i="1" l="1"/>
  <c r="D15" i="15"/>
  <c r="D16" i="15" s="1"/>
  <c r="E14" i="15"/>
  <c r="C15" i="15"/>
  <c r="C16" i="15" s="1"/>
  <c r="E15" i="15" l="1"/>
  <c r="E16" i="15" s="1"/>
  <c r="F89" i="14" l="1"/>
  <c r="E90" i="14" l="1"/>
  <c r="D72" i="14" l="1"/>
  <c r="E70" i="14"/>
  <c r="F54" i="14"/>
  <c r="D57" i="14"/>
  <c r="D56" i="14"/>
  <c r="F26" i="14"/>
  <c r="F61" i="14" l="1"/>
  <c r="F70" i="14"/>
  <c r="F74" i="14"/>
  <c r="F80" i="14"/>
  <c r="F51" i="14"/>
  <c r="F45" i="14"/>
  <c r="F39" i="14"/>
  <c r="F34" i="14"/>
  <c r="F18" i="14"/>
  <c r="F13" i="14"/>
  <c r="F7" i="14"/>
  <c r="F6" i="14"/>
  <c r="F8" i="14"/>
  <c r="E85" i="14" l="1"/>
  <c r="D85" i="14" s="1"/>
  <c r="D91" i="14"/>
  <c r="D92" i="14"/>
  <c r="E81" i="14"/>
  <c r="D89" i="14"/>
  <c r="E10" i="14"/>
  <c r="E28" i="14"/>
  <c r="E26" i="14" s="1"/>
  <c r="E24" i="14"/>
  <c r="E41" i="14"/>
  <c r="E83" i="14"/>
  <c r="F44" i="14"/>
  <c r="F79" i="14" l="1"/>
  <c r="F78" i="14" l="1"/>
  <c r="D83" i="14"/>
  <c r="F90" i="14" l="1"/>
  <c r="D90" i="14" s="1"/>
  <c r="I103" i="14"/>
  <c r="E79" i="14"/>
  <c r="E78" i="14" s="1"/>
  <c r="F73" i="14"/>
  <c r="E73" i="14"/>
  <c r="F69" i="14"/>
  <c r="E69" i="14"/>
  <c r="F65" i="14"/>
  <c r="E65" i="14"/>
  <c r="F60" i="14"/>
  <c r="E60" i="14"/>
  <c r="F5" i="14"/>
  <c r="F12" i="14"/>
  <c r="F17" i="14"/>
  <c r="F21" i="14"/>
  <c r="F33" i="14"/>
  <c r="F38" i="14"/>
  <c r="E54" i="14"/>
  <c r="F50" i="14"/>
  <c r="E50" i="14"/>
  <c r="E44" i="14"/>
  <c r="E38" i="14"/>
  <c r="E33" i="14"/>
  <c r="E21" i="14"/>
  <c r="E20" i="14" s="1"/>
  <c r="E17" i="14"/>
  <c r="E12" i="14"/>
  <c r="E5" i="14"/>
  <c r="E43" i="14" l="1"/>
  <c r="E59" i="14"/>
  <c r="F59" i="14"/>
  <c r="F58" i="14" s="1"/>
  <c r="F43" i="14"/>
  <c r="F20" i="14"/>
  <c r="E4" i="14"/>
  <c r="E3" i="14" s="1"/>
  <c r="F32" i="14"/>
  <c r="F4" i="14"/>
  <c r="E32" i="14"/>
  <c r="D6" i="14"/>
  <c r="D7" i="14"/>
  <c r="D8" i="14"/>
  <c r="D9" i="14"/>
  <c r="D10" i="14"/>
  <c r="D11" i="14"/>
  <c r="D13" i="14"/>
  <c r="D14" i="14"/>
  <c r="D15" i="14"/>
  <c r="D16" i="14"/>
  <c r="D18" i="14"/>
  <c r="D19" i="14"/>
  <c r="D22" i="14"/>
  <c r="D23" i="14"/>
  <c r="D24" i="14"/>
  <c r="D27" i="14"/>
  <c r="D28" i="14"/>
  <c r="D29" i="14"/>
  <c r="D30" i="14"/>
  <c r="D34" i="14"/>
  <c r="D35" i="14"/>
  <c r="D36" i="14"/>
  <c r="D37" i="14"/>
  <c r="D39" i="14"/>
  <c r="D40" i="14"/>
  <c r="D41" i="14"/>
  <c r="D42" i="14"/>
  <c r="D45" i="14"/>
  <c r="D46" i="14"/>
  <c r="D47" i="14"/>
  <c r="D48" i="14"/>
  <c r="D49" i="14"/>
  <c r="D51" i="14"/>
  <c r="D52" i="14"/>
  <c r="D53" i="14"/>
  <c r="D55" i="14"/>
  <c r="D54" i="14" s="1"/>
  <c r="D61" i="14"/>
  <c r="D62" i="14"/>
  <c r="D63" i="14"/>
  <c r="D64" i="14"/>
  <c r="D66" i="14"/>
  <c r="D67" i="14"/>
  <c r="D70" i="14"/>
  <c r="D71" i="14"/>
  <c r="D74" i="14"/>
  <c r="D75" i="14"/>
  <c r="D76" i="14"/>
  <c r="D80" i="14"/>
  <c r="D81" i="14"/>
  <c r="D82" i="14"/>
  <c r="H99" i="14"/>
  <c r="H87" i="14" s="1"/>
  <c r="E31" i="14" l="1"/>
  <c r="D26" i="14"/>
  <c r="D50" i="14"/>
  <c r="D21" i="14"/>
  <c r="D20" i="14" s="1"/>
  <c r="D38" i="14"/>
  <c r="F3" i="14"/>
  <c r="D3" i="14" s="1"/>
  <c r="D73" i="14"/>
  <c r="D60" i="14"/>
  <c r="D33" i="14"/>
  <c r="D17" i="14"/>
  <c r="D69" i="14"/>
  <c r="D65" i="14"/>
  <c r="D5" i="14"/>
  <c r="D12" i="14"/>
  <c r="D44" i="14"/>
  <c r="D43" i="14" s="1"/>
  <c r="D79" i="14"/>
  <c r="F31" i="14"/>
  <c r="D32" i="14" l="1"/>
  <c r="D31" i="14" s="1"/>
  <c r="D59" i="14"/>
  <c r="F87" i="14"/>
  <c r="F93" i="14" s="1"/>
  <c r="I102" i="14" s="1"/>
  <c r="D4" i="14"/>
  <c r="F94" i="14" l="1"/>
  <c r="F95" i="14" s="1"/>
  <c r="B15" i="11" l="1"/>
  <c r="B54" i="11" l="1"/>
  <c r="B55" i="11"/>
  <c r="B58" i="11"/>
  <c r="B57" i="11"/>
  <c r="B46" i="11" l="1"/>
  <c r="B40" i="11"/>
  <c r="B41" i="11"/>
  <c r="B47" i="11"/>
  <c r="B48" i="11"/>
  <c r="B45" i="11"/>
  <c r="B56" i="11"/>
  <c r="G5" i="11"/>
  <c r="B63" i="11"/>
  <c r="B60" i="11"/>
  <c r="B59" i="11"/>
  <c r="B51" i="11"/>
  <c r="B42" i="11"/>
  <c r="B39" i="11"/>
  <c r="B35" i="11"/>
  <c r="B34" i="11"/>
  <c r="B33" i="11"/>
  <c r="B32" i="11"/>
  <c r="B28" i="11"/>
  <c r="B25" i="11"/>
  <c r="B24" i="11"/>
  <c r="B21" i="11"/>
  <c r="B20" i="11"/>
  <c r="B19" i="11"/>
  <c r="B18" i="11"/>
  <c r="B17" i="11"/>
  <c r="B16" i="11"/>
  <c r="B14" i="11"/>
  <c r="B12" i="11"/>
  <c r="B11" i="11"/>
  <c r="B10" i="11"/>
  <c r="B9" i="11"/>
  <c r="B8" i="11"/>
  <c r="B7" i="11"/>
  <c r="B6" i="11"/>
  <c r="B3" i="11"/>
  <c r="E55" i="1" l="1"/>
  <c r="F55" i="1"/>
  <c r="G55" i="1"/>
  <c r="F62" i="1"/>
  <c r="G62" i="1"/>
  <c r="E62" i="1"/>
  <c r="J39" i="1"/>
  <c r="J30" i="1"/>
  <c r="J24" i="1"/>
  <c r="J18" i="1"/>
  <c r="E71" i="1"/>
  <c r="I66" i="1"/>
  <c r="H47" i="1"/>
  <c r="H48" i="1"/>
  <c r="H49" i="1"/>
  <c r="H46" i="1"/>
  <c r="H38" i="1"/>
  <c r="H29" i="1"/>
  <c r="H17" i="1"/>
  <c r="H12" i="1"/>
  <c r="F50" i="1"/>
  <c r="G50" i="1"/>
  <c r="E50" i="1"/>
  <c r="G44" i="1"/>
  <c r="G39" i="1"/>
  <c r="G30" i="1"/>
  <c r="G24" i="1"/>
  <c r="G18" i="1"/>
  <c r="G13" i="1"/>
  <c r="J56" i="1" l="1"/>
  <c r="J58" i="1" s="1"/>
  <c r="G56" i="1"/>
  <c r="G57" i="1" s="1"/>
  <c r="H50" i="1"/>
  <c r="I50" i="1"/>
  <c r="L56" i="1" l="1"/>
  <c r="L58" i="1" s="1"/>
  <c r="G58" i="1"/>
  <c r="G64" i="1" s="1"/>
  <c r="H68" i="1" l="1"/>
  <c r="G63" i="1"/>
  <c r="G65" i="1"/>
  <c r="G66" i="1" l="1"/>
  <c r="H42" i="1" l="1"/>
  <c r="F44" i="1" l="1"/>
  <c r="H11" i="1" l="1"/>
  <c r="H28" i="1"/>
  <c r="H37" i="1" l="1"/>
  <c r="H36" i="1"/>
  <c r="H26" i="1"/>
  <c r="F30" i="1"/>
  <c r="E30" i="1"/>
  <c r="H27" i="1"/>
  <c r="H22" i="1"/>
  <c r="H34" i="1"/>
  <c r="H16" i="1"/>
  <c r="F18" i="1"/>
  <c r="E24" i="1"/>
  <c r="I30" i="1" l="1"/>
  <c r="F24" i="1"/>
  <c r="F39" i="1"/>
  <c r="H30" i="1"/>
  <c r="H41" i="1"/>
  <c r="F13" i="1"/>
  <c r="H10" i="1"/>
  <c r="H23" i="1"/>
  <c r="I24" i="1" s="1"/>
  <c r="H9" i="1"/>
  <c r="E13" i="1"/>
  <c r="F56" i="1" l="1"/>
  <c r="F57" i="1" s="1"/>
  <c r="F58" i="1" s="1"/>
  <c r="K59" i="1" s="1"/>
  <c r="I13" i="1"/>
  <c r="C59" i="14"/>
  <c r="C27" i="14"/>
  <c r="C32" i="14"/>
  <c r="H13" i="1"/>
  <c r="H24" i="1"/>
  <c r="C26" i="14" l="1"/>
  <c r="C6" i="14"/>
  <c r="C10" i="14"/>
  <c r="C15" i="14"/>
  <c r="C21" i="14"/>
  <c r="C28" i="14"/>
  <c r="C7" i="14"/>
  <c r="C12" i="14"/>
  <c r="C17" i="14"/>
  <c r="C22" i="14"/>
  <c r="C4" i="14"/>
  <c r="C44" i="14"/>
  <c r="C38" i="14"/>
  <c r="C54" i="14"/>
  <c r="C47" i="14"/>
  <c r="C40" i="14"/>
  <c r="C34" i="14"/>
  <c r="C56" i="14"/>
  <c r="C46" i="14"/>
  <c r="C39" i="14"/>
  <c r="C78" i="14"/>
  <c r="C73" i="14"/>
  <c r="C83" i="14"/>
  <c r="C63" i="14"/>
  <c r="C70" i="14"/>
  <c r="C65" i="14"/>
  <c r="C66" i="14"/>
  <c r="C71" i="14"/>
  <c r="C62" i="14"/>
  <c r="C75" i="14"/>
  <c r="C20" i="14"/>
  <c r="C29" i="14"/>
  <c r="C8" i="14"/>
  <c r="C13" i="14"/>
  <c r="C18" i="14"/>
  <c r="C23" i="14"/>
  <c r="C5" i="14"/>
  <c r="C9" i="14"/>
  <c r="C14" i="14"/>
  <c r="C19" i="14"/>
  <c r="C24" i="14"/>
  <c r="C43" i="14"/>
  <c r="C33" i="14"/>
  <c r="C48" i="14"/>
  <c r="C55" i="14"/>
  <c r="C51" i="14"/>
  <c r="C45" i="14"/>
  <c r="C36" i="14"/>
  <c r="C50" i="14"/>
  <c r="C52" i="14"/>
  <c r="C41" i="14"/>
  <c r="C35" i="14"/>
  <c r="C60" i="14"/>
  <c r="C79" i="14"/>
  <c r="C85" i="14"/>
  <c r="C81" i="14"/>
  <c r="C74" i="14"/>
  <c r="C69" i="14"/>
  <c r="C80" i="14"/>
  <c r="C67" i="14"/>
  <c r="C61" i="14"/>
  <c r="C76" i="14"/>
  <c r="F64" i="1"/>
  <c r="F65" i="1"/>
  <c r="F63" i="1"/>
  <c r="F66" i="1" l="1"/>
  <c r="E18" i="1" l="1"/>
  <c r="H15" i="1" l="1"/>
  <c r="I18" i="1" s="1"/>
  <c r="H18" i="1" l="1"/>
  <c r="H35" i="1" l="1"/>
  <c r="H39" i="1" l="1"/>
  <c r="I39" i="1"/>
  <c r="E39" i="1"/>
  <c r="E58" i="14"/>
  <c r="H43" i="1" l="1"/>
  <c r="I44" i="1" s="1"/>
  <c r="E68" i="1" s="1"/>
  <c r="E44" i="1"/>
  <c r="E56" i="1" s="1"/>
  <c r="E87" i="14"/>
  <c r="E93" i="14" s="1"/>
  <c r="E94" i="14" l="1"/>
  <c r="E95" i="14" s="1"/>
  <c r="H44" i="1"/>
  <c r="E57" i="1" l="1"/>
  <c r="E58" i="1" s="1"/>
  <c r="J59" i="1" s="1"/>
  <c r="H56" i="1"/>
  <c r="H57" i="1" l="1"/>
  <c r="H58" i="1" s="1"/>
  <c r="L59" i="1" s="1"/>
  <c r="E65" i="1"/>
  <c r="E63" i="1"/>
  <c r="E64" i="1"/>
  <c r="E72" i="1" l="1"/>
  <c r="E69" i="1"/>
  <c r="H64" i="1"/>
  <c r="H65" i="1"/>
  <c r="E66" i="1"/>
  <c r="H63" i="1"/>
  <c r="D100" i="14" l="1"/>
  <c r="H66" i="1"/>
  <c r="D78" i="14"/>
  <c r="D58" i="14" s="1"/>
  <c r="H69" i="1" l="1"/>
  <c r="D87" i="14"/>
  <c r="J87" i="14" l="1"/>
  <c r="D93" i="14"/>
  <c r="I99" i="14" l="1"/>
  <c r="D94" i="14"/>
  <c r="D95" i="14" s="1"/>
  <c r="J31" i="14"/>
  <c r="J3" i="14"/>
  <c r="J58" i="14"/>
  <c r="D97" i="14" l="1"/>
  <c r="D98" i="14" s="1"/>
</calcChain>
</file>

<file path=xl/sharedStrings.xml><?xml version="1.0" encoding="utf-8"?>
<sst xmlns="http://schemas.openxmlformats.org/spreadsheetml/2006/main" count="1377" uniqueCount="847">
  <si>
    <t>Tranche %</t>
  </si>
  <si>
    <t>Total</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</si>
  <si>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</si>
  <si>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</si>
  <si>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</si>
  <si>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</si>
  <si>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</si>
  <si>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</si>
  <si>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</si>
  <si>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</si>
  <si>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</si>
  <si>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</si>
  <si>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</si>
  <si>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</si>
  <si>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</si>
  <si>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</si>
  <si>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</si>
  <si>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</si>
  <si>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</si>
  <si>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</si>
  <si>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</si>
  <si>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</si>
  <si>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</si>
  <si>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</si>
  <si>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</si>
  <si>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</si>
  <si>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</si>
  <si>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</si>
  <si>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</si>
  <si>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</si>
  <si>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</si>
  <si>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</si>
  <si>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</si>
  <si>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</si>
  <si>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</si>
  <si>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</si>
  <si>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</si>
  <si>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</si>
  <si>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</si>
  <si>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</si>
  <si>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</si>
  <si>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</si>
  <si>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</si>
  <si>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</si>
  <si>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</si>
  <si>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</si>
  <si>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</si>
  <si>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</si>
  <si>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</si>
  <si>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</si>
  <si>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</si>
  <si>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</si>
  <si>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</si>
  <si>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</si>
  <si>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</si>
  <si>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</si>
  <si>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</si>
  <si>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</si>
  <si>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</si>
  <si>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</si>
  <si>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</si>
  <si>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</si>
  <si>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</si>
  <si>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</si>
  <si>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</si>
  <si>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</si>
  <si>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</si>
  <si>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</si>
  <si>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</si>
  <si>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</si>
  <si>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</si>
  <si>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</si>
  <si>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</si>
  <si>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</si>
  <si>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</si>
  <si>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</si>
  <si>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</si>
  <si>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</si>
  <si>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</si>
  <si>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</si>
  <si>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</si>
  <si>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</si>
  <si>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</si>
  <si>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</si>
  <si>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</si>
  <si>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</si>
  <si>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</si>
  <si>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</si>
  <si>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</si>
  <si>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</si>
  <si>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</si>
  <si>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</si>
  <si>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</si>
  <si>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</si>
  <si>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</si>
  <si>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</si>
  <si>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</si>
  <si>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</si>
  <si>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</si>
  <si>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</si>
  <si>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</si>
  <si>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</si>
  <si>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</si>
  <si>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</si>
  <si>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</si>
  <si>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</si>
  <si>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</si>
  <si>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</si>
  <si>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</si>
  <si>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</si>
  <si>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</si>
  <si>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</si>
  <si>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</si>
  <si>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</si>
  <si>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</si>
  <si>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</si>
  <si>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</si>
  <si>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</si>
  <si>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</si>
  <si>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</si>
  <si>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</si>
  <si>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</si>
  <si>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</si>
  <si>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</si>
  <si>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</si>
  <si>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</si>
  <si>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</si>
  <si>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</si>
  <si>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</si>
  <si>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</si>
  <si>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</si>
  <si>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</si>
  <si>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</si>
  <si>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</si>
  <si>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</si>
  <si>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</si>
  <si>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</si>
  <si>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</si>
  <si>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</si>
  <si>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</si>
  <si>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</si>
  <si>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</si>
  <si>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</si>
  <si>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</si>
  <si>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</si>
  <si>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</si>
  <si>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</si>
  <si>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</si>
  <si>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</si>
  <si>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</si>
  <si>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</si>
  <si>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</si>
  <si>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</si>
  <si>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</si>
  <si>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</si>
  <si>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</si>
  <si>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</si>
  <si>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</si>
  <si>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</si>
  <si>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</si>
  <si>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</si>
  <si>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</si>
  <si>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</si>
  <si>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</si>
  <si>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</si>
  <si>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</si>
  <si>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</si>
  <si>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</si>
  <si>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</si>
  <si>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</si>
  <si>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</si>
  <si>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</si>
  <si>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</si>
  <si>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</si>
  <si>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</si>
  <si>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</si>
  <si>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</si>
  <si>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</si>
  <si>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</si>
  <si>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</si>
  <si>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</si>
  <si>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</si>
  <si>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</si>
  <si>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</si>
  <si>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</si>
  <si>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</si>
  <si>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</si>
  <si>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</si>
  <si>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</si>
  <si>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</si>
  <si>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</si>
  <si>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</si>
  <si>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</si>
  <si>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</si>
  <si>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</si>
  <si>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</si>
  <si>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</si>
  <si>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</si>
  <si>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</si>
  <si>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</si>
  <si>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</si>
  <si>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</si>
  <si>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</si>
  <si>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</si>
  <si>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</si>
  <si>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</si>
  <si>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</si>
  <si>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</si>
  <si>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</si>
  <si>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</si>
  <si>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</si>
  <si>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</si>
  <si>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</si>
  <si>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</si>
  <si>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</si>
  <si>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</si>
  <si>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</si>
  <si>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</si>
  <si>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</si>
  <si>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</si>
  <si>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</si>
  <si>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</si>
  <si>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</si>
  <si>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</si>
  <si>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</si>
  <si>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</si>
  <si>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</si>
  <si>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</si>
  <si>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</si>
  <si>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</si>
  <si>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</si>
  <si>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</si>
  <si>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</si>
  <si>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</si>
  <si>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</si>
  <si>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</si>
  <si>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</si>
  <si>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</si>
  <si>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</si>
  <si>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</si>
  <si>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</si>
  <si>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</si>
  <si>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</si>
  <si>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</si>
  <si>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</si>
  <si>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</si>
  <si>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</si>
  <si>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</si>
  <si>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</si>
  <si>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</si>
  <si>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</si>
  <si>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</si>
  <si>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</si>
  <si>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</si>
  <si>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</si>
  <si>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</si>
  <si>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</si>
  <si>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</si>
  <si>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</si>
  <si>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</si>
  <si>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</si>
  <si>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</si>
  <si>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</si>
  <si>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</si>
  <si>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</si>
  <si>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</si>
  <si>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</si>
  <si>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</si>
  <si>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</si>
  <si>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</si>
  <si>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</si>
  <si>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</si>
  <si>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</si>
  <si>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</si>
  <si>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</si>
  <si>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</si>
  <si>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</si>
  <si>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</si>
  <si>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</si>
  <si>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</si>
  <si>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</si>
  <si>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</si>
  <si>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</si>
  <si>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</si>
  <si>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</si>
  <si>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</si>
  <si>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</si>
  <si>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</si>
  <si>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</si>
  <si>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</si>
  <si>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</si>
  <si>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</si>
  <si>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</si>
  <si>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</si>
  <si>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</si>
  <si>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</si>
  <si>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</si>
  <si>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</si>
  <si>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</si>
  <si>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</si>
  <si>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</si>
  <si>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</si>
  <si>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</si>
  <si>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</si>
  <si>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</si>
  <si>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</si>
  <si>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</si>
  <si>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</si>
  <si>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</si>
  <si>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</si>
  <si>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</si>
  <si>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</si>
  <si>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</si>
  <si>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</si>
  <si>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</si>
  <si>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</si>
  <si>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</si>
  <si>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</si>
  <si>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</si>
  <si>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</si>
  <si>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</si>
  <si>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</si>
  <si>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</si>
  <si>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</si>
  <si>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</si>
  <si>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</si>
  <si>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</si>
  <si>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</si>
  <si>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</si>
  <si>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</si>
  <si>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</si>
  <si>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</si>
  <si>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</si>
  <si>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</si>
  <si>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</si>
  <si>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</si>
  <si>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</si>
  <si>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</si>
  <si>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</si>
  <si>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</si>
  <si>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</si>
  <si>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</si>
  <si>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Tableau 1 - Budget du projet PBF par résultat, produit et activité</t>
  </si>
  <si>
    <t>Nombre de resultat/ produit</t>
  </si>
  <si>
    <t xml:space="preserve">RESULTAT 1: </t>
  </si>
  <si>
    <t>Produit 1.1:</t>
  </si>
  <si>
    <t>Activite 1.1.1:</t>
  </si>
  <si>
    <t>Activite 1.1.2:</t>
  </si>
  <si>
    <t>Activite 1.1.3:</t>
  </si>
  <si>
    <t>Activite 1.1.4</t>
  </si>
  <si>
    <t>Produit 1.2:</t>
  </si>
  <si>
    <t>Activite 1.2.1</t>
  </si>
  <si>
    <t>Activite 1.2.2</t>
  </si>
  <si>
    <t>Activite 1.2.3</t>
  </si>
  <si>
    <t xml:space="preserve">RESULTAT 2: </t>
  </si>
  <si>
    <t>Produit 2.1</t>
  </si>
  <si>
    <t>Activite 2.1.1</t>
  </si>
  <si>
    <t>Activite 2.1.2</t>
  </si>
  <si>
    <t>Produit 2.2</t>
  </si>
  <si>
    <t>Activite 2.2.1</t>
  </si>
  <si>
    <t>Activite' 2.2.2</t>
  </si>
  <si>
    <t>Activite 2.2.3</t>
  </si>
  <si>
    <t>Activite 2.2.4</t>
  </si>
  <si>
    <t xml:space="preserve">RESULTAT 3: </t>
  </si>
  <si>
    <t>Produit 3.1</t>
  </si>
  <si>
    <t>Activite 3.1.1</t>
  </si>
  <si>
    <t>Activite 3.1.2</t>
  </si>
  <si>
    <t>Activite 3.1.3</t>
  </si>
  <si>
    <t>Activite 3.1.4</t>
  </si>
  <si>
    <t>Activite 3.1.5</t>
  </si>
  <si>
    <t>Produit 3.2:</t>
  </si>
  <si>
    <t>Activite 3.2.1</t>
  </si>
  <si>
    <t>Activite 3.2.2</t>
  </si>
  <si>
    <t>Activite 3.2.3</t>
  </si>
  <si>
    <t>Cout de personnel du projet si pas inclus dans les activites si-dessus</t>
  </si>
  <si>
    <t>Couts operationnels si pas inclus dans les activites si-dessus</t>
  </si>
  <si>
    <t>Budget de suivi</t>
  </si>
  <si>
    <t>Budget pour l'évaluation finale indépendante</t>
  </si>
  <si>
    <t>Formulation du resultat/ produit/activite</t>
  </si>
  <si>
    <t>Organisation recipiendiaire 3 (budget en USD)</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</si>
  <si>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</si>
  <si>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</si>
  <si>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</si>
  <si>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</si>
  <si>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</si>
  <si>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</si>
  <si>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</si>
  <si>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</si>
  <si>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</si>
  <si>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</si>
  <si>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</si>
  <si>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</si>
  <si>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Total des dépenses</t>
  </si>
  <si>
    <t>Taux d'exécution</t>
  </si>
  <si>
    <t>A111.Sensibiliser/éduquer les jeunes sur différentes thématiques/messages de prévention de conflits</t>
  </si>
  <si>
    <t>2. Analyses/consultations préalables avec les parties prenantes et les groupes de jeunes dans les régions concernées par  élaboration d’ébauche de plan de communication ;</t>
  </si>
  <si>
    <t>Enquête CAP</t>
  </si>
  <si>
    <t>3. Atelier national d’information et d’élaboration/validation de plan de communication ;</t>
  </si>
  <si>
    <t>Restauration</t>
  </si>
  <si>
    <t>Location salle</t>
  </si>
  <si>
    <t xml:space="preserve">Fournitures des Participants et de l'Atelier (rame de papier, Marker, Flip,...) </t>
  </si>
  <si>
    <t xml:space="preserve">Frais de déplacement des Participants  venant des régions </t>
  </si>
  <si>
    <t>Perdiem et Hébergement des Participants des régions</t>
  </si>
  <si>
    <t>Application formation</t>
  </si>
  <si>
    <t xml:space="preserve">5. Planification et mise en œuvre d’activités d’éducation </t>
  </si>
  <si>
    <t>A112. Conduire des séances de formations générales pour les jeunes sur la consolidation de la paix, le SAP-PC  (et le CCAP)</t>
  </si>
  <si>
    <t>1. Capitalisation des acquis nationaux/internationaux et élaboration d’outils/guide de formation d’un SAP-PC à travers un consultant qui va faire l’inventaire des outils existants et l’élaboration de draft d’outils/guide</t>
  </si>
  <si>
    <t>2. Atelier de restitution et de validation des outils/guide de formation générale d’un SAP-PC</t>
  </si>
  <si>
    <t>3. Conduite de FdF pour les RSOD/TAD qui vont assurer la mise en œuvre du SAP-PC au niveau régions et districts et former/superviser les RSOC/TAK</t>
  </si>
  <si>
    <t>A113. Conduire des séances d’informations et de mobilisation des acteurs effectués par les jeunes au niveau district et au niveau régional</t>
  </si>
  <si>
    <t>2. Restitution/émission media conjointe par les OSC/jeunes et les acteurs/décideurs sur la collaboration pour le déploiement du SAP-PC</t>
  </si>
  <si>
    <t>A121.Organiser/répartir et déployer les jeunes observateurs avec les outils</t>
  </si>
  <si>
    <t>2.    AMI  lancé auprès des participants/jeunes sensibilisés et ayant bénéficié des formations générales, sélection/recrutement et répartition des jeunes observateurs SAP-PC</t>
  </si>
  <si>
    <t xml:space="preserve">3.    Conception, préparation et élaboration des outils/guide de formation sur les outils et la méthodologie de mise en œuvre du SAP-PC </t>
  </si>
  <si>
    <t>4.    Mise en œuvre de la formation des jeunes observateurs sélectionnés/recrutés</t>
  </si>
  <si>
    <t>Formation des observateurs</t>
  </si>
  <si>
    <t>Indemnités observateurs</t>
  </si>
  <si>
    <t xml:space="preserve">A122.Conduire et rapporter le SAP-PC (Suivi-Observation régulier/trimestriel, Alertes selon événements par les Observateurs, Signalements/numéros verts par les citoyens) et diffuser les résultats. </t>
  </si>
  <si>
    <t>Fonctionnement des Numeros Verts</t>
  </si>
  <si>
    <t>Téléconseillers de récoupement et d'analyse</t>
  </si>
  <si>
    <t>Produit 2.1 Thématiques d’actions publiques définies</t>
  </si>
  <si>
    <t xml:space="preserve"> </t>
  </si>
  <si>
    <t>A211. Organiser des ateliers de concertations régionales pour prioriser et valider les actions publiques.</t>
  </si>
  <si>
    <t>1.      Approfondissement &amp; analyse des contextes à partir de revue documentaire complétée par des entrevues et réunions techniques avec les parties prenantes</t>
  </si>
  <si>
    <t>2.      Mobilisation des acteurs publics et communautaires cibles par les équipes régionales du projet et les Ministères (MJS et MPPSPF).</t>
  </si>
  <si>
    <t>3.      Préparation et conduite des ateliers de concertation dans les régions.</t>
  </si>
  <si>
    <t>A212. Organiser des séances d’informations/formations et mobilisation des jeunes pour les CCAP</t>
  </si>
  <si>
    <t xml:space="preserve">1.      Etablissement des matériels /outils d’informations pour les jeunes adaptés aux thématiques/contextes régionaux </t>
  </si>
  <si>
    <t>2.      Conduite de séances informations (Ateliers et/ou séances en ligne via les réseaux sociaux) pour les jeunes.</t>
  </si>
  <si>
    <t xml:space="preserve">3.      Sensibilisation/Mobilisation communautaire et via les media pour l’engagement des OSC, citoyens/jeunes dans la mise en œuvre du CCAP  </t>
  </si>
  <si>
    <t xml:space="preserve">Produit 2.2 Contrôles citoyens des actions publiques mis en œuvre </t>
  </si>
  <si>
    <t>A221.Capitaliser les acquis nationaux/internationaux et élaborer les outils/guide de formation de CCAP.</t>
  </si>
  <si>
    <t>1.      Inventaire des outils existants au niveau national et international</t>
  </si>
  <si>
    <t xml:space="preserve">2.      Atelier de capitalisation des acquis nationaux/internationaux notamment l’ECB[1] et le BQP[2] déjà appliqués et éprouvés par MSIS-Tatao. </t>
  </si>
  <si>
    <t>3.      Elaboration des outils/guide Tafita[3] de formation d’un CCAP</t>
  </si>
  <si>
    <t>4.      Atelier de restitution et de validation des outils/guide de formation d’un CCAP</t>
  </si>
  <si>
    <t>A222.Conduire des séances de formation pour les jeunes Safidy</t>
  </si>
  <si>
    <t xml:space="preserve">A223.Organiser et accompagner les jeunes dans les CCAP et diffuser les résultats </t>
  </si>
  <si>
    <t>2.    Suivi-observation par les RSOAP-Tafita des réalités dans la mise en œuvre des prestations au niveau des services publics dans les districts/communes par rapport aux risques de conflit</t>
  </si>
  <si>
    <t xml:space="preserve">Produit 3.1 Campagnes de plaidoyers et recours faits par les jeunes considérés par les autorités/décideurs </t>
  </si>
  <si>
    <t>A311. Elaborer des guides/outils et conduire des formations en plaidoyers et recours pour les jeunes</t>
  </si>
  <si>
    <t xml:space="preserve">1.    Conception et élaboration des guides / outils, conduite d’un atelier de validation de guide de plaidoyer et de recours </t>
  </si>
  <si>
    <t>2.    Elaboration des outils, plans et curricula de formation à partir du guide élaboré</t>
  </si>
  <si>
    <t>3.    Conduite des formations en plaidoyer et recours incluant l’élaboration des plans de plaidoyer et évaluation des formations.</t>
  </si>
  <si>
    <t>A312. Accompagner les jeunes dans la mise en œuvre de leur campagne de plaidoyers et organiser des dialogues avec les autorités/décideurs</t>
  </si>
  <si>
    <t>1.    Mise en œuvre de plans de plaidoyer par les jeunes notamment à travers la planification et l’organisation de dialogues avec les autorités/décideurs</t>
  </si>
  <si>
    <t>2.    Accompagnement, encadrement, coaching et suivi des campagnes de plaidoyer des jeunes</t>
  </si>
  <si>
    <t>A313. Accompagner les jeunes à  déposer des recours auprès des Institutions</t>
  </si>
  <si>
    <t>Juristes partenaires</t>
  </si>
  <si>
    <t>2.    Suivi des recours faits par les jeunes auprès des autorités/décideurs compétents.</t>
  </si>
  <si>
    <t xml:space="preserve">1.    Renforcer le leadership, le réseautage &amp; la visibilité des jeunes LA et défenseurs de la paix </t>
  </si>
  <si>
    <t xml:space="preserve">3.    Mettre en œuvre des actions d’accompagnement et de prise en charge socio-économique des JLA/DDP (compensation de pertes de revenus, accompagnement psycho-sociale, prise en charge sanitaire)  </t>
  </si>
  <si>
    <t>Produit 3.2Actions communautaires de prévention et de réduction des risques de conflits mises en œuvre</t>
  </si>
  <si>
    <t>A321.Conduire des formations pour les jeunes dans l’élaboration de projets  de prévention des conflits adressant les recommandations des SAP-PC/ CCAP</t>
  </si>
  <si>
    <t>1.      Elaboration des outils, plans et curricula de formation en leadership, développement et gestion de projet</t>
  </si>
  <si>
    <t>2.      Conduite des formations en leadership, développement et gestion de projet et évaluation des formations.</t>
  </si>
  <si>
    <t>A322 Fournir des subventions, superviser/suivre les projets de prévention/résolution de conflits réalisés par les jeunes (Jeunes dans les structures/mécanismes de concertations, événements sportifs/Culturels suscitant les échanges et l’inclusion, réinsertion des jeunes victimes/à risques)</t>
  </si>
  <si>
    <t xml:space="preserve">A323. Organiser des visites-échanges entre les jeunes. </t>
  </si>
  <si>
    <t>Cours dollar</t>
  </si>
  <si>
    <t>Communications-médias</t>
  </si>
  <si>
    <t>Annonce radio</t>
  </si>
  <si>
    <t>Boost réseaux sociaux</t>
  </si>
  <si>
    <t>Diffusion spot radio</t>
  </si>
  <si>
    <t>Diffusion spot tv</t>
  </si>
  <si>
    <t>Coproduction émissions/reportages radio</t>
  </si>
  <si>
    <t>Coproduction émissions/reportages tv regions</t>
  </si>
  <si>
    <t>Coproduction émissions/reportages tv national</t>
  </si>
  <si>
    <t>Infographiste (jr/H)</t>
  </si>
  <si>
    <t>Conception spots audiovisuels</t>
  </si>
  <si>
    <t>Photos ou dessins (unité)</t>
  </si>
  <si>
    <t>Goodies (t-dshirt, casquettes, etc.)</t>
  </si>
  <si>
    <t>Documents couleurs (page)</t>
  </si>
  <si>
    <t>Documents noir et blanc (page)</t>
  </si>
  <si>
    <t>Affiches (grand nombre)</t>
  </si>
  <si>
    <t>Dépliants (grand nombre)</t>
  </si>
  <si>
    <t>Formations</t>
  </si>
  <si>
    <t>Indemnités des formateurs des observateurs</t>
  </si>
  <si>
    <t>Etudes - enquêtes</t>
  </si>
  <si>
    <t>Atelier national</t>
  </si>
  <si>
    <t>Atelier régional</t>
  </si>
  <si>
    <t>Frais de connexion apprenants</t>
  </si>
  <si>
    <t>Equipe observation</t>
  </si>
  <si>
    <t>Indemnités RSOD/TAD (base 5 jours/mois)</t>
  </si>
  <si>
    <t>IndemnitésRSOC (base 5 jours/mois)</t>
  </si>
  <si>
    <t>Indemnités call center</t>
  </si>
  <si>
    <t>Envois sms obs-&gt;equipe</t>
  </si>
  <si>
    <t>NTIC / système d'information</t>
  </si>
  <si>
    <t>Plaidoyer et recours</t>
  </si>
  <si>
    <t>Délais de route</t>
  </si>
  <si>
    <t>Atelier district</t>
  </si>
  <si>
    <t>4. Conduite de séance d’information et de sensibilisation des TAD/RSOD (présentiel et en ligne)</t>
  </si>
  <si>
    <t>1. Ateliers régionaux d’information et de mobilisation des acteurs régionaux</t>
  </si>
  <si>
    <r>
      <t xml:space="preserve">1. </t>
    </r>
    <r>
      <rPr>
        <sz val="10"/>
        <color rgb="FF000000"/>
        <rFont val="Arial"/>
        <family val="2"/>
      </rPr>
      <t>Identification de groupes/organisations de jeunes engagés via Safidy et autres réseaux initiatives pour sélection RSOD et RSOC</t>
    </r>
  </si>
  <si>
    <t>Resultat 1</t>
  </si>
  <si>
    <t>Resultat 2</t>
  </si>
  <si>
    <t>3.    Mise en œuvre de la formation des jeunes observateurs sélectionnés/recrutés</t>
  </si>
  <si>
    <t>Resultat 3</t>
  </si>
  <si>
    <t xml:space="preserve">1.    Appui des jeunes dans la rédaction et dépôt de recours selon le guide et avec l’appui de juristes partenaires (Avocats et/ou Magistrats bénévoles) </t>
  </si>
  <si>
    <t>2.    Renforcer l’accompagnement juridique des Jeunes LA et DDP à travers l’appui des juristes partenaires et autres Institutions DH</t>
  </si>
  <si>
    <t>Total activités</t>
  </si>
  <si>
    <t>Résultats, Produits et Actvités</t>
  </si>
  <si>
    <t>%</t>
  </si>
  <si>
    <t>Montant</t>
  </si>
  <si>
    <t>PNUD</t>
  </si>
  <si>
    <t>MSIS</t>
  </si>
  <si>
    <r>
      <t>Produit 1.2</t>
    </r>
    <r>
      <rPr>
        <sz val="12"/>
        <color rgb="FF000000"/>
        <rFont val="Times New Roman"/>
        <family val="1"/>
      </rPr>
      <t xml:space="preserve">. </t>
    </r>
    <r>
      <rPr>
        <b/>
        <sz val="12"/>
        <color rgb="FF000000"/>
        <rFont val="Times New Roman"/>
        <family val="1"/>
      </rPr>
      <t>Le SAP-PC sont  opérationnels au niveau de l’Observatoire</t>
    </r>
  </si>
  <si>
    <t xml:space="preserve">1.    Mise en place de centre d’appel et opérationnalisation à travers l’engagement des jeunes Agents/Superviseurs d’appel. Ce sont les jeunes RSOD et RSOC et quelques acteurs communautaires échantillonnés et représentatifs qui sont appelés pour fournir leurs constats via des fiches/questionnaires pré-établis. </t>
  </si>
  <si>
    <t>2.    Suivi-observation par les RSOD et RSOC des réalités sur terrain par rapport aux facteurs/risques de conflit</t>
  </si>
  <si>
    <t>3.    Production et dissémination des rapports SAP-PC (Atelier/Réunions techniques de plaidoyer et concertation/mobilisation avec les autorités régionales/locales ; Atelier semestriel de dissémination).</t>
  </si>
  <si>
    <t xml:space="preserve">2.    Elaboration des critères de sélection des jeunes observateurs CCAP et AMI  lancé auprès des participants/jeunes sensibilisés et ayant bénéficié des formations générales (A112), sélection/recrutement et répartition des jeunes observateurs CCAP </t>
  </si>
  <si>
    <t>TOTAL GENERAL</t>
  </si>
  <si>
    <t>COUT INDIRECT</t>
  </si>
  <si>
    <t>TOTAL COUT DIRECT</t>
  </si>
  <si>
    <t xml:space="preserve">3.    Production et dissémination des rapports CCAP (Atelier/Réunions techniques de plaidoyer auprès des autorités régionales/locales ; Atelier semestriel de dissémination) </t>
  </si>
  <si>
    <t>Sensibiliser/éduquer les jeunes sur différentes thématiques/messages de prévention de conflits</t>
  </si>
  <si>
    <t>Conduire des séances de formations générales pour les jeunes sur la consolidation de la paix, le SAP-PC  (et le CCAP)</t>
  </si>
  <si>
    <t>Conduire des séances d’informations et de mobilisation des acteurs effectués par les jeunes au niveau district et au niveau régional</t>
  </si>
  <si>
    <t>Produit 1.1 Jeunes/OSC du Réseau SAFIDY et les acteurs institutionnels formés et outillés sur le SAP-PC</t>
  </si>
  <si>
    <t>Organiser/répartir et déployer les jeunes observateurs avec les outils</t>
  </si>
  <si>
    <t xml:space="preserve">Conduire et rapporter le SAP-PC (Suivi-Observation régulier/trimestriel, Alertes selon événements par les Observateurs, Signalements/numéros verts par les citoyens) et diffuser les résultats. </t>
  </si>
  <si>
    <t>Organiser des séances d’informations/formations et mobilisation des jeunes pour les CCAP</t>
  </si>
  <si>
    <t>Capitaliser les acquis nationaux/internationaux et élaborer les outils/guide de formation de CCAP.</t>
  </si>
  <si>
    <t>Conduire des séances de formation pour les jeunes Safidy</t>
  </si>
  <si>
    <t>Organiser et accompagner les jeunes dans les CCAP et diffuser les résultats</t>
  </si>
  <si>
    <t>Elaborer des guides/outils et conduire des formations en plaidoyers et recours pour les jeunes</t>
  </si>
  <si>
    <t>Accompagner les jeunes dans la mise en œuvre de leur campagne de plaidoyers et organiser des dialogues avec les autorités/décideurs</t>
  </si>
  <si>
    <t>Accompagner les jeunes à  déposer des recours auprès des Institutions</t>
  </si>
  <si>
    <t>Opérationnaliser le mécanisme de protection des jeunes LA et défenseurs de la paix</t>
  </si>
  <si>
    <t>Organiser des visites-échanges entre les jeunes</t>
  </si>
  <si>
    <t>Conduire des formations pour les jeunes et les autres acteurs communataires dans l’élaboration de projets  de prévention des conflits adressant les recommandations des SAP-PC/ CCAP</t>
  </si>
  <si>
    <t>Organiser des ateliers de concertations régionales pour prioriser et valider les actions publiques.</t>
  </si>
  <si>
    <t>Jeunes/OSC du Réseau SAFIDY et les acteurs institutionnels formés et outillés sur le SAP-PC</t>
  </si>
  <si>
    <t>Le SAP-PC sont  opérationnels au niveau de l’Observatoire</t>
  </si>
  <si>
    <t xml:space="preserve">Contrôles citoyens des actions publiques mis en œuvre </t>
  </si>
  <si>
    <t xml:space="preserve">Campagnes de plaidoyers et recours faits par les jeunes considérés par les autorités/décideurs </t>
  </si>
  <si>
    <t>Actions communautaires de prévention et de réduction des risques de conflits mises en œuvre</t>
  </si>
  <si>
    <t>Fournir des subventions, superviser/suivre les projets de prévention/résolution de conflits réalisés par les jeunes etn collaboration avec les autres acteurs communautaires (Jeunes dans les structures/mécanismes de concertations, événements sportifs/Culturels suscitant les échanges et l’inclusion, etc.)</t>
  </si>
  <si>
    <t>Les jeunes dans l’Observatoire Safidy mettent en place un système d’alerte précoce et de prévention des risques de conflits (SAP-PC)</t>
  </si>
  <si>
    <t xml:space="preserve">Les jeunes sont engagés dans les contrôles citoyens des actions publiques (CCAP) en faveur de la paix. </t>
  </si>
  <si>
    <t xml:space="preserve"> Thématiques d’actions publiques à contrôler et à renforcer définies</t>
  </si>
  <si>
    <t>Les plaidoyers, recours et actions de réponses aux risques de conflits portés par les jeunes ou structurés autour des jeunes sont renforcés</t>
  </si>
  <si>
    <t>Mise en place et opérationnalisation de Cellules de veilles pour prendre les décisions/mesures de réponses par rapport au SAP-PC</t>
  </si>
  <si>
    <t>A123.Mise en place et opérationnalisation de Cellules de veilles pour prendre les décisions/mesures de réponses par rapport au SAP-PC</t>
  </si>
  <si>
    <t>Elaborer, suivre et appuyer la mise en œuvre par les jeunes et les Institutions partenaires des plans de renforcement des capacités suite aux résultats de CCAP</t>
  </si>
  <si>
    <t>A224. Elaborer, suivre et appuyer la mise en œuvre par les jeunes et les Institutions partenaires des plans de renforcement des capacités suite aux résultats de CCAP</t>
  </si>
  <si>
    <t>Appuyer les Institutions/Acteurs concernés à mieux traiter et répondre aux plaidoyers et recours faits par les jeunes</t>
  </si>
  <si>
    <t>A314. Appuyer les Institutions/Acteurs concernés à mieux traiter et répondre aux plaidoyers et recours faits par les jeunes</t>
  </si>
  <si>
    <t>A315. Opérationnaliser le mécanisme de protection des jeunes LA et défenseurs de la paix.</t>
  </si>
  <si>
    <t>Conduire une étude sur les facteurs de conflits et les rôles des femmes dans les résolutions des conflits</t>
  </si>
  <si>
    <t>Annexe D - Rapport Financier du projet PBF</t>
  </si>
  <si>
    <t>MSIS TATAO</t>
  </si>
  <si>
    <t>Notes quelconque le cas echeant (.e.g sur types des entrants ou justification du budget)</t>
  </si>
  <si>
    <t>TOTAL PROJET</t>
  </si>
  <si>
    <t>Budget</t>
  </si>
  <si>
    <t>TAUX D'EXECUTION DE MSIS TATAO</t>
  </si>
  <si>
    <t>Dépenses</t>
  </si>
  <si>
    <t>Reliquat</t>
  </si>
  <si>
    <t>BUDGET DU PROJET</t>
  </si>
  <si>
    <t>TAUX D'EXECUTION DE PNUD</t>
  </si>
  <si>
    <t>TAUX D'EXECUTION DE PROJET</t>
  </si>
  <si>
    <t>Taux d'execution</t>
  </si>
  <si>
    <t>Depenses</t>
  </si>
  <si>
    <t>1er virement (65%) par rapp au budget</t>
  </si>
  <si>
    <t>Budget du projet</t>
  </si>
  <si>
    <t>Niveau de depense/ engagement actuel en USD  - MSIS TATAO</t>
  </si>
  <si>
    <t xml:space="preserve">Niveau de depense TOTAL/ engagement actuel en USD  </t>
  </si>
  <si>
    <t>BUDGET</t>
  </si>
  <si>
    <t>DEPENSE</t>
  </si>
  <si>
    <t>Total Budget</t>
  </si>
  <si>
    <t>DEPENSE PNUD</t>
  </si>
  <si>
    <t>DEPENSE MSIS-TATAO</t>
  </si>
  <si>
    <t>DEPENSE TOTAL</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</si>
  <si>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</si>
  <si>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</si>
  <si>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</si>
  <si>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</si>
  <si>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</si>
  <si>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</si>
  <si>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</si>
  <si>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</si>
  <si>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</si>
  <si>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</si>
  <si>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</si>
  <si>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</si>
  <si>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</si>
  <si>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RESULTAT 2</t>
  </si>
  <si>
    <t>Total pour produit 2.1 (du tableau 1)</t>
  </si>
  <si>
    <t>Total pour produit 2.2 (du tableau 1)</t>
  </si>
  <si>
    <t>RESULTAT 3</t>
  </si>
  <si>
    <t>Total pour produit 3.1 (du tableau 1)</t>
  </si>
  <si>
    <t>Produit 3.2</t>
  </si>
  <si>
    <t>Total pour produit 3.2 (du tableau 1)</t>
  </si>
  <si>
    <t xml:space="preserve">Coûts supplémentaires </t>
  </si>
  <si>
    <t>Total des coûts supplémentaires (du tableau 1)</t>
  </si>
  <si>
    <t>TOTAL</t>
  </si>
  <si>
    <t>For MPTFO Use</t>
  </si>
  <si>
    <t>Totals</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</si>
  <si>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</si>
  <si>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</si>
  <si>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</si>
  <si>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</si>
  <si>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</si>
  <si>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</si>
  <si>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</si>
  <si>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</si>
  <si>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</si>
  <si>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Performance-Based Tranche Breakdown</t>
  </si>
  <si>
    <t>First Tranche:</t>
  </si>
  <si>
    <t>Second Tranche:</t>
  </si>
  <si>
    <t>Third Tranche:</t>
  </si>
  <si>
    <t>PNUD AND MSIS TATAO</t>
  </si>
  <si>
    <t>EXPECTED OUTPUTS</t>
  </si>
  <si>
    <t>PLANNED ACTIVITIES</t>
  </si>
  <si>
    <t>TIMEFRAME</t>
  </si>
  <si>
    <t>RESPONSIBLE PARTY</t>
  </si>
  <si>
    <t>PLANNED BUDGET</t>
  </si>
  <si>
    <t>And baseline, associated indicators and annual targets</t>
  </si>
  <si>
    <t xml:space="preserve">List activity and associated actions </t>
  </si>
  <si>
    <t>Q1</t>
  </si>
  <si>
    <t>Q2</t>
  </si>
  <si>
    <t>Q3</t>
  </si>
  <si>
    <t>Q4</t>
  </si>
  <si>
    <t>Q5</t>
  </si>
  <si>
    <t>Q6</t>
  </si>
  <si>
    <t>Met en œuvre</t>
  </si>
  <si>
    <t>Funding Source</t>
  </si>
  <si>
    <t>Budget Description</t>
  </si>
  <si>
    <t>Amount</t>
  </si>
  <si>
    <t>Résultat 1 : Les jeunes dans l’Observatoire Safidy mettent en place un système d’alerte précoce et de prévention des risques de conflits (SAP-PC).</t>
  </si>
  <si>
    <r>
      <t>Produit 1.1.</t>
    </r>
    <r>
      <rPr>
        <sz val="11"/>
        <color rgb="FF000000"/>
        <rFont val="Arial"/>
        <family val="2"/>
      </rPr>
      <t xml:space="preserve"> </t>
    </r>
  </si>
  <si>
    <r>
      <t>Activité 1.1.1:</t>
    </r>
    <r>
      <rPr>
        <sz val="11"/>
        <color rgb="FF000000"/>
        <rFont val="Arial"/>
        <family val="2"/>
      </rPr>
      <t xml:space="preserve"> </t>
    </r>
    <r>
      <rPr>
        <sz val="9"/>
        <color rgb="FF000000"/>
        <rFont val="Arial Narrow"/>
        <family val="2"/>
      </rPr>
      <t>Conduire une étude sur les facteurs de conflits et les rôles des femmes dans la résolution de conflits</t>
    </r>
  </si>
  <si>
    <t>Action 1.1.1.1: Identification et sélection prestataire</t>
  </si>
  <si>
    <t>X</t>
  </si>
  <si>
    <t>Groupe de consultants (int + nt)</t>
  </si>
  <si>
    <t>PBF</t>
  </si>
  <si>
    <t>71200 - Intl Consultants</t>
  </si>
  <si>
    <t>Jeunes/OSC du Réseau SAFIDY et acteurs formés et outillés sur le SAP-PC</t>
  </si>
  <si>
    <t xml:space="preserve">Indicateur 1.1.1. Nombre d’Organisations ou Groupes de jeunes sensibilisé et engagés pour le SAP-PC de l’observatoire de la paix </t>
  </si>
  <si>
    <t>Livrable : Rapport d’études</t>
  </si>
  <si>
    <t>Action 1.1.1.2: Mise en œuvre de l’étude</t>
  </si>
  <si>
    <t>Niveau de référence : 0</t>
  </si>
  <si>
    <r>
      <t>Activité 1.1.2 :</t>
    </r>
    <r>
      <rPr>
        <sz val="11"/>
        <color rgb="FF000000"/>
        <rFont val="Arial"/>
        <family val="2"/>
      </rPr>
      <t xml:space="preserve"> </t>
    </r>
    <r>
      <rPr>
        <sz val="9"/>
        <color rgb="FF000000"/>
        <rFont val="Arial Narrow"/>
        <family val="2"/>
      </rPr>
      <t>Sensibiliser/éduquer les communautés et les jeunes sur différentes thématiques/messages de prévention de conflits.</t>
    </r>
  </si>
  <si>
    <t>Action 1.1.2.1: Identification de groupes/organisations de jeunes engagés via Safidy et autres réseaux et initiatives ;</t>
  </si>
  <si>
    <t xml:space="preserve">PNUD </t>
  </si>
  <si>
    <t>ONG RAVINTSARA - Grants</t>
  </si>
  <si>
    <t>72600 - Grants</t>
  </si>
  <si>
    <t>Cible : = 22*10 = 220</t>
  </si>
  <si>
    <t xml:space="preserve">    </t>
  </si>
  <si>
    <r>
      <t>Action 1.1.2.2:</t>
    </r>
    <r>
      <rPr>
        <sz val="11"/>
        <color rgb="FF000000"/>
        <rFont val="Arial"/>
        <family val="2"/>
      </rPr>
      <t xml:space="preserve"> </t>
    </r>
    <r>
      <rPr>
        <sz val="9"/>
        <color rgb="FF000000"/>
        <rFont val="Arial Narrow"/>
        <family val="2"/>
      </rPr>
      <t>Analyses/consultations préalables avec les parties prenantes et les groupes de jeunes dans les régions concernées par élaboration d’ébauche de plan de communication</t>
    </r>
  </si>
  <si>
    <t>Consultant</t>
  </si>
  <si>
    <t>71300 - Local Consultant</t>
  </si>
  <si>
    <t xml:space="preserve">Livrable : </t>
  </si>
  <si>
    <t>Action 1.1.2.3. Atelier national d’information et d’élaboration/validation de plan de communication</t>
  </si>
  <si>
    <t xml:space="preserve">Service contractuel   </t>
  </si>
  <si>
    <t>Service Contractue,
Equipements, Fournitures</t>
  </si>
  <si>
    <t>Related CPD outcome:</t>
  </si>
  <si>
    <t>Plan d’éducation et de communication</t>
  </si>
  <si>
    <t>Action 1.1.2.4. Conduite de séance d’information et de sensibilisation des TAD/RSOD  (présentiel et en ligne)</t>
  </si>
  <si>
    <t xml:space="preserve">Sifaka via grants pour émissions en ligne de sensibilisation 
</t>
  </si>
  <si>
    <t>OSC Ravintsara pour conduite des séances d'information communautaires (grants)</t>
  </si>
  <si>
    <t>Rapport d’activités d’éducation et de communication</t>
  </si>
  <si>
    <t>Action 1.1.2.5. Planification et mise en œuvre d’activités d’éducation sur les facteurs de conflits et l’importance et nécessité du SAP-PC pour les TAK/RSOC + autres organisations de jeunes et femmes</t>
  </si>
  <si>
    <t xml:space="preserve">ONG Ravintsara Grants pour les activités communautaires 
</t>
  </si>
  <si>
    <t>SIFAKA/Hirondelle pour les actions de sensibilisation MEDIA</t>
  </si>
  <si>
    <r>
      <t>Activité 1.1.3 :</t>
    </r>
    <r>
      <rPr>
        <sz val="11"/>
        <color rgb="FF000000"/>
        <rFont val="Arial"/>
        <family val="2"/>
      </rPr>
      <t xml:space="preserve"> </t>
    </r>
    <r>
      <rPr>
        <sz val="9"/>
        <color rgb="FF000000"/>
        <rFont val="Arial Narrow"/>
        <family val="2"/>
      </rPr>
      <t>Conduire des séances de formations générales pour les jeunes sur la consolidation de la paix, le SAP-PC (et le CCAP)</t>
    </r>
  </si>
  <si>
    <t>Action 1.1.3.1: Capitalisation des acquis nationaux/internationaux et élaboration d’outils/guide de formation d’un SAP-PC à travers un consultant qui va faire l’inventaire des outils existants et l’élaboration de draft d’outils/guide</t>
  </si>
  <si>
    <t xml:space="preserve">PNUD
</t>
  </si>
  <si>
    <t>Services Contractuels pour Ateliers</t>
  </si>
  <si>
    <t>Services Contracts pour Consultants</t>
  </si>
  <si>
    <t>Action 1.1.3.2: Atelier de restitution et de validation des outils/guide de formation générale d’un SAP-PC</t>
  </si>
  <si>
    <t>Consultant International</t>
  </si>
  <si>
    <t>Déplacements, matériels et fourniture</t>
  </si>
  <si>
    <t>Livrable :</t>
  </si>
  <si>
    <t>Action 1.1.3.3: Conduite de FdF pour les RSOD/TAD qui vont assurer la mise en œuvre du SAP-PC au niveau régions et districts et former/superviser les RSOC/TAK</t>
  </si>
  <si>
    <t>Services Contractuels pour Consultant formateur et Organisation des Ateliers</t>
  </si>
  <si>
    <t>Action 1.1.3.4. Evaluation des participants à la formation</t>
  </si>
  <si>
    <t>DE, CP, et RTO</t>
  </si>
  <si>
    <r>
      <t>Activité 1.4 :</t>
    </r>
    <r>
      <rPr>
        <sz val="11"/>
        <color rgb="FF000000"/>
        <rFont val="Arial"/>
        <family val="2"/>
      </rPr>
      <t xml:space="preserve"> </t>
    </r>
    <r>
      <rPr>
        <sz val="9"/>
        <color rgb="FF000000"/>
        <rFont val="Arial Narrow"/>
        <family val="2"/>
      </rPr>
      <t>Conduire des séances d’informations et de mobilisation des acteurs effectués par les jeunes au niveau district et au niveau régional</t>
    </r>
  </si>
  <si>
    <r>
      <t>Action 1.4.1:</t>
    </r>
    <r>
      <rPr>
        <sz val="11"/>
        <color rgb="FF000000"/>
        <rFont val="Arial"/>
        <family val="2"/>
      </rPr>
      <t xml:space="preserve"> </t>
    </r>
    <r>
      <rPr>
        <sz val="9"/>
        <color rgb="FF000000"/>
        <rFont val="Arial Narrow"/>
        <family val="2"/>
      </rPr>
      <t>Ateliers régionaux d’information et de mobilisation des acteurs régionaux avec les formations en cascade au niveau des régions pour les RSOC/TAK</t>
    </r>
  </si>
  <si>
    <t>Grants à Ravintsara pour les Ateliers avec les jeunes et acteurs régionaux</t>
  </si>
  <si>
    <t>Action 1.4.2: Restitution/émission media conjointe par les OSC/jeunes et les acteurs/décideurs sur la collaboration pour le déploiement du SAP-PC</t>
  </si>
  <si>
    <t>Grants Hirondelle/SIFAKA</t>
  </si>
  <si>
    <r>
      <t>Produit 1.2:</t>
    </r>
    <r>
      <rPr>
        <sz val="11"/>
        <color rgb="FF000000"/>
        <rFont val="Arial"/>
        <family val="2"/>
      </rPr>
      <t xml:space="preserve"> </t>
    </r>
    <r>
      <rPr>
        <b/>
        <sz val="8"/>
        <color rgb="FF000000"/>
        <rFont val="Arial"/>
        <family val="2"/>
      </rPr>
      <t>Les SAP-PC sont opérationnels au niveau de l’Observatoire</t>
    </r>
  </si>
  <si>
    <r>
      <t>Activité 1.2.1:</t>
    </r>
    <r>
      <rPr>
        <sz val="11"/>
        <color rgb="FF000000"/>
        <rFont val="Arial"/>
        <family val="2"/>
      </rPr>
      <t xml:space="preserve"> </t>
    </r>
    <r>
      <rPr>
        <sz val="9"/>
        <color rgb="FF000000"/>
        <rFont val="Arial Narrow"/>
        <family val="2"/>
      </rPr>
      <t>Organiser/répartir et déployer les jeunes observateurs avec les outils</t>
    </r>
  </si>
  <si>
    <t>Action 1.2.1.1: AMI  lancé auprès des participants/jeunes sensibilisés et ayant bénéficié des formations générales, sélection/recrutement et répartition des jeunes observateurs SAP-PC</t>
  </si>
  <si>
    <t>DE, CP, RTO et RMDJ</t>
  </si>
  <si>
    <t>Baseline:</t>
  </si>
  <si>
    <t>Indicators:</t>
  </si>
  <si>
    <t>Livrable :</t>
  </si>
  <si>
    <t>Action 1.2.1.2. Conception, préparation et élaboration des outils/guide de formation sur les outils et la méthodologie de mise en œuvre du SAP-PC</t>
  </si>
  <si>
    <t>DE, CP, RTO et RMDJ en appui au Consultant SAP-PC recruté par PNUD</t>
  </si>
  <si>
    <t>Targets:</t>
  </si>
  <si>
    <t>Action 1.2.1.3. Mise en œuvre de la formation des jeunes observateurs sélectionnés/recrutés</t>
  </si>
  <si>
    <t xml:space="preserve">Grants Via Ravintsara </t>
  </si>
  <si>
    <r>
      <t>Activité 1.2.2 :</t>
    </r>
    <r>
      <rPr>
        <sz val="11"/>
        <color rgb="FF000000"/>
        <rFont val="Arial"/>
        <family val="2"/>
      </rPr>
      <t xml:space="preserve"> </t>
    </r>
    <r>
      <rPr>
        <sz val="9"/>
        <color rgb="FF000000"/>
        <rFont val="Arial Narrow"/>
        <family val="2"/>
      </rPr>
      <t>Conduire et rapporter le SAP-PC</t>
    </r>
  </si>
  <si>
    <r>
      <t>Action 1.2.2.1:</t>
    </r>
    <r>
      <rPr>
        <sz val="11"/>
        <color rgb="FF000000"/>
        <rFont val="Arial"/>
        <family val="2"/>
      </rPr>
      <t xml:space="preserve"> </t>
    </r>
    <r>
      <rPr>
        <sz val="9"/>
        <color rgb="FF000000"/>
        <rFont val="Arial Narrow"/>
        <family val="2"/>
      </rPr>
      <t>Mise en place et opérationnalisation de la plateforme de signalements par des Numéro verts et réseaux sociaux</t>
    </r>
  </si>
  <si>
    <t>Grants Via Ravintsara + Matériels et équipements</t>
  </si>
  <si>
    <t>Action 1.2.2.2. Suivi-observation par les RSOD et RSOC des réalités sur terrain par rapport aux facteurs/risques de conflit.</t>
  </si>
  <si>
    <t>Action 1.2.2.3. Production et dissémination des rapports SAP-PC (Atelier/Réunions techniques de plaidoyer et concertation/mobilisation avec les autorités régionales/locales; Atelier semestriel de dissémination).</t>
  </si>
  <si>
    <t>DE, CP, RTO et RMDJ en appui des équipes de RAVINTSARA et des Consultants pour 122.</t>
  </si>
  <si>
    <r>
      <t>Activité 1.2.3 :</t>
    </r>
    <r>
      <rPr>
        <sz val="11"/>
        <color rgb="FF000000"/>
        <rFont val="Arial"/>
        <family val="2"/>
      </rPr>
      <t xml:space="preserve"> </t>
    </r>
    <r>
      <rPr>
        <sz val="9"/>
        <color rgb="FF000000"/>
        <rFont val="Arial Narrow"/>
        <family val="2"/>
      </rPr>
      <t>Mise en place et opérationnalisation de Cellules de veilles pour prendre les décisions/mesures de réponses par rapport au SAP-PC</t>
    </r>
  </si>
  <si>
    <t>Action 1.2.3.1. Atelier de mise en place des cellules de veille</t>
  </si>
  <si>
    <t xml:space="preserve">Action 1.2.3.2. Ateliers de réunions techniques </t>
  </si>
  <si>
    <t>DE, CP, RTO et RMDJ en appui des équipes de RAVINTSARA pour 1221 à 1223.</t>
  </si>
  <si>
    <t>Résultat 2 : Les jeunes sont engagés dans les contrôles citoyens des actions publiques (CCAP) en faveur de la paix.</t>
  </si>
  <si>
    <r>
      <t xml:space="preserve">Produit </t>
    </r>
    <r>
      <rPr>
        <b/>
        <i/>
        <sz val="10"/>
        <color rgb="FF000000"/>
        <rFont val="Arial"/>
        <family val="2"/>
      </rPr>
      <t>21. Thématiques des actions publiques à contrôler définies par les jeunes et les différents acteurs de développement</t>
    </r>
  </si>
  <si>
    <t>Activité 2.1.1: Organiser des ateliers de concertations régionales pour prioriser et valider les actions publiques.</t>
  </si>
  <si>
    <t>Action 2.1.1.1 : Approfondissement &amp; analyse des contextes à partir de revue documentaire complétée par des entrevues et réunions techniques avec les parties prenantes</t>
  </si>
  <si>
    <t>ONG IVORARY - Grants</t>
  </si>
  <si>
    <t>Action 2.1.1.2: Mobilisation des acteurs publics et communautaires cibles par les équipes régionales du projet et les Ministères (MJS et MPPSPF).</t>
  </si>
  <si>
    <t>Action 2.1.1.3: Préparation et conduite des ateliers de concertation dans les régions.</t>
  </si>
  <si>
    <r>
      <t>Activité 2.1.2:</t>
    </r>
    <r>
      <rPr>
        <sz val="11"/>
        <color rgb="FF000000"/>
        <rFont val="Arial"/>
        <family val="2"/>
      </rPr>
      <t xml:space="preserve"> </t>
    </r>
    <r>
      <rPr>
        <sz val="9"/>
        <color rgb="FF000000"/>
        <rFont val="Arial Narrow"/>
        <family val="2"/>
      </rPr>
      <t>Organiser des séances d’informations/formations et mobilisation des jeunes pour les CCAP</t>
    </r>
  </si>
  <si>
    <r>
      <t>Action 2.1.2.1:</t>
    </r>
    <r>
      <rPr>
        <sz val="11"/>
        <color rgb="FF000000"/>
        <rFont val="Arial"/>
        <family val="2"/>
      </rPr>
      <t xml:space="preserve"> </t>
    </r>
    <r>
      <rPr>
        <sz val="9"/>
        <color rgb="FF000000"/>
        <rFont val="Arial Narrow"/>
        <family val="2"/>
      </rPr>
      <t>Etablissement des matériels/outils d’informations pour les jeunes adaptés aux thématiques/contextes régionaux</t>
    </r>
  </si>
  <si>
    <t>Déplacements, fournitures, matériels des  DE, RTO, RCE, RMDJ (en appui à IVORARY)</t>
  </si>
  <si>
    <t>Action 2.1.2.2: Conduite de séances informations (Ateliers et/ou séances en ligne via les réseaux sociaux) pour les jeunes</t>
  </si>
  <si>
    <t>SIFAKA - Grants</t>
  </si>
  <si>
    <r>
      <t>Action 2.1.2.3:</t>
    </r>
    <r>
      <rPr>
        <sz val="11"/>
        <color rgb="FF000000"/>
        <rFont val="Arial"/>
        <family val="2"/>
      </rPr>
      <t xml:space="preserve"> </t>
    </r>
    <r>
      <rPr>
        <sz val="9"/>
        <color rgb="FF000000"/>
        <rFont val="Arial Narrow"/>
        <family val="2"/>
      </rPr>
      <t>Sensibilisation/Mobilisation communautaire et via les media pour l’engagement des OSC, citoyens/jeunes dans la mise en œuvre du CCAP</t>
    </r>
  </si>
  <si>
    <t xml:space="preserve">SIFAKA - Grants (Media)
</t>
  </si>
  <si>
    <t>IVORARY Grants (Activités Communautaires)</t>
  </si>
  <si>
    <r>
      <t xml:space="preserve">Produit 2.2. </t>
    </r>
    <r>
      <rPr>
        <b/>
        <i/>
        <sz val="10"/>
        <color rgb="FF000000"/>
        <rFont val="Arial"/>
        <family val="2"/>
      </rPr>
      <t xml:space="preserve">Contrôles citoyens des actions publiques mis en œuvre </t>
    </r>
  </si>
  <si>
    <t>Activité 2.2.1. Elaborer les outils/guide de formation de CCAP</t>
  </si>
  <si>
    <t>Action 2.2.1.1. Inventaire des outils existants au niveau national et international</t>
  </si>
  <si>
    <t xml:space="preserve">MSIS </t>
  </si>
  <si>
    <t>Services Contractuels (Consultant)</t>
  </si>
  <si>
    <t>Action 2.2.1.2. Atelier de capitalisation des acquis nationaux/internationaux notamment l’ECB  et le BQP  déjà appliqués et éprouvés par MSIS-Tatao</t>
  </si>
  <si>
    <t>Action 2.2.1.3. Elaboration des outils/guide Tafita  de formation d’un CCAP</t>
  </si>
  <si>
    <t>Action 2.2.1.4. Atelier de restitution et de validation des outils/guide de formation d’un CCAP</t>
  </si>
  <si>
    <t>Activité 2.2.2. Conduire des séances de formation pour les jeunes</t>
  </si>
  <si>
    <t xml:space="preserve">Action 2.2.2.1. Identification et sélection des participants/jeunes sensibilisés et ayant bénéficié des formations générales (A112), sélection/recrutement et répartition des jeunes observateurs CCAP </t>
  </si>
  <si>
    <t>Services Contract</t>
  </si>
  <si>
    <t>Action 2.2.2.2. Conception, préparation et élaboration des outils/guide de formation sur les outils et la méthodologie de mise en œuvre du Tafita/CCAP</t>
  </si>
  <si>
    <t>Services Contracts</t>
  </si>
  <si>
    <t>Action 2.2.2.3. Mise en œuvre de la formation des jeunes observateurs sélectionnés/recrutés</t>
  </si>
  <si>
    <t>Grants SAFIDY</t>
  </si>
  <si>
    <t>Activité 2.2.3. Organiser et accompagner les jeunes dans les CCAP et diffuser les résultats</t>
  </si>
  <si>
    <t>Action 2.2.3.1. Mise en place de centre d’appel et opérationnalisation à travers l’engagement des jeunes Agents/Superviseurs d’appel. Ce sont les RSOAP et les Représentants des prestataires/autorités délivrant les services publics qui sont appelés</t>
  </si>
  <si>
    <t>Action 2.2.3.2. Suivi-observation par les RSOAP-Tafita des réalités dans la mise en œuvre des prestations au niveau des services/actions publiques dans les districts/communes par rapport aux risques de conflit et production et dissémination des rapports (Atelier semestriel de dissémination)</t>
  </si>
  <si>
    <t>Action 2.2.3.3. Organisation d’ateliers et de réunions techniques de plaidoyer auprès des autorités régionales/locales</t>
  </si>
  <si>
    <t>Services Contractuels &amp; Déplacements</t>
  </si>
  <si>
    <t xml:space="preserve">Activité 224. Elaborer, suivre et appuyer la mise en œuvre par les jeunes et les Institutions partenaires des plans de renforcement des capacités suite aux résultats de CCAP </t>
  </si>
  <si>
    <t>Action 2.2.4.1. Atelier d’élaboration de plans de renforcement des capacités par les Institutions/autorités et les bénéficiaires/jeunes pour amélioration continue des actions publiques en faveur de la consolidation de la paix.</t>
  </si>
  <si>
    <t>Services Contractuels, Déplacements, Fournitures et matériels</t>
  </si>
  <si>
    <t>Action 2.2.4.2. Mise en place de Comité et suivi conjoint (Autorités/Institutions et OSC/jeunes) de  la mise en œuvre des activités des plans de renforcement des capacités (Certains activités seraient appuyées dans les projets de plaidoyers ou d’actions communautaires des Produits 3.1 et 3.2)</t>
  </si>
  <si>
    <t>Résultat 3 : Les plaidoyers, recours et actions de réponses aux risques de conflits portés et mis en œuvre par les jeunes en collaboration avec les acteurs communautaires sont renforcés</t>
  </si>
  <si>
    <t>Produit 31. Campagnes de plaidoyers et recours faits par les jeunes considérés par les autorités/décideurs</t>
  </si>
  <si>
    <t>Activité 3.1.1. Elaborer de guide/outils et conduire des formations en plaidoyers et recours pour les jeunes</t>
  </si>
  <si>
    <t xml:space="preserve">Action 311.1. Conception et élaboration des guides / outils, conduite d’un atelier de validation de guide de plaidoyer et de recours en capitalisant le guide des plaidoyers déjà disponible auprès du MJS </t>
  </si>
  <si>
    <t>Intl consultant (même équipe que pour étude P1.1)</t>
  </si>
  <si>
    <t>Equipements, Forunitures, Déplacements</t>
  </si>
  <si>
    <t>Action 311.2. Elaboration des outils, plans et curricula de formation à partir du guide élaboré</t>
  </si>
  <si>
    <t>Action 311.3. Conduite des formations en plaidoyer et recours incluant l’élaboration des plans de plaidoyer et évaluation des formations y compris une communication, présentations dans le médias</t>
  </si>
  <si>
    <t>Sifaka via Grants pour communication média</t>
  </si>
  <si>
    <t xml:space="preserve">Activité 3.1.2. Accompagner la mise en œuvre des campagnes de plaidoyers des jeunes </t>
  </si>
  <si>
    <t>Action 3.1.2.1. Mise en œuvre de plans de plaidoyer par les jeunes notamment à travers la planification et l’organisation de dialogues avec les autorités/décideurs</t>
  </si>
  <si>
    <t>AVG via  Grants</t>
  </si>
  <si>
    <t>Sifaka grants</t>
  </si>
  <si>
    <t>Action 3.1.2.2. Accompagnement, encadrement, coaching et suivi des campagnes de plaidoyer des jeunes</t>
  </si>
  <si>
    <t xml:space="preserve">AVG via  Grants </t>
  </si>
  <si>
    <t>Activité 313. Accompagner les jeunes à déposer des recours auprès des Institutions</t>
  </si>
  <si>
    <t xml:space="preserve">Action 313.1. Appui des jeunes dans la rédaction et dépôt de recours selon le guide et avec l’appui de juristes partenaires (Avocats ou Magistrats bénévoles) </t>
  </si>
  <si>
    <t>Action 313.2. Suivi des recours faits par les jeunes auprès des autorités/décideurs compétents.</t>
  </si>
  <si>
    <t>Activité 314. Appuyer les Institutions/Acteurs concernés à mieux traiter et répondre aux plaidoyers et recours faits par les jeunes</t>
  </si>
  <si>
    <t xml:space="preserve">Action 314.1. Organiser un Atelier avec les Institutions/Acteurs pour définir les mesures et outils de communication, de traitement des plaidoyers/recours faits par les jeunes (y compris la mise en place d’espaces/instances de participation des OSC/Jeunes)  </t>
  </si>
  <si>
    <t>Services Contractuel (Infographiste)</t>
  </si>
  <si>
    <t>Action 314.2. Organiser des dialogues réguliers entre les autorités/décideurs et les OSC/jeunes</t>
  </si>
  <si>
    <t>Sifaka : Grnats (organisation de débats publics)</t>
  </si>
  <si>
    <t>Activité 315. Opérationnaliser le mécanisme de protection des jeunes LA et défenseurs de la paix.</t>
  </si>
  <si>
    <t xml:space="preserve">Action 315.1. Renforcer le leadership, le réseautage &amp; la visibilité des jeunes LA et défenseurs de la paix </t>
  </si>
  <si>
    <t>AVG Grants</t>
  </si>
  <si>
    <t>Action 315.2. Renforcer l’accompagnement juridique des Jeunes LA et DDP à travers l’appui des juristes partenaires</t>
  </si>
  <si>
    <t xml:space="preserve">Action 315.3. Mettre en œuvre des actions d’accompagnement et de prise en charge socio-économique des JLA/DDP (compensation de pertes de revenus, accompagnement psycho-sociale, prise en charge sanitaire)  </t>
  </si>
  <si>
    <t>Activité 321.Conduire des formations pour les jeunes et les acteurs partenaires dans l’élaboration de projets pour adresser les recommandations des SAP-PC et CCAP</t>
  </si>
  <si>
    <t>Action 321.1. Elaboration des outils, plans et curricula de formation en leadership, développement et gestion de projet</t>
  </si>
  <si>
    <t>Service Contracts (Consultant)</t>
  </si>
  <si>
    <t>Action 321.2. Conduite des formations en leadership, développement et gestion de projet et évaluation des formations.</t>
  </si>
  <si>
    <t xml:space="preserve">
Services Contract (Consultants) et
ONG AIM Grants</t>
  </si>
  <si>
    <t>Services contracts (Assist Plaidoyer), Equipements, Fournitures</t>
  </si>
  <si>
    <t>Activité 322. Fournir des subventions, superviser/suivre les projets de prévention/résolution de conflits réalisés par les jeunes notamment ceux facilitant les interactions comme leur engagement dans structures/mécanismes de concertations, les échanges à travers des événements sportifs/Culturels, l’inclusion par la protection des jeunes victimes/à risques des conflits, ou des JLA, etc.</t>
  </si>
  <si>
    <t>Action 322.1. Sélection et accompagnement du montage des projets</t>
  </si>
  <si>
    <t>AIM via Grants</t>
  </si>
  <si>
    <t>Action 322. Suivi et Accompagnement de la mise en œuvre des projets</t>
  </si>
  <si>
    <t>AIM via Grants/
Réseaux jeunes TATAO grants</t>
  </si>
  <si>
    <t>A323. Organiser des visites-échanges entre les jeunes qui participent dans les mécanismes SAP-PC, CCAP et mettant en œuvre des projets de prévention des conflits.</t>
  </si>
  <si>
    <t>Activités du projet R1, R2, R3</t>
  </si>
  <si>
    <t>Gestion du Projet</t>
  </si>
  <si>
    <t>Charges de fonctionnement :</t>
  </si>
  <si>
    <t>Cout de personnel du projet si pas inclus dans les activités ci-dessus</t>
  </si>
  <si>
    <t>Salaire staff, DPC, Charges locatives, Admin fourniture et matériel de bureau, équipement informatique, etc…</t>
  </si>
  <si>
    <t>Couts opérationnels si pas inclus dans les activités ci-dessus</t>
  </si>
  <si>
    <t>72100 - Contractual Services</t>
  </si>
  <si>
    <t xml:space="preserve">Indicateurs : </t>
  </si>
  <si>
    <t>(i) Taux de décaissement.                                         Cible : 100%                                                                 (ii) Rating de l'audit du projet.                                      Cible : Satisfaisant.                                    (iii) Disponibilité des rapports périodiques du projet.                                   Cibles : 04 Rapports Trimestriels d’Avancement (RTA) et 01 rapport annuel narratif</t>
  </si>
  <si>
    <t>(iv) Disponibilité Rapport évaluation finale (si planifiée)</t>
  </si>
  <si>
    <t>Comités de pilotage/</t>
  </si>
  <si>
    <t>Comités de pilotage</t>
  </si>
  <si>
    <t>Cible : 01 Rapport Evaluation finale du projet</t>
  </si>
  <si>
    <t>Suivi des résultats du PTA 2020</t>
  </si>
  <si>
    <t xml:space="preserve">Missions conjointes de suivi </t>
  </si>
  <si>
    <t>Déplacements</t>
  </si>
  <si>
    <t>Evaluation du projet (si planifiée)</t>
  </si>
  <si>
    <t>Recrutement consultants</t>
  </si>
  <si>
    <t>Atelier de validation du Rapport de l’évaluation</t>
  </si>
  <si>
    <t>TOTAL PNUD</t>
  </si>
  <si>
    <t>TOTAL MSIS TATAO</t>
  </si>
  <si>
    <t>Niveau de depense actuel en USD  -PNUD</t>
  </si>
  <si>
    <t>RAPPORT OBSMADA PAR CATEGORIE BUDGETAIRE_2e semetre 2022</t>
  </si>
  <si>
    <t>GMS 5,351 USD du cote PNUD</t>
  </si>
  <si>
    <t>GMS</t>
  </si>
  <si>
    <t>1ère tranche du Grants RPA Ravintsara</t>
  </si>
  <si>
    <t>Consultants en SAP-PC, conflict scan et mission de suivi formation en cascade à Fianarantsoa, coûts de formation des formateurs et formation en cascade des RSOD et RSOC dans les 6 provinces</t>
  </si>
  <si>
    <t>2ème tranche Grants RPA RAVINTSARA</t>
  </si>
  <si>
    <t>2ème tranche Grants RPA RAVINTSARA + 1ère tranche Grants LVG HIRONDELLE / SIFAKA</t>
  </si>
  <si>
    <t>Grants LVG ONG IVORARY</t>
  </si>
  <si>
    <t xml:space="preserve">Grants LVG IVORARY et SIFAKA / HIRONDELLE </t>
  </si>
  <si>
    <t>Consultants nationaux + formation en plaidoyer Mellis + Grants SIFAKA</t>
  </si>
  <si>
    <t>Grants AVG + FH SIFAKA</t>
  </si>
  <si>
    <t>Grants AVG</t>
  </si>
  <si>
    <t xml:space="preserve"> Formation en leadership et gestion des projets + Duplication outils + une partie Grants AIM</t>
  </si>
  <si>
    <t>Budget initial PNUD</t>
  </si>
  <si>
    <t>Virement 1ere &amp; 2e tranche</t>
  </si>
  <si>
    <t>PNUD (Budget revise en USD)</t>
  </si>
  <si>
    <t>PNUD (Budget initial en USD)</t>
  </si>
  <si>
    <t>PNUD
(budget revise en USD)</t>
  </si>
  <si>
    <t>MSIS-tatao
(budget revise en USD)</t>
  </si>
  <si>
    <t>GMS 1,441 USD du cote PNUD</t>
  </si>
  <si>
    <t>GMS 10,399USD du cote de PNUD</t>
  </si>
  <si>
    <t>GMS 8,769 USD du cote PNUD</t>
  </si>
  <si>
    <t>GMS 1,2101 USD du cote de PNUD</t>
  </si>
  <si>
    <t>GMS 9,381 USD du cote PNUD</t>
  </si>
  <si>
    <t>GMS 1,342 USD du cote PNUD</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</si>
  <si>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</si>
  <si>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</si>
  <si>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r>
      <t xml:space="preserve">Note: Le PBF n'accepte pas les projets avec moins de 5% pour le S&amp;E et moins 15% pour le GEWE. Ces chiffres apparaîtront </t>
    </r>
    <r>
      <rPr>
        <sz val="11"/>
        <color theme="1"/>
        <rFont val="Calibri"/>
        <family val="2"/>
        <scheme val="minor"/>
      </rPr>
      <t>en rouge si ce seuil minimum n'est pas atteint.</t>
    </r>
  </si>
  <si>
    <t>TABLEAU RECAPITULATIF RAPPORT FINANCIER PAR PRODUIT PROJET OBSMADA 2e Semetre 2022</t>
  </si>
  <si>
    <t>Virement de la 1ere et 2e tranche</t>
  </si>
  <si>
    <t>RAPPORT FINANCIER OBSMADA PAR CATEGORIE BUDGETAIRE - 2e SEMESTRE 2022</t>
  </si>
  <si>
    <t>RAPPORT FINANCIER OBSMADA 2e SEMESTRE 2022</t>
  </si>
  <si>
    <t xml:space="preserve">une partie Grants </t>
  </si>
  <si>
    <t>Grants AIM + frais de suivi PNUD</t>
  </si>
  <si>
    <t xml:space="preserve">La hausse de dépenses au niveau MSIS Tatao est justifiée par le nombre de missions sur terrain en mois de juillet et aout 2022. En effet, afin de mieux rattraper le retard enregistré dans la mise en oeuvre, tenant compte des contraintes administratifs et financiers des partenaires de mise en oeuvre, nous avions été contraint de réaliser des missions combinés ce qui a impacter sur la durée des missions. Et les frais de location de voiture et les frais de déplacement des participants ont beaucoup augmenté dûs à l'inflation. </t>
  </si>
  <si>
    <t>Les dépenses de fonctionnement et les frais de déplacement des staff en mission dans les zones éloignés (Sambava- Fort Dauphin) par vol ont augmenté les dépenses en période de 2e trimestre. Nous avions également priorisé l'implication des membre du Comité de projet (entité ministère) pour faire partie des mission de suivi.</t>
  </si>
  <si>
    <t xml:space="preserve">Dépenses MSIS Tatao : Dépassement  justifié par la combinaison de certaines missions lesquelles nécessitant des locations de voitures. Le coût des carburants des location de voiture a connu une augmentation. </t>
  </si>
  <si>
    <t>Commentaires / Justifications</t>
  </si>
  <si>
    <t xml:space="preserve">Le dépassement est dû au changement d'approche dans la formation des jeunes RSOD et RSOC. Le coût d'organisation des ateliers lié au regroupement de 543 RSOD et RSOC est plus élevé que ce qui a été prévu : les besoins ont augmenté pour l'organisation de 6 ateliers (hébergement, repas et pause café pour 543 participants x 3 jours) si la prévision initiale était seulement pour 100 participants.
</t>
  </si>
  <si>
    <t xml:space="preserve">Pour le cas du PNUD, à part l'augmentation des coûts de 6 ateliers pour la formation de 543 jeunes, les coûts de 2 consultants : experts en analyse de conflit et en SAP-PC ont été enregistrés sur la même ligne budgétaire alors que dans la prévision, le coût du consultant en SAP-PC a été prévu sur le produit 1.2. </t>
  </si>
  <si>
    <t>Les coûts élevés de la formation des jeunes RSOD et RSOC sur le SAP-PC ont épuisé les ressources disponibles sur l'Activité 1.1.3 et nous ont contraints à transférer plus de fonds que prévus à l'ONG Partenaire sur la ligne 1.1.4.</t>
  </si>
  <si>
    <t>Dépassement justifié par le nombre plus important des jeunes participants à l'atelier de formation national en plaidoyer et leadership (74 jeunes formés au lieu de 30 prévus initialement) et l'augmentation des coûts y afférents : frais de déplacement, DSA et frais de restauration pour 46 jeunes issus de 23 régions + les 28 participants issus des OSC nationales membres de l'Observatoire SAFIDY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</si>
</sst>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 #,##0_-;_-* &quot;-&quot;_-;_-@_-"/>
    <numFmt numFmtId="43" formatCode="_-* #,##0.00_-;\-* #,##0.00_-;_-* &quot;-&quot;??_-;_-@_-"/>
    <numFmt numFmtId="164" formatCode="_-* #,##0.00\ _€_-;\-* #,##0.00\ _€_-;_-* &quot;-&quot;??\ _€_-;_-@_-"/>
    <numFmt numFmtId="165" formatCode="_(&quot;$&quot;* #,##0.00_);_(&quot;$&quot;* \(#,##0.00\);_(&quot;$&quot;* &quot;-&quot;??_);_(@_)"/>
    <numFmt numFmtId="166" formatCode="_(* #,##0.00_);_(* \(#,##0.00\);_(* &quot;-&quot;??_);_(@_)"/>
    <numFmt numFmtId="167" formatCode="_-* #,##0_-;\-* #,##0_-;_-* &quot;-&quot;??_-;_-@_-"/>
    <numFmt numFmtId="168" formatCode="_-* #,##0.0_-;\-* #,##0.0_-;_-* &quot;-&quot;??_-;_-@_-"/>
    <numFmt numFmtId="169" formatCode="#,##0.0"/>
    <numFmt numFmtId="170" formatCode="_-* #,##0\ _€_-;\-* #,##0\ _€_-;_-* &quot;-&quot;??\ _€_-;_-@_-"/>
    <numFmt numFmtId="171" formatCode="_-* #,##0.00000_-;\-* #,##0.00000_-;_-* &quot;-&quot;??_-;_-@_-"/>
    <numFmt numFmtId="172" formatCode="_-* #,##0.00000\ _€_-;\-* #,##0.00000\ _€_-;_-* &quot;-&quot;??\ _€_-;_-@_-"/>
    <numFmt numFmtId="173" formatCode="_(&quot;$&quot;* #,##0_);_(&quot;$&quot;* \(#,##0\);_(&quot;$&quot;* &quot;-&quot;??_);_(@_)"/>
    <numFmt numFmtId="174" formatCode="_-* #,##0.00\ _A_r_-;\-* #,##0.00\ _A_r_-;_-* &quot;-&quot;??\ _A_r_-;_-@_-"/>
    <numFmt numFmtId="175" formatCode="_-* #,##0.00\ _F_-;\-* #,##0.00\ _F_-;_-* &quot;-&quot;??\ _F_-;_-@_-"/>
    <numFmt numFmtId="176" formatCode="_-* #,##0.00\ _F_B_-;\-* #,##0.00\ _F_B_-;_-* &quot;-&quot;??\ _F_B_-;_-@_-"/>
    <numFmt numFmtId="177" formatCode="000000"/>
  </numFmts>
  <fonts count="77" x14ac:knownFonts="1">
    <font>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sz val="11"/>
      <color rgb="FFFF0000"/>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4"/>
      <color theme="1"/>
      <name val="Calibri"/>
      <family val="2"/>
      <scheme val="minor"/>
    </font>
    <font>
      <b/>
      <sz val="10"/>
      <color theme="1"/>
      <name val="Calibri"/>
      <family val="2"/>
      <scheme val="minor"/>
    </font>
    <font>
      <sz val="10"/>
      <color theme="1"/>
      <name val="Arial"/>
      <family val="2"/>
    </font>
    <font>
      <b/>
      <sz val="10"/>
      <color theme="1"/>
      <name val="Arial"/>
      <family val="2"/>
    </font>
    <font>
      <b/>
      <sz val="14"/>
      <color theme="1"/>
      <name val="Times New Roman"/>
      <family val="1"/>
    </font>
    <font>
      <b/>
      <sz val="12"/>
      <color theme="1"/>
      <name val="Times New Roman"/>
      <family val="1"/>
    </font>
    <font>
      <sz val="10"/>
      <color rgb="FF000000"/>
      <name val="Arial"/>
      <family val="2"/>
    </font>
    <font>
      <u/>
      <sz val="10"/>
      <color theme="10"/>
      <name val="Calibri"/>
      <family val="2"/>
      <scheme val="minor"/>
    </font>
    <font>
      <b/>
      <sz val="12"/>
      <color indexed="8"/>
      <name val="Times New Roman"/>
      <family val="1"/>
    </font>
    <font>
      <sz val="10"/>
      <color rgb="FFFF0000"/>
      <name val="Arial"/>
      <family val="2"/>
    </font>
    <font>
      <b/>
      <sz val="18"/>
      <color rgb="FFFF0000"/>
      <name val="Arial"/>
      <family val="2"/>
    </font>
    <font>
      <b/>
      <sz val="12"/>
      <color theme="1"/>
      <name val="Arial"/>
      <family val="2"/>
    </font>
    <font>
      <sz val="12"/>
      <color rgb="FF000000"/>
      <name val="Times New Roman"/>
      <family val="1"/>
    </font>
    <font>
      <b/>
      <sz val="12"/>
      <color rgb="FF000000"/>
      <name val="Times New Roman"/>
      <family val="1"/>
    </font>
    <font>
      <b/>
      <sz val="12"/>
      <color rgb="FFFF0000"/>
      <name val="Arial"/>
      <family val="2"/>
    </font>
    <font>
      <b/>
      <sz val="14"/>
      <color rgb="FFFF0000"/>
      <name val="Arial"/>
      <family val="2"/>
    </font>
    <font>
      <sz val="14"/>
      <color theme="1"/>
      <name val="Calibri"/>
      <family val="2"/>
    </font>
    <font>
      <sz val="14"/>
      <color theme="1"/>
      <name val="Arial"/>
      <family val="2"/>
    </font>
    <font>
      <b/>
      <sz val="14"/>
      <color theme="1"/>
      <name val="Arial"/>
      <family val="2"/>
    </font>
    <font>
      <sz val="11"/>
      <color theme="1"/>
      <name val="Arial"/>
      <family val="2"/>
    </font>
    <font>
      <sz val="10"/>
      <name val="Arial"/>
      <family val="2"/>
    </font>
    <font>
      <sz val="11"/>
      <name val="Calibri"/>
      <family val="2"/>
    </font>
    <font>
      <b/>
      <sz val="11"/>
      <color rgb="FF000000"/>
      <name val="Calibri"/>
      <family val="2"/>
    </font>
    <font>
      <sz val="11"/>
      <color rgb="FF000000"/>
      <name val="Calibri"/>
      <family val="2"/>
    </font>
    <font>
      <b/>
      <sz val="11"/>
      <color theme="1"/>
      <name val="Arial Narrow"/>
      <family val="2"/>
    </font>
    <font>
      <b/>
      <sz val="12"/>
      <color rgb="FF002060"/>
      <name val="Calibri"/>
      <family val="2"/>
      <scheme val="minor"/>
    </font>
    <font>
      <sz val="12"/>
      <color rgb="FF000000"/>
      <name val="Calibri"/>
      <family val="2"/>
    </font>
    <font>
      <b/>
      <sz val="12"/>
      <color rgb="FF000000"/>
      <name val="Calibri"/>
      <family val="2"/>
    </font>
    <font>
      <sz val="11"/>
      <color theme="1"/>
      <name val="Calibri"/>
      <family val="2"/>
    </font>
    <font>
      <sz val="12"/>
      <name val="Calibri"/>
      <family val="2"/>
    </font>
    <font>
      <b/>
      <sz val="9"/>
      <color rgb="FF000000"/>
      <name val="Arial"/>
      <family val="2"/>
    </font>
    <font>
      <i/>
      <sz val="9"/>
      <color rgb="FF000000"/>
      <name val="Arial Narrow"/>
      <family val="2"/>
    </font>
    <font>
      <i/>
      <sz val="8"/>
      <color rgb="FF000000"/>
      <name val="Arial"/>
      <family val="2"/>
    </font>
    <font>
      <sz val="8"/>
      <color rgb="FF000000"/>
      <name val="Arial"/>
      <family val="2"/>
    </font>
    <font>
      <sz val="9"/>
      <color rgb="FF000000"/>
      <name val="Arial"/>
      <family val="2"/>
    </font>
    <font>
      <sz val="11"/>
      <color rgb="FF000000"/>
      <name val="Arial"/>
      <family val="2"/>
    </font>
    <font>
      <b/>
      <sz val="11"/>
      <color rgb="FF000000"/>
      <name val="Arial"/>
      <family val="2"/>
    </font>
    <font>
      <b/>
      <sz val="8"/>
      <color rgb="FF000000"/>
      <name val="Arial"/>
      <family val="2"/>
    </font>
    <font>
      <sz val="9"/>
      <color rgb="FF000000"/>
      <name val="Arial Narrow"/>
      <family val="2"/>
    </font>
    <font>
      <sz val="11"/>
      <color rgb="FF000000"/>
      <name val="Arial Narrow"/>
      <family val="2"/>
    </font>
    <font>
      <b/>
      <i/>
      <sz val="10"/>
      <color rgb="FF000000"/>
      <name val="Arial"/>
      <family val="2"/>
    </font>
    <font>
      <b/>
      <sz val="11"/>
      <color rgb="FF000000"/>
      <name val="Arial Narrow"/>
      <family val="2"/>
    </font>
    <font>
      <b/>
      <i/>
      <sz val="10"/>
      <color rgb="FF000000"/>
      <name val="Arial Narrow"/>
      <family val="2"/>
    </font>
    <font>
      <b/>
      <sz val="10"/>
      <color rgb="FF000000"/>
      <name val="Arial"/>
      <family val="2"/>
    </font>
    <font>
      <b/>
      <sz val="9"/>
      <color rgb="FF000000"/>
      <name val="Arial Narrow"/>
      <family val="2"/>
    </font>
    <font>
      <sz val="8"/>
      <color rgb="FF000000"/>
      <name val="Arial Narrow"/>
      <family val="2"/>
    </font>
    <font>
      <sz val="11"/>
      <color rgb="FFFF0000"/>
      <name val="Calibri"/>
      <family val="2"/>
    </font>
    <font>
      <sz val="12"/>
      <name val="Calibri"/>
      <family val="2"/>
      <scheme val="minor"/>
    </font>
    <font>
      <sz val="12"/>
      <color rgb="FFFF0000"/>
      <name val="Calibri"/>
      <family val="2"/>
      <scheme val="minor"/>
    </font>
    <font>
      <b/>
      <sz val="12"/>
      <name val="Calibri"/>
      <family val="2"/>
      <scheme val="minor"/>
    </font>
    <font>
      <b/>
      <sz val="12"/>
      <color rgb="FF002060"/>
      <name val="Calibri"/>
      <family val="2"/>
    </font>
    <font>
      <sz val="12"/>
      <color rgb="FF002060"/>
      <name val="Calibri"/>
      <family val="2"/>
    </font>
    <font>
      <sz val="11"/>
      <color indexed="8"/>
      <name val="Calibri"/>
      <family val="2"/>
    </font>
    <font>
      <sz val="12"/>
      <color indexed="8"/>
      <name val="Verdana"/>
      <family val="2"/>
    </font>
    <font>
      <sz val="16"/>
      <color rgb="FF000000"/>
      <name val="Calibri"/>
      <family val="2"/>
    </font>
    <font>
      <b/>
      <sz val="16"/>
      <color rgb="FF000000"/>
      <name val="Calibri"/>
      <family val="2"/>
    </font>
    <font>
      <sz val="14"/>
      <color theme="1"/>
      <name val="Calibri"/>
      <family val="2"/>
      <scheme val="minor"/>
    </font>
    <font>
      <sz val="12"/>
      <color rgb="FFFF0000"/>
      <name val="Calibri"/>
      <family val="2"/>
    </font>
    <font>
      <sz val="11"/>
      <color theme="1"/>
      <name val="Times New Roman"/>
      <family val="1"/>
    </font>
    <font>
      <b/>
      <sz val="11"/>
      <name val="Calibri"/>
      <family val="2"/>
      <scheme val="minor"/>
    </font>
    <font>
      <b/>
      <sz val="12"/>
      <name val="Calibri"/>
      <family val="2"/>
    </font>
    <font>
      <b/>
      <sz val="18"/>
      <color theme="1"/>
      <name val="Calibri"/>
      <family val="2"/>
      <scheme val="minor"/>
    </font>
  </fonts>
  <fills count="3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6" tint="0.59999389629810485"/>
        <bgColor indexed="64"/>
      </patternFill>
    </fill>
    <fill>
      <patternFill patternType="solid">
        <fgColor rgb="FF6699FF"/>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theme="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FFFF"/>
        <bgColor rgb="FF000000"/>
      </patternFill>
    </fill>
    <fill>
      <patternFill patternType="solid">
        <fgColor rgb="FFD9D9D9"/>
        <bgColor rgb="FF000000"/>
      </patternFill>
    </fill>
    <fill>
      <patternFill patternType="solid">
        <fgColor rgb="FFD0CECE"/>
        <bgColor rgb="FF000000"/>
      </patternFill>
    </fill>
    <fill>
      <patternFill patternType="solid">
        <fgColor rgb="FFE2EFDA"/>
        <bgColor rgb="FF000000"/>
      </patternFill>
    </fill>
    <fill>
      <patternFill patternType="solid">
        <fgColor rgb="FFDDEBF7"/>
        <bgColor rgb="FF000000"/>
      </patternFill>
    </fill>
    <fill>
      <patternFill patternType="solid">
        <fgColor theme="0" tint="-0.249977111117893"/>
        <bgColor rgb="FF000000"/>
      </patternFill>
    </fill>
    <fill>
      <patternFill patternType="solid">
        <fgColor rgb="FFFFFF99"/>
        <bgColor rgb="FFFFFF99"/>
      </patternFill>
    </fill>
    <fill>
      <patternFill patternType="solid">
        <fgColor theme="0" tint="-0.34998626667073579"/>
        <bgColor rgb="FFCCCCCC"/>
      </patternFill>
    </fill>
    <fill>
      <patternFill patternType="solid">
        <fgColor rgb="FFCCCCCC"/>
        <bgColor rgb="FFCCCCCC"/>
      </patternFill>
    </fill>
    <fill>
      <patternFill patternType="solid">
        <fgColor rgb="FFBDD6EE"/>
        <bgColor rgb="FFBDD6EE"/>
      </patternFill>
    </fill>
    <fill>
      <patternFill patternType="solid">
        <fgColor rgb="FFFFFFFF"/>
        <bgColor rgb="FFFFFFFF"/>
      </patternFill>
    </fill>
    <fill>
      <patternFill patternType="solid">
        <fgColor theme="0" tint="-0.249977111117893"/>
        <bgColor rgb="FF808080"/>
      </patternFill>
    </fill>
    <fill>
      <patternFill patternType="solid">
        <fgColor rgb="FFA6A6A6"/>
        <bgColor rgb="FFA6A6A6"/>
      </patternFill>
    </fill>
    <fill>
      <patternFill patternType="solid">
        <fgColor theme="0"/>
        <bgColor rgb="FF808080"/>
      </patternFill>
    </fill>
    <fill>
      <patternFill patternType="solid">
        <fgColor theme="9" tint="0.79998168889431442"/>
        <bgColor indexed="64"/>
      </patternFill>
    </fill>
    <fill>
      <patternFill patternType="solid">
        <fgColor rgb="FFFFFF00"/>
        <bgColor indexed="64"/>
      </patternFill>
    </fill>
  </fills>
  <borders count="9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medium">
        <color rgb="FF000000"/>
      </left>
      <right style="medium">
        <color rgb="FF000000"/>
      </right>
      <top/>
      <bottom/>
      <diagonal/>
    </border>
    <border>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rgb="FF000000"/>
      </right>
      <top style="medium">
        <color rgb="FF000000"/>
      </top>
      <bottom/>
      <diagonal/>
    </border>
    <border>
      <left style="medium">
        <color indexed="64"/>
      </left>
      <right style="medium">
        <color indexed="64"/>
      </right>
      <top/>
      <bottom style="medium">
        <color indexed="64"/>
      </bottom>
      <diagonal/>
    </border>
    <border>
      <left style="medium">
        <color indexed="64"/>
      </left>
      <right style="medium">
        <color rgb="FF000000"/>
      </right>
      <top/>
      <bottom style="medium">
        <color rgb="FF000000"/>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indexed="64"/>
      </bottom>
      <diagonal/>
    </border>
    <border>
      <left/>
      <right/>
      <top/>
      <bottom style="medium">
        <color rgb="FF000000"/>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diagonal/>
    </border>
    <border>
      <left style="medium">
        <color rgb="FF000000"/>
      </left>
      <right/>
      <top/>
      <bottom/>
      <diagonal/>
    </border>
    <border>
      <left style="medium">
        <color indexed="64"/>
      </left>
      <right style="medium">
        <color indexed="64"/>
      </right>
      <top/>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medium">
        <color rgb="FF000000"/>
      </left>
      <right style="medium">
        <color rgb="FF000000"/>
      </right>
      <top style="medium">
        <color indexed="64"/>
      </top>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s>
  <cellStyleXfs count="43">
    <xf numFmtId="0" fontId="0" fillId="0" borderId="0"/>
    <xf numFmtId="165" fontId="5" fillId="0" borderId="0" applyFont="0" applyFill="0" applyBorder="0" applyAlignment="0" applyProtection="0"/>
    <xf numFmtId="9" fontId="5" fillId="0" borderId="0" applyFont="0" applyFill="0" applyBorder="0" applyAlignment="0" applyProtection="0"/>
    <xf numFmtId="0" fontId="1" fillId="0" borderId="0"/>
    <xf numFmtId="43" fontId="1" fillId="0" borderId="0" applyFont="0" applyFill="0" applyBorder="0" applyAlignment="0" applyProtection="0"/>
    <xf numFmtId="0" fontId="22" fillId="0" borderId="0" applyNumberFormat="0" applyFill="0" applyBorder="0" applyAlignment="0" applyProtection="0"/>
    <xf numFmtId="164" fontId="5" fillId="0" borderId="0" applyFont="0" applyFill="0" applyBorder="0" applyAlignment="0" applyProtection="0"/>
    <xf numFmtId="0" fontId="38" fillId="0" borderId="0"/>
    <xf numFmtId="165" fontId="5" fillId="0" borderId="0" applyFont="0" applyFill="0" applyBorder="0" applyAlignment="0" applyProtection="0"/>
    <xf numFmtId="0" fontId="35" fillId="0" borderId="0"/>
    <xf numFmtId="0" fontId="50" fillId="0" borderId="0"/>
    <xf numFmtId="41" fontId="5" fillId="0" borderId="0" applyFont="0" applyFill="0" applyBorder="0" applyAlignment="0" applyProtection="0"/>
    <xf numFmtId="0" fontId="35" fillId="0" borderId="0"/>
    <xf numFmtId="43" fontId="35" fillId="0" borderId="0" applyFont="0" applyFill="0" applyBorder="0" applyAlignment="0" applyProtection="0"/>
    <xf numFmtId="41" fontId="5"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 fillId="0" borderId="0"/>
    <xf numFmtId="164" fontId="5" fillId="0" borderId="0" applyFont="0" applyFill="0" applyBorder="0" applyAlignment="0" applyProtection="0"/>
    <xf numFmtId="9" fontId="50" fillId="0" borderId="0" applyFont="0" applyFill="0" applyBorder="0" applyAlignment="0" applyProtection="0"/>
    <xf numFmtId="175" fontId="35" fillId="0" borderId="0" applyFont="0" applyFill="0" applyBorder="0" applyAlignment="0" applyProtection="0"/>
    <xf numFmtId="0" fontId="38" fillId="0" borderId="0"/>
    <xf numFmtId="41" fontId="5"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176" fontId="35" fillId="0" borderId="0" applyFont="0" applyFill="0" applyBorder="0" applyAlignment="0" applyProtection="0"/>
    <xf numFmtId="164" fontId="67"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164" fontId="67" fillId="0" borderId="0" applyFont="0" applyFill="0" applyBorder="0" applyAlignment="0" applyProtection="0"/>
    <xf numFmtId="176" fontId="35" fillId="0" borderId="0" applyFont="0" applyFill="0" applyBorder="0" applyAlignment="0" applyProtection="0"/>
    <xf numFmtId="176" fontId="35" fillId="0" borderId="0" applyFont="0" applyFill="0" applyBorder="0" applyAlignment="0" applyProtection="0"/>
    <xf numFmtId="176" fontId="35" fillId="0" borderId="0" applyFont="0" applyFill="0" applyBorder="0" applyAlignment="0" applyProtection="0"/>
    <xf numFmtId="176" fontId="35" fillId="0" borderId="0" applyFont="0" applyFill="0" applyBorder="0" applyAlignment="0" applyProtection="0"/>
    <xf numFmtId="176" fontId="35" fillId="0" borderId="0" applyFont="0" applyFill="0" applyBorder="0" applyAlignment="0" applyProtection="0"/>
    <xf numFmtId="176" fontId="35" fillId="0" borderId="0" applyFont="0" applyFill="0" applyBorder="0" applyAlignment="0" applyProtection="0"/>
    <xf numFmtId="0" fontId="5" fillId="0" borderId="0"/>
    <xf numFmtId="166" fontId="35" fillId="0" borderId="0" applyFont="0" applyFill="0" applyBorder="0" applyAlignment="0" applyProtection="0"/>
    <xf numFmtId="0" fontId="35" fillId="0" borderId="0"/>
    <xf numFmtId="177" fontId="35" fillId="0" borderId="0" applyFont="0" applyFill="0" applyBorder="0" applyAlignment="0" applyProtection="0"/>
    <xf numFmtId="0" fontId="68" fillId="0" borderId="0" applyNumberFormat="0" applyFill="0" applyBorder="0" applyProtection="0">
      <alignment vertical="top" wrapText="1"/>
    </xf>
    <xf numFmtId="166" fontId="67" fillId="0" borderId="0" applyFont="0" applyFill="0" applyBorder="0" applyAlignment="0" applyProtection="0"/>
  </cellStyleXfs>
  <cellXfs count="913">
    <xf numFmtId="0" fontId="0" fillId="0" borderId="0" xfId="0"/>
    <xf numFmtId="0" fontId="6" fillId="0" borderId="0" xfId="0" applyFont="1" applyAlignment="1">
      <alignment vertical="center" wrapText="1"/>
    </xf>
    <xf numFmtId="0" fontId="3" fillId="0" borderId="0" xfId="0" applyFont="1" applyAlignment="1">
      <alignment vertical="center" wrapText="1"/>
    </xf>
    <xf numFmtId="0" fontId="3" fillId="3" borderId="0" xfId="0" applyFont="1" applyFill="1" applyAlignment="1">
      <alignment vertical="center" wrapText="1"/>
    </xf>
    <xf numFmtId="165" fontId="3" fillId="0" borderId="0" xfId="0" applyNumberFormat="1" applyFont="1" applyAlignment="1">
      <alignment vertical="center" wrapText="1"/>
    </xf>
    <xf numFmtId="0" fontId="3" fillId="3" borderId="0" xfId="0" applyFont="1" applyFill="1" applyAlignment="1" applyProtection="1">
      <alignment vertical="center" wrapText="1"/>
      <protection locked="0"/>
    </xf>
    <xf numFmtId="165" fontId="6" fillId="0" borderId="2" xfId="1" applyFont="1" applyBorder="1" applyAlignment="1" applyProtection="1">
      <alignment horizontal="center" vertical="center" wrapText="1"/>
      <protection locked="0"/>
    </xf>
    <xf numFmtId="165" fontId="3" fillId="2" borderId="2" xfId="1" applyFont="1" applyFill="1" applyBorder="1" applyAlignment="1" applyProtection="1">
      <alignment horizontal="center" vertical="center" wrapText="1"/>
    </xf>
    <xf numFmtId="165" fontId="3" fillId="2" borderId="4" xfId="1" applyFont="1" applyFill="1" applyBorder="1" applyAlignment="1" applyProtection="1">
      <alignment horizontal="center" vertical="center" wrapText="1"/>
    </xf>
    <xf numFmtId="0" fontId="3" fillId="2" borderId="6" xfId="0" applyFont="1" applyFill="1" applyBorder="1" applyAlignment="1">
      <alignment vertical="center" wrapText="1"/>
    </xf>
    <xf numFmtId="0" fontId="3" fillId="2" borderId="9" xfId="0" applyFont="1" applyFill="1" applyBorder="1" applyAlignment="1">
      <alignment vertical="center" wrapText="1"/>
    </xf>
    <xf numFmtId="165" fontId="3" fillId="3" borderId="0" xfId="0" applyNumberFormat="1" applyFont="1" applyFill="1" applyAlignment="1">
      <alignment vertical="center" wrapText="1"/>
    </xf>
    <xf numFmtId="0" fontId="10" fillId="0" borderId="0" xfId="0" applyFont="1" applyAlignment="1">
      <alignment wrapText="1"/>
    </xf>
    <xf numFmtId="0" fontId="11" fillId="0" borderId="0" xfId="0" applyFont="1" applyAlignment="1">
      <alignment wrapText="1"/>
    </xf>
    <xf numFmtId="0" fontId="0" fillId="0" borderId="0" xfId="0" applyAlignment="1">
      <alignment wrapText="1"/>
    </xf>
    <xf numFmtId="0" fontId="0" fillId="3" borderId="0" xfId="0" applyFill="1" applyAlignment="1">
      <alignment wrapText="1"/>
    </xf>
    <xf numFmtId="0" fontId="6" fillId="0" borderId="0" xfId="0" applyFont="1" applyAlignment="1">
      <alignment wrapText="1"/>
    </xf>
    <xf numFmtId="0" fontId="6" fillId="3" borderId="0" xfId="0" applyFont="1" applyFill="1" applyAlignment="1">
      <alignment wrapText="1"/>
    </xf>
    <xf numFmtId="0" fontId="12" fillId="0" borderId="0" xfId="0" applyFont="1"/>
    <xf numFmtId="49" fontId="0" fillId="0" borderId="0" xfId="0" applyNumberFormat="1"/>
    <xf numFmtId="0" fontId="12" fillId="0" borderId="0" xfId="0" applyFont="1" applyAlignment="1">
      <alignment vertical="center"/>
    </xf>
    <xf numFmtId="49" fontId="13" fillId="0" borderId="0" xfId="0" applyNumberFormat="1" applyFont="1" applyAlignment="1">
      <alignment horizontal="left"/>
    </xf>
    <xf numFmtId="49" fontId="13" fillId="0" borderId="0" xfId="0" applyNumberFormat="1" applyFont="1" applyAlignment="1">
      <alignment horizontal="left" wrapText="1"/>
    </xf>
    <xf numFmtId="0" fontId="3" fillId="2" borderId="2" xfId="0" applyFont="1" applyFill="1" applyBorder="1" applyAlignment="1">
      <alignment vertical="center" wrapText="1"/>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165" fontId="3" fillId="2" borderId="2" xfId="1" applyFont="1" applyFill="1" applyBorder="1" applyAlignment="1" applyProtection="1">
      <alignment vertical="center" wrapText="1"/>
    </xf>
    <xf numFmtId="165" fontId="3" fillId="2" borderId="3" xfId="1" applyFont="1" applyFill="1" applyBorder="1" applyAlignment="1" applyProtection="1">
      <alignment vertical="center" wrapText="1"/>
    </xf>
    <xf numFmtId="165" fontId="3" fillId="2" borderId="10" xfId="1" applyFont="1" applyFill="1" applyBorder="1" applyAlignment="1" applyProtection="1">
      <alignment vertical="center" wrapText="1"/>
    </xf>
    <xf numFmtId="9" fontId="3" fillId="2" borderId="11" xfId="2" applyFont="1" applyFill="1" applyBorder="1" applyAlignment="1" applyProtection="1">
      <alignment vertical="center" wrapText="1"/>
    </xf>
    <xf numFmtId="0" fontId="4" fillId="2" borderId="13" xfId="0" applyFont="1" applyFill="1" applyBorder="1" applyAlignment="1">
      <alignment horizontal="left" vertical="center" wrapText="1"/>
    </xf>
    <xf numFmtId="165" fontId="3" fillId="2" borderId="12" xfId="0" applyNumberFormat="1" applyFont="1" applyFill="1" applyBorder="1" applyAlignment="1">
      <alignment vertical="center" wrapText="1"/>
    </xf>
    <xf numFmtId="0" fontId="4" fillId="2" borderId="6" xfId="0" applyFont="1" applyFill="1" applyBorder="1" applyAlignment="1">
      <alignment horizontal="left" vertical="center" wrapText="1"/>
    </xf>
    <xf numFmtId="165" fontId="3" fillId="2" borderId="7" xfId="2" applyNumberFormat="1" applyFont="1" applyFill="1" applyBorder="1" applyAlignment="1" applyProtection="1">
      <alignment wrapText="1"/>
    </xf>
    <xf numFmtId="165" fontId="3" fillId="2" borderId="11" xfId="1" applyFont="1" applyFill="1" applyBorder="1" applyAlignment="1" applyProtection="1">
      <alignment vertical="center" wrapText="1"/>
    </xf>
    <xf numFmtId="0" fontId="3" fillId="2" borderId="16" xfId="0" applyFont="1" applyFill="1" applyBorder="1" applyAlignment="1">
      <alignment vertical="center" wrapText="1"/>
    </xf>
    <xf numFmtId="165" fontId="3" fillId="2" borderId="20" xfId="1" applyFont="1" applyFill="1" applyBorder="1" applyAlignment="1" applyProtection="1">
      <alignment vertical="center" wrapText="1"/>
    </xf>
    <xf numFmtId="9" fontId="6" fillId="0" borderId="2" xfId="2" applyFont="1" applyBorder="1" applyAlignment="1" applyProtection="1">
      <alignment horizontal="center" vertical="center" wrapText="1"/>
      <protection locked="0"/>
    </xf>
    <xf numFmtId="165" fontId="6" fillId="2" borderId="2" xfId="1" applyFont="1" applyFill="1" applyBorder="1" applyAlignment="1" applyProtection="1">
      <alignment horizontal="center" vertical="center" wrapText="1"/>
    </xf>
    <xf numFmtId="9" fontId="3" fillId="3" borderId="7" xfId="2" applyFont="1" applyFill="1" applyBorder="1" applyAlignment="1" applyProtection="1">
      <alignment vertical="center" wrapText="1"/>
      <protection locked="0"/>
    </xf>
    <xf numFmtId="9" fontId="3" fillId="3" borderId="15" xfId="2" applyFont="1" applyFill="1" applyBorder="1" applyAlignment="1" applyProtection="1">
      <alignment vertical="center" wrapText="1"/>
      <protection locked="0"/>
    </xf>
    <xf numFmtId="9" fontId="3" fillId="3" borderId="15" xfId="2" applyFont="1" applyFill="1" applyBorder="1" applyAlignment="1" applyProtection="1">
      <alignment horizontal="right" vertical="center" wrapText="1"/>
      <protection locked="0"/>
    </xf>
    <xf numFmtId="9" fontId="0" fillId="0" borderId="0" xfId="2" applyFont="1"/>
    <xf numFmtId="10" fontId="3" fillId="2" borderId="7" xfId="2" applyNumberFormat="1" applyFont="1" applyFill="1" applyBorder="1" applyAlignment="1" applyProtection="1">
      <alignment wrapText="1"/>
    </xf>
    <xf numFmtId="165" fontId="0" fillId="0" borderId="0" xfId="1" applyFont="1" applyBorder="1" applyAlignment="1">
      <alignment wrapText="1"/>
    </xf>
    <xf numFmtId="165" fontId="0" fillId="0" borderId="0" xfId="1" applyFont="1" applyFill="1" applyBorder="1" applyAlignment="1">
      <alignment wrapText="1"/>
    </xf>
    <xf numFmtId="165" fontId="11" fillId="0" borderId="0" xfId="1" applyFont="1" applyBorder="1" applyAlignment="1">
      <alignment wrapText="1"/>
    </xf>
    <xf numFmtId="165" fontId="9" fillId="3" borderId="0" xfId="1" applyFont="1" applyFill="1" applyBorder="1" applyAlignment="1">
      <alignment horizontal="left" wrapText="1"/>
    </xf>
    <xf numFmtId="0" fontId="2" fillId="2" borderId="6" xfId="0" applyFont="1" applyFill="1" applyBorder="1" applyAlignment="1">
      <alignment vertical="center" wrapText="1"/>
    </xf>
    <xf numFmtId="165" fontId="3" fillId="2" borderId="13" xfId="0" applyNumberFormat="1" applyFont="1" applyFill="1" applyBorder="1" applyAlignment="1">
      <alignment vertical="center" wrapText="1"/>
    </xf>
    <xf numFmtId="165" fontId="0" fillId="2" borderId="12" xfId="1" applyFont="1" applyFill="1" applyBorder="1" applyAlignment="1">
      <alignment vertical="center" wrapText="1"/>
    </xf>
    <xf numFmtId="165" fontId="3" fillId="2" borderId="15" xfId="1" applyFont="1" applyFill="1" applyBorder="1" applyAlignment="1" applyProtection="1">
      <alignment horizontal="center" vertical="center" wrapText="1"/>
    </xf>
    <xf numFmtId="0" fontId="3" fillId="2" borderId="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0" borderId="2" xfId="0" applyFont="1" applyBorder="1" applyAlignment="1" applyProtection="1">
      <alignment horizontal="center" vertical="center" wrapText="1"/>
      <protection locked="0"/>
    </xf>
    <xf numFmtId="165" fontId="3" fillId="2" borderId="2" xfId="1" applyFont="1" applyFill="1" applyBorder="1" applyAlignment="1" applyProtection="1">
      <alignment horizontal="center" vertical="center" wrapText="1"/>
      <protection locked="0"/>
    </xf>
    <xf numFmtId="165" fontId="3" fillId="0" borderId="2" xfId="1" applyFont="1" applyFill="1" applyBorder="1" applyAlignment="1" applyProtection="1">
      <alignment horizontal="center" vertical="center" wrapText="1"/>
    </xf>
    <xf numFmtId="0" fontId="17" fillId="0" borderId="0" xfId="3" applyFont="1"/>
    <xf numFmtId="43" fontId="17" fillId="0" borderId="0" xfId="4" applyFont="1"/>
    <xf numFmtId="0" fontId="17" fillId="9" borderId="0" xfId="3" applyFont="1" applyFill="1"/>
    <xf numFmtId="0" fontId="17" fillId="8" borderId="0" xfId="3" applyFont="1" applyFill="1"/>
    <xf numFmtId="0" fontId="16" fillId="10" borderId="0" xfId="3" applyFont="1" applyFill="1"/>
    <xf numFmtId="43" fontId="16" fillId="10" borderId="0" xfId="4" applyFont="1" applyFill="1"/>
    <xf numFmtId="0" fontId="1" fillId="0" borderId="0" xfId="3"/>
    <xf numFmtId="43" fontId="0" fillId="0" borderId="0" xfId="4" applyFont="1"/>
    <xf numFmtId="168" fontId="0" fillId="0" borderId="0" xfId="4" applyNumberFormat="1" applyFont="1"/>
    <xf numFmtId="0" fontId="23" fillId="0" borderId="0" xfId="3" applyFont="1"/>
    <xf numFmtId="43" fontId="17" fillId="0" borderId="0" xfId="4" applyFont="1" applyFill="1"/>
    <xf numFmtId="0" fontId="24" fillId="0" borderId="0" xfId="3" applyFont="1"/>
    <xf numFmtId="167" fontId="17" fillId="10" borderId="2" xfId="4" applyNumberFormat="1" applyFont="1" applyFill="1" applyBorder="1"/>
    <xf numFmtId="0" fontId="17" fillId="0" borderId="2" xfId="3" applyFont="1" applyBorder="1"/>
    <xf numFmtId="0" fontId="20" fillId="10" borderId="6" xfId="3" applyFont="1" applyFill="1" applyBorder="1" applyAlignment="1">
      <alignment vertical="top" wrapText="1"/>
    </xf>
    <xf numFmtId="43" fontId="17" fillId="10" borderId="7" xfId="4" applyFont="1" applyFill="1" applyBorder="1"/>
    <xf numFmtId="0" fontId="17" fillId="0" borderId="6" xfId="3" quotePrefix="1" applyFont="1" applyBorder="1" applyAlignment="1">
      <alignment horizontal="left" vertical="center" wrapText="1"/>
    </xf>
    <xf numFmtId="43" fontId="17" fillId="0" borderId="7" xfId="4" applyFont="1" applyBorder="1"/>
    <xf numFmtId="0" fontId="0" fillId="0" borderId="6" xfId="0" quotePrefix="1" applyBorder="1" applyAlignment="1">
      <alignment wrapText="1"/>
    </xf>
    <xf numFmtId="0" fontId="17" fillId="0" borderId="6" xfId="3" applyFont="1" applyBorder="1" applyAlignment="1">
      <alignment horizontal="left" vertical="center" wrapText="1"/>
    </xf>
    <xf numFmtId="0" fontId="20" fillId="10" borderId="6" xfId="3" applyFont="1" applyFill="1" applyBorder="1" applyAlignment="1">
      <alignment wrapText="1"/>
    </xf>
    <xf numFmtId="0" fontId="17" fillId="0" borderId="6" xfId="3" applyFont="1" applyBorder="1" applyAlignment="1">
      <alignment vertical="top" wrapText="1"/>
    </xf>
    <xf numFmtId="0" fontId="17" fillId="0" borderId="6" xfId="3" applyFont="1" applyBorder="1" applyAlignment="1">
      <alignment wrapText="1"/>
    </xf>
    <xf numFmtId="0" fontId="26" fillId="12" borderId="13" xfId="3" applyFont="1" applyFill="1" applyBorder="1" applyAlignment="1">
      <alignment horizontal="center" vertical="center" wrapText="1"/>
    </xf>
    <xf numFmtId="0" fontId="26" fillId="12" borderId="14" xfId="3" applyFont="1" applyFill="1" applyBorder="1" applyAlignment="1">
      <alignment horizontal="center" vertical="top"/>
    </xf>
    <xf numFmtId="43" fontId="26" fillId="12" borderId="12" xfId="4" applyFont="1" applyFill="1" applyBorder="1" applyAlignment="1">
      <alignment horizontal="center" vertical="top" wrapText="1"/>
    </xf>
    <xf numFmtId="10" fontId="17" fillId="0" borderId="0" xfId="2" applyNumberFormat="1" applyFont="1"/>
    <xf numFmtId="10" fontId="17" fillId="10" borderId="2" xfId="3" applyNumberFormat="1" applyFont="1" applyFill="1" applyBorder="1"/>
    <xf numFmtId="10" fontId="17" fillId="0" borderId="2" xfId="3" applyNumberFormat="1" applyFont="1" applyBorder="1"/>
    <xf numFmtId="167" fontId="17" fillId="0" borderId="2" xfId="4" applyNumberFormat="1" applyFont="1" applyFill="1" applyBorder="1"/>
    <xf numFmtId="0" fontId="20" fillId="10" borderId="6" xfId="3" applyFont="1" applyFill="1" applyBorder="1" applyAlignment="1">
      <alignment horizontal="left" wrapText="1"/>
    </xf>
    <xf numFmtId="164" fontId="17" fillId="0" borderId="0" xfId="3" applyNumberFormat="1" applyFont="1"/>
    <xf numFmtId="43" fontId="17" fillId="0" borderId="0" xfId="4" applyFont="1" applyFill="1" applyBorder="1"/>
    <xf numFmtId="0" fontId="7" fillId="0" borderId="0" xfId="0" applyFont="1" applyAlignment="1">
      <alignment vertical="center" wrapText="1"/>
    </xf>
    <xf numFmtId="0" fontId="17" fillId="0" borderId="0" xfId="0" applyFont="1"/>
    <xf numFmtId="0" fontId="17" fillId="0" borderId="0" xfId="0" applyFont="1" applyAlignment="1">
      <alignment wrapText="1"/>
    </xf>
    <xf numFmtId="0" fontId="17" fillId="0" borderId="0" xfId="0" applyFont="1" applyAlignment="1">
      <alignment horizontal="center"/>
    </xf>
    <xf numFmtId="169" fontId="17" fillId="0" borderId="0" xfId="0" applyNumberFormat="1" applyFont="1"/>
    <xf numFmtId="0" fontId="17" fillId="0" borderId="0" xfId="0" applyFont="1" applyAlignment="1">
      <alignment horizontal="left" vertical="top" wrapText="1" indent="3"/>
    </xf>
    <xf numFmtId="0" fontId="17" fillId="0" borderId="0" xfId="0" quotePrefix="1" applyFont="1" applyAlignment="1">
      <alignment horizontal="left" vertical="top" wrapText="1" indent="3"/>
    </xf>
    <xf numFmtId="0" fontId="7" fillId="0" borderId="0" xfId="0" applyFont="1" applyAlignment="1" applyProtection="1">
      <alignment vertical="center" wrapText="1"/>
      <protection locked="0"/>
    </xf>
    <xf numFmtId="165" fontId="3" fillId="0" borderId="0" xfId="1" applyFont="1" applyFill="1" applyBorder="1" applyAlignment="1" applyProtection="1">
      <alignment wrapText="1"/>
    </xf>
    <xf numFmtId="43" fontId="17" fillId="0" borderId="6" xfId="4" applyFont="1" applyFill="1" applyBorder="1" applyAlignment="1">
      <alignment vertical="top" wrapText="1"/>
    </xf>
    <xf numFmtId="164" fontId="24" fillId="0" borderId="0" xfId="6" applyFont="1"/>
    <xf numFmtId="164" fontId="29" fillId="0" borderId="0" xfId="6" applyFont="1" applyFill="1" applyBorder="1"/>
    <xf numFmtId="164" fontId="24" fillId="0" borderId="0" xfId="3" applyNumberFormat="1" applyFont="1"/>
    <xf numFmtId="170" fontId="17" fillId="10" borderId="2" xfId="6" applyNumberFormat="1" applyFont="1" applyFill="1" applyBorder="1"/>
    <xf numFmtId="167" fontId="17" fillId="10" borderId="2" xfId="3" applyNumberFormat="1" applyFont="1" applyFill="1" applyBorder="1"/>
    <xf numFmtId="167" fontId="17" fillId="0" borderId="2" xfId="3" applyNumberFormat="1" applyFont="1" applyBorder="1"/>
    <xf numFmtId="171" fontId="17" fillId="0" borderId="0" xfId="3" applyNumberFormat="1" applyFont="1"/>
    <xf numFmtId="0" fontId="30" fillId="0" borderId="6" xfId="3" applyFont="1" applyBorder="1" applyAlignment="1">
      <alignment horizontal="center" vertical="center" wrapText="1"/>
    </xf>
    <xf numFmtId="0" fontId="30" fillId="0" borderId="2" xfId="3" applyFont="1" applyBorder="1" applyAlignment="1">
      <alignment horizontal="center" vertical="top"/>
    </xf>
    <xf numFmtId="170" fontId="30" fillId="0" borderId="2" xfId="3" applyNumberFormat="1" applyFont="1" applyBorder="1" applyAlignment="1">
      <alignment horizontal="center" vertical="top"/>
    </xf>
    <xf numFmtId="167" fontId="30" fillId="0" borderId="2" xfId="3" applyNumberFormat="1" applyFont="1" applyBorder="1" applyAlignment="1">
      <alignment horizontal="center" vertical="top"/>
    </xf>
    <xf numFmtId="0" fontId="30" fillId="11" borderId="9" xfId="3" applyFont="1" applyFill="1" applyBorder="1" applyAlignment="1">
      <alignment horizontal="center" vertical="center" wrapText="1"/>
    </xf>
    <xf numFmtId="0" fontId="30" fillId="11" borderId="10" xfId="3" applyFont="1" applyFill="1" applyBorder="1" applyAlignment="1">
      <alignment horizontal="center" vertical="top"/>
    </xf>
    <xf numFmtId="170" fontId="17" fillId="0" borderId="2" xfId="6" applyNumberFormat="1" applyFont="1" applyBorder="1"/>
    <xf numFmtId="164" fontId="30" fillId="11" borderId="10" xfId="6" applyFont="1" applyFill="1" applyBorder="1" applyAlignment="1">
      <alignment horizontal="center" vertical="top"/>
    </xf>
    <xf numFmtId="164" fontId="17" fillId="0" borderId="0" xfId="6" applyFont="1" applyFill="1" applyBorder="1"/>
    <xf numFmtId="164" fontId="17" fillId="0" borderId="0" xfId="0" applyNumberFormat="1" applyFont="1"/>
    <xf numFmtId="172" fontId="17" fillId="0" borderId="0" xfId="0" applyNumberFormat="1" applyFont="1"/>
    <xf numFmtId="0" fontId="19" fillId="12" borderId="6" xfId="3" applyFont="1" applyFill="1" applyBorder="1" applyAlignment="1">
      <alignment vertical="top" wrapText="1"/>
    </xf>
    <xf numFmtId="10" fontId="17" fillId="12" borderId="2" xfId="3" applyNumberFormat="1" applyFont="1" applyFill="1" applyBorder="1"/>
    <xf numFmtId="167" fontId="33" fillId="12" borderId="2" xfId="4" applyNumberFormat="1" applyFont="1" applyFill="1" applyBorder="1"/>
    <xf numFmtId="167" fontId="26" fillId="12" borderId="2" xfId="3" applyNumberFormat="1" applyFont="1" applyFill="1" applyBorder="1"/>
    <xf numFmtId="43" fontId="26" fillId="12" borderId="7" xfId="4" applyFont="1" applyFill="1" applyBorder="1"/>
    <xf numFmtId="10" fontId="26" fillId="12" borderId="2" xfId="3" applyNumberFormat="1" applyFont="1" applyFill="1" applyBorder="1"/>
    <xf numFmtId="0" fontId="20" fillId="12" borderId="6" xfId="3" applyFont="1" applyFill="1" applyBorder="1" applyAlignment="1">
      <alignment vertical="top" wrapText="1"/>
    </xf>
    <xf numFmtId="167" fontId="33" fillId="12" borderId="2" xfId="3" applyNumberFormat="1" applyFont="1" applyFill="1" applyBorder="1"/>
    <xf numFmtId="167" fontId="33" fillId="12" borderId="7" xfId="3" applyNumberFormat="1" applyFont="1" applyFill="1" applyBorder="1"/>
    <xf numFmtId="167" fontId="17" fillId="10" borderId="7" xfId="3" applyNumberFormat="1" applyFont="1" applyFill="1" applyBorder="1"/>
    <xf numFmtId="167" fontId="30" fillId="0" borderId="7" xfId="3" applyNumberFormat="1" applyFont="1" applyBorder="1" applyAlignment="1">
      <alignment horizontal="center" vertical="top"/>
    </xf>
    <xf numFmtId="167" fontId="26" fillId="12" borderId="7" xfId="3" applyNumberFormat="1" applyFont="1" applyFill="1" applyBorder="1"/>
    <xf numFmtId="167" fontId="17" fillId="10" borderId="7" xfId="4" applyNumberFormat="1" applyFont="1" applyFill="1" applyBorder="1"/>
    <xf numFmtId="170" fontId="17" fillId="10" borderId="7" xfId="6" applyNumberFormat="1" applyFont="1" applyFill="1" applyBorder="1"/>
    <xf numFmtId="164" fontId="30" fillId="11" borderId="11" xfId="6" applyFont="1" applyFill="1" applyBorder="1" applyAlignment="1">
      <alignment horizontal="center" vertical="top"/>
    </xf>
    <xf numFmtId="0" fontId="17" fillId="0" borderId="2" xfId="0" applyFont="1" applyBorder="1" applyAlignment="1">
      <alignment horizontal="center"/>
    </xf>
    <xf numFmtId="0" fontId="25" fillId="0" borderId="4" xfId="3" applyFont="1" applyBorder="1" applyAlignment="1">
      <alignment horizontal="center" vertical="top"/>
    </xf>
    <xf numFmtId="0" fontId="31" fillId="0" borderId="13" xfId="0" applyFont="1" applyBorder="1" applyAlignment="1">
      <alignment vertical="center" wrapText="1"/>
    </xf>
    <xf numFmtId="0" fontId="17" fillId="0" borderId="14" xfId="3" applyFont="1" applyBorder="1"/>
    <xf numFmtId="0" fontId="32" fillId="0" borderId="6" xfId="0" applyFont="1" applyBorder="1" applyAlignment="1">
      <alignment wrapText="1"/>
    </xf>
    <xf numFmtId="0" fontId="33" fillId="0" borderId="9" xfId="0" applyFont="1" applyBorder="1" applyAlignment="1">
      <alignment horizontal="left" vertical="top" wrapText="1" indent="3"/>
    </xf>
    <xf numFmtId="0" fontId="26" fillId="0" borderId="10" xfId="0" applyFont="1" applyBorder="1" applyAlignment="1">
      <alignment horizontal="center"/>
    </xf>
    <xf numFmtId="170" fontId="26" fillId="0" borderId="10" xfId="6" applyNumberFormat="1" applyFont="1" applyFill="1" applyBorder="1"/>
    <xf numFmtId="170" fontId="26" fillId="0" borderId="11" xfId="6" applyNumberFormat="1" applyFont="1" applyFill="1" applyBorder="1"/>
    <xf numFmtId="170" fontId="34" fillId="0" borderId="14" xfId="6" applyNumberFormat="1" applyFont="1" applyFill="1" applyBorder="1"/>
    <xf numFmtId="170" fontId="34" fillId="0" borderId="12" xfId="6" applyNumberFormat="1" applyFont="1" applyFill="1" applyBorder="1"/>
    <xf numFmtId="170" fontId="34" fillId="0" borderId="2" xfId="6" applyNumberFormat="1" applyFont="1" applyFill="1" applyBorder="1"/>
    <xf numFmtId="170" fontId="34" fillId="0" borderId="7" xfId="6" applyNumberFormat="1" applyFont="1" applyFill="1" applyBorder="1"/>
    <xf numFmtId="10" fontId="17" fillId="0" borderId="0" xfId="2" applyNumberFormat="1" applyFont="1" applyFill="1" applyBorder="1"/>
    <xf numFmtId="0" fontId="2" fillId="0" borderId="2" xfId="0" applyFont="1" applyBorder="1" applyAlignment="1" applyProtection="1">
      <alignment horizontal="left" vertical="top" wrapText="1"/>
      <protection locked="0"/>
    </xf>
    <xf numFmtId="0" fontId="17" fillId="13" borderId="0" xfId="3" applyFont="1" applyFill="1"/>
    <xf numFmtId="0" fontId="17" fillId="14" borderId="0" xfId="3" applyFont="1" applyFill="1"/>
    <xf numFmtId="0" fontId="17" fillId="15" borderId="0" xfId="3" applyFont="1" applyFill="1"/>
    <xf numFmtId="0" fontId="17" fillId="2" borderId="0" xfId="3" applyFont="1" applyFill="1"/>
    <xf numFmtId="0" fontId="30" fillId="0" borderId="16" xfId="3" applyFont="1" applyBorder="1" applyAlignment="1">
      <alignment horizontal="center" vertical="center" wrapText="1"/>
    </xf>
    <xf numFmtId="0" fontId="30" fillId="0" borderId="4" xfId="3" applyFont="1" applyBorder="1" applyAlignment="1">
      <alignment horizontal="center" vertical="top"/>
    </xf>
    <xf numFmtId="167" fontId="30" fillId="0" borderId="4" xfId="3" applyNumberFormat="1" applyFont="1" applyBorder="1" applyAlignment="1">
      <alignment horizontal="center" vertical="top"/>
    </xf>
    <xf numFmtId="0" fontId="19" fillId="12" borderId="13" xfId="3" applyFont="1" applyFill="1" applyBorder="1" applyAlignment="1">
      <alignment vertical="top" wrapText="1"/>
    </xf>
    <xf numFmtId="10" fontId="17" fillId="12" borderId="14" xfId="3" applyNumberFormat="1" applyFont="1" applyFill="1" applyBorder="1"/>
    <xf numFmtId="167" fontId="26" fillId="12" borderId="14" xfId="3" applyNumberFormat="1" applyFont="1" applyFill="1" applyBorder="1"/>
    <xf numFmtId="167" fontId="33" fillId="12" borderId="7" xfId="4" applyNumberFormat="1" applyFont="1" applyFill="1" applyBorder="1"/>
    <xf numFmtId="0" fontId="17" fillId="0" borderId="8" xfId="3" applyFont="1" applyBorder="1" applyAlignment="1">
      <alignment vertical="top" wrapText="1"/>
    </xf>
    <xf numFmtId="43" fontId="17" fillId="0" borderId="25" xfId="4" applyFont="1" applyBorder="1"/>
    <xf numFmtId="0" fontId="17" fillId="16" borderId="0" xfId="3" applyFont="1" applyFill="1"/>
    <xf numFmtId="0" fontId="18" fillId="0" borderId="0" xfId="3" applyFont="1"/>
    <xf numFmtId="0" fontId="17" fillId="9" borderId="0" xfId="3" applyFont="1" applyFill="1" applyAlignment="1">
      <alignment shrinkToFit="1"/>
    </xf>
    <xf numFmtId="0" fontId="17" fillId="3" borderId="0" xfId="3" applyFont="1" applyFill="1"/>
    <xf numFmtId="0" fontId="35" fillId="17" borderId="0" xfId="3" applyFont="1" applyFill="1"/>
    <xf numFmtId="0" fontId="17" fillId="17" borderId="0" xfId="3" applyFont="1" applyFill="1"/>
    <xf numFmtId="172" fontId="17" fillId="0" borderId="0" xfId="6" applyNumberFormat="1" applyFont="1" applyFill="1" applyBorder="1"/>
    <xf numFmtId="43" fontId="17" fillId="0" borderId="2" xfId="4" applyFont="1" applyFill="1" applyBorder="1"/>
    <xf numFmtId="43" fontId="17" fillId="0" borderId="4" xfId="4" applyFont="1" applyFill="1" applyBorder="1"/>
    <xf numFmtId="43" fontId="17" fillId="0" borderId="7" xfId="4" applyFont="1" applyFill="1" applyBorder="1"/>
    <xf numFmtId="43" fontId="17" fillId="0" borderId="15" xfId="4" applyFont="1" applyFill="1" applyBorder="1"/>
    <xf numFmtId="0" fontId="38" fillId="0" borderId="12" xfId="0" applyFont="1" applyBorder="1" applyAlignment="1">
      <alignment vertical="center" wrapText="1"/>
    </xf>
    <xf numFmtId="165" fontId="0" fillId="0" borderId="0" xfId="0" applyNumberFormat="1"/>
    <xf numFmtId="0" fontId="1" fillId="0" borderId="0" xfId="0" applyFont="1" applyAlignment="1">
      <alignment vertical="center"/>
    </xf>
    <xf numFmtId="0" fontId="39" fillId="0" borderId="0" xfId="0" applyFont="1" applyAlignment="1">
      <alignment horizontal="right" vertical="center" wrapText="1"/>
    </xf>
    <xf numFmtId="165" fontId="39" fillId="3" borderId="2" xfId="0" applyNumberFormat="1" applyFont="1" applyFill="1" applyBorder="1" applyAlignment="1">
      <alignment vertical="center" wrapText="1"/>
    </xf>
    <xf numFmtId="164" fontId="39" fillId="3" borderId="2" xfId="6" applyFont="1" applyFill="1" applyBorder="1" applyAlignment="1">
      <alignment vertical="center" wrapText="1"/>
    </xf>
    <xf numFmtId="10" fontId="39" fillId="3" borderId="2" xfId="2" applyNumberFormat="1" applyFont="1" applyFill="1" applyBorder="1" applyAlignment="1">
      <alignment vertical="center" wrapText="1"/>
    </xf>
    <xf numFmtId="0" fontId="16" fillId="10" borderId="2" xfId="0" applyFont="1" applyFill="1" applyBorder="1" applyAlignment="1">
      <alignment horizontal="center" vertical="center"/>
    </xf>
    <xf numFmtId="164" fontId="16" fillId="10" borderId="2" xfId="6" applyFont="1" applyFill="1" applyBorder="1" applyAlignment="1">
      <alignment horizontal="center" vertical="center" wrapText="1"/>
    </xf>
    <xf numFmtId="10" fontId="0" fillId="2" borderId="11" xfId="2" applyNumberFormat="1" applyFont="1" applyFill="1" applyBorder="1" applyAlignment="1">
      <alignment wrapText="1"/>
    </xf>
    <xf numFmtId="173" fontId="39" fillId="3" borderId="2" xfId="0" applyNumberFormat="1" applyFont="1" applyFill="1" applyBorder="1" applyAlignment="1">
      <alignment vertical="center" wrapText="1"/>
    </xf>
    <xf numFmtId="170" fontId="39" fillId="3" borderId="2" xfId="6" applyNumberFormat="1" applyFont="1" applyFill="1" applyBorder="1" applyAlignment="1">
      <alignment vertical="center" wrapText="1"/>
    </xf>
    <xf numFmtId="0" fontId="4" fillId="0" borderId="0" xfId="0" applyFont="1" applyAlignment="1">
      <alignment wrapText="1"/>
    </xf>
    <xf numFmtId="0" fontId="41" fillId="0" borderId="0" xfId="0" applyFont="1" applyAlignment="1">
      <alignment wrapText="1"/>
    </xf>
    <xf numFmtId="0" fontId="42" fillId="20" borderId="0" xfId="0" applyFont="1" applyFill="1" applyAlignment="1">
      <alignment horizontal="left" wrapText="1"/>
    </xf>
    <xf numFmtId="165" fontId="42" fillId="21" borderId="2" xfId="1" applyFont="1" applyFill="1" applyBorder="1" applyAlignment="1" applyProtection="1">
      <alignment horizontal="center" vertical="center" wrapText="1"/>
      <protection locked="0"/>
    </xf>
    <xf numFmtId="0" fontId="42" fillId="21" borderId="4" xfId="0" applyFont="1" applyFill="1" applyBorder="1" applyAlignment="1">
      <alignment horizontal="center" vertical="center" wrapText="1"/>
    </xf>
    <xf numFmtId="0" fontId="42" fillId="21" borderId="10" xfId="0" applyFont="1" applyFill="1" applyBorder="1" applyAlignment="1">
      <alignment horizontal="left" wrapText="1"/>
    </xf>
    <xf numFmtId="165" fontId="42" fillId="21" borderId="10" xfId="0" applyNumberFormat="1" applyFont="1" applyFill="1" applyBorder="1" applyAlignment="1">
      <alignment horizontal="center" wrapText="1"/>
    </xf>
    <xf numFmtId="165" fontId="42" fillId="21" borderId="2" xfId="0" applyNumberFormat="1" applyFont="1" applyFill="1" applyBorder="1" applyAlignment="1">
      <alignment wrapText="1"/>
    </xf>
    <xf numFmtId="165" fontId="41" fillId="21" borderId="2" xfId="0" applyNumberFormat="1" applyFont="1" applyFill="1" applyBorder="1" applyAlignment="1">
      <alignment wrapText="1"/>
    </xf>
    <xf numFmtId="0" fontId="41" fillId="21" borderId="19" xfId="0" applyFont="1" applyFill="1" applyBorder="1" applyAlignment="1">
      <alignment vertical="center" wrapText="1"/>
    </xf>
    <xf numFmtId="165" fontId="41" fillId="0" borderId="19" xfId="0" applyNumberFormat="1" applyFont="1" applyBorder="1" applyAlignment="1" applyProtection="1">
      <alignment wrapText="1"/>
      <protection locked="0"/>
    </xf>
    <xf numFmtId="0" fontId="41" fillId="21" borderId="2" xfId="0" applyFont="1" applyFill="1" applyBorder="1" applyAlignment="1">
      <alignment vertical="center" wrapText="1"/>
    </xf>
    <xf numFmtId="165" fontId="41" fillId="0" borderId="2" xfId="0" applyNumberFormat="1" applyFont="1" applyBorder="1" applyAlignment="1" applyProtection="1">
      <alignment wrapText="1"/>
      <protection locked="0"/>
    </xf>
    <xf numFmtId="0" fontId="41" fillId="21" borderId="2" xfId="0" applyFont="1" applyFill="1" applyBorder="1" applyAlignment="1" applyProtection="1">
      <alignment vertical="center" wrapText="1"/>
      <protection locked="0"/>
    </xf>
    <xf numFmtId="165" fontId="42" fillId="22" borderId="2" xfId="1" applyFont="1" applyFill="1" applyBorder="1" applyAlignment="1" applyProtection="1">
      <alignment wrapText="1"/>
    </xf>
    <xf numFmtId="165" fontId="42" fillId="22" borderId="2" xfId="1" applyFont="1" applyFill="1" applyBorder="1" applyAlignment="1">
      <alignment wrapText="1"/>
    </xf>
    <xf numFmtId="0" fontId="41" fillId="20" borderId="0" xfId="0" applyFont="1" applyFill="1" applyAlignment="1">
      <alignment wrapText="1"/>
    </xf>
    <xf numFmtId="0" fontId="41" fillId="0" borderId="2" xfId="0" applyFont="1" applyBorder="1" applyAlignment="1">
      <alignment wrapText="1"/>
    </xf>
    <xf numFmtId="165" fontId="42" fillId="20" borderId="34" xfId="1" applyFont="1" applyFill="1" applyBorder="1" applyAlignment="1">
      <alignment wrapText="1"/>
    </xf>
    <xf numFmtId="0" fontId="42" fillId="21" borderId="36" xfId="0" applyFont="1" applyFill="1" applyBorder="1" applyAlignment="1">
      <alignment horizontal="left" wrapText="1"/>
    </xf>
    <xf numFmtId="165" fontId="42" fillId="21" borderId="36" xfId="0" applyNumberFormat="1" applyFont="1" applyFill="1" applyBorder="1" applyAlignment="1">
      <alignment horizontal="center" wrapText="1"/>
    </xf>
    <xf numFmtId="165" fontId="42" fillId="21" borderId="36" xfId="0" applyNumberFormat="1" applyFont="1" applyFill="1" applyBorder="1" applyAlignment="1">
      <alignment wrapText="1"/>
    </xf>
    <xf numFmtId="165" fontId="42" fillId="21" borderId="10" xfId="0" applyNumberFormat="1" applyFont="1" applyFill="1" applyBorder="1" applyAlignment="1">
      <alignment wrapText="1"/>
    </xf>
    <xf numFmtId="0" fontId="41" fillId="21" borderId="0" xfId="0" applyFont="1" applyFill="1" applyAlignment="1">
      <alignment wrapText="1"/>
    </xf>
    <xf numFmtId="165" fontId="42" fillId="21" borderId="19" xfId="0" applyNumberFormat="1" applyFont="1" applyFill="1" applyBorder="1" applyAlignment="1">
      <alignment wrapText="1"/>
    </xf>
    <xf numFmtId="165" fontId="42" fillId="20" borderId="37" xfId="0" applyNumberFormat="1" applyFont="1" applyFill="1" applyBorder="1" applyAlignment="1">
      <alignment wrapText="1"/>
    </xf>
    <xf numFmtId="0" fontId="41" fillId="21" borderId="2" xfId="0" applyFont="1" applyFill="1" applyBorder="1" applyAlignment="1">
      <alignment wrapText="1"/>
    </xf>
    <xf numFmtId="0" fontId="42" fillId="21" borderId="8" xfId="0" applyFont="1" applyFill="1" applyBorder="1" applyAlignment="1">
      <alignment horizontal="center" wrapText="1"/>
    </xf>
    <xf numFmtId="0" fontId="42" fillId="21" borderId="40" xfId="0" applyFont="1" applyFill="1" applyBorder="1" applyAlignment="1">
      <alignment vertical="center" wrapText="1"/>
    </xf>
    <xf numFmtId="165" fontId="41" fillId="21" borderId="19" xfId="0" applyNumberFormat="1" applyFont="1" applyFill="1" applyBorder="1" applyAlignment="1">
      <alignment wrapText="1"/>
    </xf>
    <xf numFmtId="165" fontId="42" fillId="21" borderId="3" xfId="0" applyNumberFormat="1" applyFont="1" applyFill="1" applyBorder="1" applyAlignment="1">
      <alignment wrapText="1"/>
    </xf>
    <xf numFmtId="0" fontId="41" fillId="21" borderId="6" xfId="0" applyFont="1" applyFill="1" applyBorder="1" applyAlignment="1">
      <alignment vertical="center" wrapText="1"/>
    </xf>
    <xf numFmtId="165" fontId="41" fillId="21" borderId="10" xfId="0" applyNumberFormat="1" applyFont="1" applyFill="1" applyBorder="1" applyAlignment="1">
      <alignment wrapText="1"/>
    </xf>
    <xf numFmtId="165" fontId="41" fillId="21" borderId="29" xfId="0" applyNumberFormat="1" applyFont="1" applyFill="1" applyBorder="1" applyAlignment="1">
      <alignment wrapText="1"/>
    </xf>
    <xf numFmtId="165" fontId="42" fillId="20" borderId="2" xfId="0" applyNumberFormat="1" applyFont="1" applyFill="1" applyBorder="1" applyAlignment="1">
      <alignment vertical="center" wrapText="1"/>
    </xf>
    <xf numFmtId="0" fontId="42" fillId="21" borderId="41" xfId="0" applyFont="1" applyFill="1" applyBorder="1" applyAlignment="1">
      <alignment wrapText="1"/>
    </xf>
    <xf numFmtId="165" fontId="42" fillId="21" borderId="42" xfId="0" applyNumberFormat="1" applyFont="1" applyFill="1" applyBorder="1" applyAlignment="1">
      <alignment wrapText="1"/>
    </xf>
    <xf numFmtId="165" fontId="42" fillId="23" borderId="2" xfId="0" applyNumberFormat="1" applyFont="1" applyFill="1" applyBorder="1" applyAlignment="1">
      <alignment vertical="center" wrapText="1"/>
    </xf>
    <xf numFmtId="0" fontId="43" fillId="0" borderId="0" xfId="0" applyFont="1"/>
    <xf numFmtId="0" fontId="41" fillId="0" borderId="0" xfId="0" applyFont="1"/>
    <xf numFmtId="0" fontId="42" fillId="21" borderId="19" xfId="0" applyFont="1" applyFill="1" applyBorder="1" applyAlignment="1">
      <alignment horizontal="center" wrapText="1"/>
    </xf>
    <xf numFmtId="0" fontId="42" fillId="21" borderId="2" xfId="0" applyFont="1" applyFill="1" applyBorder="1" applyAlignment="1">
      <alignment horizontal="center" vertical="center" wrapText="1"/>
    </xf>
    <xf numFmtId="0" fontId="42" fillId="21" borderId="6" xfId="0" applyFont="1" applyFill="1" applyBorder="1" applyAlignment="1">
      <alignment vertical="center" wrapText="1"/>
    </xf>
    <xf numFmtId="165" fontId="42" fillId="21" borderId="49" xfId="0" applyNumberFormat="1" applyFont="1" applyFill="1" applyBorder="1" applyAlignment="1">
      <alignment wrapText="1"/>
    </xf>
    <xf numFmtId="165" fontId="42" fillId="21" borderId="7" xfId="0" applyNumberFormat="1" applyFont="1" applyFill="1" applyBorder="1" applyAlignment="1">
      <alignment wrapText="1"/>
    </xf>
    <xf numFmtId="0" fontId="42" fillId="21" borderId="6" xfId="0" applyFont="1" applyFill="1" applyBorder="1" applyAlignment="1" applyProtection="1">
      <alignment vertical="center" wrapText="1"/>
      <protection locked="0"/>
    </xf>
    <xf numFmtId="0" fontId="42" fillId="21" borderId="16" xfId="0" applyFont="1" applyFill="1" applyBorder="1" applyAlignment="1">
      <alignment vertical="center" wrapText="1"/>
    </xf>
    <xf numFmtId="165" fontId="41" fillId="21" borderId="4" xfId="0" applyNumberFormat="1" applyFont="1" applyFill="1" applyBorder="1" applyAlignment="1">
      <alignment wrapText="1"/>
    </xf>
    <xf numFmtId="165" fontId="42" fillId="21" borderId="15" xfId="0" applyNumberFormat="1" applyFont="1" applyFill="1" applyBorder="1" applyAlignment="1">
      <alignment wrapText="1"/>
    </xf>
    <xf numFmtId="165" fontId="41" fillId="21" borderId="13" xfId="1" applyFont="1" applyFill="1" applyBorder="1" applyAlignment="1" applyProtection="1">
      <alignment wrapText="1"/>
    </xf>
    <xf numFmtId="165" fontId="41" fillId="21" borderId="14" xfId="1" applyFont="1" applyFill="1" applyBorder="1" applyAlignment="1">
      <alignment wrapText="1"/>
    </xf>
    <xf numFmtId="165" fontId="41" fillId="21" borderId="12" xfId="0" applyNumberFormat="1" applyFont="1" applyFill="1" applyBorder="1" applyAlignment="1">
      <alignment wrapText="1"/>
    </xf>
    <xf numFmtId="165" fontId="41" fillId="21" borderId="6" xfId="1" applyFont="1" applyFill="1" applyBorder="1" applyAlignment="1" applyProtection="1">
      <alignment wrapText="1"/>
    </xf>
    <xf numFmtId="165" fontId="42" fillId="21" borderId="2" xfId="1" applyFont="1" applyFill="1" applyBorder="1" applyAlignment="1">
      <alignment wrapText="1"/>
    </xf>
    <xf numFmtId="165" fontId="42" fillId="21" borderId="7" xfId="1" applyFont="1" applyFill="1" applyBorder="1" applyAlignment="1">
      <alignment wrapText="1"/>
    </xf>
    <xf numFmtId="165" fontId="42" fillId="21" borderId="9" xfId="1" applyFont="1" applyFill="1" applyBorder="1" applyAlignment="1" applyProtection="1">
      <alignment wrapText="1"/>
    </xf>
    <xf numFmtId="165" fontId="42" fillId="21" borderId="10" xfId="1" applyFont="1" applyFill="1" applyBorder="1" applyAlignment="1">
      <alignment wrapText="1"/>
    </xf>
    <xf numFmtId="165" fontId="42" fillId="21" borderId="11" xfId="1" applyFont="1" applyFill="1" applyBorder="1" applyAlignment="1">
      <alignment wrapText="1"/>
    </xf>
    <xf numFmtId="0" fontId="42" fillId="21" borderId="6" xfId="0" applyFont="1" applyFill="1" applyBorder="1" applyAlignment="1">
      <alignment horizontal="center" vertical="center" wrapText="1"/>
    </xf>
    <xf numFmtId="0" fontId="42" fillId="21" borderId="7" xfId="0" applyFont="1" applyFill="1" applyBorder="1" applyAlignment="1">
      <alignment horizontal="center" vertical="center" wrapText="1"/>
    </xf>
    <xf numFmtId="0" fontId="42" fillId="21" borderId="17" xfId="0" applyFont="1" applyFill="1" applyBorder="1" applyAlignment="1">
      <alignment horizontal="center" vertical="center" wrapText="1"/>
    </xf>
    <xf numFmtId="165" fontId="42" fillId="21" borderId="2" xfId="1" applyFont="1" applyFill="1" applyBorder="1" applyAlignment="1">
      <alignment vertical="center" wrapText="1"/>
    </xf>
    <xf numFmtId="165" fontId="42" fillId="21" borderId="7" xfId="2" applyNumberFormat="1" applyFont="1" applyFill="1" applyBorder="1" applyAlignment="1">
      <alignment vertical="center" wrapText="1"/>
    </xf>
    <xf numFmtId="9" fontId="42" fillId="21" borderId="17" xfId="2" applyFont="1" applyFill="1" applyBorder="1" applyAlignment="1">
      <alignment vertical="center" wrapText="1"/>
    </xf>
    <xf numFmtId="9" fontId="42" fillId="21" borderId="50" xfId="2" applyFont="1" applyFill="1" applyBorder="1" applyAlignment="1">
      <alignment vertical="center" wrapText="1"/>
    </xf>
    <xf numFmtId="0" fontId="42" fillId="21" borderId="9" xfId="0" applyFont="1" applyFill="1" applyBorder="1" applyAlignment="1">
      <alignment vertical="center" wrapText="1"/>
    </xf>
    <xf numFmtId="165" fontId="37" fillId="21" borderId="10" xfId="0" applyNumberFormat="1" applyFont="1" applyFill="1" applyBorder="1"/>
    <xf numFmtId="165" fontId="41" fillId="0" borderId="0" xfId="0" applyNumberFormat="1" applyFont="1" applyAlignment="1">
      <alignment wrapText="1"/>
    </xf>
    <xf numFmtId="165" fontId="42" fillId="0" borderId="0" xfId="1" applyFont="1" applyFill="1" applyBorder="1" applyAlignment="1" applyProtection="1">
      <alignment wrapText="1"/>
    </xf>
    <xf numFmtId="165" fontId="42" fillId="0" borderId="0" xfId="1" applyFont="1" applyFill="1" applyBorder="1" applyAlignment="1">
      <alignment wrapText="1"/>
    </xf>
    <xf numFmtId="165" fontId="6" fillId="0" borderId="0" xfId="0" applyNumberFormat="1" applyFont="1" applyAlignment="1">
      <alignment wrapText="1"/>
    </xf>
    <xf numFmtId="174" fontId="0" fillId="0" borderId="0" xfId="0" applyNumberFormat="1"/>
    <xf numFmtId="0" fontId="41" fillId="0" borderId="0" xfId="0" applyFont="1" applyAlignment="1">
      <alignment vertical="center" wrapText="1"/>
    </xf>
    <xf numFmtId="0" fontId="41" fillId="10" borderId="6" xfId="0" applyFont="1" applyFill="1" applyBorder="1" applyAlignment="1">
      <alignment vertical="center" wrapText="1"/>
    </xf>
    <xf numFmtId="165" fontId="41" fillId="25" borderId="2" xfId="1" applyFont="1" applyFill="1" applyBorder="1" applyAlignment="1" applyProtection="1">
      <alignment vertical="center" wrapText="1"/>
      <protection locked="0"/>
    </xf>
    <xf numFmtId="164" fontId="41" fillId="0" borderId="2" xfId="6" applyFont="1" applyBorder="1" applyAlignment="1">
      <alignment wrapText="1"/>
    </xf>
    <xf numFmtId="165" fontId="0" fillId="0" borderId="2" xfId="0" applyNumberFormat="1" applyBorder="1" applyAlignment="1">
      <alignment vertical="center"/>
    </xf>
    <xf numFmtId="165" fontId="42" fillId="0" borderId="2" xfId="0" applyNumberFormat="1" applyFont="1" applyBorder="1" applyAlignment="1">
      <alignment wrapText="1"/>
    </xf>
    <xf numFmtId="0" fontId="0" fillId="0" borderId="0" xfId="0" applyAlignment="1">
      <alignment vertical="center" wrapText="1"/>
    </xf>
    <xf numFmtId="0" fontId="45" fillId="26" borderId="54" xfId="7" applyFont="1" applyFill="1" applyBorder="1" applyAlignment="1">
      <alignment horizontal="center" vertical="center" wrapText="1"/>
    </xf>
    <xf numFmtId="0" fontId="38" fillId="0" borderId="0" xfId="7"/>
    <xf numFmtId="0" fontId="48" fillId="26" borderId="56" xfId="7" applyFont="1" applyFill="1" applyBorder="1" applyAlignment="1">
      <alignment horizontal="center" vertical="center" wrapText="1"/>
    </xf>
    <xf numFmtId="0" fontId="49" fillId="26" borderId="56" xfId="7" applyFont="1" applyFill="1" applyBorder="1" applyAlignment="1">
      <alignment horizontal="center" vertical="center" wrapText="1"/>
    </xf>
    <xf numFmtId="0" fontId="50" fillId="26" borderId="56" xfId="7" applyFont="1" applyFill="1" applyBorder="1" applyAlignment="1">
      <alignment horizontal="center" vertical="center" wrapText="1"/>
    </xf>
    <xf numFmtId="4" fontId="48" fillId="26" borderId="56" xfId="7" applyNumberFormat="1" applyFont="1" applyFill="1" applyBorder="1" applyAlignment="1">
      <alignment horizontal="center" vertical="center" wrapText="1"/>
    </xf>
    <xf numFmtId="4" fontId="51" fillId="27" borderId="53" xfId="7" applyNumberFormat="1" applyFont="1" applyFill="1" applyBorder="1" applyAlignment="1">
      <alignment vertical="center" wrapText="1"/>
    </xf>
    <xf numFmtId="4" fontId="38" fillId="0" borderId="0" xfId="7" applyNumberFormat="1"/>
    <xf numFmtId="0" fontId="51" fillId="28" borderId="30" xfId="7" applyFont="1" applyFill="1" applyBorder="1" applyAlignment="1">
      <alignment horizontal="center" vertical="center" wrapText="1"/>
    </xf>
    <xf numFmtId="0" fontId="51" fillId="28" borderId="31" xfId="7" applyFont="1" applyFill="1" applyBorder="1" applyAlignment="1">
      <alignment horizontal="center" vertical="center" wrapText="1"/>
    </xf>
    <xf numFmtId="0" fontId="51" fillId="28" borderId="32" xfId="7" applyFont="1" applyFill="1" applyBorder="1" applyAlignment="1">
      <alignment horizontal="center" vertical="center" wrapText="1"/>
    </xf>
    <xf numFmtId="4" fontId="51" fillId="28" borderId="54" xfId="7" applyNumberFormat="1" applyFont="1" applyFill="1" applyBorder="1" applyAlignment="1">
      <alignment vertical="center" wrapText="1"/>
    </xf>
    <xf numFmtId="0" fontId="51" fillId="0" borderId="0" xfId="7" applyFont="1" applyAlignment="1">
      <alignment horizontal="center" vertical="center" wrapText="1"/>
    </xf>
    <xf numFmtId="0" fontId="51" fillId="0" borderId="60" xfId="7" applyFont="1" applyBorder="1" applyAlignment="1">
      <alignment horizontal="center" vertical="center" wrapText="1"/>
    </xf>
    <xf numFmtId="4" fontId="51" fillId="0" borderId="53" xfId="7" applyNumberFormat="1" applyFont="1" applyBorder="1" applyAlignment="1">
      <alignment vertical="center" wrapText="1"/>
    </xf>
    <xf numFmtId="0" fontId="53" fillId="0" borderId="56" xfId="7" applyFont="1" applyBorder="1" applyAlignment="1">
      <alignment horizontal="justify" vertical="center" wrapText="1"/>
    </xf>
    <xf numFmtId="0" fontId="54" fillId="29" borderId="56" xfId="7" applyFont="1" applyFill="1" applyBorder="1" applyAlignment="1">
      <alignment horizontal="center" vertical="center" wrapText="1"/>
    </xf>
    <xf numFmtId="0" fontId="54" fillId="0" borderId="56" xfId="7" applyFont="1" applyBorder="1" applyAlignment="1">
      <alignment horizontal="center" vertical="center" wrapText="1"/>
    </xf>
    <xf numFmtId="0" fontId="50" fillId="0" borderId="56" xfId="7" applyFont="1" applyBorder="1" applyAlignment="1">
      <alignment horizontal="justify" vertical="center" wrapText="1"/>
    </xf>
    <xf numFmtId="0" fontId="50" fillId="10" borderId="56" xfId="7" applyFont="1" applyFill="1" applyBorder="1" applyAlignment="1">
      <alignment horizontal="justify" vertical="center" wrapText="1"/>
    </xf>
    <xf numFmtId="0" fontId="50" fillId="10" borderId="56" xfId="7" applyFont="1" applyFill="1" applyBorder="1" applyAlignment="1">
      <alignment horizontal="center" vertical="center" wrapText="1"/>
    </xf>
    <xf numFmtId="4" fontId="21" fillId="10" borderId="56" xfId="7" applyNumberFormat="1" applyFont="1" applyFill="1" applyBorder="1" applyAlignment="1">
      <alignment horizontal="justify" vertical="center" wrapText="1"/>
    </xf>
    <xf numFmtId="0" fontId="48" fillId="0" borderId="56" xfId="7" applyFont="1" applyBorder="1" applyAlignment="1">
      <alignment horizontal="justify" vertical="center" wrapText="1"/>
    </xf>
    <xf numFmtId="0" fontId="53" fillId="0" borderId="60" xfId="7" applyFont="1" applyBorder="1" applyAlignment="1">
      <alignment horizontal="justify" vertical="center" wrapText="1"/>
    </xf>
    <xf numFmtId="0" fontId="53" fillId="0" borderId="45" xfId="7" applyFont="1" applyBorder="1" applyAlignment="1">
      <alignment horizontal="justify" vertical="center" wrapText="1"/>
    </xf>
    <xf numFmtId="0" fontId="38" fillId="0" borderId="8" xfId="7" applyBorder="1"/>
    <xf numFmtId="0" fontId="38" fillId="0" borderId="25" xfId="7" applyBorder="1"/>
    <xf numFmtId="0" fontId="46" fillId="0" borderId="0" xfId="7" applyFont="1" applyAlignment="1">
      <alignment horizontal="justify" vertical="center" wrapText="1"/>
    </xf>
    <xf numFmtId="0" fontId="46" fillId="0" borderId="25" xfId="7" applyFont="1" applyBorder="1" applyAlignment="1">
      <alignment horizontal="justify" vertical="center" wrapText="1"/>
    </xf>
    <xf numFmtId="0" fontId="53" fillId="0" borderId="48" xfId="7" applyFont="1" applyBorder="1" applyAlignment="1">
      <alignment horizontal="justify" vertical="center" wrapText="1"/>
    </xf>
    <xf numFmtId="0" fontId="50" fillId="0" borderId="60" xfId="7" applyFont="1" applyBorder="1" applyAlignment="1">
      <alignment horizontal="justify" vertical="center" wrapText="1"/>
    </xf>
    <xf numFmtId="0" fontId="50" fillId="0" borderId="56" xfId="7" applyFont="1" applyBorder="1" applyAlignment="1">
      <alignment horizontal="center" vertical="center" wrapText="1"/>
    </xf>
    <xf numFmtId="4" fontId="21" fillId="0" borderId="56" xfId="7" applyNumberFormat="1" applyFont="1" applyBorder="1" applyAlignment="1">
      <alignment horizontal="justify" vertical="center" wrapText="1"/>
    </xf>
    <xf numFmtId="0" fontId="50" fillId="10" borderId="60" xfId="7" applyFont="1" applyFill="1" applyBorder="1" applyAlignment="1">
      <alignment horizontal="justify" vertical="center" wrapText="1"/>
    </xf>
    <xf numFmtId="0" fontId="50" fillId="10" borderId="60" xfId="7" applyFont="1" applyFill="1" applyBorder="1" applyAlignment="1">
      <alignment horizontal="center" vertical="center" wrapText="1"/>
    </xf>
    <xf numFmtId="4" fontId="21" fillId="10" borderId="60" xfId="7" applyNumberFormat="1" applyFont="1" applyFill="1" applyBorder="1" applyAlignment="1">
      <alignment horizontal="justify" vertical="center" wrapText="1"/>
    </xf>
    <xf numFmtId="0" fontId="47" fillId="0" borderId="8" xfId="7" applyFont="1" applyBorder="1" applyAlignment="1">
      <alignment horizontal="justify" vertical="center" wrapText="1"/>
    </xf>
    <xf numFmtId="0" fontId="47" fillId="0" borderId="25" xfId="7" applyFont="1" applyBorder="1" applyAlignment="1">
      <alignment horizontal="justify" vertical="center" wrapText="1"/>
    </xf>
    <xf numFmtId="0" fontId="50" fillId="10" borderId="70" xfId="7" applyFont="1" applyFill="1" applyBorder="1" applyAlignment="1">
      <alignment horizontal="justify" vertical="center" wrapText="1"/>
    </xf>
    <xf numFmtId="0" fontId="50" fillId="10" borderId="70" xfId="7" applyFont="1" applyFill="1" applyBorder="1" applyAlignment="1">
      <alignment horizontal="center" vertical="center" wrapText="1"/>
    </xf>
    <xf numFmtId="0" fontId="50" fillId="10" borderId="0" xfId="7" applyFont="1" applyFill="1" applyAlignment="1">
      <alignment horizontal="justify" vertical="center" wrapText="1"/>
    </xf>
    <xf numFmtId="4" fontId="21" fillId="10" borderId="70" xfId="7" applyNumberFormat="1" applyFont="1" applyFill="1" applyBorder="1" applyAlignment="1">
      <alignment horizontal="justify" vertical="center" wrapText="1"/>
    </xf>
    <xf numFmtId="0" fontId="38" fillId="0" borderId="43" xfId="7" applyBorder="1"/>
    <xf numFmtId="0" fontId="38" fillId="0" borderId="45" xfId="7" applyBorder="1"/>
    <xf numFmtId="0" fontId="50" fillId="10" borderId="59" xfId="7" applyFont="1" applyFill="1" applyBorder="1" applyAlignment="1">
      <alignment horizontal="justify" vertical="center" wrapText="1"/>
    </xf>
    <xf numFmtId="0" fontId="38" fillId="0" borderId="46" xfId="7" applyBorder="1"/>
    <xf numFmtId="0" fontId="38" fillId="0" borderId="48" xfId="7" applyBorder="1"/>
    <xf numFmtId="0" fontId="53" fillId="0" borderId="65" xfId="7" applyFont="1" applyBorder="1" applyAlignment="1">
      <alignment horizontal="justify" vertical="center" wrapText="1"/>
    </xf>
    <xf numFmtId="0" fontId="50" fillId="0" borderId="71" xfId="7" applyFont="1" applyBorder="1" applyAlignment="1">
      <alignment horizontal="justify" vertical="center" wrapText="1"/>
    </xf>
    <xf numFmtId="0" fontId="50" fillId="10" borderId="70" xfId="7" applyFont="1" applyFill="1" applyBorder="1" applyAlignment="1">
      <alignment horizontal="center" vertical="center"/>
    </xf>
    <xf numFmtId="0" fontId="53" fillId="0" borderId="0" xfId="7" applyFont="1" applyAlignment="1">
      <alignment horizontal="justify" vertical="center" wrapText="1"/>
    </xf>
    <xf numFmtId="0" fontId="53" fillId="0" borderId="67" xfId="7" applyFont="1" applyBorder="1" applyAlignment="1">
      <alignment horizontal="justify" vertical="center" wrapText="1"/>
    </xf>
    <xf numFmtId="0" fontId="50" fillId="0" borderId="51" xfId="7" applyFont="1" applyBorder="1" applyAlignment="1">
      <alignment horizontal="justify" vertical="center" wrapText="1"/>
    </xf>
    <xf numFmtId="0" fontId="50" fillId="0" borderId="51" xfId="7" applyFont="1" applyBorder="1" applyAlignment="1">
      <alignment horizontal="center"/>
    </xf>
    <xf numFmtId="4" fontId="21" fillId="0" borderId="51" xfId="7" applyNumberFormat="1" applyFont="1" applyBorder="1" applyAlignment="1">
      <alignment horizontal="justify" vertical="center" wrapText="1"/>
    </xf>
    <xf numFmtId="0" fontId="53" fillId="0" borderId="25" xfId="7" applyFont="1" applyBorder="1" applyAlignment="1">
      <alignment horizontal="justify" vertical="center" wrapText="1"/>
    </xf>
    <xf numFmtId="0" fontId="54" fillId="10" borderId="72" xfId="7" applyFont="1" applyFill="1" applyBorder="1" applyAlignment="1">
      <alignment horizontal="center" vertical="center" wrapText="1"/>
    </xf>
    <xf numFmtId="0" fontId="50" fillId="10" borderId="73" xfId="7" applyFont="1" applyFill="1" applyBorder="1" applyAlignment="1">
      <alignment horizontal="justify" vertical="center" wrapText="1"/>
    </xf>
    <xf numFmtId="0" fontId="50" fillId="10" borderId="31" xfId="7" applyFont="1" applyFill="1" applyBorder="1" applyAlignment="1">
      <alignment horizontal="center" vertical="center" wrapText="1"/>
    </xf>
    <xf numFmtId="0" fontId="54" fillId="10" borderId="70" xfId="7" applyFont="1" applyFill="1" applyBorder="1" applyAlignment="1">
      <alignment horizontal="center" vertical="center" wrapText="1"/>
    </xf>
    <xf numFmtId="4" fontId="21" fillId="10" borderId="32" xfId="7" applyNumberFormat="1" applyFont="1" applyFill="1" applyBorder="1" applyAlignment="1">
      <alignment horizontal="justify" vertical="center" wrapText="1"/>
    </xf>
    <xf numFmtId="0" fontId="54" fillId="0" borderId="60" xfId="7" applyFont="1" applyBorder="1" applyAlignment="1">
      <alignment horizontal="center" vertical="center" wrapText="1"/>
    </xf>
    <xf numFmtId="0" fontId="54" fillId="10" borderId="56" xfId="7" applyFont="1" applyFill="1" applyBorder="1" applyAlignment="1">
      <alignment horizontal="center" vertical="center" wrapText="1"/>
    </xf>
    <xf numFmtId="0" fontId="50" fillId="10" borderId="71" xfId="7" applyFont="1" applyFill="1" applyBorder="1" applyAlignment="1">
      <alignment horizontal="justify" vertical="center" wrapText="1"/>
    </xf>
    <xf numFmtId="0" fontId="54" fillId="12" borderId="56" xfId="7" applyFont="1" applyFill="1" applyBorder="1" applyAlignment="1">
      <alignment horizontal="center" vertical="center" wrapText="1"/>
    </xf>
    <xf numFmtId="0" fontId="38" fillId="0" borderId="1" xfId="7" applyBorder="1"/>
    <xf numFmtId="0" fontId="54" fillId="0" borderId="2" xfId="7" applyFont="1" applyBorder="1" applyAlignment="1">
      <alignment horizontal="center" vertical="center" wrapText="1"/>
    </xf>
    <xf numFmtId="0" fontId="38" fillId="0" borderId="2" xfId="7" applyBorder="1"/>
    <xf numFmtId="0" fontId="50" fillId="0" borderId="2" xfId="7" applyFont="1" applyBorder="1" applyAlignment="1">
      <alignment horizontal="justify" vertical="center" wrapText="1"/>
    </xf>
    <xf numFmtId="0" fontId="50" fillId="0" borderId="2" xfId="7" applyFont="1" applyBorder="1" applyAlignment="1">
      <alignment horizontal="center" vertical="center" wrapText="1"/>
    </xf>
    <xf numFmtId="0" fontId="50" fillId="0" borderId="2" xfId="7" applyFont="1" applyBorder="1" applyAlignment="1">
      <alignment horizontal="center" vertical="center"/>
    </xf>
    <xf numFmtId="4" fontId="21" fillId="0" borderId="2" xfId="7" applyNumberFormat="1" applyFont="1" applyBorder="1" applyAlignment="1">
      <alignment horizontal="justify" vertical="center" wrapText="1"/>
    </xf>
    <xf numFmtId="0" fontId="54" fillId="29" borderId="60" xfId="7" applyFont="1" applyFill="1" applyBorder="1" applyAlignment="1">
      <alignment horizontal="center" vertical="center" wrapText="1"/>
    </xf>
    <xf numFmtId="0" fontId="54" fillId="30" borderId="60" xfId="7" applyFont="1" applyFill="1" applyBorder="1" applyAlignment="1">
      <alignment horizontal="center" vertical="center" wrapText="1"/>
    </xf>
    <xf numFmtId="0" fontId="53" fillId="0" borderId="2" xfId="7" applyFont="1" applyBorder="1" applyAlignment="1">
      <alignment horizontal="justify" vertical="center" wrapText="1"/>
    </xf>
    <xf numFmtId="0" fontId="50" fillId="29" borderId="2" xfId="7" applyFont="1" applyFill="1" applyBorder="1" applyAlignment="1">
      <alignment horizontal="center" vertical="center" wrapText="1"/>
    </xf>
    <xf numFmtId="4" fontId="21" fillId="0" borderId="7" xfId="7" applyNumberFormat="1" applyFont="1" applyBorder="1" applyAlignment="1">
      <alignment horizontal="justify" vertical="center" wrapText="1"/>
    </xf>
    <xf numFmtId="0" fontId="50" fillId="10" borderId="2" xfId="7" applyFont="1" applyFill="1" applyBorder="1" applyAlignment="1">
      <alignment horizontal="justify" vertical="center" wrapText="1"/>
    </xf>
    <xf numFmtId="0" fontId="50" fillId="10" borderId="2" xfId="7" applyFont="1" applyFill="1" applyBorder="1" applyAlignment="1">
      <alignment horizontal="center" vertical="center" wrapText="1"/>
    </xf>
    <xf numFmtId="4" fontId="21" fillId="10" borderId="7" xfId="7" applyNumberFormat="1" applyFont="1" applyFill="1" applyBorder="1" applyAlignment="1">
      <alignment horizontal="justify" vertical="center" wrapText="1"/>
    </xf>
    <xf numFmtId="0" fontId="53" fillId="0" borderId="37" xfId="7" applyFont="1" applyBorder="1" applyAlignment="1">
      <alignment horizontal="justify" vertical="center" wrapText="1"/>
    </xf>
    <xf numFmtId="0" fontId="50" fillId="29" borderId="2" xfId="7" applyFont="1" applyFill="1" applyBorder="1" applyAlignment="1">
      <alignment horizontal="justify" vertical="center" wrapText="1"/>
    </xf>
    <xf numFmtId="0" fontId="50" fillId="0" borderId="1" xfId="7" applyFont="1" applyBorder="1" applyAlignment="1">
      <alignment horizontal="justify" vertical="center" wrapText="1"/>
    </xf>
    <xf numFmtId="0" fontId="53" fillId="0" borderId="1" xfId="7" applyFont="1" applyBorder="1" applyAlignment="1">
      <alignment horizontal="justify" vertical="center" wrapText="1"/>
    </xf>
    <xf numFmtId="0" fontId="38" fillId="0" borderId="47" xfId="7" applyBorder="1"/>
    <xf numFmtId="0" fontId="53" fillId="0" borderId="80" xfId="7" applyFont="1" applyBorder="1" applyAlignment="1">
      <alignment horizontal="justify" vertical="center" wrapText="1"/>
    </xf>
    <xf numFmtId="0" fontId="50" fillId="0" borderId="10" xfId="7" applyFont="1" applyBorder="1" applyAlignment="1">
      <alignment horizontal="justify" vertical="center" wrapText="1"/>
    </xf>
    <xf numFmtId="0" fontId="50" fillId="0" borderId="10" xfId="7" applyFont="1" applyBorder="1" applyAlignment="1">
      <alignment horizontal="center" vertical="center" wrapText="1"/>
    </xf>
    <xf numFmtId="4" fontId="21" fillId="0" borderId="11" xfId="7" applyNumberFormat="1" applyFont="1" applyBorder="1" applyAlignment="1">
      <alignment horizontal="justify" vertical="center" wrapText="1"/>
    </xf>
    <xf numFmtId="4" fontId="51" fillId="28" borderId="55" xfId="7" applyNumberFormat="1" applyFont="1" applyFill="1" applyBorder="1" applyAlignment="1">
      <alignment vertical="center" wrapText="1"/>
    </xf>
    <xf numFmtId="0" fontId="50" fillId="29" borderId="56" xfId="7" applyFont="1" applyFill="1" applyBorder="1" applyAlignment="1">
      <alignment horizontal="center" vertical="center" wrapText="1"/>
    </xf>
    <xf numFmtId="0" fontId="47" fillId="0" borderId="75" xfId="7" applyFont="1" applyBorder="1" applyAlignment="1">
      <alignment horizontal="justify" vertical="center" wrapText="1"/>
    </xf>
    <xf numFmtId="0" fontId="47" fillId="0" borderId="0" xfId="7" applyFont="1" applyAlignment="1">
      <alignment horizontal="justify" vertical="center" wrapText="1"/>
    </xf>
    <xf numFmtId="0" fontId="53" fillId="0" borderId="8" xfId="7" applyFont="1" applyBorder="1" applyAlignment="1">
      <alignment horizontal="justify" vertical="center" wrapText="1"/>
    </xf>
    <xf numFmtId="0" fontId="53" fillId="0" borderId="76" xfId="7" applyFont="1" applyBorder="1" applyAlignment="1">
      <alignment horizontal="justify" vertical="center" wrapText="1"/>
    </xf>
    <xf numFmtId="0" fontId="38" fillId="30" borderId="56" xfId="7" applyFill="1" applyBorder="1"/>
    <xf numFmtId="0" fontId="38" fillId="0" borderId="56" xfId="7" applyBorder="1"/>
    <xf numFmtId="0" fontId="50" fillId="30" borderId="56" xfId="7" applyFont="1" applyFill="1" applyBorder="1" applyAlignment="1">
      <alignment horizontal="center" vertical="center" wrapText="1"/>
    </xf>
    <xf numFmtId="0" fontId="38" fillId="0" borderId="75" xfId="7" applyBorder="1"/>
    <xf numFmtId="0" fontId="52" fillId="0" borderId="75" xfId="7" applyFont="1" applyBorder="1" applyAlignment="1">
      <alignment horizontal="justify" vertical="center" wrapText="1"/>
    </xf>
    <xf numFmtId="0" fontId="52" fillId="0" borderId="0" xfId="7" applyFont="1" applyAlignment="1">
      <alignment horizontal="justify" vertical="center" wrapText="1"/>
    </xf>
    <xf numFmtId="0" fontId="50" fillId="31" borderId="56" xfId="7" applyFont="1" applyFill="1" applyBorder="1" applyAlignment="1">
      <alignment horizontal="justify" vertical="center" wrapText="1"/>
    </xf>
    <xf numFmtId="0" fontId="50" fillId="31" borderId="56" xfId="7" applyFont="1" applyFill="1" applyBorder="1" applyAlignment="1">
      <alignment horizontal="center" vertical="center" wrapText="1"/>
    </xf>
    <xf numFmtId="4" fontId="21" fillId="31" borderId="56" xfId="7" applyNumberFormat="1" applyFont="1" applyFill="1" applyBorder="1" applyAlignment="1">
      <alignment horizontal="justify" vertical="center" wrapText="1"/>
    </xf>
    <xf numFmtId="0" fontId="50" fillId="29" borderId="56" xfId="7" applyFont="1" applyFill="1" applyBorder="1" applyAlignment="1">
      <alignment horizontal="justify" vertical="center" wrapText="1"/>
    </xf>
    <xf numFmtId="4" fontId="56" fillId="32" borderId="53" xfId="7" applyNumberFormat="1" applyFont="1" applyFill="1" applyBorder="1" applyAlignment="1">
      <alignment vertical="center" wrapText="1"/>
    </xf>
    <xf numFmtId="0" fontId="50" fillId="33" borderId="56" xfId="7" applyFont="1" applyFill="1" applyBorder="1" applyAlignment="1">
      <alignment horizontal="justify" vertical="center" wrapText="1"/>
    </xf>
    <xf numFmtId="0" fontId="50" fillId="33" borderId="56" xfId="7" applyFont="1" applyFill="1" applyBorder="1" applyAlignment="1">
      <alignment horizontal="center" vertical="center" wrapText="1"/>
    </xf>
    <xf numFmtId="0" fontId="50" fillId="33" borderId="56" xfId="7" applyFont="1" applyFill="1" applyBorder="1" applyAlignment="1">
      <alignment horizontal="center" vertical="center"/>
    </xf>
    <xf numFmtId="0" fontId="38" fillId="33" borderId="56" xfId="7" applyFill="1" applyBorder="1"/>
    <xf numFmtId="4" fontId="21" fillId="33" borderId="56" xfId="7" applyNumberFormat="1" applyFont="1" applyFill="1" applyBorder="1" applyAlignment="1">
      <alignment horizontal="justify" vertical="center" wrapText="1"/>
    </xf>
    <xf numFmtId="0" fontId="50" fillId="30" borderId="56" xfId="7" applyFont="1" applyFill="1" applyBorder="1" applyAlignment="1">
      <alignment horizontal="justify" vertical="center" wrapText="1"/>
    </xf>
    <xf numFmtId="0" fontId="46" fillId="0" borderId="8" xfId="7" applyFont="1" applyBorder="1" applyAlignment="1">
      <alignment horizontal="justify" vertical="center" wrapText="1"/>
    </xf>
    <xf numFmtId="0" fontId="50" fillId="10" borderId="56" xfId="7" applyFont="1" applyFill="1" applyBorder="1" applyAlignment="1">
      <alignment horizontal="center" vertical="center"/>
    </xf>
    <xf numFmtId="0" fontId="38" fillId="10" borderId="56" xfId="7" applyFill="1" applyBorder="1" applyAlignment="1">
      <alignment vertical="center"/>
    </xf>
    <xf numFmtId="0" fontId="54" fillId="0" borderId="56" xfId="7" applyFont="1" applyBorder="1" applyAlignment="1">
      <alignment horizontal="justify" vertical="center" wrapText="1"/>
    </xf>
    <xf numFmtId="0" fontId="54" fillId="29" borderId="56" xfId="7" applyFont="1" applyFill="1" applyBorder="1" applyAlignment="1">
      <alignment horizontal="justify" vertical="center" wrapText="1"/>
    </xf>
    <xf numFmtId="0" fontId="54" fillId="0" borderId="60" xfId="7" applyFont="1" applyBorder="1" applyAlignment="1">
      <alignment horizontal="justify" vertical="center" wrapText="1"/>
    </xf>
    <xf numFmtId="0" fontId="50" fillId="0" borderId="56" xfId="7" applyFont="1" applyBorder="1" applyAlignment="1">
      <alignment horizontal="center" vertical="center"/>
    </xf>
    <xf numFmtId="0" fontId="50" fillId="0" borderId="56" xfId="7" applyFont="1" applyBorder="1" applyAlignment="1">
      <alignment horizontal="center"/>
    </xf>
    <xf numFmtId="0" fontId="38" fillId="0" borderId="59" xfId="7" applyBorder="1"/>
    <xf numFmtId="0" fontId="38" fillId="0" borderId="52" xfId="7" applyBorder="1"/>
    <xf numFmtId="0" fontId="54" fillId="0" borderId="52" xfId="7" applyFont="1" applyBorder="1" applyAlignment="1">
      <alignment horizontal="center" vertical="center" wrapText="1"/>
    </xf>
    <xf numFmtId="0" fontId="50" fillId="0" borderId="60" xfId="7" applyFont="1" applyBorder="1" applyAlignment="1">
      <alignment horizontal="center" vertical="center" wrapText="1"/>
    </xf>
    <xf numFmtId="0" fontId="50" fillId="0" borderId="60" xfId="7" applyFont="1" applyBorder="1" applyAlignment="1">
      <alignment horizontal="center" vertical="center"/>
    </xf>
    <xf numFmtId="0" fontId="38" fillId="0" borderId="60" xfId="7" applyBorder="1"/>
    <xf numFmtId="4" fontId="58" fillId="11" borderId="56" xfId="7" applyNumberFormat="1" applyFont="1" applyFill="1" applyBorder="1" applyAlignment="1">
      <alignment horizontal="justify" vertical="center" wrapText="1"/>
    </xf>
    <xf numFmtId="0" fontId="51" fillId="28" borderId="43" xfId="7" applyFont="1" applyFill="1" applyBorder="1" applyAlignment="1">
      <alignment horizontal="center" vertical="center" wrapText="1"/>
    </xf>
    <xf numFmtId="0" fontId="51" fillId="28" borderId="44" xfId="7" applyFont="1" applyFill="1" applyBorder="1" applyAlignment="1">
      <alignment horizontal="center" vertical="center" wrapText="1"/>
    </xf>
    <xf numFmtId="0" fontId="51" fillId="28" borderId="45" xfId="7" applyFont="1" applyFill="1" applyBorder="1" applyAlignment="1">
      <alignment horizontal="center" vertical="center" wrapText="1"/>
    </xf>
    <xf numFmtId="0" fontId="38" fillId="0" borderId="30" xfId="7" applyBorder="1"/>
    <xf numFmtId="0" fontId="51" fillId="0" borderId="31" xfId="7" applyFont="1" applyBorder="1" applyAlignment="1">
      <alignment horizontal="center" vertical="center" wrapText="1"/>
    </xf>
    <xf numFmtId="0" fontId="51" fillId="0" borderId="32" xfId="7" applyFont="1" applyBorder="1" applyAlignment="1">
      <alignment horizontal="center" vertical="center" wrapText="1"/>
    </xf>
    <xf numFmtId="4" fontId="51" fillId="0" borderId="54" xfId="7" applyNumberFormat="1" applyFont="1" applyBorder="1" applyAlignment="1">
      <alignment vertical="center" wrapText="1"/>
    </xf>
    <xf numFmtId="0" fontId="52" fillId="0" borderId="75" xfId="7" applyFont="1" applyBorder="1" applyAlignment="1">
      <alignment horizontal="left" vertical="center" wrapText="1"/>
    </xf>
    <xf numFmtId="0" fontId="52" fillId="0" borderId="60" xfId="7" applyFont="1" applyBorder="1" applyAlignment="1">
      <alignment horizontal="left" vertical="center" wrapText="1"/>
    </xf>
    <xf numFmtId="0" fontId="59" fillId="0" borderId="75" xfId="7" applyFont="1" applyBorder="1" applyAlignment="1">
      <alignment horizontal="justify" vertical="center" wrapText="1"/>
    </xf>
    <xf numFmtId="0" fontId="59" fillId="0" borderId="60" xfId="7" applyFont="1" applyBorder="1" applyAlignment="1">
      <alignment horizontal="justify" vertical="center" wrapText="1"/>
    </xf>
    <xf numFmtId="0" fontId="49" fillId="0" borderId="56" xfId="7" applyFont="1" applyBorder="1" applyAlignment="1">
      <alignment horizontal="justify" vertical="center" wrapText="1"/>
    </xf>
    <xf numFmtId="4" fontId="50" fillId="0" borderId="56" xfId="7" applyNumberFormat="1" applyFont="1" applyBorder="1" applyAlignment="1">
      <alignment horizontal="justify" vertical="center" wrapText="1"/>
    </xf>
    <xf numFmtId="0" fontId="61" fillId="0" borderId="0" xfId="7" applyFont="1"/>
    <xf numFmtId="0" fontId="38" fillId="0" borderId="55" xfId="7" applyBorder="1"/>
    <xf numFmtId="0" fontId="50" fillId="29" borderId="60" xfId="7" applyFont="1" applyFill="1" applyBorder="1" applyAlignment="1">
      <alignment horizontal="center" vertical="center" wrapText="1"/>
    </xf>
    <xf numFmtId="0" fontId="50" fillId="0" borderId="44" xfId="7" applyFont="1" applyBorder="1" applyAlignment="1">
      <alignment horizontal="justify" vertical="center" wrapText="1"/>
    </xf>
    <xf numFmtId="0" fontId="50" fillId="0" borderId="44" xfId="7" applyFont="1" applyBorder="1" applyAlignment="1">
      <alignment horizontal="center" vertical="center" wrapText="1"/>
    </xf>
    <xf numFmtId="0" fontId="50" fillId="0" borderId="45" xfId="7" applyFont="1" applyBorder="1" applyAlignment="1">
      <alignment horizontal="justify" vertical="center" wrapText="1"/>
    </xf>
    <xf numFmtId="4" fontId="51" fillId="27" borderId="56" xfId="7" applyNumberFormat="1" applyFont="1" applyFill="1" applyBorder="1" applyAlignment="1">
      <alignment horizontal="justify" vertical="center" wrapText="1"/>
    </xf>
    <xf numFmtId="4" fontId="51" fillId="28" borderId="56" xfId="7" applyNumberFormat="1" applyFont="1" applyFill="1" applyBorder="1" applyAlignment="1">
      <alignment horizontal="justify" vertical="center" wrapText="1"/>
    </xf>
    <xf numFmtId="0" fontId="50" fillId="0" borderId="31" xfId="7" applyFont="1" applyBorder="1" applyAlignment="1">
      <alignment horizontal="justify" vertical="center" wrapText="1"/>
    </xf>
    <xf numFmtId="0" fontId="50" fillId="0" borderId="31" xfId="7" applyFont="1" applyBorder="1" applyAlignment="1">
      <alignment horizontal="center" vertical="center" wrapText="1"/>
    </xf>
    <xf numFmtId="0" fontId="50" fillId="0" borderId="32" xfId="7" applyFont="1" applyBorder="1" applyAlignment="1">
      <alignment horizontal="justify" vertical="center" wrapText="1"/>
    </xf>
    <xf numFmtId="4" fontId="51" fillId="0" borderId="56" xfId="7" applyNumberFormat="1" applyFont="1" applyBorder="1" applyAlignment="1">
      <alignment horizontal="justify" vertical="center" wrapText="1"/>
    </xf>
    <xf numFmtId="0" fontId="50" fillId="0" borderId="0" xfId="7" applyFont="1" applyAlignment="1">
      <alignment horizontal="center"/>
    </xf>
    <xf numFmtId="0" fontId="50" fillId="0" borderId="0" xfId="7" applyFont="1"/>
    <xf numFmtId="0" fontId="2" fillId="0" borderId="0" xfId="0" applyFont="1" applyAlignment="1">
      <alignment vertical="center" wrapText="1"/>
    </xf>
    <xf numFmtId="0" fontId="2" fillId="0" borderId="0" xfId="0" applyFont="1" applyAlignment="1">
      <alignment wrapText="1"/>
    </xf>
    <xf numFmtId="164" fontId="6" fillId="0" borderId="0" xfId="6" applyFont="1" applyBorder="1" applyAlignment="1">
      <alignment wrapText="1"/>
    </xf>
    <xf numFmtId="165" fontId="41" fillId="0" borderId="2" xfId="1" applyFont="1" applyBorder="1" applyAlignment="1">
      <alignment wrapText="1"/>
    </xf>
    <xf numFmtId="164" fontId="0" fillId="7" borderId="2" xfId="0" applyNumberFormat="1" applyFill="1" applyBorder="1" applyAlignment="1">
      <alignment vertical="center"/>
    </xf>
    <xf numFmtId="165" fontId="0" fillId="7" borderId="2" xfId="0" applyNumberFormat="1" applyFill="1" applyBorder="1" applyAlignment="1">
      <alignment vertical="center"/>
    </xf>
    <xf numFmtId="165" fontId="66" fillId="0" borderId="19" xfId="0" applyNumberFormat="1" applyFont="1" applyBorder="1" applyAlignment="1" applyProtection="1">
      <alignment wrapText="1"/>
      <protection locked="0"/>
    </xf>
    <xf numFmtId="165" fontId="66" fillId="0" borderId="2" xfId="0" applyNumberFormat="1" applyFont="1" applyBorder="1" applyAlignment="1" applyProtection="1">
      <alignment wrapText="1"/>
      <protection locked="0"/>
    </xf>
    <xf numFmtId="165" fontId="2" fillId="0" borderId="2" xfId="1" applyFont="1" applyBorder="1" applyAlignment="1" applyProtection="1">
      <alignment horizontal="center" vertical="center" wrapText="1"/>
      <protection locked="0"/>
    </xf>
    <xf numFmtId="0" fontId="3" fillId="0" borderId="0" xfId="0" applyFont="1" applyAlignment="1" applyProtection="1">
      <alignment vertical="center" wrapText="1"/>
      <protection locked="0"/>
    </xf>
    <xf numFmtId="165" fontId="3" fillId="0" borderId="0" xfId="1" applyFont="1" applyFill="1" applyBorder="1" applyAlignment="1" applyProtection="1">
      <alignment vertical="center" wrapText="1"/>
      <protection locked="0"/>
    </xf>
    <xf numFmtId="165" fontId="42" fillId="21" borderId="4" xfId="1" applyFont="1" applyFill="1" applyBorder="1" applyAlignment="1" applyProtection="1">
      <alignment horizontal="center" vertical="center" wrapText="1"/>
      <protection locked="0"/>
    </xf>
    <xf numFmtId="165" fontId="42" fillId="0" borderId="0" xfId="0" applyNumberFormat="1" applyFont="1" applyAlignment="1">
      <alignment wrapText="1"/>
    </xf>
    <xf numFmtId="164" fontId="41" fillId="21" borderId="2" xfId="6" applyFont="1" applyFill="1" applyBorder="1" applyAlignment="1">
      <alignment wrapText="1"/>
    </xf>
    <xf numFmtId="165" fontId="3" fillId="0" borderId="2" xfId="1" applyFont="1" applyFill="1" applyBorder="1" applyAlignment="1" applyProtection="1">
      <alignment horizontal="center" vertical="center" wrapText="1"/>
      <protection locked="0"/>
    </xf>
    <xf numFmtId="165" fontId="11" fillId="0" borderId="0" xfId="1" applyFont="1" applyFill="1" applyBorder="1" applyAlignment="1">
      <alignment wrapText="1"/>
    </xf>
    <xf numFmtId="165" fontId="9" fillId="0" borderId="0" xfId="1" applyFont="1" applyFill="1" applyBorder="1" applyAlignment="1">
      <alignment horizontal="left" wrapText="1"/>
    </xf>
    <xf numFmtId="0" fontId="37" fillId="0" borderId="14" xfId="0" applyFont="1" applyBorder="1" applyAlignment="1">
      <alignment vertical="center" wrapText="1"/>
    </xf>
    <xf numFmtId="0" fontId="3" fillId="0" borderId="2" xfId="0" applyFont="1" applyBorder="1" applyAlignment="1">
      <alignment horizontal="center" vertical="center" wrapText="1"/>
    </xf>
    <xf numFmtId="165" fontId="6" fillId="0" borderId="2" xfId="1" applyFont="1" applyFill="1" applyBorder="1" applyAlignment="1" applyProtection="1">
      <alignment horizontal="center" vertical="center" wrapText="1"/>
      <protection locked="0"/>
    </xf>
    <xf numFmtId="165" fontId="3" fillId="0" borderId="7" xfId="0" applyNumberFormat="1" applyFont="1" applyBorder="1" applyAlignment="1">
      <alignment vertical="center" wrapText="1"/>
    </xf>
    <xf numFmtId="165" fontId="0" fillId="0" borderId="13" xfId="0" applyNumberFormat="1" applyBorder="1"/>
    <xf numFmtId="165" fontId="0" fillId="0" borderId="14" xfId="0" applyNumberFormat="1" applyBorder="1"/>
    <xf numFmtId="0" fontId="0" fillId="0" borderId="14" xfId="0" applyBorder="1"/>
    <xf numFmtId="165" fontId="42" fillId="21" borderId="6" xfId="1" applyFont="1" applyFill="1" applyBorder="1" applyAlignment="1" applyProtection="1">
      <alignment horizontal="center" vertical="center" wrapText="1"/>
      <protection locked="0"/>
    </xf>
    <xf numFmtId="165" fontId="42" fillId="21" borderId="9" xfId="1" applyFont="1" applyFill="1" applyBorder="1" applyAlignment="1" applyProtection="1">
      <alignment horizontal="center" vertical="center" wrapText="1"/>
      <protection locked="0"/>
    </xf>
    <xf numFmtId="173" fontId="0" fillId="0" borderId="10" xfId="0" applyNumberFormat="1" applyBorder="1"/>
    <xf numFmtId="165" fontId="0" fillId="0" borderId="10" xfId="0" applyNumberFormat="1" applyBorder="1"/>
    <xf numFmtId="170" fontId="0" fillId="7" borderId="10" xfId="0" applyNumberFormat="1" applyFill="1" applyBorder="1"/>
    <xf numFmtId="165" fontId="0" fillId="7" borderId="10" xfId="0" applyNumberFormat="1" applyFill="1" applyBorder="1"/>
    <xf numFmtId="164" fontId="2" fillId="0" borderId="0" xfId="6" applyFont="1" applyBorder="1" applyAlignment="1">
      <alignment wrapText="1"/>
    </xf>
    <xf numFmtId="165" fontId="8" fillId="0" borderId="2" xfId="0" applyNumberFormat="1" applyFont="1" applyBorder="1" applyAlignment="1">
      <alignment vertical="center"/>
    </xf>
    <xf numFmtId="164" fontId="42" fillId="0" borderId="2" xfId="6" applyFont="1" applyBorder="1" applyAlignment="1">
      <alignment wrapText="1"/>
    </xf>
    <xf numFmtId="164" fontId="2" fillId="0" borderId="2" xfId="6" applyFont="1" applyBorder="1" applyAlignment="1">
      <alignment vertical="center" wrapText="1"/>
    </xf>
    <xf numFmtId="166" fontId="41" fillId="20" borderId="0" xfId="0" applyNumberFormat="1" applyFont="1" applyFill="1" applyAlignment="1">
      <alignment wrapText="1"/>
    </xf>
    <xf numFmtId="164" fontId="2" fillId="0" borderId="2" xfId="6" applyFont="1" applyFill="1" applyBorder="1" applyAlignment="1">
      <alignment vertical="center" wrapText="1"/>
    </xf>
    <xf numFmtId="164" fontId="63" fillId="0" borderId="2" xfId="6" applyFont="1" applyFill="1" applyBorder="1" applyAlignment="1">
      <alignment vertical="center" wrapText="1"/>
    </xf>
    <xf numFmtId="165" fontId="7" fillId="0" borderId="2" xfId="0" applyNumberFormat="1" applyFont="1" applyBorder="1" applyAlignment="1">
      <alignment wrapText="1"/>
    </xf>
    <xf numFmtId="165" fontId="42" fillId="23" borderId="2" xfId="1" applyFont="1" applyFill="1" applyBorder="1" applyAlignment="1">
      <alignment vertical="center" wrapText="1"/>
    </xf>
    <xf numFmtId="0" fontId="69" fillId="0" borderId="0" xfId="0" applyFont="1" applyAlignment="1">
      <alignment wrapText="1"/>
    </xf>
    <xf numFmtId="165" fontId="72" fillId="0" borderId="2" xfId="0" applyNumberFormat="1" applyFont="1" applyBorder="1" applyAlignment="1" applyProtection="1">
      <alignment wrapText="1"/>
      <protection locked="0"/>
    </xf>
    <xf numFmtId="164" fontId="72" fillId="0" borderId="2" xfId="6" applyFont="1" applyBorder="1" applyAlignment="1">
      <alignment wrapText="1"/>
    </xf>
    <xf numFmtId="164" fontId="62" fillId="0" borderId="2" xfId="6" applyFont="1" applyFill="1" applyBorder="1" applyAlignment="1">
      <alignment vertical="center" wrapText="1"/>
    </xf>
    <xf numFmtId="164" fontId="62" fillId="0" borderId="2" xfId="6" applyFont="1" applyBorder="1" applyAlignment="1">
      <alignment vertical="center" wrapText="1"/>
    </xf>
    <xf numFmtId="0" fontId="44" fillId="0" borderId="2" xfId="0" applyFont="1" applyBorder="1" applyAlignment="1">
      <alignment wrapText="1"/>
    </xf>
    <xf numFmtId="0" fontId="42" fillId="21" borderId="0" xfId="0" applyFont="1" applyFill="1" applyAlignment="1">
      <alignment horizontal="center" wrapText="1"/>
    </xf>
    <xf numFmtId="164" fontId="41" fillId="21" borderId="19" xfId="6" applyFont="1" applyFill="1" applyBorder="1" applyAlignment="1">
      <alignment vertical="center" wrapText="1"/>
    </xf>
    <xf numFmtId="164" fontId="41" fillId="21" borderId="2" xfId="6" applyFont="1" applyFill="1" applyBorder="1" applyAlignment="1">
      <alignment vertical="center" wrapText="1"/>
    </xf>
    <xf numFmtId="164" fontId="41" fillId="21" borderId="2" xfId="6" applyFont="1" applyFill="1" applyBorder="1" applyAlignment="1" applyProtection="1">
      <alignment vertical="center" wrapText="1"/>
      <protection locked="0"/>
    </xf>
    <xf numFmtId="164" fontId="42" fillId="22" borderId="2" xfId="6" applyFont="1" applyFill="1" applyBorder="1" applyAlignment="1" applyProtection="1">
      <alignment wrapText="1"/>
    </xf>
    <xf numFmtId="0" fontId="42" fillId="21" borderId="5" xfId="0" applyFont="1" applyFill="1" applyBorder="1" applyAlignment="1">
      <alignment vertical="center" wrapText="1"/>
    </xf>
    <xf numFmtId="0" fontId="42" fillId="21" borderId="5" xfId="0" applyFont="1" applyFill="1" applyBorder="1" applyAlignment="1" applyProtection="1">
      <alignment vertical="center" wrapText="1"/>
      <protection locked="0"/>
    </xf>
    <xf numFmtId="164" fontId="42" fillId="21" borderId="2" xfId="6" applyFont="1" applyFill="1" applyBorder="1" applyAlignment="1">
      <alignment vertical="center" wrapText="1"/>
    </xf>
    <xf numFmtId="164" fontId="42" fillId="21" borderId="2" xfId="6" applyFont="1" applyFill="1" applyBorder="1" applyAlignment="1" applyProtection="1">
      <alignment vertical="center" wrapText="1"/>
      <protection locked="0"/>
    </xf>
    <xf numFmtId="164" fontId="41" fillId="10" borderId="1" xfId="0" applyNumberFormat="1" applyFont="1" applyFill="1" applyBorder="1" applyAlignment="1">
      <alignment vertical="center" wrapText="1"/>
    </xf>
    <xf numFmtId="166" fontId="41" fillId="21" borderId="37" xfId="0" applyNumberFormat="1" applyFont="1" applyFill="1" applyBorder="1" applyAlignment="1">
      <alignment vertical="center" wrapText="1"/>
    </xf>
    <xf numFmtId="166" fontId="42" fillId="21" borderId="2" xfId="0" applyNumberFormat="1" applyFont="1" applyFill="1" applyBorder="1" applyAlignment="1">
      <alignment wrapText="1"/>
    </xf>
    <xf numFmtId="0" fontId="3" fillId="2" borderId="80" xfId="0" applyFont="1" applyFill="1" applyBorder="1"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37" xfId="0" applyFont="1" applyFill="1" applyBorder="1" applyAlignment="1">
      <alignment vertical="center" wrapText="1"/>
    </xf>
    <xf numFmtId="0" fontId="4" fillId="2" borderId="22" xfId="0" applyFont="1" applyFill="1" applyBorder="1" applyAlignment="1">
      <alignment horizontal="left" vertical="center" wrapText="1"/>
    </xf>
    <xf numFmtId="0" fontId="4" fillId="2" borderId="33" xfId="0" applyFont="1" applyFill="1" applyBorder="1" applyAlignment="1">
      <alignment horizontal="left" vertical="center" wrapText="1"/>
    </xf>
    <xf numFmtId="164" fontId="2" fillId="0" borderId="2" xfId="6" applyFont="1" applyBorder="1" applyAlignment="1" applyProtection="1">
      <alignment horizontal="left" vertical="top" wrapText="1"/>
      <protection locked="0"/>
    </xf>
    <xf numFmtId="164" fontId="3" fillId="2" borderId="2" xfId="6" applyFont="1" applyFill="1" applyBorder="1" applyAlignment="1">
      <alignment vertical="center" wrapText="1"/>
    </xf>
    <xf numFmtId="164" fontId="3" fillId="2" borderId="4" xfId="0" applyNumberFormat="1" applyFont="1" applyFill="1" applyBorder="1" applyAlignment="1">
      <alignment vertical="center" wrapText="1"/>
    </xf>
    <xf numFmtId="165" fontId="3" fillId="2" borderId="2" xfId="0" applyNumberFormat="1" applyFont="1" applyFill="1" applyBorder="1" applyAlignment="1">
      <alignment vertical="center" wrapText="1"/>
    </xf>
    <xf numFmtId="164" fontId="3" fillId="2" borderId="2" xfId="0" applyNumberFormat="1" applyFont="1" applyFill="1" applyBorder="1" applyAlignment="1">
      <alignment vertical="center" wrapText="1"/>
    </xf>
    <xf numFmtId="164" fontId="2" fillId="2" borderId="1" xfId="6" applyFont="1" applyFill="1" applyBorder="1" applyAlignment="1">
      <alignment vertical="center" wrapText="1"/>
    </xf>
    <xf numFmtId="164" fontId="3" fillId="2" borderId="80" xfId="6" applyFont="1" applyFill="1" applyBorder="1" applyAlignment="1">
      <alignment vertical="center" wrapText="1"/>
    </xf>
    <xf numFmtId="165" fontId="2" fillId="0" borderId="0" xfId="1" applyFont="1" applyFill="1" applyBorder="1" applyAlignment="1" applyProtection="1">
      <alignment horizontal="center" vertical="center" wrapText="1"/>
      <protection locked="0"/>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0" borderId="14" xfId="0" applyFont="1" applyBorder="1" applyAlignment="1" applyProtection="1">
      <alignment horizontal="center" vertical="center" wrapText="1"/>
      <protection locked="0"/>
    </xf>
    <xf numFmtId="0" fontId="3" fillId="0" borderId="6" xfId="0" applyFont="1" applyBorder="1" applyAlignment="1">
      <alignment horizontal="center" vertical="center" wrapText="1"/>
    </xf>
    <xf numFmtId="0" fontId="0" fillId="0" borderId="7" xfId="0" applyBorder="1" applyAlignment="1">
      <alignment wrapText="1"/>
    </xf>
    <xf numFmtId="0" fontId="3" fillId="6" borderId="6" xfId="0" applyFont="1" applyFill="1" applyBorder="1" applyAlignment="1">
      <alignment vertical="center" wrapText="1"/>
    </xf>
    <xf numFmtId="0" fontId="64" fillId="6" borderId="6" xfId="0" applyFont="1" applyFill="1" applyBorder="1" applyAlignment="1">
      <alignment vertical="center" wrapText="1"/>
    </xf>
    <xf numFmtId="0" fontId="6" fillId="6" borderId="6" xfId="0" applyFont="1" applyFill="1" applyBorder="1" applyAlignment="1">
      <alignment vertical="center" wrapText="1"/>
    </xf>
    <xf numFmtId="0" fontId="8" fillId="0" borderId="7" xfId="0" applyFont="1" applyBorder="1" applyAlignment="1">
      <alignment wrapText="1"/>
    </xf>
    <xf numFmtId="0" fontId="3" fillId="3" borderId="8" xfId="0" applyFont="1" applyFill="1" applyBorder="1" applyAlignment="1">
      <alignment vertical="center" wrapText="1"/>
    </xf>
    <xf numFmtId="0" fontId="71" fillId="0" borderId="7" xfId="0" applyFont="1" applyBorder="1" applyAlignment="1">
      <alignment wrapText="1"/>
    </xf>
    <xf numFmtId="0" fontId="3" fillId="2" borderId="94" xfId="0" applyFont="1" applyFill="1" applyBorder="1" applyAlignment="1">
      <alignment vertical="center" wrapText="1"/>
    </xf>
    <xf numFmtId="0" fontId="3" fillId="3" borderId="9" xfId="0" applyFont="1" applyFill="1" applyBorder="1" applyAlignment="1">
      <alignment vertical="center" wrapText="1"/>
    </xf>
    <xf numFmtId="0" fontId="3" fillId="4" borderId="10" xfId="0" applyFont="1" applyFill="1" applyBorder="1" applyAlignment="1" applyProtection="1">
      <alignment vertical="center" wrapText="1"/>
      <protection locked="0"/>
    </xf>
    <xf numFmtId="164" fontId="3" fillId="4" borderId="10" xfId="0" applyNumberFormat="1" applyFont="1" applyFill="1" applyBorder="1" applyAlignment="1" applyProtection="1">
      <alignment vertical="center" wrapText="1"/>
      <protection locked="0"/>
    </xf>
    <xf numFmtId="165" fontId="3" fillId="4" borderId="10" xfId="1" applyFont="1" applyFill="1" applyBorder="1" applyAlignment="1" applyProtection="1">
      <alignment vertical="center" wrapText="1"/>
    </xf>
    <xf numFmtId="165" fontId="3" fillId="2" borderId="10" xfId="1" applyFont="1" applyFill="1" applyBorder="1" applyAlignment="1" applyProtection="1">
      <alignment horizontal="center" vertical="center" wrapText="1"/>
    </xf>
    <xf numFmtId="165" fontId="3" fillId="0" borderId="10" xfId="1" applyFont="1" applyFill="1" applyBorder="1" applyAlignment="1" applyProtection="1">
      <alignment horizontal="center" vertical="center" wrapText="1"/>
    </xf>
    <xf numFmtId="0" fontId="2" fillId="6" borderId="6" xfId="0" applyFont="1" applyFill="1" applyBorder="1" applyAlignment="1">
      <alignment vertical="center" wrapText="1"/>
    </xf>
    <xf numFmtId="165" fontId="2" fillId="2" borderId="2" xfId="1" applyFont="1" applyFill="1" applyBorder="1" applyAlignment="1" applyProtection="1">
      <alignment horizontal="center" vertical="center" wrapText="1"/>
    </xf>
    <xf numFmtId="9" fontId="2" fillId="0" borderId="2" xfId="2" applyFont="1" applyBorder="1" applyAlignment="1" applyProtection="1">
      <alignment horizontal="center" vertical="center" wrapText="1"/>
      <protection locked="0"/>
    </xf>
    <xf numFmtId="165" fontId="2" fillId="3" borderId="2" xfId="8" applyFont="1" applyFill="1" applyBorder="1" applyAlignment="1">
      <alignment horizontal="center" vertical="center" wrapText="1"/>
    </xf>
    <xf numFmtId="165" fontId="2" fillId="0" borderId="2" xfId="1" applyFont="1" applyFill="1" applyBorder="1" applyAlignment="1" applyProtection="1">
      <alignment horizontal="center" vertical="center" wrapText="1"/>
      <protection locked="0"/>
    </xf>
    <xf numFmtId="165" fontId="3" fillId="0" borderId="2" xfId="1" applyFont="1" applyBorder="1" applyAlignment="1" applyProtection="1">
      <alignment horizontal="center" vertical="center" wrapText="1"/>
      <protection locked="0"/>
    </xf>
    <xf numFmtId="165" fontId="7" fillId="0" borderId="2" xfId="0" applyNumberFormat="1" applyFont="1" applyBorder="1" applyAlignment="1">
      <alignment vertical="center" wrapText="1"/>
    </xf>
    <xf numFmtId="0" fontId="0" fillId="0" borderId="6" xfId="0" applyBorder="1" applyAlignment="1">
      <alignment wrapText="1"/>
    </xf>
    <xf numFmtId="4" fontId="73" fillId="0" borderId="2" xfId="0" applyNumberFormat="1" applyFont="1" applyBorder="1" applyAlignment="1">
      <alignment vertical="center"/>
    </xf>
    <xf numFmtId="0" fontId="2" fillId="3" borderId="8" xfId="0" applyFont="1" applyFill="1" applyBorder="1" applyAlignment="1" applyProtection="1">
      <alignment vertical="center" wrapText="1"/>
      <protection locked="0"/>
    </xf>
    <xf numFmtId="0" fontId="2" fillId="3" borderId="0" xfId="0" applyFont="1" applyFill="1" applyAlignment="1" applyProtection="1">
      <alignment horizontal="left" vertical="top" wrapText="1"/>
      <protection locked="0"/>
    </xf>
    <xf numFmtId="165" fontId="2" fillId="3" borderId="0" xfId="1" applyFont="1" applyFill="1" applyBorder="1" applyAlignment="1" applyProtection="1">
      <alignment horizontal="center" vertical="center" wrapText="1"/>
      <protection locked="0"/>
    </xf>
    <xf numFmtId="0" fontId="0" fillId="3" borderId="7" xfId="0" applyFill="1" applyBorder="1" applyAlignment="1">
      <alignment wrapText="1"/>
    </xf>
    <xf numFmtId="0" fontId="2" fillId="3" borderId="0" xfId="0" applyFont="1" applyFill="1" applyAlignment="1" applyProtection="1">
      <alignment vertical="center" wrapText="1"/>
      <protection locked="0"/>
    </xf>
    <xf numFmtId="165" fontId="2" fillId="3" borderId="0" xfId="1" applyFont="1" applyFill="1" applyBorder="1" applyAlignment="1" applyProtection="1">
      <alignment vertical="center" wrapText="1"/>
      <protection locked="0"/>
    </xf>
    <xf numFmtId="165" fontId="2" fillId="0" borderId="0" xfId="1" applyFont="1" applyFill="1" applyBorder="1" applyAlignment="1" applyProtection="1">
      <alignment vertical="center" wrapText="1"/>
      <protection locked="0"/>
    </xf>
    <xf numFmtId="0" fontId="0" fillId="0" borderId="49" xfId="0" applyBorder="1" applyAlignment="1">
      <alignment wrapText="1"/>
    </xf>
    <xf numFmtId="0" fontId="0" fillId="0" borderId="7" xfId="0" applyBorder="1" applyAlignment="1">
      <alignment vertical="center" wrapText="1"/>
    </xf>
    <xf numFmtId="0" fontId="2" fillId="3" borderId="2" xfId="0" applyFont="1" applyFill="1" applyBorder="1" applyAlignment="1" applyProtection="1">
      <alignment vertical="center" wrapText="1"/>
      <protection locked="0"/>
    </xf>
    <xf numFmtId="164" fontId="2" fillId="3" borderId="2" xfId="6" applyFont="1" applyFill="1" applyBorder="1" applyAlignment="1" applyProtection="1">
      <alignment vertical="center" wrapText="1"/>
      <protection locked="0"/>
    </xf>
    <xf numFmtId="165" fontId="2" fillId="0" borderId="2" xfId="1" applyFont="1" applyBorder="1" applyAlignment="1" applyProtection="1">
      <alignment vertical="center" wrapText="1"/>
      <protection locked="0"/>
    </xf>
    <xf numFmtId="165" fontId="2" fillId="2" borderId="2" xfId="1" applyFont="1" applyFill="1" applyBorder="1" applyAlignment="1" applyProtection="1">
      <alignment vertical="center" wrapText="1"/>
    </xf>
    <xf numFmtId="9" fontId="2" fillId="0" borderId="2" xfId="2" applyFont="1" applyBorder="1" applyAlignment="1" applyProtection="1">
      <alignment vertical="center" wrapText="1"/>
      <protection locked="0"/>
    </xf>
    <xf numFmtId="165" fontId="2" fillId="0" borderId="2" xfId="1" applyFont="1" applyFill="1" applyBorder="1" applyAlignment="1" applyProtection="1">
      <alignment vertical="center" wrapText="1"/>
      <protection locked="0"/>
    </xf>
    <xf numFmtId="0" fontId="2" fillId="3" borderId="1" xfId="0" applyFont="1" applyFill="1" applyBorder="1" applyAlignment="1" applyProtection="1">
      <alignment vertical="center" wrapText="1"/>
      <protection locked="0"/>
    </xf>
    <xf numFmtId="164" fontId="2" fillId="3" borderId="1" xfId="6" applyFont="1" applyFill="1" applyBorder="1" applyAlignment="1" applyProtection="1">
      <alignment vertical="center" wrapText="1"/>
      <protection locked="0"/>
    </xf>
    <xf numFmtId="0" fontId="0" fillId="0" borderId="11" xfId="0" applyBorder="1" applyAlignment="1">
      <alignment wrapText="1"/>
    </xf>
    <xf numFmtId="0" fontId="2" fillId="0" borderId="0" xfId="0" applyFont="1" applyAlignment="1" applyProtection="1">
      <alignment vertical="center" wrapText="1"/>
      <protection locked="0"/>
    </xf>
    <xf numFmtId="0" fontId="2" fillId="2" borderId="16" xfId="0" applyFont="1" applyFill="1" applyBorder="1" applyAlignment="1">
      <alignment horizontal="center" vertical="center" wrapText="1"/>
    </xf>
    <xf numFmtId="0" fontId="2" fillId="2" borderId="37" xfId="0" applyFont="1" applyFill="1" applyBorder="1" applyAlignment="1">
      <alignment horizontal="center" vertical="center" wrapText="1"/>
    </xf>
    <xf numFmtId="165" fontId="2" fillId="2" borderId="2" xfId="0" applyNumberFormat="1" applyFont="1" applyFill="1" applyBorder="1" applyAlignment="1">
      <alignment vertical="center" wrapText="1"/>
    </xf>
    <xf numFmtId="165" fontId="2" fillId="2" borderId="7" xfId="0" applyNumberFormat="1" applyFont="1" applyFill="1" applyBorder="1" applyAlignment="1">
      <alignment vertical="center" wrapText="1"/>
    </xf>
    <xf numFmtId="165" fontId="2" fillId="0" borderId="0" xfId="0" applyNumberFormat="1" applyFont="1" applyAlignment="1" applyProtection="1">
      <alignment vertical="center" wrapText="1"/>
      <protection locked="0"/>
    </xf>
    <xf numFmtId="165" fontId="2" fillId="2" borderId="14" xfId="0" applyNumberFormat="1" applyFont="1" applyFill="1" applyBorder="1" applyAlignment="1">
      <alignment vertical="center" wrapText="1"/>
    </xf>
    <xf numFmtId="165" fontId="2" fillId="0" borderId="12" xfId="0" applyNumberFormat="1" applyFont="1" applyBorder="1" applyAlignment="1">
      <alignment vertical="center" wrapText="1"/>
    </xf>
    <xf numFmtId="165" fontId="2" fillId="0" borderId="7" xfId="0" applyNumberFormat="1" applyFont="1" applyBorder="1" applyAlignment="1">
      <alignment vertical="center" wrapText="1"/>
    </xf>
    <xf numFmtId="9" fontId="3" fillId="2" borderId="10" xfId="2" applyFont="1" applyFill="1" applyBorder="1" applyAlignment="1">
      <alignment vertical="center" wrapText="1"/>
    </xf>
    <xf numFmtId="10" fontId="3" fillId="2" borderId="10" xfId="2" applyNumberFormat="1" applyFont="1" applyFill="1" applyBorder="1" applyAlignment="1">
      <alignment vertical="center" wrapText="1"/>
    </xf>
    <xf numFmtId="10" fontId="4" fillId="0" borderId="11" xfId="2" applyNumberFormat="1" applyFont="1" applyFill="1" applyBorder="1" applyAlignment="1">
      <alignment wrapText="1"/>
    </xf>
    <xf numFmtId="165" fontId="0" fillId="0" borderId="0" xfId="0" applyNumberFormat="1" applyAlignment="1">
      <alignment wrapText="1"/>
    </xf>
    <xf numFmtId="0" fontId="0" fillId="2" borderId="9" xfId="0" applyFill="1" applyBorder="1" applyAlignment="1">
      <alignment wrapText="1"/>
    </xf>
    <xf numFmtId="164" fontId="36" fillId="0" borderId="14" xfId="6" applyFont="1" applyFill="1" applyBorder="1" applyAlignment="1">
      <alignment vertical="center" wrapText="1"/>
    </xf>
    <xf numFmtId="0" fontId="4" fillId="19" borderId="26" xfId="0" applyFont="1" applyFill="1" applyBorder="1" applyAlignment="1">
      <alignment horizontal="center"/>
    </xf>
    <xf numFmtId="164" fontId="63" fillId="0" borderId="2" xfId="6" applyFont="1" applyBorder="1" applyAlignment="1">
      <alignment vertical="center" wrapText="1"/>
    </xf>
    <xf numFmtId="165" fontId="44" fillId="0" borderId="2" xfId="0" applyNumberFormat="1" applyFont="1" applyBorder="1" applyAlignment="1" applyProtection="1">
      <alignment wrapText="1"/>
      <protection locked="0"/>
    </xf>
    <xf numFmtId="2" fontId="44" fillId="0" borderId="2" xfId="0" applyNumberFormat="1" applyFont="1" applyBorder="1" applyAlignment="1">
      <alignment wrapText="1"/>
    </xf>
    <xf numFmtId="2" fontId="44" fillId="3" borderId="2" xfId="0" applyNumberFormat="1" applyFont="1" applyFill="1" applyBorder="1" applyAlignment="1">
      <alignment wrapText="1"/>
    </xf>
    <xf numFmtId="164" fontId="44" fillId="0" borderId="2" xfId="6" applyFont="1" applyBorder="1" applyAlignment="1">
      <alignment wrapText="1"/>
    </xf>
    <xf numFmtId="164" fontId="74" fillId="3" borderId="2" xfId="6" applyFont="1" applyFill="1" applyBorder="1" applyAlignment="1">
      <alignment vertical="center" wrapText="1"/>
    </xf>
    <xf numFmtId="165" fontId="75" fillId="22" borderId="2" xfId="1" applyFont="1" applyFill="1" applyBorder="1" applyAlignment="1">
      <alignment wrapText="1"/>
    </xf>
    <xf numFmtId="165" fontId="44" fillId="0" borderId="19" xfId="0" applyNumberFormat="1" applyFont="1" applyBorder="1" applyAlignment="1" applyProtection="1">
      <alignment wrapText="1"/>
      <protection locked="0"/>
    </xf>
    <xf numFmtId="165" fontId="44" fillId="21" borderId="2" xfId="0" applyNumberFormat="1" applyFont="1" applyFill="1" applyBorder="1" applyAlignment="1">
      <alignment wrapText="1"/>
    </xf>
    <xf numFmtId="165" fontId="44" fillId="21" borderId="19" xfId="0" applyNumberFormat="1" applyFont="1" applyFill="1" applyBorder="1" applyAlignment="1">
      <alignment wrapText="1"/>
    </xf>
    <xf numFmtId="165" fontId="44" fillId="21" borderId="10" xfId="0" applyNumberFormat="1" applyFont="1" applyFill="1" applyBorder="1" applyAlignment="1">
      <alignment wrapText="1"/>
    </xf>
    <xf numFmtId="165" fontId="75" fillId="21" borderId="2" xfId="0" applyNumberFormat="1" applyFont="1" applyFill="1" applyBorder="1" applyAlignment="1">
      <alignment wrapText="1"/>
    </xf>
    <xf numFmtId="165" fontId="44" fillId="3" borderId="19" xfId="0" applyNumberFormat="1" applyFont="1" applyFill="1" applyBorder="1" applyAlignment="1" applyProtection="1">
      <alignment wrapText="1"/>
      <protection locked="0"/>
    </xf>
    <xf numFmtId="165" fontId="42" fillId="0" borderId="4" xfId="1" applyFont="1" applyFill="1" applyBorder="1" applyAlignment="1" applyProtection="1">
      <alignment horizontal="center" vertical="center" wrapText="1"/>
      <protection locked="0"/>
    </xf>
    <xf numFmtId="0" fontId="41" fillId="34" borderId="0" xfId="0" applyFont="1" applyFill="1" applyAlignment="1">
      <alignment wrapText="1"/>
    </xf>
    <xf numFmtId="0" fontId="44" fillId="0" borderId="0" xfId="0" applyFont="1" applyAlignment="1">
      <alignment wrapText="1"/>
    </xf>
    <xf numFmtId="0" fontId="44" fillId="21" borderId="19" xfId="0" applyFont="1" applyFill="1" applyBorder="1" applyAlignment="1">
      <alignment vertical="center" wrapText="1"/>
    </xf>
    <xf numFmtId="164" fontId="44" fillId="21" borderId="19" xfId="6" applyFont="1" applyFill="1" applyBorder="1" applyAlignment="1">
      <alignment vertical="center" wrapText="1"/>
    </xf>
    <xf numFmtId="165" fontId="44" fillId="0" borderId="2" xfId="0" applyNumberFormat="1" applyFont="1" applyBorder="1" applyAlignment="1">
      <alignment wrapText="1"/>
    </xf>
    <xf numFmtId="165" fontId="44" fillId="3" borderId="2" xfId="0" applyNumberFormat="1" applyFont="1" applyFill="1" applyBorder="1" applyAlignment="1">
      <alignment wrapText="1"/>
    </xf>
    <xf numFmtId="0" fontId="44" fillId="21" borderId="2" xfId="0" applyFont="1" applyFill="1" applyBorder="1" applyAlignment="1">
      <alignment vertical="center" wrapText="1"/>
    </xf>
    <xf numFmtId="164" fontId="44" fillId="21" borderId="2" xfId="6" applyFont="1" applyFill="1" applyBorder="1" applyAlignment="1">
      <alignment vertical="center" wrapText="1"/>
    </xf>
    <xf numFmtId="164" fontId="44" fillId="3" borderId="2" xfId="6" applyFont="1" applyFill="1" applyBorder="1" applyAlignment="1">
      <alignment wrapText="1"/>
    </xf>
    <xf numFmtId="0" fontId="44" fillId="0" borderId="0" xfId="0" applyFont="1" applyAlignment="1">
      <alignment vertical="center" wrapText="1"/>
    </xf>
    <xf numFmtId="165" fontId="44" fillId="0" borderId="2" xfId="0" applyNumberFormat="1" applyFont="1" applyBorder="1" applyAlignment="1" applyProtection="1">
      <alignment vertical="center" wrapText="1"/>
      <protection locked="0"/>
    </xf>
    <xf numFmtId="165" fontId="75" fillId="21" borderId="2" xfId="0" applyNumberFormat="1" applyFont="1" applyFill="1" applyBorder="1" applyAlignment="1">
      <alignment vertical="center" wrapText="1"/>
    </xf>
    <xf numFmtId="165" fontId="44" fillId="0" borderId="2" xfId="0" applyNumberFormat="1" applyFont="1" applyBorder="1" applyAlignment="1">
      <alignment vertical="center" wrapText="1"/>
    </xf>
    <xf numFmtId="0" fontId="44" fillId="21" borderId="2" xfId="0" applyFont="1" applyFill="1" applyBorder="1" applyAlignment="1" applyProtection="1">
      <alignment vertical="center" wrapText="1"/>
      <protection locked="0"/>
    </xf>
    <xf numFmtId="164" fontId="44" fillId="21" borderId="2" xfId="6" applyFont="1" applyFill="1" applyBorder="1" applyAlignment="1" applyProtection="1">
      <alignment vertical="center" wrapText="1"/>
      <protection locked="0"/>
    </xf>
    <xf numFmtId="0" fontId="62" fillId="0" borderId="0" xfId="0" applyFont="1" applyAlignment="1">
      <alignment wrapText="1"/>
    </xf>
    <xf numFmtId="165" fontId="75" fillId="22" borderId="2" xfId="1" applyFont="1" applyFill="1" applyBorder="1" applyAlignment="1" applyProtection="1">
      <alignment wrapText="1"/>
    </xf>
    <xf numFmtId="165" fontId="75" fillId="0" borderId="2" xfId="0" applyNumberFormat="1" applyFont="1" applyBorder="1" applyAlignment="1">
      <alignment wrapText="1"/>
    </xf>
    <xf numFmtId="0" fontId="44" fillId="20" borderId="0" xfId="0" applyFont="1" applyFill="1" applyAlignment="1">
      <alignment wrapText="1"/>
    </xf>
    <xf numFmtId="165" fontId="75" fillId="20" borderId="33" xfId="1" applyFont="1" applyFill="1" applyBorder="1" applyAlignment="1">
      <alignment wrapText="1"/>
    </xf>
    <xf numFmtId="165" fontId="75" fillId="20" borderId="24" xfId="0" applyNumberFormat="1" applyFont="1" applyFill="1" applyBorder="1" applyAlignment="1">
      <alignment wrapText="1"/>
    </xf>
    <xf numFmtId="164" fontId="44" fillId="20" borderId="0" xfId="6" applyFont="1" applyFill="1" applyAlignment="1">
      <alignment wrapText="1"/>
    </xf>
    <xf numFmtId="0" fontId="75" fillId="21" borderId="10" xfId="0" applyFont="1" applyFill="1" applyBorder="1" applyAlignment="1">
      <alignment horizontal="left" wrapText="1"/>
    </xf>
    <xf numFmtId="165" fontId="75" fillId="21" borderId="10" xfId="0" applyNumberFormat="1" applyFont="1" applyFill="1" applyBorder="1" applyAlignment="1">
      <alignment horizontal="center" wrapText="1"/>
    </xf>
    <xf numFmtId="164" fontId="62" fillId="0" borderId="0" xfId="6" applyFont="1" applyBorder="1" applyAlignment="1">
      <alignment wrapText="1"/>
    </xf>
    <xf numFmtId="164" fontId="64" fillId="0" borderId="0" xfId="6" applyFont="1" applyBorder="1" applyAlignment="1">
      <alignment vertical="center" wrapText="1"/>
    </xf>
    <xf numFmtId="0" fontId="44" fillId="21" borderId="0" xfId="0" applyFont="1" applyFill="1" applyAlignment="1">
      <alignment wrapText="1"/>
    </xf>
    <xf numFmtId="165" fontId="75" fillId="21" borderId="10" xfId="0" applyNumberFormat="1" applyFont="1" applyFill="1" applyBorder="1" applyAlignment="1">
      <alignment wrapText="1"/>
    </xf>
    <xf numFmtId="165" fontId="75" fillId="21" borderId="19" xfId="0" applyNumberFormat="1" applyFont="1" applyFill="1" applyBorder="1" applyAlignment="1">
      <alignment wrapText="1"/>
    </xf>
    <xf numFmtId="164" fontId="62" fillId="3" borderId="2" xfId="6" applyFont="1" applyFill="1" applyBorder="1" applyAlignment="1">
      <alignment vertical="center" wrapText="1"/>
    </xf>
    <xf numFmtId="165" fontId="75" fillId="20" borderId="34" xfId="1" applyFont="1" applyFill="1" applyBorder="1" applyAlignment="1">
      <alignment wrapText="1"/>
    </xf>
    <xf numFmtId="165" fontId="75" fillId="20" borderId="37" xfId="0" applyNumberFormat="1" applyFont="1" applyFill="1" applyBorder="1" applyAlignment="1">
      <alignment wrapText="1"/>
    </xf>
    <xf numFmtId="0" fontId="75" fillId="21" borderId="36" xfId="0" applyFont="1" applyFill="1" applyBorder="1" applyAlignment="1">
      <alignment horizontal="left" wrapText="1"/>
    </xf>
    <xf numFmtId="165" fontId="75" fillId="21" borderId="36" xfId="0" applyNumberFormat="1" applyFont="1" applyFill="1" applyBorder="1" applyAlignment="1">
      <alignment horizontal="center" wrapText="1"/>
    </xf>
    <xf numFmtId="165" fontId="75" fillId="21" borderId="36" xfId="0" applyNumberFormat="1" applyFont="1" applyFill="1" applyBorder="1" applyAlignment="1">
      <alignment wrapText="1"/>
    </xf>
    <xf numFmtId="164" fontId="62" fillId="0" borderId="0" xfId="6" applyFont="1" applyFill="1" applyBorder="1" applyAlignment="1">
      <alignment wrapText="1"/>
    </xf>
    <xf numFmtId="164" fontId="75" fillId="22" borderId="2" xfId="6" applyFont="1" applyFill="1" applyBorder="1" applyAlignment="1" applyProtection="1">
      <alignment wrapText="1"/>
    </xf>
    <xf numFmtId="164" fontId="36" fillId="3" borderId="14" xfId="6" applyFont="1" applyFill="1" applyBorder="1" applyAlignment="1">
      <alignment vertical="center" wrapText="1"/>
    </xf>
    <xf numFmtId="0" fontId="2" fillId="0" borderId="7" xfId="0" applyFont="1" applyBorder="1" applyAlignment="1">
      <alignment wrapText="1"/>
    </xf>
    <xf numFmtId="0" fontId="13" fillId="35" borderId="2" xfId="0" applyFont="1" applyFill="1" applyBorder="1" applyAlignment="1">
      <alignment wrapText="1"/>
    </xf>
    <xf numFmtId="2" fontId="44" fillId="0" borderId="2" xfId="0" applyNumberFormat="1" applyFont="1" applyBorder="1" applyAlignment="1">
      <alignment vertical="center" wrapText="1"/>
    </xf>
    <xf numFmtId="164" fontId="44" fillId="0" borderId="2" xfId="6" applyFont="1" applyBorder="1" applyAlignment="1">
      <alignment vertical="center" wrapText="1"/>
    </xf>
    <xf numFmtId="0" fontId="2" fillId="35" borderId="0" xfId="0" applyFont="1" applyFill="1" applyAlignment="1">
      <alignment wrapText="1"/>
    </xf>
    <xf numFmtId="0" fontId="50" fillId="0" borderId="89" xfId="7" applyFont="1" applyBorder="1" applyAlignment="1">
      <alignment horizontal="justify" vertical="center" wrapText="1"/>
    </xf>
    <xf numFmtId="0" fontId="50" fillId="0" borderId="90" xfId="7" applyFont="1" applyBorder="1" applyAlignment="1">
      <alignment horizontal="justify" vertical="center" wrapText="1"/>
    </xf>
    <xf numFmtId="0" fontId="50" fillId="0" borderId="30" xfId="7" applyFont="1" applyBorder="1"/>
    <xf numFmtId="0" fontId="50" fillId="0" borderId="31" xfId="7" applyFont="1" applyBorder="1"/>
    <xf numFmtId="0" fontId="38" fillId="0" borderId="75" xfId="7" applyBorder="1"/>
    <xf numFmtId="0" fontId="38" fillId="0" borderId="60" xfId="7" applyBorder="1"/>
    <xf numFmtId="0" fontId="53" fillId="0" borderId="53" xfId="7" applyFont="1" applyBorder="1" applyAlignment="1">
      <alignment horizontal="justify" vertical="center" wrapText="1"/>
    </xf>
    <xf numFmtId="0" fontId="53" fillId="0" borderId="52" xfId="7" applyFont="1" applyBorder="1" applyAlignment="1">
      <alignment horizontal="justify" vertical="center" wrapText="1"/>
    </xf>
    <xf numFmtId="0" fontId="38" fillId="0" borderId="69" xfId="7" applyBorder="1"/>
    <xf numFmtId="0" fontId="38" fillId="0" borderId="56" xfId="7" applyBorder="1"/>
    <xf numFmtId="0" fontId="50" fillId="27" borderId="89" xfId="7" applyFont="1" applyFill="1" applyBorder="1" applyAlignment="1">
      <alignment horizontal="justify" vertical="center" wrapText="1"/>
    </xf>
    <xf numFmtId="0" fontId="50" fillId="27" borderId="90" xfId="7" applyFont="1" applyFill="1" applyBorder="1" applyAlignment="1">
      <alignment horizontal="justify" vertical="center" wrapText="1"/>
    </xf>
    <xf numFmtId="0" fontId="50" fillId="0" borderId="43" xfId="7" applyFont="1" applyBorder="1"/>
    <xf numFmtId="0" fontId="50" fillId="0" borderId="44" xfId="7" applyFont="1" applyBorder="1"/>
    <xf numFmtId="0" fontId="50" fillId="28" borderId="89" xfId="7" applyFont="1" applyFill="1" applyBorder="1" applyAlignment="1">
      <alignment horizontal="justify" vertical="center" wrapText="1"/>
    </xf>
    <xf numFmtId="0" fontId="50" fillId="28" borderId="90" xfId="7" applyFont="1" applyFill="1" applyBorder="1" applyAlignment="1">
      <alignment horizontal="justify" vertical="center" wrapText="1"/>
    </xf>
    <xf numFmtId="0" fontId="38" fillId="10" borderId="53" xfId="7" applyFill="1" applyBorder="1" applyAlignment="1">
      <alignment vertical="center"/>
    </xf>
    <xf numFmtId="4" fontId="21" fillId="10" borderId="53" xfId="7" applyNumberFormat="1" applyFont="1" applyFill="1" applyBorder="1" applyAlignment="1">
      <alignment horizontal="justify" vertical="center" wrapText="1"/>
    </xf>
    <xf numFmtId="0" fontId="60" fillId="0" borderId="75" xfId="7" applyFont="1" applyBorder="1" applyAlignment="1">
      <alignment horizontal="left" vertical="center" wrapText="1"/>
    </xf>
    <xf numFmtId="0" fontId="60" fillId="0" borderId="60" xfId="7" applyFont="1" applyBorder="1" applyAlignment="1">
      <alignment horizontal="left" vertical="center" wrapText="1"/>
    </xf>
    <xf numFmtId="0" fontId="53" fillId="0" borderId="61" xfId="7" applyFont="1" applyBorder="1" applyAlignment="1">
      <alignment horizontal="justify" vertical="center" wrapText="1"/>
    </xf>
    <xf numFmtId="0" fontId="38" fillId="0" borderId="55" xfId="7" applyBorder="1"/>
    <xf numFmtId="0" fontId="54" fillId="29" borderId="53" xfId="7" applyFont="1" applyFill="1" applyBorder="1" applyAlignment="1">
      <alignment horizontal="center" vertical="center" wrapText="1"/>
    </xf>
    <xf numFmtId="0" fontId="50" fillId="10" borderId="53" xfId="7" applyFont="1" applyFill="1" applyBorder="1" applyAlignment="1">
      <alignment horizontal="justify" vertical="center" wrapText="1"/>
    </xf>
    <xf numFmtId="0" fontId="50" fillId="10" borderId="52" xfId="7" applyFont="1" applyFill="1" applyBorder="1" applyAlignment="1">
      <alignment horizontal="center" vertical="center" wrapText="1"/>
    </xf>
    <xf numFmtId="0" fontId="50" fillId="10" borderId="55" xfId="7" applyFont="1" applyFill="1" applyBorder="1" applyAlignment="1">
      <alignment horizontal="center" vertical="center" wrapText="1"/>
    </xf>
    <xf numFmtId="0" fontId="50" fillId="10" borderId="53" xfId="7" applyFont="1" applyFill="1" applyBorder="1" applyAlignment="1">
      <alignment horizontal="center"/>
    </xf>
    <xf numFmtId="0" fontId="38" fillId="0" borderId="53" xfId="7" applyBorder="1"/>
    <xf numFmtId="0" fontId="38" fillId="0" borderId="61" xfId="7" applyBorder="1"/>
    <xf numFmtId="0" fontId="53" fillId="0" borderId="53" xfId="7" applyFont="1" applyBorder="1" applyAlignment="1">
      <alignment horizontal="center" vertical="center" wrapText="1"/>
    </xf>
    <xf numFmtId="0" fontId="52" fillId="0" borderId="75" xfId="7" applyFont="1" applyBorder="1" applyAlignment="1">
      <alignment horizontal="left" vertical="center" wrapText="1"/>
    </xf>
    <xf numFmtId="0" fontId="52" fillId="0" borderId="60" xfId="7" applyFont="1" applyBorder="1" applyAlignment="1">
      <alignment horizontal="left" vertical="center" wrapText="1"/>
    </xf>
    <xf numFmtId="0" fontId="59" fillId="0" borderId="61" xfId="7" applyFont="1" applyBorder="1" applyAlignment="1">
      <alignment horizontal="justify" vertical="center" wrapText="1"/>
    </xf>
    <xf numFmtId="0" fontId="53" fillId="0" borderId="55" xfId="7" applyFont="1" applyBorder="1" applyAlignment="1">
      <alignment horizontal="center" vertical="center" wrapText="1"/>
    </xf>
    <xf numFmtId="0" fontId="38" fillId="0" borderId="54" xfId="7" applyBorder="1"/>
    <xf numFmtId="0" fontId="56" fillId="11" borderId="31" xfId="7" applyFont="1" applyFill="1" applyBorder="1" applyAlignment="1">
      <alignment horizontal="center" vertical="center" wrapText="1"/>
    </xf>
    <xf numFmtId="0" fontId="56" fillId="11" borderId="32" xfId="7" applyFont="1" applyFill="1" applyBorder="1" applyAlignment="1">
      <alignment horizontal="center" vertical="center" wrapText="1"/>
    </xf>
    <xf numFmtId="0" fontId="38" fillId="0" borderId="8" xfId="7" applyBorder="1"/>
    <xf numFmtId="0" fontId="38" fillId="0" borderId="0" xfId="7"/>
    <xf numFmtId="0" fontId="38" fillId="0" borderId="25" xfId="7" applyBorder="1"/>
    <xf numFmtId="0" fontId="53" fillId="0" borderId="56" xfId="7" applyFont="1" applyBorder="1" applyAlignment="1">
      <alignment horizontal="justify" vertical="center" wrapText="1"/>
    </xf>
    <xf numFmtId="0" fontId="53" fillId="0" borderId="55" xfId="7" applyFont="1" applyBorder="1" applyAlignment="1">
      <alignment horizontal="justify" vertical="center" wrapText="1"/>
    </xf>
    <xf numFmtId="0" fontId="53" fillId="0" borderId="59" xfId="7" applyFont="1" applyBorder="1" applyAlignment="1">
      <alignment horizontal="justify" vertical="center" wrapText="1"/>
    </xf>
    <xf numFmtId="0" fontId="53" fillId="0" borderId="44" xfId="7" applyFont="1" applyBorder="1" applyAlignment="1">
      <alignment horizontal="justify" vertical="center" wrapText="1"/>
    </xf>
    <xf numFmtId="0" fontId="53" fillId="0" borderId="45" xfId="7" applyFont="1" applyBorder="1" applyAlignment="1">
      <alignment horizontal="justify" vertical="center" wrapText="1"/>
    </xf>
    <xf numFmtId="0" fontId="53" fillId="0" borderId="0" xfId="7" applyFont="1" applyAlignment="1">
      <alignment horizontal="justify" vertical="center" wrapText="1"/>
    </xf>
    <xf numFmtId="0" fontId="53" fillId="0" borderId="25" xfId="7" applyFont="1" applyBorder="1" applyAlignment="1">
      <alignment horizontal="justify" vertical="center" wrapText="1"/>
    </xf>
    <xf numFmtId="0" fontId="50" fillId="10" borderId="53" xfId="7" applyFont="1" applyFill="1" applyBorder="1" applyAlignment="1">
      <alignment horizontal="center" vertical="center"/>
    </xf>
    <xf numFmtId="0" fontId="50" fillId="10" borderId="53" xfId="7" applyFont="1" applyFill="1" applyBorder="1" applyAlignment="1">
      <alignment horizontal="center" vertical="center" wrapText="1"/>
    </xf>
    <xf numFmtId="0" fontId="55" fillId="0" borderId="8" xfId="7" applyFont="1" applyBorder="1" applyAlignment="1">
      <alignment horizontal="justify" vertical="center" wrapText="1"/>
    </xf>
    <xf numFmtId="0" fontId="55" fillId="0" borderId="0" xfId="7" applyFont="1" applyAlignment="1">
      <alignment horizontal="justify" vertical="center" wrapText="1"/>
    </xf>
    <xf numFmtId="0" fontId="46" fillId="0" borderId="8" xfId="7" applyFont="1" applyBorder="1" applyAlignment="1">
      <alignment horizontal="justify" vertical="center" wrapText="1"/>
    </xf>
    <xf numFmtId="0" fontId="46" fillId="0" borderId="25" xfId="7" applyFont="1" applyBorder="1" applyAlignment="1">
      <alignment horizontal="justify" vertical="center" wrapText="1"/>
    </xf>
    <xf numFmtId="0" fontId="50" fillId="29" borderId="53" xfId="7" applyFont="1" applyFill="1" applyBorder="1" applyAlignment="1">
      <alignment horizontal="justify" vertical="center" wrapText="1"/>
    </xf>
    <xf numFmtId="0" fontId="46" fillId="0" borderId="85" xfId="7" applyFont="1" applyBorder="1" applyAlignment="1">
      <alignment horizontal="justify" vertical="center" wrapText="1"/>
    </xf>
    <xf numFmtId="0" fontId="46" fillId="0" borderId="64" xfId="7" applyFont="1" applyBorder="1" applyAlignment="1">
      <alignment horizontal="justify" vertical="center" wrapText="1"/>
    </xf>
    <xf numFmtId="0" fontId="38" fillId="0" borderId="85" xfId="7" applyBorder="1"/>
    <xf numFmtId="0" fontId="38" fillId="0" borderId="64" xfId="7" applyBorder="1"/>
    <xf numFmtId="0" fontId="48" fillId="0" borderId="43" xfId="7" applyFont="1" applyBorder="1" applyAlignment="1">
      <alignment horizontal="justify" vertical="center" wrapText="1"/>
    </xf>
    <xf numFmtId="0" fontId="48" fillId="0" borderId="44" xfId="7" applyFont="1" applyBorder="1" applyAlignment="1">
      <alignment horizontal="justify" vertical="center" wrapText="1"/>
    </xf>
    <xf numFmtId="0" fontId="53" fillId="0" borderId="43" xfId="7" applyFont="1" applyBorder="1" applyAlignment="1">
      <alignment horizontal="justify" vertical="center" wrapText="1"/>
    </xf>
    <xf numFmtId="0" fontId="53" fillId="0" borderId="54" xfId="7" applyFont="1" applyBorder="1" applyAlignment="1">
      <alignment horizontal="justify" vertical="center" wrapText="1"/>
    </xf>
    <xf numFmtId="0" fontId="54" fillId="29" borderId="53" xfId="7" applyFont="1" applyFill="1" applyBorder="1" applyAlignment="1">
      <alignment horizontal="justify" vertical="center" wrapText="1"/>
    </xf>
    <xf numFmtId="0" fontId="38" fillId="0" borderId="46" xfId="7" applyBorder="1"/>
    <xf numFmtId="0" fontId="38" fillId="0" borderId="48" xfId="7" applyBorder="1"/>
    <xf numFmtId="0" fontId="53" fillId="0" borderId="85" xfId="7" applyFont="1" applyBorder="1" applyAlignment="1">
      <alignment horizontal="justify" vertical="center" wrapText="1"/>
    </xf>
    <xf numFmtId="0" fontId="53" fillId="0" borderId="75" xfId="7" applyFont="1" applyBorder="1" applyAlignment="1">
      <alignment horizontal="justify" vertical="center" wrapText="1"/>
    </xf>
    <xf numFmtId="0" fontId="53" fillId="0" borderId="65" xfId="7" applyFont="1" applyBorder="1" applyAlignment="1">
      <alignment horizontal="justify" vertical="center" wrapText="1"/>
    </xf>
    <xf numFmtId="0" fontId="53" fillId="0" borderId="76" xfId="7" applyFont="1" applyBorder="1" applyAlignment="1">
      <alignment horizontal="justify" vertical="center" wrapText="1"/>
    </xf>
    <xf numFmtId="0" fontId="54" fillId="29" borderId="86" xfId="7" applyFont="1" applyFill="1" applyBorder="1" applyAlignment="1">
      <alignment horizontal="center" vertical="center" wrapText="1"/>
    </xf>
    <xf numFmtId="0" fontId="54" fillId="29" borderId="61" xfId="7" applyFont="1" applyFill="1" applyBorder="1" applyAlignment="1">
      <alignment horizontal="center" vertical="center" wrapText="1"/>
    </xf>
    <xf numFmtId="0" fontId="54" fillId="29" borderId="88" xfId="7" applyFont="1" applyFill="1" applyBorder="1" applyAlignment="1">
      <alignment horizontal="center" vertical="center" wrapText="1"/>
    </xf>
    <xf numFmtId="0" fontId="54" fillId="29" borderId="63" xfId="7" applyFont="1" applyFill="1" applyBorder="1" applyAlignment="1">
      <alignment horizontal="center" vertical="center" wrapText="1"/>
    </xf>
    <xf numFmtId="0" fontId="54" fillId="29" borderId="64" xfId="7" applyFont="1" applyFill="1" applyBorder="1" applyAlignment="1">
      <alignment horizontal="center" vertical="center" wrapText="1"/>
    </xf>
    <xf numFmtId="0" fontId="54" fillId="29" borderId="78" xfId="7" applyFont="1" applyFill="1" applyBorder="1" applyAlignment="1">
      <alignment horizontal="center" vertical="center" wrapText="1"/>
    </xf>
    <xf numFmtId="0" fontId="50" fillId="10" borderId="65" xfId="7" applyFont="1" applyFill="1" applyBorder="1" applyAlignment="1">
      <alignment horizontal="center" vertical="center" wrapText="1"/>
    </xf>
    <xf numFmtId="0" fontId="50" fillId="10" borderId="76" xfId="7" applyFont="1" applyFill="1" applyBorder="1" applyAlignment="1">
      <alignment horizontal="center" vertical="center" wrapText="1"/>
    </xf>
    <xf numFmtId="0" fontId="50" fillId="10" borderId="67" xfId="7" applyFont="1" applyFill="1" applyBorder="1" applyAlignment="1">
      <alignment horizontal="center" vertical="center" wrapText="1"/>
    </xf>
    <xf numFmtId="0" fontId="50" fillId="10" borderId="54" xfId="7" applyFont="1" applyFill="1" applyBorder="1" applyAlignment="1">
      <alignment horizontal="center" vertical="center" wrapText="1"/>
    </xf>
    <xf numFmtId="0" fontId="38" fillId="0" borderId="84" xfId="7" applyBorder="1" applyAlignment="1">
      <alignment horizontal="center"/>
    </xf>
    <xf numFmtId="0" fontId="38" fillId="0" borderId="85" xfId="7" applyBorder="1" applyAlignment="1">
      <alignment horizontal="center"/>
    </xf>
    <xf numFmtId="0" fontId="38" fillId="0" borderId="87" xfId="7" applyBorder="1" applyAlignment="1">
      <alignment horizontal="center"/>
    </xf>
    <xf numFmtId="0" fontId="38" fillId="0" borderId="86" xfId="7" applyBorder="1" applyAlignment="1">
      <alignment horizontal="center"/>
    </xf>
    <xf numFmtId="0" fontId="38" fillId="0" borderId="61" xfId="7" applyBorder="1" applyAlignment="1">
      <alignment horizontal="center"/>
    </xf>
    <xf numFmtId="0" fontId="38" fillId="0" borderId="88" xfId="7" applyBorder="1" applyAlignment="1">
      <alignment horizontal="center"/>
    </xf>
    <xf numFmtId="0" fontId="53" fillId="0" borderId="84" xfId="7" applyFont="1" applyBorder="1" applyAlignment="1">
      <alignment horizontal="justify" vertical="center" wrapText="1"/>
    </xf>
    <xf numFmtId="0" fontId="53" fillId="0" borderId="63" xfId="7" applyFont="1" applyBorder="1" applyAlignment="1">
      <alignment horizontal="justify" vertical="center" wrapText="1"/>
    </xf>
    <xf numFmtId="0" fontId="50" fillId="0" borderId="52" xfId="7" applyFont="1" applyBorder="1" applyAlignment="1">
      <alignment horizontal="center" vertical="center" wrapText="1"/>
    </xf>
    <xf numFmtId="0" fontId="50" fillId="0" borderId="55" xfId="7" applyFont="1" applyBorder="1" applyAlignment="1">
      <alignment horizontal="center" vertical="center" wrapText="1"/>
    </xf>
    <xf numFmtId="0" fontId="53" fillId="0" borderId="44" xfId="7" applyFont="1" applyBorder="1" applyAlignment="1">
      <alignment horizontal="center" vertical="center" wrapText="1"/>
    </xf>
    <xf numFmtId="0" fontId="53" fillId="0" borderId="0" xfId="7" applyFont="1" applyAlignment="1">
      <alignment horizontal="center" vertical="center" wrapText="1"/>
    </xf>
    <xf numFmtId="0" fontId="53" fillId="0" borderId="47" xfId="7" applyFont="1" applyBorder="1" applyAlignment="1">
      <alignment horizontal="center" vertical="center" wrapText="1"/>
    </xf>
    <xf numFmtId="0" fontId="38" fillId="0" borderId="59" xfId="7" applyBorder="1" applyAlignment="1">
      <alignment horizontal="center"/>
    </xf>
    <xf numFmtId="0" fontId="38" fillId="0" borderId="60" xfId="7" applyBorder="1" applyAlignment="1">
      <alignment horizontal="center"/>
    </xf>
    <xf numFmtId="0" fontId="38" fillId="0" borderId="56" xfId="7" applyBorder="1" applyAlignment="1">
      <alignment horizontal="center"/>
    </xf>
    <xf numFmtId="0" fontId="38" fillId="0" borderId="52" xfId="7" applyBorder="1" applyAlignment="1">
      <alignment horizontal="center"/>
    </xf>
    <xf numFmtId="0" fontId="38" fillId="0" borderId="55" xfId="7" applyBorder="1" applyAlignment="1">
      <alignment horizontal="center"/>
    </xf>
    <xf numFmtId="0" fontId="54" fillId="29" borderId="52" xfId="7" applyFont="1" applyFill="1" applyBorder="1" applyAlignment="1">
      <alignment horizontal="center" vertical="center" wrapText="1"/>
    </xf>
    <xf numFmtId="0" fontId="54" fillId="29" borderId="55" xfId="7" applyFont="1" applyFill="1" applyBorder="1" applyAlignment="1">
      <alignment horizontal="center" vertical="center" wrapText="1"/>
    </xf>
    <xf numFmtId="0" fontId="50" fillId="10" borderId="61" xfId="7" applyFont="1" applyFill="1" applyBorder="1" applyAlignment="1">
      <alignment horizontal="center" vertical="center" wrapText="1"/>
    </xf>
    <xf numFmtId="0" fontId="38" fillId="0" borderId="43" xfId="7" applyBorder="1" applyAlignment="1">
      <alignment horizontal="center"/>
    </xf>
    <xf numFmtId="0" fontId="38" fillId="0" borderId="45" xfId="7" applyBorder="1" applyAlignment="1">
      <alignment horizontal="center"/>
    </xf>
    <xf numFmtId="0" fontId="38" fillId="0" borderId="46" xfId="7" applyBorder="1" applyAlignment="1">
      <alignment horizontal="center"/>
    </xf>
    <xf numFmtId="0" fontId="38" fillId="0" borderId="48" xfId="7" applyBorder="1" applyAlignment="1">
      <alignment horizontal="center"/>
    </xf>
    <xf numFmtId="0" fontId="53" fillId="0" borderId="65" xfId="7" applyFont="1" applyBorder="1" applyAlignment="1">
      <alignment horizontal="center" vertical="center" wrapText="1"/>
    </xf>
    <xf numFmtId="0" fontId="53" fillId="0" borderId="67" xfId="7" applyFont="1" applyBorder="1" applyAlignment="1">
      <alignment horizontal="center" vertical="center" wrapText="1"/>
    </xf>
    <xf numFmtId="0" fontId="50" fillId="0" borderId="66" xfId="7" applyFont="1" applyBorder="1" applyAlignment="1">
      <alignment horizontal="center" vertical="center" wrapText="1"/>
    </xf>
    <xf numFmtId="0" fontId="50" fillId="0" borderId="68" xfId="7" applyFont="1" applyBorder="1" applyAlignment="1">
      <alignment horizontal="center" vertical="center" wrapText="1"/>
    </xf>
    <xf numFmtId="0" fontId="50" fillId="30" borderId="52" xfId="7" applyFont="1" applyFill="1" applyBorder="1" applyAlignment="1">
      <alignment horizontal="center" vertical="center" wrapText="1"/>
    </xf>
    <xf numFmtId="0" fontId="50" fillId="30" borderId="55" xfId="7" applyFont="1" applyFill="1" applyBorder="1" applyAlignment="1">
      <alignment horizontal="center" vertical="center" wrapText="1"/>
    </xf>
    <xf numFmtId="0" fontId="50" fillId="29" borderId="52" xfId="7" applyFont="1" applyFill="1" applyBorder="1" applyAlignment="1">
      <alignment horizontal="center" vertical="center" wrapText="1"/>
    </xf>
    <xf numFmtId="0" fontId="50" fillId="29" borderId="55" xfId="7" applyFont="1" applyFill="1" applyBorder="1" applyAlignment="1">
      <alignment horizontal="center" vertical="center" wrapText="1"/>
    </xf>
    <xf numFmtId="0" fontId="50" fillId="0" borderId="53" xfId="7" applyFont="1" applyBorder="1" applyAlignment="1">
      <alignment horizontal="justify" vertical="center" wrapText="1"/>
    </xf>
    <xf numFmtId="0" fontId="50" fillId="0" borderId="61" xfId="7" applyFont="1" applyBorder="1" applyAlignment="1">
      <alignment horizontal="center" vertical="center" wrapText="1"/>
    </xf>
    <xf numFmtId="0" fontId="56" fillId="32" borderId="81" xfId="7" applyFont="1" applyFill="1" applyBorder="1" applyAlignment="1">
      <alignment horizontal="center" vertical="center" wrapText="1"/>
    </xf>
    <xf numFmtId="0" fontId="56" fillId="32" borderId="82" xfId="7" applyFont="1" applyFill="1" applyBorder="1" applyAlignment="1">
      <alignment horizontal="center" vertical="center" wrapText="1"/>
    </xf>
    <xf numFmtId="0" fontId="56" fillId="32" borderId="83" xfId="7" applyFont="1" applyFill="1" applyBorder="1" applyAlignment="1">
      <alignment horizontal="center" vertical="center" wrapText="1"/>
    </xf>
    <xf numFmtId="0" fontId="57" fillId="0" borderId="57" xfId="7" applyFont="1" applyBorder="1" applyAlignment="1">
      <alignment horizontal="justify" vertical="center" wrapText="1"/>
    </xf>
    <xf numFmtId="0" fontId="57" fillId="0" borderId="58" xfId="7" applyFont="1" applyBorder="1" applyAlignment="1">
      <alignment horizontal="justify" vertical="center" wrapText="1"/>
    </xf>
    <xf numFmtId="0" fontId="57" fillId="0" borderId="75" xfId="7" applyFont="1" applyBorder="1" applyAlignment="1">
      <alignment horizontal="justify" vertical="center" wrapText="1"/>
    </xf>
    <xf numFmtId="0" fontId="57" fillId="0" borderId="0" xfId="7" applyFont="1" applyAlignment="1">
      <alignment horizontal="justify" vertical="center" wrapText="1"/>
    </xf>
    <xf numFmtId="0" fontId="38" fillId="30" borderId="53" xfId="7" applyFill="1" applyBorder="1"/>
    <xf numFmtId="0" fontId="50" fillId="29" borderId="53" xfId="7" applyFont="1" applyFill="1" applyBorder="1" applyAlignment="1">
      <alignment horizontal="center" vertical="center" wrapText="1"/>
    </xf>
    <xf numFmtId="0" fontId="46" fillId="0" borderId="61" xfId="7" applyFont="1" applyBorder="1" applyAlignment="1">
      <alignment horizontal="justify" vertical="center" wrapText="1"/>
    </xf>
    <xf numFmtId="4" fontId="21" fillId="0" borderId="53" xfId="7" applyNumberFormat="1" applyFont="1" applyBorder="1" applyAlignment="1">
      <alignment horizontal="justify" vertical="center" wrapText="1"/>
    </xf>
    <xf numFmtId="0" fontId="50" fillId="0" borderId="53" xfId="7" applyFont="1" applyBorder="1" applyAlignment="1">
      <alignment horizontal="center"/>
    </xf>
    <xf numFmtId="0" fontId="47" fillId="0" borderId="75" xfId="7" applyFont="1" applyBorder="1" applyAlignment="1">
      <alignment horizontal="justify" vertical="center" wrapText="1"/>
    </xf>
    <xf numFmtId="0" fontId="47" fillId="0" borderId="60" xfId="7" applyFont="1" applyBorder="1" applyAlignment="1">
      <alignment horizontal="justify" vertical="center" wrapText="1"/>
    </xf>
    <xf numFmtId="0" fontId="47" fillId="0" borderId="0" xfId="7" applyFont="1" applyAlignment="1">
      <alignment horizontal="justify" vertical="center" wrapText="1"/>
    </xf>
    <xf numFmtId="0" fontId="52" fillId="0" borderId="57" xfId="7" applyFont="1" applyBorder="1" applyAlignment="1">
      <alignment horizontal="justify" vertical="center" wrapText="1"/>
    </xf>
    <xf numFmtId="0" fontId="52" fillId="0" borderId="58" xfId="7" applyFont="1" applyBorder="1" applyAlignment="1">
      <alignment horizontal="justify" vertical="center" wrapText="1"/>
    </xf>
    <xf numFmtId="0" fontId="53" fillId="0" borderId="8" xfId="7" applyFont="1" applyBorder="1" applyAlignment="1">
      <alignment horizontal="justify" vertical="center" wrapText="1"/>
    </xf>
    <xf numFmtId="0" fontId="38" fillId="0" borderId="71" xfId="7" applyBorder="1"/>
    <xf numFmtId="0" fontId="53" fillId="0" borderId="43" xfId="7" applyFont="1" applyBorder="1" applyAlignment="1">
      <alignment horizontal="center" vertical="center" wrapText="1"/>
    </xf>
    <xf numFmtId="0" fontId="53" fillId="0" borderId="45" xfId="7" applyFont="1" applyBorder="1" applyAlignment="1">
      <alignment horizontal="center" vertical="center" wrapText="1"/>
    </xf>
    <xf numFmtId="0" fontId="53" fillId="0" borderId="46" xfId="7" applyFont="1" applyBorder="1" applyAlignment="1">
      <alignment horizontal="center" vertical="center" wrapText="1"/>
    </xf>
    <xf numFmtId="0" fontId="53" fillId="0" borderId="48" xfId="7" applyFont="1" applyBorder="1" applyAlignment="1">
      <alignment horizontal="center" vertical="center" wrapText="1"/>
    </xf>
    <xf numFmtId="0" fontId="38" fillId="30" borderId="54" xfId="7" applyFill="1" applyBorder="1"/>
    <xf numFmtId="0" fontId="51" fillId="28" borderId="75" xfId="7" applyFont="1" applyFill="1" applyBorder="1" applyAlignment="1">
      <alignment horizontal="center" vertical="center" wrapText="1"/>
    </xf>
    <xf numFmtId="0" fontId="51" fillId="28" borderId="0" xfId="7" applyFont="1" applyFill="1" applyAlignment="1">
      <alignment horizontal="center" vertical="center" wrapText="1"/>
    </xf>
    <xf numFmtId="0" fontId="51" fillId="28" borderId="44" xfId="7" applyFont="1" applyFill="1" applyBorder="1" applyAlignment="1">
      <alignment horizontal="center" vertical="center" wrapText="1"/>
    </xf>
    <xf numFmtId="0" fontId="51" fillId="28" borderId="62" xfId="7" applyFont="1" applyFill="1" applyBorder="1" applyAlignment="1">
      <alignment horizontal="center" vertical="center" wrapText="1"/>
    </xf>
    <xf numFmtId="0" fontId="38" fillId="29" borderId="53" xfId="7" applyFill="1" applyBorder="1"/>
    <xf numFmtId="0" fontId="50" fillId="10" borderId="2" xfId="7" applyFont="1" applyFill="1" applyBorder="1" applyAlignment="1">
      <alignment horizontal="center" vertical="center" wrapText="1"/>
    </xf>
    <xf numFmtId="0" fontId="50" fillId="10" borderId="2" xfId="7" applyFont="1" applyFill="1" applyBorder="1" applyAlignment="1">
      <alignment horizontal="center" vertical="center"/>
    </xf>
    <xf numFmtId="0" fontId="38" fillId="10" borderId="2" xfId="7" applyFill="1" applyBorder="1" applyAlignment="1">
      <alignment vertical="center"/>
    </xf>
    <xf numFmtId="4" fontId="21" fillId="10" borderId="7" xfId="7" applyNumberFormat="1" applyFont="1" applyFill="1" applyBorder="1" applyAlignment="1">
      <alignment horizontal="justify" vertical="center" wrapText="1"/>
    </xf>
    <xf numFmtId="0" fontId="46" fillId="0" borderId="0" xfId="7" applyFont="1" applyAlignment="1">
      <alignment horizontal="justify" vertical="center" wrapText="1"/>
    </xf>
    <xf numFmtId="0" fontId="50" fillId="29" borderId="2" xfId="7" applyFont="1" applyFill="1" applyBorder="1" applyAlignment="1">
      <alignment horizontal="center" vertical="center" wrapText="1"/>
    </xf>
    <xf numFmtId="0" fontId="38" fillId="30" borderId="2" xfId="7" applyFill="1" applyBorder="1"/>
    <xf numFmtId="0" fontId="38" fillId="0" borderId="2" xfId="7" applyBorder="1"/>
    <xf numFmtId="0" fontId="50" fillId="10" borderId="2" xfId="7" applyFont="1" applyFill="1" applyBorder="1" applyAlignment="1">
      <alignment horizontal="justify" vertical="center" wrapText="1"/>
    </xf>
    <xf numFmtId="0" fontId="53" fillId="0" borderId="39" xfId="7" applyFont="1" applyBorder="1" applyAlignment="1">
      <alignment horizontal="justify" vertical="center" wrapText="1"/>
    </xf>
    <xf numFmtId="0" fontId="53" fillId="0" borderId="1" xfId="7" applyFont="1" applyBorder="1" applyAlignment="1">
      <alignment horizontal="justify" vertical="center" wrapText="1"/>
    </xf>
    <xf numFmtId="0" fontId="50" fillId="29" borderId="2" xfId="7" applyFont="1" applyFill="1" applyBorder="1" applyAlignment="1">
      <alignment horizontal="justify" vertical="center" wrapText="1"/>
    </xf>
    <xf numFmtId="0" fontId="50" fillId="10" borderId="2" xfId="7" applyFont="1" applyFill="1" applyBorder="1" applyAlignment="1">
      <alignment horizontal="center"/>
    </xf>
    <xf numFmtId="0" fontId="47" fillId="0" borderId="8" xfId="7" applyFont="1" applyBorder="1" applyAlignment="1">
      <alignment horizontal="justify" vertical="center" wrapText="1"/>
    </xf>
    <xf numFmtId="0" fontId="47" fillId="0" borderId="25" xfId="7" applyFont="1" applyBorder="1" applyAlignment="1">
      <alignment horizontal="justify" vertical="center" wrapText="1"/>
    </xf>
    <xf numFmtId="0" fontId="38" fillId="0" borderId="1" xfId="7" applyBorder="1"/>
    <xf numFmtId="0" fontId="46" fillId="0" borderId="1" xfId="7" applyFont="1" applyBorder="1" applyAlignment="1">
      <alignment horizontal="justify" vertical="center" wrapText="1"/>
    </xf>
    <xf numFmtId="0" fontId="46" fillId="0" borderId="2" xfId="7" applyFont="1" applyBorder="1" applyAlignment="1">
      <alignment horizontal="justify" vertical="center" wrapText="1"/>
    </xf>
    <xf numFmtId="0" fontId="53" fillId="0" borderId="37" xfId="7" applyFont="1" applyBorder="1" applyAlignment="1">
      <alignment horizontal="justify" vertical="center" wrapText="1"/>
    </xf>
    <xf numFmtId="0" fontId="53" fillId="0" borderId="4" xfId="7" applyFont="1" applyBorder="1" applyAlignment="1">
      <alignment horizontal="justify" vertical="center" wrapText="1"/>
    </xf>
    <xf numFmtId="0" fontId="38" fillId="0" borderId="14" xfId="7" applyBorder="1"/>
    <xf numFmtId="0" fontId="50" fillId="0" borderId="14" xfId="7" applyFont="1" applyBorder="1" applyAlignment="1">
      <alignment horizontal="justify" vertical="center" wrapText="1"/>
    </xf>
    <xf numFmtId="0" fontId="50" fillId="0" borderId="2" xfId="7" applyFont="1" applyBorder="1" applyAlignment="1">
      <alignment horizontal="justify" vertical="center" wrapText="1"/>
    </xf>
    <xf numFmtId="0" fontId="50" fillId="0" borderId="14" xfId="7" applyFont="1" applyBorder="1" applyAlignment="1">
      <alignment horizontal="center" vertical="center" wrapText="1"/>
    </xf>
    <xf numFmtId="0" fontId="50" fillId="0" borderId="2" xfId="7" applyFont="1" applyBorder="1" applyAlignment="1">
      <alignment horizontal="center" vertical="center" wrapText="1"/>
    </xf>
    <xf numFmtId="4" fontId="21" fillId="0" borderId="12" xfId="7" applyNumberFormat="1" applyFont="1" applyBorder="1" applyAlignment="1">
      <alignment horizontal="justify" vertical="center" wrapText="1"/>
    </xf>
    <xf numFmtId="4" fontId="21" fillId="0" borderId="7" xfId="7" applyNumberFormat="1" applyFont="1" applyBorder="1" applyAlignment="1">
      <alignment horizontal="justify" vertical="center" wrapText="1"/>
    </xf>
    <xf numFmtId="0" fontId="53" fillId="0" borderId="14" xfId="7" applyFont="1" applyBorder="1" applyAlignment="1">
      <alignment horizontal="justify" vertical="center" wrapText="1"/>
    </xf>
    <xf numFmtId="0" fontId="53" fillId="0" borderId="2" xfId="7" applyFont="1" applyBorder="1" applyAlignment="1">
      <alignment horizontal="justify" vertical="center" wrapText="1"/>
    </xf>
    <xf numFmtId="0" fontId="54" fillId="29" borderId="14" xfId="7" applyFont="1" applyFill="1" applyBorder="1" applyAlignment="1">
      <alignment horizontal="center" vertical="center" wrapText="1"/>
    </xf>
    <xf numFmtId="0" fontId="54" fillId="29" borderId="2" xfId="7" applyFont="1" applyFill="1" applyBorder="1" applyAlignment="1">
      <alignment horizontal="center" vertical="center" wrapText="1"/>
    </xf>
    <xf numFmtId="0" fontId="46" fillId="0" borderId="77" xfId="7" applyFont="1" applyBorder="1" applyAlignment="1">
      <alignment horizontal="justify" vertical="center" wrapText="1"/>
    </xf>
    <xf numFmtId="0" fontId="46" fillId="0" borderId="78" xfId="7" applyFont="1" applyBorder="1" applyAlignment="1">
      <alignment horizontal="justify" vertical="center" wrapText="1"/>
    </xf>
    <xf numFmtId="0" fontId="52" fillId="0" borderId="8" xfId="7" applyFont="1" applyBorder="1" applyAlignment="1">
      <alignment horizontal="justify" vertical="center" wrapText="1"/>
    </xf>
    <xf numFmtId="0" fontId="52" fillId="0" borderId="25" xfId="7" applyFont="1" applyBorder="1" applyAlignment="1">
      <alignment horizontal="justify" vertical="center" wrapText="1"/>
    </xf>
    <xf numFmtId="0" fontId="53" fillId="0" borderId="79" xfId="7" applyFont="1" applyBorder="1" applyAlignment="1">
      <alignment horizontal="justify" vertical="center" wrapText="1"/>
    </xf>
    <xf numFmtId="0" fontId="38" fillId="0" borderId="52" xfId="7" applyBorder="1"/>
    <xf numFmtId="0" fontId="50" fillId="10" borderId="52" xfId="7" applyFont="1" applyFill="1" applyBorder="1" applyAlignment="1">
      <alignment horizontal="justify" vertical="center" wrapText="1"/>
    </xf>
    <xf numFmtId="0" fontId="50" fillId="10" borderId="52" xfId="7" applyFont="1" applyFill="1" applyBorder="1" applyAlignment="1">
      <alignment horizontal="center" vertical="center"/>
    </xf>
    <xf numFmtId="0" fontId="38" fillId="10" borderId="52" xfId="7" applyFill="1" applyBorder="1" applyAlignment="1">
      <alignment vertical="center"/>
    </xf>
    <xf numFmtId="4" fontId="21" fillId="10" borderId="52" xfId="7" applyNumberFormat="1" applyFont="1" applyFill="1" applyBorder="1" applyAlignment="1">
      <alignment horizontal="justify" vertical="center" wrapText="1"/>
    </xf>
    <xf numFmtId="0" fontId="38" fillId="0" borderId="59" xfId="7" applyBorder="1"/>
    <xf numFmtId="0" fontId="38" fillId="0" borderId="47" xfId="7" applyBorder="1"/>
    <xf numFmtId="0" fontId="53" fillId="0" borderId="62" xfId="7" applyFont="1" applyBorder="1" applyAlignment="1">
      <alignment horizontal="justify" vertical="center" wrapText="1"/>
    </xf>
    <xf numFmtId="0" fontId="53" fillId="0" borderId="74" xfId="7" applyFont="1" applyBorder="1" applyAlignment="1">
      <alignment horizontal="justify" vertical="center" wrapText="1"/>
    </xf>
    <xf numFmtId="0" fontId="48" fillId="0" borderId="57" xfId="7" applyFont="1" applyBorder="1" applyAlignment="1">
      <alignment horizontal="center" vertical="center" wrapText="1"/>
    </xf>
    <xf numFmtId="0" fontId="48" fillId="0" borderId="69" xfId="7" applyFont="1" applyBorder="1" applyAlignment="1">
      <alignment horizontal="center" vertical="center" wrapText="1"/>
    </xf>
    <xf numFmtId="0" fontId="48" fillId="0" borderId="65" xfId="7" applyFont="1" applyBorder="1" applyAlignment="1">
      <alignment horizontal="center" vertical="center" wrapText="1"/>
    </xf>
    <xf numFmtId="0" fontId="48" fillId="0" borderId="67" xfId="7" applyFont="1" applyBorder="1" applyAlignment="1">
      <alignment horizontal="center" vertical="center" wrapText="1"/>
    </xf>
    <xf numFmtId="0" fontId="46" fillId="0" borderId="43" xfId="7" applyFont="1" applyBorder="1" applyAlignment="1">
      <alignment horizontal="center" vertical="center" wrapText="1"/>
    </xf>
    <xf numFmtId="0" fontId="46" fillId="0" borderId="45" xfId="7" applyFont="1" applyBorder="1" applyAlignment="1">
      <alignment horizontal="center" vertical="center" wrapText="1"/>
    </xf>
    <xf numFmtId="0" fontId="46" fillId="0" borderId="46" xfId="7" applyFont="1" applyBorder="1" applyAlignment="1">
      <alignment horizontal="center" vertical="center" wrapText="1"/>
    </xf>
    <xf numFmtId="0" fontId="46" fillId="0" borderId="48" xfId="7" applyFont="1" applyBorder="1" applyAlignment="1">
      <alignment horizontal="center" vertical="center" wrapText="1"/>
    </xf>
    <xf numFmtId="0" fontId="54" fillId="29" borderId="66" xfId="7" applyFont="1" applyFill="1" applyBorder="1" applyAlignment="1">
      <alignment horizontal="center" vertical="center" wrapText="1"/>
    </xf>
    <xf numFmtId="0" fontId="54" fillId="29" borderId="68" xfId="7" applyFont="1" applyFill="1" applyBorder="1" applyAlignment="1">
      <alignment horizontal="center" vertical="center" wrapText="1"/>
    </xf>
    <xf numFmtId="0" fontId="54" fillId="0" borderId="52" xfId="7" applyFont="1" applyBorder="1" applyAlignment="1">
      <alignment horizontal="center" vertical="center" wrapText="1"/>
    </xf>
    <xf numFmtId="0" fontId="54" fillId="0" borderId="55" xfId="7" applyFont="1" applyBorder="1" applyAlignment="1">
      <alignment horizontal="center" vertical="center" wrapText="1"/>
    </xf>
    <xf numFmtId="0" fontId="48" fillId="0" borderId="58" xfId="7" applyFont="1" applyBorder="1" applyAlignment="1">
      <alignment horizontal="center" vertical="center" wrapText="1"/>
    </xf>
    <xf numFmtId="0" fontId="48" fillId="0" borderId="47" xfId="7" applyFont="1" applyBorder="1" applyAlignment="1">
      <alignment horizontal="center" vertical="center" wrapText="1"/>
    </xf>
    <xf numFmtId="0" fontId="46" fillId="0" borderId="60" xfId="7" applyFont="1" applyBorder="1" applyAlignment="1">
      <alignment horizontal="justify" vertical="center" wrapText="1"/>
    </xf>
    <xf numFmtId="0" fontId="53" fillId="0" borderId="60" xfId="7" applyFont="1" applyBorder="1" applyAlignment="1">
      <alignment horizontal="justify" vertical="center" wrapText="1"/>
    </xf>
    <xf numFmtId="0" fontId="53" fillId="0" borderId="64" xfId="7" applyFont="1" applyBorder="1" applyAlignment="1">
      <alignment horizontal="justify" vertical="center" wrapText="1"/>
    </xf>
    <xf numFmtId="0" fontId="45" fillId="26" borderId="52" xfId="7" applyFont="1" applyFill="1" applyBorder="1" applyAlignment="1">
      <alignment horizontal="center" vertical="center" wrapText="1"/>
    </xf>
    <xf numFmtId="0" fontId="45" fillId="26" borderId="53" xfId="7" applyFont="1" applyFill="1" applyBorder="1" applyAlignment="1">
      <alignment horizontal="center" vertical="center" wrapText="1"/>
    </xf>
    <xf numFmtId="0" fontId="46" fillId="26" borderId="55" xfId="7" applyFont="1" applyFill="1" applyBorder="1" applyAlignment="1">
      <alignment horizontal="left" vertical="center" wrapText="1"/>
    </xf>
    <xf numFmtId="0" fontId="47" fillId="26" borderId="55" xfId="7" applyFont="1" applyFill="1" applyBorder="1" applyAlignment="1">
      <alignment horizontal="center" vertical="center" wrapText="1"/>
    </xf>
    <xf numFmtId="0" fontId="50" fillId="10" borderId="53" xfId="7" applyFont="1" applyFill="1" applyBorder="1" applyAlignment="1">
      <alignment vertical="center" wrapText="1"/>
    </xf>
    <xf numFmtId="0" fontId="51" fillId="27" borderId="57" xfId="7" applyFont="1" applyFill="1" applyBorder="1" applyAlignment="1">
      <alignment horizontal="center" vertical="center" wrapText="1"/>
    </xf>
    <xf numFmtId="0" fontId="51" fillId="27" borderId="58" xfId="7" applyFont="1" applyFill="1" applyBorder="1" applyAlignment="1">
      <alignment horizontal="center" vertical="center" wrapText="1"/>
    </xf>
    <xf numFmtId="0" fontId="51" fillId="27" borderId="59" xfId="7" applyFont="1" applyFill="1" applyBorder="1" applyAlignment="1">
      <alignment horizontal="center" vertical="center" wrapText="1"/>
    </xf>
    <xf numFmtId="0" fontId="52" fillId="0" borderId="43" xfId="7" applyFont="1" applyBorder="1" applyAlignment="1">
      <alignment horizontal="justify" vertical="center" wrapText="1"/>
    </xf>
    <xf numFmtId="0" fontId="52" fillId="0" borderId="45" xfId="7" applyFont="1" applyBorder="1" applyAlignment="1">
      <alignment horizontal="justify" vertical="center" wrapText="1"/>
    </xf>
    <xf numFmtId="0" fontId="3" fillId="0" borderId="0" xfId="0" applyFont="1" applyAlignment="1">
      <alignment horizontal="center" vertical="center" wrapText="1"/>
    </xf>
    <xf numFmtId="0" fontId="3" fillId="2" borderId="13" xfId="0" applyFont="1" applyFill="1" applyBorder="1" applyAlignment="1">
      <alignment horizontal="center" vertical="center" wrapText="1"/>
    </xf>
    <xf numFmtId="0" fontId="3" fillId="2" borderId="79"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0" fillId="5" borderId="9" xfId="0" applyFill="1" applyBorder="1" applyAlignment="1">
      <alignment horizontal="center" vertical="center" wrapText="1"/>
    </xf>
    <xf numFmtId="0" fontId="0" fillId="5" borderId="93" xfId="0" applyFill="1" applyBorder="1" applyAlignment="1">
      <alignment horizontal="center" vertical="center" wrapText="1"/>
    </xf>
    <xf numFmtId="0" fontId="0" fillId="5" borderId="11" xfId="0"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4" borderId="23" xfId="0" applyFont="1" applyFill="1" applyBorder="1" applyAlignment="1">
      <alignment horizontal="center" vertical="center" wrapText="1"/>
    </xf>
    <xf numFmtId="165" fontId="2" fillId="2" borderId="0" xfId="1" applyFont="1" applyFill="1" applyBorder="1" applyAlignment="1" applyProtection="1">
      <alignment horizontal="center" vertical="center" wrapText="1"/>
      <protection locked="0"/>
    </xf>
    <xf numFmtId="0" fontId="0" fillId="0" borderId="8" xfId="0" applyBorder="1" applyAlignment="1">
      <alignment horizontal="center" wrapText="1"/>
    </xf>
    <xf numFmtId="49" fontId="3" fillId="3" borderId="2" xfId="0" applyNumberFormat="1" applyFont="1" applyFill="1" applyBorder="1" applyAlignment="1" applyProtection="1">
      <alignment horizontal="left" vertical="top" wrapText="1"/>
      <protection locked="0"/>
    </xf>
    <xf numFmtId="165" fontId="3" fillId="3" borderId="2" xfId="1"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165" fontId="2" fillId="3" borderId="2" xfId="1"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center" wrapText="1"/>
      <protection locked="0"/>
    </xf>
    <xf numFmtId="165" fontId="3" fillId="3" borderId="2" xfId="1" applyFont="1" applyFill="1" applyBorder="1" applyAlignment="1" applyProtection="1">
      <alignment horizontal="left" vertical="center" wrapText="1"/>
      <protection locked="0"/>
    </xf>
    <xf numFmtId="165" fontId="2" fillId="0" borderId="0" xfId="1" applyFont="1" applyFill="1" applyBorder="1" applyAlignment="1" applyProtection="1">
      <alignment horizontal="center" vertical="center" wrapText="1"/>
      <protection locked="0"/>
    </xf>
    <xf numFmtId="0" fontId="14" fillId="0" borderId="0" xfId="0" applyFont="1" applyAlignment="1">
      <alignment horizontal="left" vertical="top" wrapText="1"/>
    </xf>
    <xf numFmtId="0" fontId="15" fillId="0" borderId="0" xfId="0" applyFont="1" applyAlignment="1">
      <alignment horizontal="left" wrapText="1"/>
    </xf>
    <xf numFmtId="49" fontId="2" fillId="3" borderId="2" xfId="0" applyNumberFormat="1" applyFont="1" applyFill="1" applyBorder="1" applyAlignment="1" applyProtection="1">
      <alignment horizontal="left" vertical="top" wrapText="1"/>
      <protection locked="0"/>
    </xf>
    <xf numFmtId="49" fontId="6" fillId="3" borderId="2" xfId="0" applyNumberFormat="1" applyFont="1" applyFill="1" applyBorder="1" applyAlignment="1" applyProtection="1">
      <alignment horizontal="left" vertical="top" wrapText="1"/>
      <protection locked="0"/>
    </xf>
    <xf numFmtId="165" fontId="6" fillId="3" borderId="2" xfId="1" applyFont="1" applyFill="1" applyBorder="1" applyAlignment="1" applyProtection="1">
      <alignment horizontal="left" vertical="top" wrapText="1"/>
      <protection locked="0"/>
    </xf>
    <xf numFmtId="0" fontId="76" fillId="0" borderId="47" xfId="0" applyFont="1" applyBorder="1" applyAlignment="1">
      <alignment horizontal="center" wrapText="1"/>
    </xf>
    <xf numFmtId="0" fontId="40" fillId="4" borderId="24" xfId="0" applyFont="1" applyFill="1" applyBorder="1" applyAlignment="1">
      <alignment horizontal="center"/>
    </xf>
    <xf numFmtId="0" fontId="4" fillId="10" borderId="26" xfId="0" applyFont="1" applyFill="1" applyBorder="1" applyAlignment="1">
      <alignment horizontal="center"/>
    </xf>
    <xf numFmtId="0" fontId="4" fillId="10" borderId="92" xfId="0" applyFont="1" applyFill="1" applyBorder="1" applyAlignment="1">
      <alignment horizontal="center"/>
    </xf>
    <xf numFmtId="0" fontId="4" fillId="10" borderId="27" xfId="0" applyFont="1" applyFill="1" applyBorder="1" applyAlignment="1">
      <alignment horizontal="center"/>
    </xf>
    <xf numFmtId="0" fontId="4" fillId="10" borderId="28" xfId="0" applyFont="1" applyFill="1" applyBorder="1" applyAlignment="1">
      <alignment horizontal="center"/>
    </xf>
    <xf numFmtId="0" fontId="4" fillId="18" borderId="26" xfId="0" applyFont="1" applyFill="1" applyBorder="1" applyAlignment="1">
      <alignment horizontal="center"/>
    </xf>
    <xf numFmtId="0" fontId="4" fillId="18" borderId="27" xfId="0" applyFont="1" applyFill="1" applyBorder="1" applyAlignment="1">
      <alignment horizontal="center"/>
    </xf>
    <xf numFmtId="0" fontId="4" fillId="18" borderId="91" xfId="0" applyFont="1" applyFill="1" applyBorder="1" applyAlignment="1">
      <alignment horizontal="center"/>
    </xf>
    <xf numFmtId="0" fontId="75" fillId="21" borderId="2" xfId="0" applyFont="1" applyFill="1" applyBorder="1" applyAlignment="1">
      <alignment horizontal="left" wrapText="1"/>
    </xf>
    <xf numFmtId="0" fontId="75" fillId="21" borderId="2" xfId="0" applyFont="1" applyFill="1" applyBorder="1" applyAlignment="1">
      <alignment horizontal="center" wrapText="1"/>
    </xf>
    <xf numFmtId="0" fontId="42" fillId="21" borderId="2" xfId="0" applyFont="1" applyFill="1" applyBorder="1" applyAlignment="1">
      <alignment horizontal="left" wrapText="1"/>
    </xf>
    <xf numFmtId="0" fontId="65" fillId="21" borderId="2" xfId="0" applyFont="1" applyFill="1" applyBorder="1" applyAlignment="1">
      <alignment horizontal="left" wrapText="1"/>
    </xf>
    <xf numFmtId="165" fontId="42" fillId="34" borderId="43" xfId="1" applyFont="1" applyFill="1" applyBorder="1" applyAlignment="1">
      <alignment horizontal="center" wrapText="1"/>
    </xf>
    <xf numFmtId="165" fontId="42" fillId="34" borderId="44" xfId="1" applyFont="1" applyFill="1" applyBorder="1" applyAlignment="1">
      <alignment horizontal="center" wrapText="1"/>
    </xf>
    <xf numFmtId="165" fontId="42" fillId="34" borderId="45" xfId="1" applyFont="1" applyFill="1" applyBorder="1" applyAlignment="1">
      <alignment horizontal="center" wrapText="1"/>
    </xf>
    <xf numFmtId="165" fontId="42" fillId="34" borderId="46" xfId="1" applyFont="1" applyFill="1" applyBorder="1" applyAlignment="1">
      <alignment horizontal="center" wrapText="1"/>
    </xf>
    <xf numFmtId="165" fontId="42" fillId="34" borderId="47" xfId="1" applyFont="1" applyFill="1" applyBorder="1" applyAlignment="1">
      <alignment horizontal="center" wrapText="1"/>
    </xf>
    <xf numFmtId="165" fontId="42" fillId="34" borderId="48" xfId="1" applyFont="1" applyFill="1" applyBorder="1" applyAlignment="1">
      <alignment horizontal="center" wrapText="1"/>
    </xf>
    <xf numFmtId="0" fontId="70" fillId="0" borderId="0" xfId="0" applyFont="1" applyAlignment="1">
      <alignment horizontal="center" wrapText="1"/>
    </xf>
    <xf numFmtId="0" fontId="42" fillId="34" borderId="30" xfId="0" applyFont="1" applyFill="1" applyBorder="1" applyAlignment="1">
      <alignment horizontal="center" wrapText="1"/>
    </xf>
    <xf numFmtId="0" fontId="42" fillId="34" borderId="32" xfId="0" applyFont="1" applyFill="1" applyBorder="1" applyAlignment="1">
      <alignment horizontal="center" wrapText="1"/>
    </xf>
    <xf numFmtId="0" fontId="42" fillId="21" borderId="8" xfId="0" applyFont="1" applyFill="1" applyBorder="1" applyAlignment="1">
      <alignment horizontal="left" wrapText="1"/>
    </xf>
    <xf numFmtId="0" fontId="42" fillId="21" borderId="0" xfId="0" applyFont="1" applyFill="1" applyAlignment="1">
      <alignment horizontal="left" wrapText="1"/>
    </xf>
    <xf numFmtId="0" fontId="42" fillId="21" borderId="35" xfId="0" applyFont="1" applyFill="1" applyBorder="1" applyAlignment="1">
      <alignment horizontal="left" wrapText="1"/>
    </xf>
    <xf numFmtId="0" fontId="75" fillId="21" borderId="38" xfId="0" applyFont="1" applyFill="1" applyBorder="1" applyAlignment="1">
      <alignment horizontal="left" wrapText="1"/>
    </xf>
    <xf numFmtId="0" fontId="75" fillId="21" borderId="24" xfId="0" applyFont="1" applyFill="1" applyBorder="1" applyAlignment="1">
      <alignment horizontal="left" wrapText="1"/>
    </xf>
    <xf numFmtId="0" fontId="75" fillId="21" borderId="39" xfId="0" applyFont="1" applyFill="1" applyBorder="1" applyAlignment="1">
      <alignment horizontal="left" wrapText="1"/>
    </xf>
    <xf numFmtId="0" fontId="75" fillId="21" borderId="3" xfId="0" applyFont="1" applyFill="1" applyBorder="1" applyAlignment="1">
      <alignment horizontal="left" wrapText="1"/>
    </xf>
    <xf numFmtId="0" fontId="75" fillId="21" borderId="33" xfId="0" applyFont="1" applyFill="1" applyBorder="1" applyAlignment="1">
      <alignment horizontal="left" wrapText="1"/>
    </xf>
    <xf numFmtId="0" fontId="75" fillId="21" borderId="1" xfId="0" applyFont="1" applyFill="1" applyBorder="1" applyAlignment="1">
      <alignment horizontal="left" wrapText="1"/>
    </xf>
    <xf numFmtId="0" fontId="44" fillId="21" borderId="3" xfId="0" applyFont="1" applyFill="1" applyBorder="1" applyAlignment="1">
      <alignment horizontal="center" wrapText="1"/>
    </xf>
    <xf numFmtId="0" fontId="44" fillId="21" borderId="33" xfId="0" applyFont="1" applyFill="1" applyBorder="1" applyAlignment="1">
      <alignment horizontal="center" wrapText="1"/>
    </xf>
    <xf numFmtId="0" fontId="44" fillId="21" borderId="1" xfId="0" applyFont="1" applyFill="1" applyBorder="1" applyAlignment="1">
      <alignment horizontal="center" wrapText="1"/>
    </xf>
    <xf numFmtId="0" fontId="70" fillId="0" borderId="30" xfId="0" applyFont="1" applyBorder="1" applyAlignment="1">
      <alignment horizontal="center" wrapText="1"/>
    </xf>
    <xf numFmtId="0" fontId="70" fillId="0" borderId="31" xfId="0" applyFont="1" applyBorder="1" applyAlignment="1">
      <alignment horizontal="center" wrapText="1"/>
    </xf>
    <xf numFmtId="0" fontId="70" fillId="0" borderId="32" xfId="0" applyFont="1" applyBorder="1" applyAlignment="1">
      <alignment horizontal="center" wrapText="1"/>
    </xf>
    <xf numFmtId="0" fontId="42" fillId="0" borderId="30" xfId="0" applyFont="1" applyBorder="1" applyAlignment="1">
      <alignment horizontal="center" wrapText="1"/>
    </xf>
    <xf numFmtId="0" fontId="42" fillId="0" borderId="31" xfId="0" applyFont="1" applyBorder="1" applyAlignment="1">
      <alignment horizontal="center" wrapText="1"/>
    </xf>
    <xf numFmtId="0" fontId="42" fillId="0" borderId="32" xfId="0" applyFont="1" applyBorder="1" applyAlignment="1">
      <alignment horizontal="center" wrapText="1"/>
    </xf>
    <xf numFmtId="0" fontId="42" fillId="21" borderId="38" xfId="0" applyFont="1" applyFill="1" applyBorder="1" applyAlignment="1">
      <alignment horizontal="left" wrapText="1"/>
    </xf>
    <xf numFmtId="0" fontId="42" fillId="21" borderId="24" xfId="0" applyFont="1" applyFill="1" applyBorder="1" applyAlignment="1">
      <alignment horizontal="left" wrapText="1"/>
    </xf>
    <xf numFmtId="0" fontId="42" fillId="21" borderId="39" xfId="0" applyFont="1" applyFill="1" applyBorder="1" applyAlignment="1">
      <alignment horizontal="left" wrapText="1"/>
    </xf>
    <xf numFmtId="0" fontId="42" fillId="24" borderId="43" xfId="0" applyFont="1" applyFill="1" applyBorder="1" applyAlignment="1">
      <alignment horizontal="center" vertical="center"/>
    </xf>
    <xf numFmtId="0" fontId="42" fillId="24" borderId="44" xfId="0" applyFont="1" applyFill="1" applyBorder="1" applyAlignment="1">
      <alignment horizontal="center" vertical="center"/>
    </xf>
    <xf numFmtId="0" fontId="42" fillId="24" borderId="45" xfId="0" applyFont="1" applyFill="1" applyBorder="1" applyAlignment="1">
      <alignment horizontal="center" vertical="center"/>
    </xf>
    <xf numFmtId="0" fontId="42" fillId="24" borderId="46" xfId="0" applyFont="1" applyFill="1" applyBorder="1" applyAlignment="1">
      <alignment horizontal="center" vertical="center"/>
    </xf>
    <xf numFmtId="0" fontId="42" fillId="24" borderId="47" xfId="0" applyFont="1" applyFill="1" applyBorder="1" applyAlignment="1">
      <alignment horizontal="center" vertical="center"/>
    </xf>
    <xf numFmtId="0" fontId="42" fillId="24" borderId="48" xfId="0" applyFont="1" applyFill="1" applyBorder="1" applyAlignment="1">
      <alignment horizontal="center" vertical="center"/>
    </xf>
    <xf numFmtId="0" fontId="42" fillId="21" borderId="30" xfId="0" applyFont="1" applyFill="1" applyBorder="1" applyAlignment="1">
      <alignment horizontal="center" wrapText="1"/>
    </xf>
    <xf numFmtId="0" fontId="42" fillId="21" borderId="31" xfId="0" applyFont="1" applyFill="1" applyBorder="1" applyAlignment="1">
      <alignment horizontal="center" wrapText="1"/>
    </xf>
    <xf numFmtId="0" fontId="42" fillId="21" borderId="45" xfId="0" applyFont="1" applyFill="1" applyBorder="1" applyAlignment="1">
      <alignment horizontal="center" wrapText="1"/>
    </xf>
    <xf numFmtId="0" fontId="42" fillId="21" borderId="13" xfId="0" applyFont="1" applyFill="1" applyBorder="1" applyAlignment="1">
      <alignment horizontal="center" vertical="center" wrapText="1"/>
    </xf>
    <xf numFmtId="0" fontId="42" fillId="21" borderId="14" xfId="0" applyFont="1" applyFill="1" applyBorder="1" applyAlignment="1">
      <alignment horizontal="center" vertical="center" wrapText="1"/>
    </xf>
    <xf numFmtId="0" fontId="42" fillId="21" borderId="12" xfId="0" applyFont="1" applyFill="1" applyBorder="1" applyAlignment="1">
      <alignment horizontal="center" vertical="center" wrapText="1"/>
    </xf>
    <xf numFmtId="0" fontId="8" fillId="0" borderId="0" xfId="0" applyFont="1" applyAlignment="1">
      <alignment wrapText="1"/>
    </xf>
    <xf numFmtId="165" fontId="13" fillId="35" borderId="7" xfId="0" applyNumberFormat="1" applyFont="1" applyFill="1" applyBorder="1" applyAlignment="1">
      <alignment wrapText="1"/>
    </xf>
    <xf numFmtId="164" fontId="62" fillId="0" borderId="2" xfId="6" applyFont="1" applyFill="1" applyBorder="1" applyAlignment="1">
      <alignment horizontal="center" wrapText="1"/>
    </xf>
    <xf numFmtId="0" fontId="62" fillId="35" borderId="0" xfId="0" applyFont="1" applyFill="1" applyAlignment="1">
      <alignment wrapText="1"/>
    </xf>
    <xf numFmtId="0" fontId="44" fillId="21" borderId="2" xfId="0" applyFont="1" applyFill="1" applyBorder="1" applyAlignment="1" applyProtection="1">
      <alignment wrapText="1"/>
      <protection locked="0"/>
    </xf>
    <xf numFmtId="0" fontId="41" fillId="21" borderId="2" xfId="0" applyFont="1" applyFill="1" applyBorder="1" applyAlignment="1" applyProtection="1">
      <alignment wrapText="1"/>
      <protection locked="0"/>
    </xf>
    <xf numFmtId="164" fontId="63" fillId="0" borderId="2" xfId="6" applyFont="1" applyBorder="1" applyAlignment="1">
      <alignment wrapText="1"/>
    </xf>
  </cellXfs>
  <cellStyles count="43">
    <cellStyle name="Comma [0] 2" xfId="14" xr:uid="{00000000-0005-0000-0000-000000000000}"/>
    <cellStyle name="Lien hypertexte 2" xfId="5" xr:uid="{00000000-0005-0000-0000-000001000000}"/>
    <cellStyle name="Milliers" xfId="6" builtinId="3"/>
    <cellStyle name="Milliers [0] 2" xfId="11" xr:uid="{00000000-0005-0000-0000-000003000000}"/>
    <cellStyle name="Milliers [0] 3" xfId="22" xr:uid="{00000000-0005-0000-0000-000004000000}"/>
    <cellStyle name="Milliers 10" xfId="33" xr:uid="{00000000-0005-0000-0000-000005000000}"/>
    <cellStyle name="Milliers 11" xfId="34" xr:uid="{00000000-0005-0000-0000-000006000000}"/>
    <cellStyle name="Milliers 12" xfId="35" xr:uid="{00000000-0005-0000-0000-000007000000}"/>
    <cellStyle name="Milliers 13" xfId="36" xr:uid="{00000000-0005-0000-0000-000008000000}"/>
    <cellStyle name="Milliers 2" xfId="4" xr:uid="{00000000-0005-0000-0000-000009000000}"/>
    <cellStyle name="Milliers 2 2" xfId="18" xr:uid="{00000000-0005-0000-0000-00000A000000}"/>
    <cellStyle name="Milliers 2 2 2" xfId="20" xr:uid="{00000000-0005-0000-0000-00000B000000}"/>
    <cellStyle name="Milliers 2 3" xfId="23" xr:uid="{00000000-0005-0000-0000-00000C000000}"/>
    <cellStyle name="Milliers 2 4" xfId="26" xr:uid="{00000000-0005-0000-0000-00000D000000}"/>
    <cellStyle name="Milliers 2 5" xfId="30" xr:uid="{00000000-0005-0000-0000-00000E000000}"/>
    <cellStyle name="Milliers 3" xfId="13" xr:uid="{00000000-0005-0000-0000-00000F000000}"/>
    <cellStyle name="Milliers 3 2" xfId="16" xr:uid="{00000000-0005-0000-0000-000010000000}"/>
    <cellStyle name="Milliers 3 2 2" xfId="38" xr:uid="{00000000-0005-0000-0000-000011000000}"/>
    <cellStyle name="Milliers 3 3" xfId="40" xr:uid="{00000000-0005-0000-0000-000012000000}"/>
    <cellStyle name="Milliers 4" xfId="15" xr:uid="{00000000-0005-0000-0000-000013000000}"/>
    <cellStyle name="Milliers 5" xfId="24" xr:uid="{00000000-0005-0000-0000-000014000000}"/>
    <cellStyle name="Milliers 5 2" xfId="42" xr:uid="{00000000-0005-0000-0000-000015000000}"/>
    <cellStyle name="Milliers 6" xfId="25" xr:uid="{00000000-0005-0000-0000-000016000000}"/>
    <cellStyle name="Milliers 7" xfId="31" xr:uid="{00000000-0005-0000-0000-000017000000}"/>
    <cellStyle name="Milliers 8" xfId="29" xr:uid="{00000000-0005-0000-0000-000018000000}"/>
    <cellStyle name="Milliers 9" xfId="32" xr:uid="{00000000-0005-0000-0000-000019000000}"/>
    <cellStyle name="Monétaire" xfId="1" builtinId="4"/>
    <cellStyle name="Monétaire 2" xfId="8" xr:uid="{00000000-0005-0000-0000-00001B000000}"/>
    <cellStyle name="Normal" xfId="0" builtinId="0"/>
    <cellStyle name="Normal 10" xfId="28" xr:uid="{00000000-0005-0000-0000-00001D000000}"/>
    <cellStyle name="Normal 2" xfId="3" xr:uid="{00000000-0005-0000-0000-00001E000000}"/>
    <cellStyle name="Normal 2 2" xfId="17" xr:uid="{00000000-0005-0000-0000-00001F000000}"/>
    <cellStyle name="Normal 2 3" xfId="9" xr:uid="{00000000-0005-0000-0000-000020000000}"/>
    <cellStyle name="Normal 3" xfId="7" xr:uid="{00000000-0005-0000-0000-000021000000}"/>
    <cellStyle name="Normal 3 2" xfId="21" xr:uid="{00000000-0005-0000-0000-000022000000}"/>
    <cellStyle name="Normal 3 3" xfId="10" xr:uid="{00000000-0005-0000-0000-000023000000}"/>
    <cellStyle name="Normal 4" xfId="12" xr:uid="{00000000-0005-0000-0000-000024000000}"/>
    <cellStyle name="Normal 4 2" xfId="37" xr:uid="{00000000-0005-0000-0000-000025000000}"/>
    <cellStyle name="Normal 5" xfId="41" xr:uid="{00000000-0005-0000-0000-000026000000}"/>
    <cellStyle name="Normal 7" xfId="39" xr:uid="{00000000-0005-0000-0000-000027000000}"/>
    <cellStyle name="Normal 8" xfId="27" xr:uid="{00000000-0005-0000-0000-000028000000}"/>
    <cellStyle name="Pourcentage" xfId="2" builtinId="5"/>
    <cellStyle name="Pourcentage 3" xfId="19" xr:uid="{00000000-0005-0000-0000-00002A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699FF"/>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calcChain" Target="calcChain.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AMANANARIVO\Users\Eric%20Solofo\Documents\GRANTS\Grants%20BOENY\AJPP\Rapport\Rapport%20financier\Avril%202012\Users\PC\Desktop\MENABE%202%20HERILAL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ossiers.dgt.cec.eu.int\dossiers\Documents%20and%20Settings\teufeil\Local%20Settings\Temporary%20Internet%20Files\OLK97\PVD%20BUDGET%20-%20fin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Shared\COST%20PROPOSALS\USAID%20Stand%20alones\Mikajy%20Program%207.2017\Budget\Tetra%20Tech%20Budget%20Spreadsheet_Hay%20Tao%20Program.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user/AppData/Local/Temp/G/PTT%202%20MRPA%2016%2004%202013%20VERSION%20DU%20VAL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RAMANANARIVO\Users\Eric%20Solofo\Documents\GRANTS\Grants%20BOENY\AJPP\Rapport\Rapport%20financier\Avril%202012\Users\User\Documents\r&#233;f&#233;rence%20Conception%20Outil\CD%20version%20final\RAPPORT\JOURNAL%20ONG%20XXX%20VIDE.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RAMANANARIVO\Users\Eric%20Solofo\Documents\GRANTS\Grants%20BOENY\AJPP\Rapport\Rapport%20financier\Avril%202012\Users\User\Documents\r&#233;f&#233;rence%20Conception%20Outil\CD%20version%20final\RAPPORT\RAPPORT%20FINANCIER%20ONG%20XXX.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AMANANARIVO\Users\HOBY\AppData\Local\Microsoft\Windows\Temporary%20Internet%20Files\Content.Outlook\8VHTATHM\CD%20version%20final\RAPPORT\RAPPORT%20FINANCIER%20ONG%20XXX.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PATRICIA/AppData/Roaming/Microsoft/Excel/3%20(version%201).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ata%20ordi%20DELL\Niaina\Documents\deskniaina\niaina\USAID\GOVERNANCE\RINDRA%20PROGRAM\Revised%20Proposal\Final%20Budget\Annex%201%20Summary%20Budget%20Template-MSIS_Final3_Rev200721_Faran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COMPTA%20MSIS\MIKAJY%20TETRA%20TECH\CONTRAT%20MSIS\Budget%20MSIS_de%20juin%20&#224;%20d&#233;cembr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ata%20ordi%20DELL/Niaina/Documents/deskniaina/niaina/OSC%20MALAGASY/ROHY%20AMIZAY/PSE/Appel%20&#224;%20proposition2020/Proposition%20compl&#232;te/Budget/Copy%20of%20Budget%20GPE%20OC2_farany_RMU_FIN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SIS/APPEL%20gouvernance%20USAID-RINDRA/20210305-Overall-Budget-Distribution-002moyens_joro%20Resultats%203(R&#233;cup&#233;ration%20automatiqu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PROJET%20OBS%20MADA%20-%20PNUD%20PBF%20-%20GYPI%202020\ASSOCIATION%20SAFIDY%20-%20PROJET%20OBS%20MADA%202021\30.08.2021%20Budget%20Safidy%20OBS%20Mada_version%20finale%2028.09.20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Shared\COST%20PROPOSALS\USAID%20Stand%20alones\Mikajy%20Program%207.2017\Subcontractors\Local%20Subcontractor%20Budget%20Template.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user/AppData/Local/Temp/Users/RAF/AppData/Local/Microsoft/Windows/Temporary%20Internet%20Files/Content.Outlook/PG61RHUY/MRPA%20-%20PTA%202013%20R&#233;vis&#233;%2024%2006%201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user/AppData/Local/Temp/Users/CORDO/AppData/Local/Microsoft/Windows/Temporary%20Internet%20Files/Content.Outlook/T9JFD92Y/Revision%20Juin%202013/MRPA/PTA%202013%20-%20CONSOL%2018%2006%2013%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2"/>
      <sheetName val="Feuil2"/>
      <sheetName val="CASHFLOW"/>
      <sheetName val="voucher "/>
      <sheetName val="CLASS"/>
      <sheetName val="ACCOUNTS"/>
      <sheetName val="journal Bank"/>
      <sheetName val="Bank raymonde "/>
      <sheetName val="RECAP  BANK ADMIN"/>
      <sheetName val="rapport fin"/>
      <sheetName val="suivi avance"/>
      <sheetName val="CAISSE"/>
      <sheetName val="Caisse "/>
      <sheetName val="RECAP CAISSE"/>
      <sheetName val="PV Caisse"/>
      <sheetName val="Avance"/>
      <sheetName val="Budget approuvé"/>
      <sheetName val="Petty c"/>
      <sheetName val="Vrt Jan-Mar"/>
      <sheetName val="PA Jan-Mar"/>
      <sheetName val="Mar"/>
      <sheetName val="PA Avr-Jun"/>
      <sheetName val="Vrt Avr-Jun"/>
      <sheetName val="Annexe3"/>
      <sheetName val="Annexe4"/>
      <sheetName val="Annexe5"/>
      <sheetName val="Avr"/>
      <sheetName val="Mai"/>
      <sheetName val="Jun"/>
      <sheetName val="QFR2"/>
      <sheetName val="PA July-Sept"/>
      <sheetName val="Vrt Jul-Sep"/>
      <sheetName val="Jul"/>
      <sheetName val="Aou"/>
      <sheetName val="Sept"/>
      <sheetName val="QFR3"/>
      <sheetName val="PA Oct-Déc"/>
      <sheetName val="Vrt Oct-Déc"/>
      <sheetName val="Oct"/>
      <sheetName val="Nov"/>
      <sheetName val="Dec"/>
      <sheetName val="QFR4"/>
      <sheetName val="FIFO"/>
      <sheetName val="Feuil1"/>
      <sheetName val="REMARQUE"/>
      <sheetName val="voucher"/>
      <sheetName val="QFR1"/>
      <sheetName val="Feuil4"/>
    </sheetNames>
    <sheetDataSet>
      <sheetData sheetId="0"/>
      <sheetData sheetId="1"/>
      <sheetData sheetId="2"/>
      <sheetData sheetId="3"/>
      <sheetData sheetId="4"/>
      <sheetData sheetId="5">
        <row r="2">
          <cell r="A2" t="str">
            <v>0000000</v>
          </cell>
        </row>
        <row r="3">
          <cell r="A3" t="str">
            <v>0641000</v>
          </cell>
        </row>
        <row r="4">
          <cell r="A4" t="str">
            <v>0641001</v>
          </cell>
        </row>
        <row r="5">
          <cell r="A5" t="str">
            <v>0649000</v>
          </cell>
        </row>
        <row r="6">
          <cell r="A6" t="str">
            <v>1002100</v>
          </cell>
        </row>
        <row r="7">
          <cell r="A7" t="str">
            <v>0136662</v>
          </cell>
        </row>
        <row r="8">
          <cell r="A8" t="str">
            <v>0146662</v>
          </cell>
        </row>
        <row r="9">
          <cell r="A9" t="str">
            <v>9900</v>
          </cell>
        </row>
        <row r="10">
          <cell r="A10" t="str">
            <v>9901</v>
          </cell>
        </row>
        <row r="11">
          <cell r="A11" t="str">
            <v>9902</v>
          </cell>
        </row>
        <row r="12">
          <cell r="A12" t="str">
            <v>9903</v>
          </cell>
        </row>
        <row r="13">
          <cell r="A13" t="str">
            <v>9904</v>
          </cell>
        </row>
        <row r="14">
          <cell r="A14" t="str">
            <v>9905</v>
          </cell>
        </row>
        <row r="15">
          <cell r="A15" t="str">
            <v>9906</v>
          </cell>
        </row>
        <row r="16">
          <cell r="A16" t="str">
            <v>3000</v>
          </cell>
        </row>
        <row r="17">
          <cell r="A17" t="str">
            <v>32000</v>
          </cell>
        </row>
        <row r="18">
          <cell r="A18" t="str">
            <v>1000000</v>
          </cell>
        </row>
        <row r="19">
          <cell r="A19" t="str">
            <v>4901004</v>
          </cell>
        </row>
        <row r="20">
          <cell r="A20" t="str">
            <v>9201000</v>
          </cell>
        </row>
        <row r="21">
          <cell r="A21" t="str">
            <v>5430000</v>
          </cell>
        </row>
        <row r="22">
          <cell r="A22" t="str">
            <v>5431000</v>
          </cell>
        </row>
        <row r="23">
          <cell r="A23" t="str">
            <v>5431010</v>
          </cell>
        </row>
        <row r="24">
          <cell r="A24" t="str">
            <v>5431011</v>
          </cell>
        </row>
        <row r="25">
          <cell r="A25" t="str">
            <v>5431012</v>
          </cell>
        </row>
        <row r="26">
          <cell r="A26" t="str">
            <v>5431013</v>
          </cell>
        </row>
        <row r="27">
          <cell r="A27" t="str">
            <v>5431014</v>
          </cell>
        </row>
        <row r="28">
          <cell r="A28" t="str">
            <v>5431015</v>
          </cell>
        </row>
        <row r="29">
          <cell r="A29" t="str">
            <v>5431016</v>
          </cell>
        </row>
        <row r="30">
          <cell r="A30" t="str">
            <v>5431017</v>
          </cell>
        </row>
        <row r="31">
          <cell r="A31" t="str">
            <v>5431018</v>
          </cell>
        </row>
        <row r="32">
          <cell r="A32" t="str">
            <v>5431019</v>
          </cell>
        </row>
        <row r="33">
          <cell r="A33" t="str">
            <v>5440000</v>
          </cell>
        </row>
        <row r="34">
          <cell r="A34" t="str">
            <v>5441010</v>
          </cell>
        </row>
        <row r="35">
          <cell r="A35" t="str">
            <v>5441020</v>
          </cell>
        </row>
        <row r="36">
          <cell r="A36" t="str">
            <v>5450000</v>
          </cell>
        </row>
        <row r="37">
          <cell r="A37" t="str">
            <v>5451010</v>
          </cell>
        </row>
        <row r="38">
          <cell r="A38" t="str">
            <v>5451020</v>
          </cell>
        </row>
        <row r="39">
          <cell r="A39" t="str">
            <v>5451030</v>
          </cell>
        </row>
        <row r="40">
          <cell r="A40" t="str">
            <v>5451060</v>
          </cell>
        </row>
        <row r="41">
          <cell r="A41" t="str">
            <v>5470000</v>
          </cell>
        </row>
        <row r="42">
          <cell r="A42" t="str">
            <v>5471001</v>
          </cell>
        </row>
        <row r="43">
          <cell r="A43" t="str">
            <v>5471020</v>
          </cell>
        </row>
        <row r="44">
          <cell r="A44" t="str">
            <v>5471025</v>
          </cell>
        </row>
        <row r="45">
          <cell r="A45" t="str">
            <v>5471045</v>
          </cell>
        </row>
        <row r="46">
          <cell r="A46" t="str">
            <v>5471050</v>
          </cell>
        </row>
        <row r="47">
          <cell r="A47" t="str">
            <v>5471055</v>
          </cell>
        </row>
        <row r="48">
          <cell r="A48" t="str">
            <v>5471060</v>
          </cell>
        </row>
        <row r="49">
          <cell r="A49" t="str">
            <v>5471065</v>
          </cell>
        </row>
        <row r="50">
          <cell r="A50" t="str">
            <v>5471075</v>
          </cell>
        </row>
        <row r="51">
          <cell r="A51" t="str">
            <v>5492000</v>
          </cell>
        </row>
        <row r="52">
          <cell r="A52" t="str">
            <v>5491017</v>
          </cell>
        </row>
        <row r="53">
          <cell r="A53" t="str">
            <v>5492017</v>
          </cell>
        </row>
        <row r="54">
          <cell r="A54" t="str">
            <v>5500000</v>
          </cell>
        </row>
        <row r="55">
          <cell r="A55" t="str">
            <v>5501010</v>
          </cell>
        </row>
        <row r="56">
          <cell r="A56" t="str">
            <v>5501020</v>
          </cell>
        </row>
        <row r="57">
          <cell r="A57" t="str">
            <v>5501030</v>
          </cell>
        </row>
        <row r="58">
          <cell r="A58" t="str">
            <v>5501040</v>
          </cell>
        </row>
        <row r="59">
          <cell r="A59" t="str">
            <v>5501050</v>
          </cell>
        </row>
        <row r="60">
          <cell r="A60" t="str">
            <v>5501070</v>
          </cell>
        </row>
        <row r="61">
          <cell r="A61" t="str">
            <v>5501080</v>
          </cell>
        </row>
        <row r="62">
          <cell r="A62" t="str">
            <v>5510000</v>
          </cell>
        </row>
        <row r="63">
          <cell r="A63" t="str">
            <v>5511005</v>
          </cell>
        </row>
        <row r="64">
          <cell r="A64" t="str">
            <v>5511010</v>
          </cell>
        </row>
        <row r="65">
          <cell r="A65" t="str">
            <v>5511015</v>
          </cell>
        </row>
        <row r="66">
          <cell r="A66" t="str">
            <v>5511020</v>
          </cell>
        </row>
        <row r="67">
          <cell r="A67" t="str">
            <v>5511025</v>
          </cell>
        </row>
        <row r="68">
          <cell r="A68" t="str">
            <v>5511035</v>
          </cell>
        </row>
        <row r="69">
          <cell r="A69" t="str">
            <v>5511040</v>
          </cell>
        </row>
        <row r="70">
          <cell r="A70" t="str">
            <v>5511045</v>
          </cell>
        </row>
        <row r="71">
          <cell r="A71" t="str">
            <v>5511055</v>
          </cell>
        </row>
        <row r="72">
          <cell r="A72" t="str">
            <v>5511065</v>
          </cell>
        </row>
        <row r="73">
          <cell r="A73" t="str">
            <v>5511070</v>
          </cell>
        </row>
        <row r="74">
          <cell r="A74" t="str">
            <v>5511075</v>
          </cell>
        </row>
        <row r="75">
          <cell r="A75" t="str">
            <v>5511090</v>
          </cell>
        </row>
        <row r="76">
          <cell r="A76" t="str">
            <v>5701000</v>
          </cell>
        </row>
        <row r="77">
          <cell r="A77" t="str">
            <v>5701050</v>
          </cell>
        </row>
        <row r="78">
          <cell r="A78" t="str">
            <v>5701051</v>
          </cell>
        </row>
        <row r="79">
          <cell r="A79" t="str">
            <v>5701052</v>
          </cell>
        </row>
        <row r="80">
          <cell r="A80" t="str">
            <v>5701053</v>
          </cell>
        </row>
        <row r="81">
          <cell r="A81" t="str">
            <v>5701054</v>
          </cell>
        </row>
        <row r="82">
          <cell r="A82" t="str">
            <v>5701055</v>
          </cell>
        </row>
        <row r="83">
          <cell r="A83" t="str">
            <v>5701056</v>
          </cell>
        </row>
        <row r="84">
          <cell r="A84" t="str">
            <v>5701057</v>
          </cell>
        </row>
        <row r="85">
          <cell r="A85" t="str">
            <v>5701058</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heet 1 Project budget"/>
      <sheetName val="Worksheet 2 Budget by activity"/>
      <sheetName val="Worksheet 3 Funding Sources "/>
      <sheetName val="4 Breakdown by sources"/>
      <sheetName val="Worksheet_1_Project_budget"/>
      <sheetName val="Worksheet_2_Budget_by_activity"/>
      <sheetName val="Worksheet_3_Funding_Sources_"/>
      <sheetName val="4_Breakdown_by_sources"/>
      <sheetName val="Worksheet_1_Project_budget1"/>
      <sheetName val="Worksheet_2_Budget_by_activity1"/>
      <sheetName val="Worksheet_3_Funding_Sources_1"/>
      <sheetName val="4_Breakdown_by_sources1"/>
    </sheetNames>
    <sheetDataSet>
      <sheetData sheetId="0" refreshError="1">
        <row r="56">
          <cell r="E56">
            <v>0</v>
          </cell>
          <cell r="I56">
            <v>0</v>
          </cell>
        </row>
      </sheetData>
      <sheetData sheetId="1" refreshError="1"/>
      <sheetData sheetId="2" refreshError="1"/>
      <sheetData sheetId="3" refreshError="1"/>
      <sheetData sheetId="4"/>
      <sheetData sheetId="5"/>
      <sheetData sheetId="6"/>
      <sheetData sheetId="7"/>
      <sheetData sheetId="8"/>
      <sheetData sheetId="9"/>
      <sheetData sheetId="10"/>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 ARD Summary Budget"/>
      <sheetName val="TT ARD Detailed Budget"/>
      <sheetName val="USAID Consolidated Budget"/>
      <sheetName val="Wildlife Conservation Society"/>
      <sheetName val="Training Resources Group"/>
      <sheetName val="MSIS"/>
      <sheetName val="PMP Plan_Fee Schedule"/>
      <sheetName val="International Travel"/>
      <sheetName val="parameters"/>
      <sheetName val="LCP"/>
    </sheetNames>
    <sheetDataSet>
      <sheetData sheetId="0" refreshError="1"/>
      <sheetData sheetId="1"/>
      <sheetData sheetId="2" refreshError="1"/>
      <sheetData sheetId="3"/>
      <sheetData sheetId="4"/>
      <sheetData sheetId="5"/>
      <sheetData sheetId="6" refreshError="1"/>
      <sheetData sheetId="7" refreshError="1"/>
      <sheetData sheetId="8">
        <row r="3">
          <cell r="D3" t="str">
            <v>Tetra Tech</v>
          </cell>
        </row>
        <row r="5">
          <cell r="D5" t="str">
            <v>Training Resources Group</v>
          </cell>
        </row>
        <row r="6">
          <cell r="D6" t="str">
            <v>Wildlife Conservation Society</v>
          </cell>
        </row>
      </sheetData>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RPA PTT 2 VF "/>
      <sheetName val="Feuil1"/>
      <sheetName val="Feuil2"/>
      <sheetName val="Feuil3"/>
    </sheetNames>
    <sheetDataSet>
      <sheetData sheetId="0" refreshError="1"/>
      <sheetData sheetId="1" refreshError="1"/>
      <sheetData sheetId="2" refreshError="1"/>
      <sheetData sheetId="3">
        <row r="1">
          <cell r="B1">
            <v>2200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2"/>
      <sheetName val="CASH FLOW PROJECTION"/>
      <sheetName val="CASH FLOW DETAILS"/>
      <sheetName val="CLASS"/>
      <sheetName val="ACCOUNTS"/>
      <sheetName val="CODE ACTIVITE"/>
      <sheetName val="DETAIL CASH FLOW a attacher  "/>
      <sheetName val="VOUCHER BANK"/>
      <sheetName val="JOURNAL BANK"/>
      <sheetName val="Bank raymonde "/>
      <sheetName val="CHECK LIST"/>
      <sheetName val="Plan de comptes"/>
      <sheetName val="CAISSE"/>
      <sheetName val="PETTY CASH JOURNAL"/>
      <sheetName val="RECAP PETTY CASH JOURNAL"/>
      <sheetName val="PV Caisse"/>
      <sheetName val="SUIVI Avance1 "/>
      <sheetName val="TABLEAU RECAPITULATION DEPENSES"/>
      <sheetName val="Budget approuvé"/>
      <sheetName val="Petty c"/>
      <sheetName val="Vrt Jan-Mar"/>
      <sheetName val="PA Jan-Mar"/>
      <sheetName val="Mar"/>
      <sheetName val="PA Avr-Jun"/>
      <sheetName val="Vrt Avr-Jun"/>
      <sheetName val="Annexe3"/>
      <sheetName val="Annexe4"/>
      <sheetName val="Annexe5"/>
      <sheetName val="Avr"/>
      <sheetName val="Mai"/>
      <sheetName val="Jun"/>
      <sheetName val="QFR2"/>
      <sheetName val="PA July-Sept"/>
      <sheetName val="Vrt Jul-Sep"/>
      <sheetName val="Jul"/>
      <sheetName val="Aou"/>
      <sheetName val="Sept"/>
      <sheetName val="QFR3"/>
      <sheetName val="PA Oct-Déc"/>
      <sheetName val="Vrt Oct-Déc"/>
      <sheetName val="Oct"/>
      <sheetName val="Nov"/>
      <sheetName val="Dec"/>
      <sheetName val="QFR4"/>
      <sheetName val="FIFO"/>
      <sheetName val="Feuil1"/>
      <sheetName val="QFR1"/>
      <sheetName val="staff jsi"/>
    </sheetNames>
    <sheetDataSet>
      <sheetData sheetId="0"/>
      <sheetData sheetId="1"/>
      <sheetData sheetId="2"/>
      <sheetData sheetId="3">
        <row r="2">
          <cell r="A2" t="str">
            <v>36662.1000.1000;IR#1</v>
          </cell>
        </row>
      </sheetData>
      <sheetData sheetId="4">
        <row r="2">
          <cell r="A2" t="str">
            <v>0641001</v>
          </cell>
        </row>
        <row r="3">
          <cell r="A3" t="str">
            <v>0649000</v>
          </cell>
        </row>
        <row r="4">
          <cell r="A4" t="str">
            <v>0136662</v>
          </cell>
        </row>
        <row r="5">
          <cell r="A5" t="str">
            <v>0146662</v>
          </cell>
        </row>
        <row r="6">
          <cell r="A6" t="str">
            <v>9900</v>
          </cell>
        </row>
        <row r="7">
          <cell r="A7">
            <v>9930</v>
          </cell>
        </row>
        <row r="8">
          <cell r="A8">
            <v>9931</v>
          </cell>
        </row>
        <row r="9">
          <cell r="A9">
            <v>9932</v>
          </cell>
        </row>
        <row r="11">
          <cell r="A11">
            <v>9940</v>
          </cell>
        </row>
        <row r="12">
          <cell r="A12">
            <v>9941</v>
          </cell>
        </row>
        <row r="13">
          <cell r="A13">
            <v>9942</v>
          </cell>
        </row>
        <row r="15">
          <cell r="A15">
            <v>9950</v>
          </cell>
        </row>
        <row r="16">
          <cell r="A16">
            <v>9951</v>
          </cell>
        </row>
        <row r="17">
          <cell r="A17">
            <v>9952</v>
          </cell>
        </row>
        <row r="19">
          <cell r="A19">
            <v>9960</v>
          </cell>
        </row>
        <row r="20">
          <cell r="A20">
            <v>9961</v>
          </cell>
        </row>
        <row r="21">
          <cell r="A21">
            <v>9962</v>
          </cell>
        </row>
        <row r="22">
          <cell r="A22" t="str">
            <v>5430000</v>
          </cell>
        </row>
        <row r="23">
          <cell r="A23" t="str">
            <v>5492000</v>
          </cell>
        </row>
        <row r="24">
          <cell r="A24" t="str">
            <v>5492001</v>
          </cell>
        </row>
        <row r="25">
          <cell r="A25" t="str">
            <v>5492002</v>
          </cell>
        </row>
        <row r="26">
          <cell r="A26" t="str">
            <v>5492003</v>
          </cell>
        </row>
        <row r="27">
          <cell r="A27" t="str">
            <v>5492004</v>
          </cell>
        </row>
        <row r="28">
          <cell r="A28" t="str">
            <v>5491017</v>
          </cell>
        </row>
        <row r="29">
          <cell r="A29" t="str">
            <v>5491001</v>
          </cell>
        </row>
        <row r="30">
          <cell r="A30" t="str">
            <v>5491002</v>
          </cell>
        </row>
        <row r="31">
          <cell r="A31" t="str">
            <v>5491003</v>
          </cell>
        </row>
        <row r="32">
          <cell r="A32" t="str">
            <v>5491004</v>
          </cell>
        </row>
        <row r="34">
          <cell r="A34" t="str">
            <v>5510000</v>
          </cell>
        </row>
        <row r="36">
          <cell r="A36" t="str">
            <v>5701051</v>
          </cell>
        </row>
        <row r="37">
          <cell r="A37" t="str">
            <v>5701052</v>
          </cell>
        </row>
        <row r="38">
          <cell r="A38" t="str">
            <v>5701053</v>
          </cell>
        </row>
        <row r="39">
          <cell r="A39" t="str">
            <v>5701054</v>
          </cell>
        </row>
        <row r="40">
          <cell r="A40" t="str">
            <v>5701055</v>
          </cell>
        </row>
        <row r="41">
          <cell r="A41" t="str">
            <v>5701056</v>
          </cell>
        </row>
        <row r="42">
          <cell r="A42" t="str">
            <v>5701057</v>
          </cell>
        </row>
        <row r="43">
          <cell r="A43" t="str">
            <v>5701058</v>
          </cell>
        </row>
        <row r="44">
          <cell r="A44" t="str">
            <v>0490-1013-6662</v>
          </cell>
        </row>
        <row r="45">
          <cell r="A45" t="str">
            <v>0920-1013-36662</v>
          </cell>
        </row>
      </sheetData>
      <sheetData sheetId="5">
        <row r="1">
          <cell r="A1" t="str">
            <v>0570-1051</v>
          </cell>
        </row>
        <row r="2">
          <cell r="A2" t="str">
            <v>0570-1052</v>
          </cell>
        </row>
        <row r="3">
          <cell r="A3" t="str">
            <v>0570-1053</v>
          </cell>
        </row>
        <row r="4">
          <cell r="A4" t="str">
            <v>0570-1054</v>
          </cell>
        </row>
        <row r="5">
          <cell r="A5" t="str">
            <v>0570-1055</v>
          </cell>
        </row>
        <row r="6">
          <cell r="A6" t="str">
            <v>0570-1056</v>
          </cell>
        </row>
        <row r="7">
          <cell r="A7" t="str">
            <v>0570-1057</v>
          </cell>
        </row>
        <row r="8">
          <cell r="A8" t="str">
            <v>0570-1058</v>
          </cell>
        </row>
        <row r="9">
          <cell r="A9" t="str">
            <v>0534-1000</v>
          </cell>
        </row>
        <row r="10">
          <cell r="A10" t="str">
            <v>0551-0000</v>
          </cell>
        </row>
        <row r="11">
          <cell r="A11" t="str">
            <v>9900-0000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2"/>
      <sheetName val="CASH FLOW PROJECTION"/>
      <sheetName val="CASH FLOW DETAILS"/>
      <sheetName val="CLASS"/>
      <sheetName val="ACCOUNTS"/>
      <sheetName val="CODE ACTIVITE"/>
      <sheetName val="DETAIL CASH FLOW a attacher  "/>
      <sheetName val="VOUCHER BANK"/>
      <sheetName val="JOURNAL BANK"/>
      <sheetName val="Bank raymonde "/>
      <sheetName val="CHECK LIST"/>
      <sheetName val="Plan de comptes"/>
      <sheetName val="CAISSE"/>
      <sheetName val="PETTY CASH JOURNAL"/>
      <sheetName val="RECAP PETTY CASH JOURNAL"/>
      <sheetName val="PV Caisse"/>
      <sheetName val="SUIVI Avance1 "/>
      <sheetName val="TABLEAU RECAPITULATION DEPENSES"/>
      <sheetName val="Budget approuvé"/>
      <sheetName val="Petty c"/>
      <sheetName val="Vrt Jan-Mar"/>
      <sheetName val="PA Jan-Mar"/>
      <sheetName val="Mar"/>
      <sheetName val="PA Avr-Jun"/>
      <sheetName val="Vrt Avr-Jun"/>
      <sheetName val="Annexe3"/>
      <sheetName val="Annexe4"/>
      <sheetName val="Annexe5"/>
      <sheetName val="Avr"/>
      <sheetName val="Mai"/>
      <sheetName val="Jun"/>
      <sheetName val="QFR2"/>
      <sheetName val="PA July-Sept"/>
      <sheetName val="Vrt Jul-Sep"/>
      <sheetName val="Jul"/>
      <sheetName val="Aou"/>
      <sheetName val="Sept"/>
      <sheetName val="QFR3"/>
      <sheetName val="PA Oct-Déc"/>
      <sheetName val="Vrt Oct-Déc"/>
      <sheetName val="Oct"/>
      <sheetName val="Nov"/>
      <sheetName val="Dec"/>
      <sheetName val="QFR4"/>
      <sheetName val="FIFO"/>
      <sheetName val="Feuil1"/>
      <sheetName val="QFR1"/>
      <sheetName val="staff jsi"/>
    </sheetNames>
    <sheetDataSet>
      <sheetData sheetId="0"/>
      <sheetData sheetId="1"/>
      <sheetData sheetId="2"/>
      <sheetData sheetId="3">
        <row r="2">
          <cell r="A2" t="str">
            <v>36662.1000.1000;IR#1</v>
          </cell>
        </row>
        <row r="3">
          <cell r="A3" t="str">
            <v>36662.2000.1000;IR#2</v>
          </cell>
        </row>
        <row r="4">
          <cell r="A4" t="str">
            <v>36662.3000.1000;IR#3</v>
          </cell>
        </row>
        <row r="5">
          <cell r="A5" t="str">
            <v>36662.4000.1000;Cross Cutting A</v>
          </cell>
        </row>
        <row r="6">
          <cell r="A6" t="str">
            <v>90000.1000; Advances</v>
          </cell>
        </row>
        <row r="7">
          <cell r="A7" t="str">
            <v>90000.1000; Cost Share</v>
          </cell>
        </row>
        <row r="8">
          <cell r="A8" t="str">
            <v>90000.1000; LC Checking</v>
          </cell>
        </row>
        <row r="9">
          <cell r="A9" t="str">
            <v>90000.1000; Petty Cash</v>
          </cell>
        </row>
        <row r="10">
          <cell r="A10" t="str">
            <v>36662.0001.0002;Admin-Morondava</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2"/>
      <sheetName val="CASH FLOW PROJECTION"/>
      <sheetName val="CASH FLOW DETAILS"/>
      <sheetName val="CLASS"/>
      <sheetName val="ACCOUNTS"/>
      <sheetName val="CODE ACTIVITE"/>
      <sheetName val="DETAIL CASH FLOW a attacher  "/>
      <sheetName val="VOUCHER BANK"/>
      <sheetName val="JOURNAL BANK"/>
      <sheetName val="Bank raymonde "/>
      <sheetName val="CHECK LIST"/>
      <sheetName val="Plan de comptes"/>
      <sheetName val="CAISSE"/>
      <sheetName val="PETTY CASH JOURNAL"/>
      <sheetName val="RECAP PETTY CASH JOURNAL"/>
      <sheetName val="PV Caisse"/>
      <sheetName val="SUIVI Avance1 "/>
      <sheetName val="TABLEAU RECAPITULATION DEPENSES"/>
      <sheetName val="Budget approuvé"/>
      <sheetName val="Petty c"/>
      <sheetName val="Vrt Jan-Mar"/>
      <sheetName val="PA Jan-Mar"/>
      <sheetName val="Mar"/>
      <sheetName val="PA Avr-Jun"/>
      <sheetName val="Vrt Avr-Jun"/>
      <sheetName val="Annexe3"/>
      <sheetName val="Annexe4"/>
      <sheetName val="Annexe5"/>
      <sheetName val="Avr"/>
      <sheetName val="Mai"/>
      <sheetName val="Jun"/>
      <sheetName val="QFR2"/>
      <sheetName val="PA July-Sept"/>
      <sheetName val="Vrt Jul-Sep"/>
      <sheetName val="Jul"/>
      <sheetName val="Aou"/>
      <sheetName val="Sept"/>
      <sheetName val="QFR3"/>
      <sheetName val="PA Oct-Déc"/>
      <sheetName val="Vrt Oct-Déc"/>
      <sheetName val="Oct"/>
      <sheetName val="Nov"/>
      <sheetName val="Dec"/>
      <sheetName val="QFR4"/>
      <sheetName val="FIFO"/>
      <sheetName val="Feuil1"/>
      <sheetName val="QFR1"/>
      <sheetName val="staff jsi"/>
      <sheetName val="CASH_FLOW_PROJECTION2"/>
      <sheetName val="CASH_FLOW_DETAILS2"/>
      <sheetName val="CODE_ACTIVITE2"/>
      <sheetName val="DETAIL_CASH_FLOW_a_attacher__2"/>
      <sheetName val="VOUCHER_BANK2"/>
      <sheetName val="JOURNAL_BANK2"/>
      <sheetName val="Bank_raymonde_2"/>
      <sheetName val="CHECK_LIST2"/>
      <sheetName val="Plan_de_comptes2"/>
      <sheetName val="PETTY_CASH_JOURNAL2"/>
      <sheetName val="RECAP_PETTY_CASH_JOURNAL2"/>
      <sheetName val="PV_Caisse2"/>
      <sheetName val="SUIVI_Avance1_2"/>
      <sheetName val="TABLEAU_RECAPITULATION_DEPENSE2"/>
      <sheetName val="Budget_approuvé2"/>
      <sheetName val="Petty_c2"/>
      <sheetName val="Vrt_Jan-Mar2"/>
      <sheetName val="PA_Jan-Mar2"/>
      <sheetName val="PA_Avr-Jun2"/>
      <sheetName val="Vrt_Avr-Jun2"/>
      <sheetName val="PA_July-Sept2"/>
      <sheetName val="Vrt_Jul-Sep2"/>
      <sheetName val="PA_Oct-Déc2"/>
      <sheetName val="Vrt_Oct-Déc2"/>
      <sheetName val="staff_jsi2"/>
      <sheetName val="CASH_FLOW_PROJECTION"/>
      <sheetName val="CASH_FLOW_DETAILS"/>
      <sheetName val="CODE_ACTIVITE"/>
      <sheetName val="DETAIL_CASH_FLOW_a_attacher__"/>
      <sheetName val="VOUCHER_BANK"/>
      <sheetName val="JOURNAL_BANK"/>
      <sheetName val="Bank_raymonde_"/>
      <sheetName val="CHECK_LIST"/>
      <sheetName val="Plan_de_comptes"/>
      <sheetName val="PETTY_CASH_JOURNAL"/>
      <sheetName val="RECAP_PETTY_CASH_JOURNAL"/>
      <sheetName val="PV_Caisse"/>
      <sheetName val="SUIVI_Avance1_"/>
      <sheetName val="TABLEAU_RECAPITULATION_DEPENSES"/>
      <sheetName val="Budget_approuvé"/>
      <sheetName val="Petty_c"/>
      <sheetName val="Vrt_Jan-Mar"/>
      <sheetName val="PA_Jan-Mar"/>
      <sheetName val="PA_Avr-Jun"/>
      <sheetName val="Vrt_Avr-Jun"/>
      <sheetName val="PA_July-Sept"/>
      <sheetName val="Vrt_Jul-Sep"/>
      <sheetName val="PA_Oct-Déc"/>
      <sheetName val="Vrt_Oct-Déc"/>
      <sheetName val="staff_jsi"/>
      <sheetName val="CASH_FLOW_PROJECTION1"/>
      <sheetName val="CASH_FLOW_DETAILS1"/>
      <sheetName val="CODE_ACTIVITE1"/>
      <sheetName val="DETAIL_CASH_FLOW_a_attacher__1"/>
      <sheetName val="VOUCHER_BANK1"/>
      <sheetName val="JOURNAL_BANK1"/>
      <sheetName val="Bank_raymonde_1"/>
      <sheetName val="CHECK_LIST1"/>
      <sheetName val="Plan_de_comptes1"/>
      <sheetName val="PETTY_CASH_JOURNAL1"/>
      <sheetName val="RECAP_PETTY_CASH_JOURNAL1"/>
      <sheetName val="PV_Caisse1"/>
      <sheetName val="SUIVI_Avance1_1"/>
      <sheetName val="TABLEAU_RECAPITULATION_DEPENSE1"/>
      <sheetName val="Budget_approuvé1"/>
      <sheetName val="Petty_c1"/>
      <sheetName val="Vrt_Jan-Mar1"/>
      <sheetName val="PA_Jan-Mar1"/>
      <sheetName val="PA_Avr-Jun1"/>
      <sheetName val="Vrt_Avr-Jun1"/>
      <sheetName val="PA_July-Sept1"/>
      <sheetName val="Vrt_Jul-Sep1"/>
      <sheetName val="PA_Oct-Déc1"/>
      <sheetName val="Vrt_Oct-Déc1"/>
      <sheetName val="staff_jsi1"/>
    </sheetNames>
    <sheetDataSet>
      <sheetData sheetId="0"/>
      <sheetData sheetId="1"/>
      <sheetData sheetId="2"/>
      <sheetData sheetId="3">
        <row r="2">
          <cell r="A2" t="str">
            <v>36662.1000.1000;IR#1</v>
          </cell>
        </row>
        <row r="3">
          <cell r="A3" t="str">
            <v>36662.2000.1000;IR#2</v>
          </cell>
        </row>
        <row r="4">
          <cell r="A4" t="str">
            <v>36662.3000.1000;IR#3</v>
          </cell>
        </row>
        <row r="5">
          <cell r="A5" t="str">
            <v>36662.4000.1000;Cross Cutting A</v>
          </cell>
        </row>
        <row r="6">
          <cell r="A6" t="str">
            <v>90000.1000; Advances</v>
          </cell>
        </row>
        <row r="7">
          <cell r="A7" t="str">
            <v>90000.1000; Cost Share</v>
          </cell>
        </row>
        <row r="8">
          <cell r="A8" t="str">
            <v>90000.1000; LC Checking</v>
          </cell>
        </row>
        <row r="9">
          <cell r="A9" t="str">
            <v>90000.1000; Petty Cash</v>
          </cell>
        </row>
        <row r="10">
          <cell r="A10" t="str">
            <v>36662.0001.0002;Admin-Morondava</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ûts unitaires"/>
      <sheetName val="Répartition_Final"/>
      <sheetName val="1) RF par produit"/>
      <sheetName val="2) RP par categorie budgetaire"/>
      <sheetName val="5) Pour utilisation par MPTFO"/>
      <sheetName val="Dropdowns"/>
      <sheetName val="Sheet2"/>
    </sheetNames>
    <sheetDataSet>
      <sheetData sheetId="0"/>
      <sheetData sheetId="1"/>
      <sheetData sheetId="2">
        <row r="5">
          <cell r="D5" t="str">
            <v>PNUD
(budget en USD)</v>
          </cell>
          <cell r="E5" t="str">
            <v>MSIS-tatao
(budget en USD)</v>
          </cell>
        </row>
        <row r="17">
          <cell r="D17">
            <v>96500</v>
          </cell>
          <cell r="E17">
            <v>15000</v>
          </cell>
        </row>
        <row r="27">
          <cell r="D27">
            <v>242000</v>
          </cell>
          <cell r="E27">
            <v>13000</v>
          </cell>
        </row>
        <row r="59">
          <cell r="D59">
            <v>72000</v>
          </cell>
          <cell r="E59">
            <v>4000</v>
          </cell>
        </row>
        <row r="69">
          <cell r="D69">
            <v>13000</v>
          </cell>
          <cell r="E69">
            <v>147000</v>
          </cell>
        </row>
        <row r="101">
          <cell r="D101">
            <v>152500</v>
          </cell>
          <cell r="E101">
            <v>11000</v>
          </cell>
        </row>
        <row r="111">
          <cell r="D111">
            <v>255869.15887850453</v>
          </cell>
          <cell r="E111">
            <v>5000</v>
          </cell>
        </row>
        <row r="180">
          <cell r="D180">
            <v>289626.16822429909</v>
          </cell>
          <cell r="E180">
            <v>85373.831775700906</v>
          </cell>
        </row>
        <row r="197">
          <cell r="D197">
            <v>780000</v>
          </cell>
          <cell r="E197">
            <v>195000</v>
          </cell>
          <cell r="G197">
            <v>975000</v>
          </cell>
          <cell r="H197">
            <v>0.65</v>
          </cell>
        </row>
        <row r="198">
          <cell r="D198">
            <v>420000</v>
          </cell>
          <cell r="E198">
            <v>105000</v>
          </cell>
          <cell r="G198">
            <v>525000</v>
          </cell>
          <cell r="H198">
            <v>0.35</v>
          </cell>
        </row>
        <row r="199">
          <cell r="D199">
            <v>0</v>
          </cell>
          <cell r="E199">
            <v>0</v>
          </cell>
          <cell r="G199">
            <v>0</v>
          </cell>
          <cell r="H199">
            <v>0</v>
          </cell>
        </row>
        <row r="200">
          <cell r="D200">
            <v>1200000</v>
          </cell>
          <cell r="E200">
            <v>300000</v>
          </cell>
          <cell r="G200">
            <v>1500000</v>
          </cell>
        </row>
      </sheetData>
      <sheetData sheetId="3">
        <row r="198">
          <cell r="D198">
            <v>30000</v>
          </cell>
          <cell r="E198">
            <v>45000</v>
          </cell>
        </row>
        <row r="199">
          <cell r="D199">
            <v>5453.6915887850455</v>
          </cell>
          <cell r="E199">
            <v>13828.691588785045</v>
          </cell>
        </row>
        <row r="200">
          <cell r="D200">
            <v>40860.093457943927</v>
          </cell>
          <cell r="E200">
            <v>33899.439252336437</v>
          </cell>
        </row>
        <row r="201">
          <cell r="D201">
            <v>279465.51401869161</v>
          </cell>
          <cell r="E201">
            <v>44866.074766355137</v>
          </cell>
        </row>
        <row r="202">
          <cell r="D202">
            <v>50547.429906542056</v>
          </cell>
          <cell r="E202">
            <v>19237.383177570089</v>
          </cell>
        </row>
        <row r="203">
          <cell r="D203">
            <v>659532.24299065408</v>
          </cell>
          <cell r="E203">
            <v>111720</v>
          </cell>
        </row>
        <row r="204">
          <cell r="D204">
            <v>55636.355140186919</v>
          </cell>
          <cell r="E204">
            <v>11822.2429906542</v>
          </cell>
        </row>
      </sheetData>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ward Budget Summary MSIS "/>
      <sheetName val="MSIS_Details"/>
      <sheetName val="coûts unitaires (2)"/>
      <sheetName val="DASHBORD"/>
      <sheetName val="YEAR II - BUDGET"/>
      <sheetName val="YEAR III - BUDGET"/>
      <sheetName val="YEAR IV - BUDGET"/>
      <sheetName val="BUDGET SUMMARY"/>
      <sheetName val="BUDGET BY ACTIVITIES"/>
      <sheetName val="Sheet2"/>
      <sheetName val="Sheet3"/>
      <sheetName val="Sheet4"/>
    </sheetNames>
    <sheetDataSet>
      <sheetData sheetId="0"/>
      <sheetData sheetId="1"/>
      <sheetData sheetId="2">
        <row r="1">
          <cell r="B1">
            <v>3800</v>
          </cell>
        </row>
        <row r="13">
          <cell r="B13">
            <v>400</v>
          </cell>
        </row>
        <row r="23">
          <cell r="B23">
            <v>1</v>
          </cell>
        </row>
        <row r="33">
          <cell r="B33">
            <v>1500</v>
          </cell>
        </row>
        <row r="40">
          <cell r="B40">
            <v>1000</v>
          </cell>
        </row>
        <row r="46">
          <cell r="B46">
            <v>500</v>
          </cell>
        </row>
        <row r="65">
          <cell r="B65">
            <v>13</v>
          </cell>
        </row>
        <row r="68">
          <cell r="B68">
            <v>20</v>
          </cell>
        </row>
        <row r="69">
          <cell r="B69">
            <v>50</v>
          </cell>
        </row>
        <row r="76">
          <cell r="B76">
            <v>100</v>
          </cell>
        </row>
        <row r="77">
          <cell r="B77">
            <v>300</v>
          </cell>
        </row>
        <row r="85">
          <cell r="B85">
            <v>130</v>
          </cell>
        </row>
        <row r="88">
          <cell r="B88">
            <v>150</v>
          </cell>
        </row>
      </sheetData>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gn-Off"/>
      <sheetName val="TT ARD Summary Budget"/>
      <sheetName val="MSIS Summary Budget"/>
      <sheetName val="RAPP FINANCIER"/>
      <sheetName val="SB Plan Calc"/>
      <sheetName val="LCP"/>
      <sheetName val="Parameters"/>
      <sheetName val="Fee Analysis"/>
    </sheetNames>
    <sheetDataSet>
      <sheetData sheetId="0"/>
      <sheetData sheetId="1"/>
      <sheetData sheetId="2"/>
      <sheetData sheetId="3"/>
      <sheetData sheetId="4"/>
      <sheetData sheetId="5"/>
      <sheetData sheetId="6">
        <row r="2">
          <cell r="B2" t="str">
            <v>Mikajy Program</v>
          </cell>
        </row>
        <row r="3">
          <cell r="B3" t="str">
            <v>SOL-687-17-000001</v>
          </cell>
        </row>
        <row r="4">
          <cell r="B4" t="str">
            <v>Tetra Tech ARD</v>
          </cell>
        </row>
        <row r="5">
          <cell r="B5">
            <v>42955</v>
          </cell>
        </row>
        <row r="10">
          <cell r="B10" t="str">
            <v>Multi-Sector Information Services</v>
          </cell>
        </row>
        <row r="26">
          <cell r="B26">
            <v>31601.430989140965</v>
          </cell>
        </row>
        <row r="28">
          <cell r="B28">
            <v>3178.92</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capitulatif du budget"/>
      <sheetName val="Budget détaillé"/>
      <sheetName val="Décomptes"/>
      <sheetName val="Fiche de salaires"/>
      <sheetName val="Fiche de frais de voyage"/>
      <sheetName val="Autres couts"/>
      <sheetName val="Hypothèses - Narration"/>
      <sheetName val="coû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46">
          <cell r="B46">
            <v>11.842105263157896</v>
          </cell>
        </row>
        <row r="81">
          <cell r="B81">
            <v>26.315789473684209</v>
          </cell>
        </row>
        <row r="82">
          <cell r="B82">
            <v>21.05263157894737</v>
          </cell>
        </row>
        <row r="84">
          <cell r="B84">
            <v>65.78947368421052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budget"/>
      <sheetName val="Nombres"/>
      <sheetName val="coûts unitaires (2)"/>
    </sheetNames>
    <sheetDataSet>
      <sheetData sheetId="0" refreshError="1"/>
      <sheetData sheetId="1" refreshError="1"/>
      <sheetData sheetId="2" refreshError="1">
        <row r="56">
          <cell r="B56">
            <v>13.157894736842104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partition_Final (2)"/>
      <sheetName val="SAFIDY - Detail_Final"/>
      <sheetName val="coûts unitaires (2)"/>
      <sheetName val="Charges patronales - SAFIDY"/>
      <sheetName val="DASHBORD"/>
      <sheetName val="YEAR II - BUDGET"/>
      <sheetName val="YEAR III - BUDGET"/>
      <sheetName val="YEAR IV - BUDGET"/>
      <sheetName val="BUDGET SUMMARY"/>
      <sheetName val="BUDGET BY ACTIVITIES"/>
      <sheetName val="Sheet2"/>
      <sheetName val="Sheet3"/>
      <sheetName val="Sheet4"/>
    </sheetNames>
    <sheetDataSet>
      <sheetData sheetId="0"/>
      <sheetData sheetId="1"/>
      <sheetData sheetId="2">
        <row r="61">
          <cell r="B61">
            <v>54.031392540917629</v>
          </cell>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Budget"/>
      <sheetName val="Detailed Budget"/>
      <sheetName val="International Travel"/>
      <sheetName val="parameters"/>
    </sheetNames>
    <sheetDataSet>
      <sheetData sheetId="0"/>
      <sheetData sheetId="1"/>
      <sheetData sheetId="2"/>
      <sheetData sheetId="3">
        <row r="4">
          <cell r="B4" t="str">
            <v>Partner Name</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drage"/>
      <sheetName val="Plan décaissement to PNUD"/>
      <sheetName val="PTT2"/>
      <sheetName val="Réarrangement activités"/>
      <sheetName val="Format PTA "/>
    </sheetNames>
    <sheetDataSet>
      <sheetData sheetId="0" refreshError="1"/>
      <sheetData sheetId="1"/>
      <sheetData sheetId="2">
        <row r="4">
          <cell r="I4">
            <v>2200</v>
          </cell>
        </row>
      </sheetData>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det"/>
      <sheetName val="CONSOL"/>
      <sheetName val="UGP MEF Avec PTT 2"/>
      <sheetName val="CMK"/>
      <sheetName val="Loky Man"/>
      <sheetName val="MEN"/>
      <sheetName val="Amp GAL"/>
      <sheetName val="COMATSA"/>
      <sheetName val="PTT 1"/>
      <sheetName val="PTT 2"/>
    </sheetNames>
    <sheetDataSet>
      <sheetData sheetId="0" refreshError="1"/>
      <sheetData sheetId="1" refreshError="1"/>
      <sheetData sheetId="2" refreshError="1"/>
      <sheetData sheetId="3" refreshError="1">
        <row r="2">
          <cell r="E2">
            <v>2013</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1"/>
  <sheetViews>
    <sheetView topLeftCell="A10" workbookViewId="0">
      <selection activeCell="C27" sqref="C27"/>
    </sheetView>
  </sheetViews>
  <sheetFormatPr baseColWidth="10" defaultColWidth="11.42578125" defaultRowHeight="15" x14ac:dyDescent="0.25"/>
  <cols>
    <col min="1" max="1" width="42.42578125" style="63" customWidth="1"/>
    <col min="2" max="2" width="12.42578125" style="64" bestFit="1" customWidth="1"/>
    <col min="3" max="16384" width="11.42578125" style="63"/>
  </cols>
  <sheetData>
    <row r="1" spans="1:7" ht="12.75" x14ac:dyDescent="0.2">
      <c r="A1" s="61" t="s">
        <v>458</v>
      </c>
      <c r="B1" s="62">
        <v>3800</v>
      </c>
    </row>
    <row r="2" spans="1:7" ht="12.75" x14ac:dyDescent="0.2">
      <c r="B2" s="63"/>
    </row>
    <row r="3" spans="1:7" x14ac:dyDescent="0.25">
      <c r="A3" s="63" t="s">
        <v>400</v>
      </c>
      <c r="B3" s="64">
        <f>10000/change</f>
        <v>2.6315789473684212</v>
      </c>
    </row>
    <row r="5" spans="1:7" ht="15.75" x14ac:dyDescent="0.25">
      <c r="A5" s="61" t="s">
        <v>459</v>
      </c>
      <c r="B5" s="62"/>
      <c r="G5" s="66">
        <f>SUM(G7:G38)</f>
        <v>0</v>
      </c>
    </row>
    <row r="6" spans="1:7" x14ac:dyDescent="0.25">
      <c r="A6" s="63" t="s">
        <v>460</v>
      </c>
      <c r="B6" s="64">
        <f>10000/change</f>
        <v>2.6315789473684212</v>
      </c>
    </row>
    <row r="7" spans="1:7" x14ac:dyDescent="0.25">
      <c r="A7" s="63" t="s">
        <v>461</v>
      </c>
      <c r="B7" s="64">
        <f>40000/change</f>
        <v>10.526315789473685</v>
      </c>
    </row>
    <row r="8" spans="1:7" x14ac:dyDescent="0.25">
      <c r="A8" s="63" t="s">
        <v>462</v>
      </c>
      <c r="B8" s="64">
        <f>15000/change</f>
        <v>3.9473684210526314</v>
      </c>
    </row>
    <row r="9" spans="1:7" x14ac:dyDescent="0.25">
      <c r="A9" s="63" t="s">
        <v>463</v>
      </c>
      <c r="B9" s="64">
        <f>300000/change</f>
        <v>78.94736842105263</v>
      </c>
    </row>
    <row r="10" spans="1:7" x14ac:dyDescent="0.25">
      <c r="A10" s="63" t="s">
        <v>464</v>
      </c>
      <c r="B10" s="64">
        <f>100000/change</f>
        <v>26.315789473684209</v>
      </c>
    </row>
    <row r="11" spans="1:7" x14ac:dyDescent="0.25">
      <c r="A11" s="63" t="s">
        <v>465</v>
      </c>
      <c r="B11" s="64">
        <f>1000000/change</f>
        <v>263.15789473684208</v>
      </c>
    </row>
    <row r="12" spans="1:7" x14ac:dyDescent="0.25">
      <c r="A12" s="63" t="s">
        <v>466</v>
      </c>
      <c r="B12" s="64">
        <f>4000000/change</f>
        <v>1052.6315789473683</v>
      </c>
    </row>
    <row r="14" spans="1:7" x14ac:dyDescent="0.25">
      <c r="A14" s="63" t="s">
        <v>467</v>
      </c>
      <c r="B14" s="64">
        <f>70000/change</f>
        <v>18.421052631578949</v>
      </c>
    </row>
    <row r="15" spans="1:7" x14ac:dyDescent="0.25">
      <c r="A15" s="63" t="s">
        <v>468</v>
      </c>
      <c r="B15" s="64">
        <f>2000000/change</f>
        <v>526.31578947368416</v>
      </c>
    </row>
    <row r="16" spans="1:7" x14ac:dyDescent="0.25">
      <c r="A16" s="63" t="s">
        <v>469</v>
      </c>
      <c r="B16" s="64">
        <f>40000/change</f>
        <v>10.526315789473685</v>
      </c>
    </row>
    <row r="17" spans="1:2" x14ac:dyDescent="0.25">
      <c r="A17" s="63" t="s">
        <v>470</v>
      </c>
      <c r="B17" s="64">
        <f>25000/change</f>
        <v>6.5789473684210522</v>
      </c>
    </row>
    <row r="18" spans="1:2" x14ac:dyDescent="0.25">
      <c r="A18" s="63" t="s">
        <v>471</v>
      </c>
      <c r="B18" s="64">
        <f>500/change</f>
        <v>0.13157894736842105</v>
      </c>
    </row>
    <row r="19" spans="1:2" x14ac:dyDescent="0.25">
      <c r="A19" s="63" t="s">
        <v>472</v>
      </c>
      <c r="B19" s="64">
        <f>50/change</f>
        <v>1.3157894736842105E-2</v>
      </c>
    </row>
    <row r="20" spans="1:2" x14ac:dyDescent="0.25">
      <c r="A20" s="63" t="s">
        <v>473</v>
      </c>
      <c r="B20" s="64">
        <f>1000/change</f>
        <v>0.26315789473684209</v>
      </c>
    </row>
    <row r="21" spans="1:2" x14ac:dyDescent="0.25">
      <c r="A21" s="63" t="s">
        <v>474</v>
      </c>
      <c r="B21" s="64">
        <f>600/change</f>
        <v>0.15789473684210525</v>
      </c>
    </row>
    <row r="23" spans="1:2" ht="12.75" x14ac:dyDescent="0.2">
      <c r="A23" s="61" t="s">
        <v>475</v>
      </c>
      <c r="B23" s="62"/>
    </row>
    <row r="24" spans="1:2" x14ac:dyDescent="0.25">
      <c r="A24" s="63" t="s">
        <v>476</v>
      </c>
      <c r="B24" s="64">
        <f>25000/change</f>
        <v>6.5789473684210522</v>
      </c>
    </row>
    <row r="25" spans="1:2" x14ac:dyDescent="0.25">
      <c r="A25" s="63" t="s">
        <v>415</v>
      </c>
      <c r="B25" s="64">
        <f>20000/change</f>
        <v>5.2631578947368425</v>
      </c>
    </row>
    <row r="27" spans="1:2" ht="12.75" x14ac:dyDescent="0.2">
      <c r="A27" s="61" t="s">
        <v>477</v>
      </c>
      <c r="B27" s="62"/>
    </row>
    <row r="28" spans="1:2" x14ac:dyDescent="0.25">
      <c r="A28" s="63" t="s">
        <v>396</v>
      </c>
      <c r="B28" s="64">
        <f>15000000/change</f>
        <v>3947.3684210526317</v>
      </c>
    </row>
    <row r="31" spans="1:2" ht="12.75" x14ac:dyDescent="0.2">
      <c r="A31" s="61" t="s">
        <v>478</v>
      </c>
      <c r="B31" s="61"/>
    </row>
    <row r="32" spans="1:2" x14ac:dyDescent="0.25">
      <c r="A32" s="63" t="s">
        <v>398</v>
      </c>
      <c r="B32" s="64">
        <f>20000/change</f>
        <v>5.2631578947368425</v>
      </c>
    </row>
    <row r="33" spans="1:2" x14ac:dyDescent="0.25">
      <c r="A33" s="63" t="s">
        <v>401</v>
      </c>
      <c r="B33" s="64">
        <f>100000/change</f>
        <v>26.315789473684209</v>
      </c>
    </row>
    <row r="34" spans="1:2" x14ac:dyDescent="0.25">
      <c r="A34" s="63" t="s">
        <v>402</v>
      </c>
      <c r="B34" s="64">
        <f>80000/change</f>
        <v>21.05263157894737</v>
      </c>
    </row>
    <row r="35" spans="1:2" x14ac:dyDescent="0.25">
      <c r="A35" s="63" t="s">
        <v>399</v>
      </c>
      <c r="B35" s="64">
        <f>100000/change</f>
        <v>26.315789473684209</v>
      </c>
    </row>
    <row r="38" spans="1:2" ht="12.75" x14ac:dyDescent="0.2">
      <c r="A38" s="61" t="s">
        <v>479</v>
      </c>
      <c r="B38" s="61"/>
    </row>
    <row r="39" spans="1:2" x14ac:dyDescent="0.25">
      <c r="A39" s="63" t="s">
        <v>398</v>
      </c>
      <c r="B39" s="64">
        <f>15000/change</f>
        <v>3.9473684210526314</v>
      </c>
    </row>
    <row r="40" spans="1:2" x14ac:dyDescent="0.25">
      <c r="A40" s="63" t="s">
        <v>401</v>
      </c>
      <c r="B40" s="64">
        <f>50000/change</f>
        <v>13.157894736842104</v>
      </c>
    </row>
    <row r="41" spans="1:2" x14ac:dyDescent="0.25">
      <c r="A41" s="63" t="s">
        <v>402</v>
      </c>
      <c r="B41" s="64">
        <f>60000/change</f>
        <v>15.789473684210526</v>
      </c>
    </row>
    <row r="42" spans="1:2" x14ac:dyDescent="0.25">
      <c r="A42" s="63" t="s">
        <v>399</v>
      </c>
      <c r="B42" s="64">
        <f>100000/change</f>
        <v>26.315789473684209</v>
      </c>
    </row>
    <row r="44" spans="1:2" ht="12.75" x14ac:dyDescent="0.2">
      <c r="A44" s="61" t="s">
        <v>489</v>
      </c>
      <c r="B44" s="61"/>
    </row>
    <row r="45" spans="1:2" x14ac:dyDescent="0.25">
      <c r="A45" s="63" t="s">
        <v>398</v>
      </c>
      <c r="B45" s="64">
        <f>15000/change</f>
        <v>3.9473684210526314</v>
      </c>
    </row>
    <row r="46" spans="1:2" x14ac:dyDescent="0.25">
      <c r="A46" s="63" t="s">
        <v>401</v>
      </c>
      <c r="B46" s="64">
        <f>30000/change</f>
        <v>7.8947368421052628</v>
      </c>
    </row>
    <row r="47" spans="1:2" x14ac:dyDescent="0.25">
      <c r="A47" s="63" t="s">
        <v>402</v>
      </c>
      <c r="B47" s="64">
        <f>40000/change</f>
        <v>10.526315789473685</v>
      </c>
    </row>
    <row r="48" spans="1:2" x14ac:dyDescent="0.25">
      <c r="A48" s="63" t="s">
        <v>399</v>
      </c>
      <c r="B48" s="64">
        <f>100000/change</f>
        <v>26.315789473684209</v>
      </c>
    </row>
    <row r="50" spans="1:2" ht="12.75" x14ac:dyDescent="0.2">
      <c r="A50" s="61" t="s">
        <v>475</v>
      </c>
      <c r="B50" s="61"/>
    </row>
    <row r="51" spans="1:2" x14ac:dyDescent="0.25">
      <c r="A51" s="63" t="s">
        <v>480</v>
      </c>
      <c r="B51" s="64">
        <f>10000/change</f>
        <v>2.6315789473684212</v>
      </c>
    </row>
    <row r="53" spans="1:2" ht="12.75" x14ac:dyDescent="0.2">
      <c r="A53" s="61" t="s">
        <v>481</v>
      </c>
      <c r="B53" s="61"/>
    </row>
    <row r="54" spans="1:2" x14ac:dyDescent="0.25">
      <c r="A54" s="63" t="s">
        <v>482</v>
      </c>
      <c r="B54" s="64">
        <f>80000/change</f>
        <v>21.05263157894737</v>
      </c>
    </row>
    <row r="55" spans="1:2" x14ac:dyDescent="0.25">
      <c r="A55" s="63" t="s">
        <v>483</v>
      </c>
      <c r="B55" s="64">
        <f>60000/change</f>
        <v>15.789473684210526</v>
      </c>
    </row>
    <row r="56" spans="1:2" x14ac:dyDescent="0.25">
      <c r="A56" s="63" t="s">
        <v>416</v>
      </c>
      <c r="B56" s="64">
        <f>100000/change</f>
        <v>26.315789473684209</v>
      </c>
    </row>
    <row r="57" spans="1:2" x14ac:dyDescent="0.25">
      <c r="A57" s="63" t="s">
        <v>418</v>
      </c>
      <c r="B57" s="64">
        <f>1200000/change</f>
        <v>315.78947368421052</v>
      </c>
    </row>
    <row r="58" spans="1:2" x14ac:dyDescent="0.25">
      <c r="A58" s="63" t="s">
        <v>419</v>
      </c>
      <c r="B58" s="64">
        <f>450000/change</f>
        <v>118.42105263157895</v>
      </c>
    </row>
    <row r="59" spans="1:2" x14ac:dyDescent="0.25">
      <c r="A59" s="63" t="s">
        <v>484</v>
      </c>
      <c r="B59" s="64">
        <f>50000/change</f>
        <v>13.157894736842104</v>
      </c>
    </row>
    <row r="60" spans="1:2" x14ac:dyDescent="0.25">
      <c r="A60" s="63" t="s">
        <v>485</v>
      </c>
      <c r="B60" s="64">
        <f>500/change</f>
        <v>0.13157894736842105</v>
      </c>
    </row>
    <row r="62" spans="1:2" ht="12.75" x14ac:dyDescent="0.2">
      <c r="A62" s="61" t="s">
        <v>486</v>
      </c>
      <c r="B62" s="61"/>
    </row>
    <row r="63" spans="1:2" x14ac:dyDescent="0.25">
      <c r="A63" s="63" t="s">
        <v>403</v>
      </c>
      <c r="B63" s="64">
        <f>1500000/change</f>
        <v>394.73684210526318</v>
      </c>
    </row>
    <row r="65" spans="1:2" ht="12.75" x14ac:dyDescent="0.2">
      <c r="A65" s="61" t="s">
        <v>487</v>
      </c>
      <c r="B65" s="61"/>
    </row>
    <row r="66" spans="1:2" x14ac:dyDescent="0.25">
      <c r="A66" s="63" t="s">
        <v>448</v>
      </c>
      <c r="B66" s="64">
        <v>16</v>
      </c>
    </row>
    <row r="71" spans="1:2" x14ac:dyDescent="0.25">
      <c r="A71" s="63" t="s">
        <v>488</v>
      </c>
      <c r="B71" s="65">
        <v>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88"/>
  <sheetViews>
    <sheetView zoomScale="112" zoomScaleNormal="112" workbookViewId="0">
      <pane xSplit="1" ySplit="2" topLeftCell="B18" activePane="bottomRight" state="frozen"/>
      <selection pane="topRight" activeCell="B1" sqref="B1"/>
      <selection pane="bottomLeft" activeCell="A4" sqref="A4"/>
      <selection pane="bottomRight" activeCell="F91" sqref="F91"/>
    </sheetView>
  </sheetViews>
  <sheetFormatPr baseColWidth="10" defaultColWidth="11.42578125" defaultRowHeight="12.75" x14ac:dyDescent="0.2"/>
  <cols>
    <col min="1" max="1" width="7.85546875" style="57" customWidth="1"/>
    <col min="2" max="2" width="55.28515625" style="57" customWidth="1"/>
    <col min="3" max="3" width="16.5703125" style="57" hidden="1" customWidth="1"/>
    <col min="4" max="4" width="26.28515625" style="57" customWidth="1"/>
    <col min="5" max="5" width="19.140625" style="57" customWidth="1"/>
    <col min="6" max="6" width="20" style="58" customWidth="1"/>
    <col min="7" max="7" width="15.140625" style="57" hidden="1" customWidth="1"/>
    <col min="8" max="8" width="27.42578125" style="57" hidden="1" customWidth="1"/>
    <col min="9" max="11" width="15.140625" style="57" hidden="1" customWidth="1"/>
    <col min="12" max="14" width="0" style="57" hidden="1" customWidth="1"/>
    <col min="15" max="15" width="16.85546875" style="57" hidden="1" customWidth="1"/>
    <col min="16" max="16" width="16.5703125" style="57" hidden="1" customWidth="1"/>
    <col min="17" max="17" width="0" style="57" hidden="1" customWidth="1"/>
    <col min="18" max="16384" width="11.42578125" style="57"/>
  </cols>
  <sheetData>
    <row r="1" spans="2:15" ht="13.5" thickBot="1" x14ac:dyDescent="0.25"/>
    <row r="2" spans="2:15" ht="15.75" x14ac:dyDescent="0.2">
      <c r="B2" s="80" t="s">
        <v>500</v>
      </c>
      <c r="C2" s="81" t="s">
        <v>501</v>
      </c>
      <c r="D2" s="81" t="s">
        <v>502</v>
      </c>
      <c r="E2" s="81" t="s">
        <v>503</v>
      </c>
      <c r="F2" s="82" t="s">
        <v>504</v>
      </c>
    </row>
    <row r="3" spans="2:15" s="68" customFormat="1" ht="18" x14ac:dyDescent="0.2">
      <c r="B3" s="107" t="s">
        <v>493</v>
      </c>
      <c r="C3" s="108"/>
      <c r="D3" s="109">
        <f>E3+F3</f>
        <v>366500</v>
      </c>
      <c r="E3" s="110">
        <f>SUM(E20,E4)</f>
        <v>338500</v>
      </c>
      <c r="F3" s="110">
        <f>SUM(F20,F4)</f>
        <v>28000</v>
      </c>
      <c r="J3" s="100">
        <f>D3-D3*$J$87</f>
        <v>366500</v>
      </c>
      <c r="K3" s="100">
        <v>314779.20560747659</v>
      </c>
    </row>
    <row r="4" spans="2:15" ht="36.75" customHeight="1" x14ac:dyDescent="0.25">
      <c r="B4" s="124" t="s">
        <v>517</v>
      </c>
      <c r="C4" s="119" t="e">
        <f>#REF!</f>
        <v>#REF!</v>
      </c>
      <c r="D4" s="125">
        <f>SUM(D5,D12,D17)</f>
        <v>111500</v>
      </c>
      <c r="E4" s="125">
        <f>SUM(E5,E12,E17)</f>
        <v>96500</v>
      </c>
      <c r="F4" s="126">
        <f>SUM(F5,F12,F17)</f>
        <v>15000</v>
      </c>
    </row>
    <row r="5" spans="2:15" ht="31.5" x14ac:dyDescent="0.2">
      <c r="B5" s="71" t="s">
        <v>394</v>
      </c>
      <c r="C5" s="84" t="e">
        <f>#REF!</f>
        <v>#REF!</v>
      </c>
      <c r="D5" s="104">
        <f>SUM(D6:D11)</f>
        <v>69500</v>
      </c>
      <c r="E5" s="104">
        <f>SUM(E6:E11)</f>
        <v>61500</v>
      </c>
      <c r="F5" s="127">
        <f>SUM(F6:F11)</f>
        <v>8000</v>
      </c>
      <c r="O5" s="149"/>
    </row>
    <row r="6" spans="2:15" ht="27.75" customHeight="1" x14ac:dyDescent="0.2">
      <c r="B6" s="73" t="s">
        <v>492</v>
      </c>
      <c r="C6" s="85" t="e">
        <f>#REF!</f>
        <v>#REF!</v>
      </c>
      <c r="D6" s="105">
        <f t="shared" ref="D6:D67" si="0">E6+F6</f>
        <v>14500</v>
      </c>
      <c r="E6" s="105">
        <v>12000</v>
      </c>
      <c r="F6" s="74">
        <f>1500+1000</f>
        <v>2500</v>
      </c>
      <c r="O6" s="149"/>
    </row>
    <row r="7" spans="2:15" ht="38.25" x14ac:dyDescent="0.2">
      <c r="B7" s="73" t="s">
        <v>395</v>
      </c>
      <c r="C7" s="85" t="e">
        <f>#REF!</f>
        <v>#REF!</v>
      </c>
      <c r="D7" s="105">
        <f t="shared" si="0"/>
        <v>3000</v>
      </c>
      <c r="E7" s="105">
        <v>500</v>
      </c>
      <c r="F7" s="74">
        <f>1500+1000</f>
        <v>2500</v>
      </c>
      <c r="O7" s="149"/>
    </row>
    <row r="8" spans="2:15" ht="24" customHeight="1" x14ac:dyDescent="0.2">
      <c r="B8" s="73" t="s">
        <v>397</v>
      </c>
      <c r="C8" s="85" t="e">
        <f>#REF!</f>
        <v>#REF!</v>
      </c>
      <c r="D8" s="105">
        <f t="shared" si="0"/>
        <v>6000</v>
      </c>
      <c r="E8" s="105">
        <v>3000</v>
      </c>
      <c r="F8" s="74">
        <f>2000+1000</f>
        <v>3000</v>
      </c>
      <c r="O8" s="149"/>
    </row>
    <row r="9" spans="2:15" ht="30" x14ac:dyDescent="0.25">
      <c r="B9" s="75" t="s">
        <v>490</v>
      </c>
      <c r="C9" s="85" t="e">
        <f>#REF!</f>
        <v>#REF!</v>
      </c>
      <c r="D9" s="105">
        <f t="shared" si="0"/>
        <v>16000</v>
      </c>
      <c r="E9" s="105">
        <v>16000</v>
      </c>
      <c r="F9" s="74"/>
      <c r="O9" s="149"/>
    </row>
    <row r="10" spans="2:15" x14ac:dyDescent="0.2">
      <c r="B10" s="73" t="s">
        <v>404</v>
      </c>
      <c r="C10" s="85" t="e">
        <f>#REF!</f>
        <v>#REF!</v>
      </c>
      <c r="D10" s="105">
        <f t="shared" si="0"/>
        <v>30000</v>
      </c>
      <c r="E10" s="105">
        <f>32000-2000</f>
        <v>30000</v>
      </c>
      <c r="F10" s="74"/>
      <c r="O10" s="149"/>
    </row>
    <row r="11" spans="2:15" x14ac:dyDescent="0.2">
      <c r="B11" s="76"/>
      <c r="C11" s="70"/>
      <c r="D11" s="105">
        <f t="shared" si="0"/>
        <v>0</v>
      </c>
      <c r="E11" s="70"/>
      <c r="F11" s="74"/>
      <c r="O11" s="149"/>
    </row>
    <row r="12" spans="2:15" ht="15.75" customHeight="1" x14ac:dyDescent="0.25">
      <c r="B12" s="77" t="s">
        <v>405</v>
      </c>
      <c r="C12" s="84" t="e">
        <f>#REF!</f>
        <v>#REF!</v>
      </c>
      <c r="D12" s="104">
        <f>SUM(D13:D16)</f>
        <v>28000</v>
      </c>
      <c r="E12" s="104">
        <f>SUM(E13:E16)</f>
        <v>22000</v>
      </c>
      <c r="F12" s="127">
        <f>SUM(F13:F16)</f>
        <v>6000</v>
      </c>
      <c r="O12" s="149"/>
    </row>
    <row r="13" spans="2:15" ht="51" x14ac:dyDescent="0.2">
      <c r="B13" s="76" t="s">
        <v>406</v>
      </c>
      <c r="C13" s="85" t="e">
        <f>#REF!</f>
        <v>#REF!</v>
      </c>
      <c r="D13" s="105">
        <f t="shared" si="0"/>
        <v>5000</v>
      </c>
      <c r="E13" s="105">
        <v>2000</v>
      </c>
      <c r="F13" s="74">
        <f>2000+1000</f>
        <v>3000</v>
      </c>
      <c r="O13" s="149"/>
    </row>
    <row r="14" spans="2:15" ht="25.5" x14ac:dyDescent="0.2">
      <c r="B14" s="76" t="s">
        <v>407</v>
      </c>
      <c r="C14" s="85" t="e">
        <f>#REF!</f>
        <v>#REF!</v>
      </c>
      <c r="D14" s="105">
        <f t="shared" si="0"/>
        <v>7500</v>
      </c>
      <c r="E14" s="105">
        <v>6500</v>
      </c>
      <c r="F14" s="74">
        <v>1000</v>
      </c>
      <c r="O14" s="149"/>
    </row>
    <row r="15" spans="2:15" ht="38.25" x14ac:dyDescent="0.2">
      <c r="B15" s="76" t="s">
        <v>408</v>
      </c>
      <c r="C15" s="85" t="e">
        <f>#REF!</f>
        <v>#REF!</v>
      </c>
      <c r="D15" s="105">
        <f t="shared" si="0"/>
        <v>15500</v>
      </c>
      <c r="E15" s="105">
        <v>13500</v>
      </c>
      <c r="F15" s="74">
        <v>2000</v>
      </c>
      <c r="O15" s="149"/>
    </row>
    <row r="16" spans="2:15" x14ac:dyDescent="0.2">
      <c r="B16" s="76"/>
      <c r="C16" s="70"/>
      <c r="D16" s="105">
        <f t="shared" si="0"/>
        <v>0</v>
      </c>
      <c r="E16" s="70"/>
      <c r="F16" s="74"/>
      <c r="O16" s="149"/>
    </row>
    <row r="17" spans="2:15" ht="48.75" customHeight="1" x14ac:dyDescent="0.25">
      <c r="B17" s="87" t="s">
        <v>409</v>
      </c>
      <c r="C17" s="84" t="e">
        <f>#REF!</f>
        <v>#REF!</v>
      </c>
      <c r="D17" s="104">
        <f>SUM(D18:D19)</f>
        <v>14000</v>
      </c>
      <c r="E17" s="104">
        <f>SUM(E18:E19)</f>
        <v>13000</v>
      </c>
      <c r="F17" s="127">
        <f>SUM(F18:F19)</f>
        <v>1000</v>
      </c>
      <c r="O17" s="149"/>
    </row>
    <row r="18" spans="2:15" ht="25.5" x14ac:dyDescent="0.2">
      <c r="B18" s="76" t="s">
        <v>491</v>
      </c>
      <c r="C18" s="85" t="e">
        <f>#REF!</f>
        <v>#REF!</v>
      </c>
      <c r="D18" s="105">
        <f t="shared" si="0"/>
        <v>10000</v>
      </c>
      <c r="E18" s="105">
        <v>9000</v>
      </c>
      <c r="F18" s="74">
        <f>1000</f>
        <v>1000</v>
      </c>
      <c r="O18" s="149"/>
    </row>
    <row r="19" spans="2:15" ht="38.25" x14ac:dyDescent="0.2">
      <c r="B19" s="99" t="s">
        <v>410</v>
      </c>
      <c r="C19" s="85" t="e">
        <f>#REF!</f>
        <v>#REF!</v>
      </c>
      <c r="D19" s="105">
        <f t="shared" si="0"/>
        <v>4000</v>
      </c>
      <c r="E19" s="105">
        <v>4000</v>
      </c>
      <c r="F19" s="74"/>
      <c r="O19" s="149"/>
    </row>
    <row r="20" spans="2:15" ht="32.25" customHeight="1" x14ac:dyDescent="0.25">
      <c r="B20" s="124" t="s">
        <v>505</v>
      </c>
      <c r="C20" s="119" t="e">
        <f>#REF!</f>
        <v>#REF!</v>
      </c>
      <c r="D20" s="125">
        <f>SUM(D21,D26)</f>
        <v>255000</v>
      </c>
      <c r="E20" s="125">
        <f>SUM(E21,E26,E30)</f>
        <v>242000</v>
      </c>
      <c r="F20" s="125">
        <f>SUM(F21,F26,F30)</f>
        <v>13000</v>
      </c>
    </row>
    <row r="21" spans="2:15" ht="31.5" x14ac:dyDescent="0.25">
      <c r="B21" s="77" t="s">
        <v>411</v>
      </c>
      <c r="C21" s="84" t="e">
        <f>#REF!</f>
        <v>#REF!</v>
      </c>
      <c r="D21" s="104">
        <f>SUM(D22:D24)</f>
        <v>61000</v>
      </c>
      <c r="E21" s="104">
        <f>SUM(E22:E24)</f>
        <v>57000</v>
      </c>
      <c r="F21" s="127">
        <f>SUM(F22:F24)</f>
        <v>4000</v>
      </c>
      <c r="O21" s="59"/>
    </row>
    <row r="22" spans="2:15" ht="38.25" x14ac:dyDescent="0.2">
      <c r="B22" s="76" t="s">
        <v>412</v>
      </c>
      <c r="C22" s="85" t="e">
        <f>#REF!</f>
        <v>#REF!</v>
      </c>
      <c r="D22" s="105">
        <f t="shared" si="0"/>
        <v>1000</v>
      </c>
      <c r="E22" s="105">
        <v>1000</v>
      </c>
      <c r="F22" s="74"/>
      <c r="O22" s="163"/>
    </row>
    <row r="23" spans="2:15" ht="38.25" x14ac:dyDescent="0.2">
      <c r="B23" s="76" t="s">
        <v>413</v>
      </c>
      <c r="C23" s="85" t="e">
        <f>#REF!</f>
        <v>#REF!</v>
      </c>
      <c r="D23" s="105">
        <f t="shared" si="0"/>
        <v>3000</v>
      </c>
      <c r="E23" s="105">
        <v>1000</v>
      </c>
      <c r="F23" s="74">
        <v>2000</v>
      </c>
      <c r="O23" s="59"/>
    </row>
    <row r="24" spans="2:15" ht="25.5" x14ac:dyDescent="0.2">
      <c r="B24" s="76" t="s">
        <v>414</v>
      </c>
      <c r="C24" s="85" t="e">
        <f>#REF!</f>
        <v>#REF!</v>
      </c>
      <c r="D24" s="105">
        <f t="shared" si="0"/>
        <v>57000</v>
      </c>
      <c r="E24" s="105">
        <f>58000-3000</f>
        <v>55000</v>
      </c>
      <c r="F24" s="74">
        <v>2000</v>
      </c>
      <c r="O24" s="59"/>
    </row>
    <row r="25" spans="2:15" x14ac:dyDescent="0.2">
      <c r="B25" s="78"/>
      <c r="C25" s="70"/>
      <c r="D25" s="105"/>
      <c r="E25" s="105"/>
      <c r="F25" s="74"/>
      <c r="O25" s="59"/>
    </row>
    <row r="26" spans="2:15" ht="84.75" customHeight="1" x14ac:dyDescent="0.25">
      <c r="B26" s="77" t="s">
        <v>417</v>
      </c>
      <c r="C26" s="84" t="e">
        <f>#REF!</f>
        <v>#REF!</v>
      </c>
      <c r="D26" s="104">
        <f>SUM(D27:D30)</f>
        <v>194000</v>
      </c>
      <c r="E26" s="104">
        <f>SUM(E27:E29)</f>
        <v>165000</v>
      </c>
      <c r="F26" s="104">
        <f>SUM(F27:F29)</f>
        <v>8000</v>
      </c>
      <c r="O26" s="59"/>
    </row>
    <row r="27" spans="2:15" ht="76.5" x14ac:dyDescent="0.2">
      <c r="B27" s="76" t="s">
        <v>506</v>
      </c>
      <c r="C27" s="85" t="e">
        <f>#REF!</f>
        <v>#REF!</v>
      </c>
      <c r="D27" s="105">
        <f t="shared" si="0"/>
        <v>12000</v>
      </c>
      <c r="E27" s="105">
        <v>10000</v>
      </c>
      <c r="F27" s="74">
        <v>2000</v>
      </c>
      <c r="O27" s="59"/>
    </row>
    <row r="28" spans="2:15" ht="25.5" x14ac:dyDescent="0.2">
      <c r="B28" s="76" t="s">
        <v>507</v>
      </c>
      <c r="C28" s="85" t="e">
        <f>#REF!</f>
        <v>#REF!</v>
      </c>
      <c r="D28" s="105">
        <f t="shared" si="0"/>
        <v>105000</v>
      </c>
      <c r="E28" s="105">
        <f>105000-5000</f>
        <v>100000</v>
      </c>
      <c r="F28" s="74">
        <v>5000</v>
      </c>
      <c r="O28" s="59"/>
    </row>
    <row r="29" spans="2:15" ht="51" x14ac:dyDescent="0.2">
      <c r="B29" s="76" t="s">
        <v>508</v>
      </c>
      <c r="C29" s="85" t="e">
        <f>#REF!</f>
        <v>#REF!</v>
      </c>
      <c r="D29" s="105">
        <f t="shared" si="0"/>
        <v>56000</v>
      </c>
      <c r="E29" s="105">
        <v>55000</v>
      </c>
      <c r="F29" s="74">
        <v>1000</v>
      </c>
      <c r="O29" s="59"/>
    </row>
    <row r="30" spans="2:15" ht="47.25" x14ac:dyDescent="0.25">
      <c r="B30" s="77" t="s">
        <v>542</v>
      </c>
      <c r="C30" s="70"/>
      <c r="D30" s="104">
        <f t="shared" si="0"/>
        <v>21000</v>
      </c>
      <c r="E30" s="104">
        <v>20000</v>
      </c>
      <c r="F30" s="104">
        <v>1000</v>
      </c>
    </row>
    <row r="31" spans="2:15" s="68" customFormat="1" ht="18" x14ac:dyDescent="0.2">
      <c r="B31" s="107" t="s">
        <v>494</v>
      </c>
      <c r="C31" s="108"/>
      <c r="D31" s="110">
        <f>D32+D43</f>
        <v>236000</v>
      </c>
      <c r="E31" s="110">
        <f>E32+E43</f>
        <v>85000</v>
      </c>
      <c r="F31" s="128">
        <f>F32+F43</f>
        <v>151000</v>
      </c>
      <c r="J31" s="100">
        <f>D31-D31*$J$87</f>
        <v>236000</v>
      </c>
      <c r="K31" s="100">
        <v>224842.28971962613</v>
      </c>
    </row>
    <row r="32" spans="2:15" ht="37.5" x14ac:dyDescent="0.25">
      <c r="B32" s="118" t="s">
        <v>420</v>
      </c>
      <c r="C32" s="123" t="e">
        <f>#REF!</f>
        <v>#REF!</v>
      </c>
      <c r="D32" s="121">
        <f>SUM(D33,D38)</f>
        <v>76000</v>
      </c>
      <c r="E32" s="121">
        <f>SUM(E33,E38)</f>
        <v>72000</v>
      </c>
      <c r="F32" s="129">
        <f>SUM(F33,F38)</f>
        <v>4000</v>
      </c>
      <c r="O32" s="150"/>
    </row>
    <row r="33" spans="2:16" ht="47.25" x14ac:dyDescent="0.25">
      <c r="B33" s="77" t="s">
        <v>422</v>
      </c>
      <c r="C33" s="84" t="e">
        <f>#REF!</f>
        <v>#REF!</v>
      </c>
      <c r="D33" s="104">
        <f>SUM(D34:D37)</f>
        <v>39000</v>
      </c>
      <c r="E33" s="104">
        <f>SUM(E34:E37)</f>
        <v>38000</v>
      </c>
      <c r="F33" s="72">
        <f>SUM(F34:F37)</f>
        <v>1000</v>
      </c>
      <c r="O33" s="150"/>
    </row>
    <row r="34" spans="2:16" ht="42.75" customHeight="1" x14ac:dyDescent="0.2">
      <c r="B34" s="76" t="s">
        <v>423</v>
      </c>
      <c r="C34" s="85" t="e">
        <f>#REF!</f>
        <v>#REF!</v>
      </c>
      <c r="D34" s="105">
        <f t="shared" si="0"/>
        <v>2000</v>
      </c>
      <c r="E34" s="105">
        <v>1000</v>
      </c>
      <c r="F34" s="74">
        <f>1000</f>
        <v>1000</v>
      </c>
      <c r="O34" s="150"/>
    </row>
    <row r="35" spans="2:16" ht="36.75" customHeight="1" x14ac:dyDescent="0.2">
      <c r="B35" s="76" t="s">
        <v>424</v>
      </c>
      <c r="C35" s="85" t="e">
        <f>#REF!</f>
        <v>#REF!</v>
      </c>
      <c r="D35" s="105">
        <f t="shared" si="0"/>
        <v>25000</v>
      </c>
      <c r="E35" s="105">
        <v>25000</v>
      </c>
      <c r="F35" s="74"/>
      <c r="O35" s="60"/>
    </row>
    <row r="36" spans="2:16" ht="27" customHeight="1" x14ac:dyDescent="0.2">
      <c r="B36" s="76" t="s">
        <v>425</v>
      </c>
      <c r="C36" s="85" t="e">
        <f>#REF!</f>
        <v>#REF!</v>
      </c>
      <c r="D36" s="105">
        <f t="shared" si="0"/>
        <v>12000</v>
      </c>
      <c r="E36" s="105">
        <v>12000</v>
      </c>
      <c r="F36" s="74"/>
      <c r="O36" s="150"/>
    </row>
    <row r="37" spans="2:16" ht="15.75" customHeight="1" x14ac:dyDescent="0.2">
      <c r="B37" s="79"/>
      <c r="C37" s="70"/>
      <c r="D37" s="105">
        <f t="shared" si="0"/>
        <v>0</v>
      </c>
      <c r="E37" s="70"/>
      <c r="F37" s="74"/>
      <c r="O37" s="150"/>
    </row>
    <row r="38" spans="2:16" ht="31.5" x14ac:dyDescent="0.25">
      <c r="B38" s="77" t="s">
        <v>426</v>
      </c>
      <c r="C38" s="84" t="e">
        <f>#REF!</f>
        <v>#REF!</v>
      </c>
      <c r="D38" s="104">
        <f>SUM(D39:D42)</f>
        <v>37000</v>
      </c>
      <c r="E38" s="104">
        <f>SUM(E39:E42)</f>
        <v>34000</v>
      </c>
      <c r="F38" s="72">
        <f>SUM(F39:F42)</f>
        <v>3000</v>
      </c>
      <c r="O38" s="150"/>
    </row>
    <row r="39" spans="2:16" ht="28.5" customHeight="1" x14ac:dyDescent="0.2">
      <c r="B39" s="76" t="s">
        <v>427</v>
      </c>
      <c r="C39" s="85" t="e">
        <f>#REF!</f>
        <v>#REF!</v>
      </c>
      <c r="D39" s="105">
        <f t="shared" si="0"/>
        <v>4000</v>
      </c>
      <c r="E39" s="105">
        <v>1000</v>
      </c>
      <c r="F39" s="74">
        <f>2000+1000</f>
        <v>3000</v>
      </c>
      <c r="O39" s="150"/>
    </row>
    <row r="40" spans="2:16" ht="25.5" x14ac:dyDescent="0.2">
      <c r="B40" s="76" t="s">
        <v>428</v>
      </c>
      <c r="C40" s="85" t="e">
        <f>#REF!</f>
        <v>#REF!</v>
      </c>
      <c r="D40" s="105">
        <f t="shared" si="0"/>
        <v>3000</v>
      </c>
      <c r="E40" s="105">
        <v>3000</v>
      </c>
      <c r="F40" s="74"/>
      <c r="O40" s="150"/>
    </row>
    <row r="41" spans="2:16" ht="38.25" x14ac:dyDescent="0.2">
      <c r="B41" s="76" t="s">
        <v>429</v>
      </c>
      <c r="C41" s="85" t="e">
        <f>#REF!</f>
        <v>#REF!</v>
      </c>
      <c r="D41" s="105">
        <f t="shared" si="0"/>
        <v>30000</v>
      </c>
      <c r="E41" s="105">
        <f>35000-5000</f>
        <v>30000</v>
      </c>
      <c r="F41" s="74"/>
      <c r="O41" s="150"/>
    </row>
    <row r="42" spans="2:16" x14ac:dyDescent="0.2">
      <c r="B42" s="79"/>
      <c r="C42" s="70"/>
      <c r="D42" s="105">
        <f t="shared" si="0"/>
        <v>0</v>
      </c>
      <c r="E42" s="70"/>
      <c r="F42" s="74"/>
      <c r="O42" s="150"/>
    </row>
    <row r="43" spans="2:16" ht="37.5" x14ac:dyDescent="0.25">
      <c r="B43" s="118" t="s">
        <v>430</v>
      </c>
      <c r="C43" s="119" t="e">
        <f>#REF!</f>
        <v>#REF!</v>
      </c>
      <c r="D43" s="122">
        <f>SUM(D44,D50,D54,D57)</f>
        <v>160000</v>
      </c>
      <c r="E43" s="122">
        <f>SUM(E44,E50,E54,E57)</f>
        <v>13000</v>
      </c>
      <c r="F43" s="122">
        <f>SUM(F44,F50,F54,F57)</f>
        <v>147000</v>
      </c>
      <c r="O43" s="164"/>
      <c r="P43" s="148"/>
    </row>
    <row r="44" spans="2:16" ht="31.5" x14ac:dyDescent="0.25">
      <c r="B44" s="77" t="s">
        <v>431</v>
      </c>
      <c r="C44" s="84" t="e">
        <f>#REF!</f>
        <v>#REF!</v>
      </c>
      <c r="D44" s="103">
        <f>SUM(D45:D49)</f>
        <v>18000</v>
      </c>
      <c r="E44" s="103">
        <f>SUM(E45:E49)</f>
        <v>13000</v>
      </c>
      <c r="F44" s="103">
        <f>SUM(F45:F49)</f>
        <v>5000</v>
      </c>
      <c r="O44" s="164"/>
      <c r="P44" s="148"/>
    </row>
    <row r="45" spans="2:16" ht="25.5" x14ac:dyDescent="0.2">
      <c r="B45" s="76" t="s">
        <v>432</v>
      </c>
      <c r="C45" s="85" t="e">
        <f>#REF!</f>
        <v>#REF!</v>
      </c>
      <c r="D45" s="105">
        <f t="shared" si="0"/>
        <v>4500</v>
      </c>
      <c r="E45" s="105">
        <v>1500</v>
      </c>
      <c r="F45" s="74">
        <f>2000+1000</f>
        <v>3000</v>
      </c>
      <c r="O45" s="164"/>
      <c r="P45" s="148"/>
    </row>
    <row r="46" spans="2:16" ht="38.25" x14ac:dyDescent="0.2">
      <c r="B46" s="76" t="s">
        <v>433</v>
      </c>
      <c r="C46" s="85" t="e">
        <f>#REF!</f>
        <v>#REF!</v>
      </c>
      <c r="D46" s="105">
        <f t="shared" si="0"/>
        <v>5000</v>
      </c>
      <c r="E46" s="105">
        <v>5000</v>
      </c>
      <c r="F46" s="74"/>
      <c r="O46" s="164"/>
      <c r="P46" s="148"/>
    </row>
    <row r="47" spans="2:16" ht="25.5" x14ac:dyDescent="0.2">
      <c r="B47" s="76" t="s">
        <v>434</v>
      </c>
      <c r="C47" s="85" t="e">
        <f>#REF!</f>
        <v>#REF!</v>
      </c>
      <c r="D47" s="105">
        <f t="shared" si="0"/>
        <v>3500</v>
      </c>
      <c r="E47" s="105">
        <v>1500</v>
      </c>
      <c r="F47" s="74">
        <v>2000</v>
      </c>
      <c r="O47" s="164"/>
      <c r="P47" s="148"/>
    </row>
    <row r="48" spans="2:16" ht="25.5" x14ac:dyDescent="0.2">
      <c r="B48" s="76" t="s">
        <v>435</v>
      </c>
      <c r="C48" s="85" t="e">
        <f>#REF!</f>
        <v>#REF!</v>
      </c>
      <c r="D48" s="105">
        <f t="shared" si="0"/>
        <v>5000</v>
      </c>
      <c r="E48" s="105">
        <v>5000</v>
      </c>
      <c r="F48" s="74"/>
      <c r="O48" s="164"/>
      <c r="P48" s="148"/>
    </row>
    <row r="49" spans="2:16" x14ac:dyDescent="0.2">
      <c r="B49" s="79"/>
      <c r="C49" s="70"/>
      <c r="D49" s="105">
        <f t="shared" si="0"/>
        <v>0</v>
      </c>
      <c r="E49" s="70"/>
      <c r="F49" s="74"/>
      <c r="O49" s="164"/>
      <c r="P49" s="148"/>
    </row>
    <row r="50" spans="2:16" ht="31.5" x14ac:dyDescent="0.25">
      <c r="B50" s="77" t="s">
        <v>436</v>
      </c>
      <c r="C50" s="84" t="e">
        <f>#REF!</f>
        <v>#REF!</v>
      </c>
      <c r="D50" s="69">
        <f>SUM(D51:D53)</f>
        <v>44000</v>
      </c>
      <c r="E50" s="69">
        <f>SUM(E51:E53)</f>
        <v>0</v>
      </c>
      <c r="F50" s="130">
        <f>SUM(F51:F53)</f>
        <v>44000</v>
      </c>
      <c r="O50" s="164"/>
      <c r="P50" s="148"/>
    </row>
    <row r="51" spans="2:16" ht="63.75" x14ac:dyDescent="0.2">
      <c r="B51" s="76" t="s">
        <v>509</v>
      </c>
      <c r="C51" s="85" t="e">
        <f>#REF!</f>
        <v>#REF!</v>
      </c>
      <c r="D51" s="70">
        <f t="shared" si="0"/>
        <v>1500</v>
      </c>
      <c r="E51" s="70"/>
      <c r="F51" s="74">
        <f>500+1000</f>
        <v>1500</v>
      </c>
      <c r="O51" s="164"/>
      <c r="P51" s="148"/>
    </row>
    <row r="52" spans="2:16" ht="25.5" x14ac:dyDescent="0.2">
      <c r="B52" s="76" t="s">
        <v>495</v>
      </c>
      <c r="C52" s="85" t="e">
        <f>#REF!</f>
        <v>#REF!</v>
      </c>
      <c r="D52" s="70">
        <f t="shared" si="0"/>
        <v>42500</v>
      </c>
      <c r="E52" s="70"/>
      <c r="F52" s="74">
        <v>42500</v>
      </c>
      <c r="O52" s="164"/>
      <c r="P52" s="148"/>
    </row>
    <row r="53" spans="2:16" x14ac:dyDescent="0.2">
      <c r="B53" s="79"/>
      <c r="C53" s="70"/>
      <c r="D53" s="70">
        <f t="shared" si="0"/>
        <v>0</v>
      </c>
      <c r="E53" s="70"/>
      <c r="F53" s="74"/>
      <c r="O53" s="164"/>
      <c r="P53" s="148"/>
    </row>
    <row r="54" spans="2:16" ht="31.5" x14ac:dyDescent="0.25">
      <c r="B54" s="77" t="s">
        <v>437</v>
      </c>
      <c r="C54" s="84" t="e">
        <f>#REF!</f>
        <v>#REF!</v>
      </c>
      <c r="D54" s="72">
        <f>SUM(D55:D56)</f>
        <v>88000</v>
      </c>
      <c r="E54" s="72">
        <f>SUM(E55:E57)</f>
        <v>0</v>
      </c>
      <c r="F54" s="72">
        <f>SUM(F55:F56)</f>
        <v>88000</v>
      </c>
      <c r="O54" s="164"/>
      <c r="P54" s="148"/>
    </row>
    <row r="55" spans="2:16" ht="38.25" x14ac:dyDescent="0.2">
      <c r="B55" s="76" t="s">
        <v>438</v>
      </c>
      <c r="C55" s="85" t="e">
        <f>#REF!</f>
        <v>#REF!</v>
      </c>
      <c r="D55" s="74">
        <f t="shared" si="0"/>
        <v>75000</v>
      </c>
      <c r="E55" s="70"/>
      <c r="F55" s="74">
        <v>75000</v>
      </c>
      <c r="O55" s="164"/>
      <c r="P55" s="148"/>
    </row>
    <row r="56" spans="2:16" ht="39.75" customHeight="1" x14ac:dyDescent="0.2">
      <c r="B56" s="76" t="s">
        <v>513</v>
      </c>
      <c r="C56" s="85" t="e">
        <f>#REF!</f>
        <v>#REF!</v>
      </c>
      <c r="D56" s="74">
        <f t="shared" si="0"/>
        <v>13000</v>
      </c>
      <c r="E56" s="70"/>
      <c r="F56" s="74">
        <v>13000</v>
      </c>
      <c r="O56" s="164"/>
      <c r="P56" s="148"/>
    </row>
    <row r="57" spans="2:16" ht="63" x14ac:dyDescent="0.25">
      <c r="B57" s="77" t="s">
        <v>544</v>
      </c>
      <c r="C57" s="70"/>
      <c r="D57" s="72">
        <f>F57+E57</f>
        <v>10000</v>
      </c>
      <c r="E57" s="72"/>
      <c r="F57" s="72">
        <v>10000</v>
      </c>
    </row>
    <row r="58" spans="2:16" s="68" customFormat="1" ht="18.75" thickBot="1" x14ac:dyDescent="0.25">
      <c r="B58" s="152" t="s">
        <v>496</v>
      </c>
      <c r="C58" s="153"/>
      <c r="D58" s="154">
        <f>D59+D78</f>
        <v>424369.15887850453</v>
      </c>
      <c r="E58" s="154">
        <f>E59+E78</f>
        <v>408369.15887850453</v>
      </c>
      <c r="F58" s="154">
        <f>F59+F78</f>
        <v>16000</v>
      </c>
      <c r="J58" s="100">
        <f>D58-D58*$J$87</f>
        <v>424369.15887850453</v>
      </c>
      <c r="K58" s="100">
        <v>359747.66355140181</v>
      </c>
      <c r="P58" s="162"/>
    </row>
    <row r="59" spans="2:16" ht="23.25" customHeight="1" x14ac:dyDescent="0.25">
      <c r="B59" s="155" t="s">
        <v>439</v>
      </c>
      <c r="C59" s="156" t="e">
        <f>#REF!</f>
        <v>#REF!</v>
      </c>
      <c r="D59" s="157">
        <f>SUM(D60,D65,D69,D73,D72)</f>
        <v>163500</v>
      </c>
      <c r="E59" s="157">
        <f>SUM(E60,E65,E69,E73,E72)</f>
        <v>152500</v>
      </c>
      <c r="F59" s="157">
        <f>SUM(F60,F65,F69,F73,F72)</f>
        <v>11000</v>
      </c>
      <c r="P59" s="151"/>
    </row>
    <row r="60" spans="2:16" ht="33" customHeight="1" x14ac:dyDescent="0.25">
      <c r="B60" s="77" t="s">
        <v>440</v>
      </c>
      <c r="C60" s="84" t="e">
        <f>#REF!</f>
        <v>#REF!</v>
      </c>
      <c r="D60" s="103">
        <f>SUM(D61:D64)</f>
        <v>33000</v>
      </c>
      <c r="E60" s="103">
        <f>SUM(E61:E64)</f>
        <v>30000</v>
      </c>
      <c r="F60" s="131">
        <f>SUM(F61:F64)</f>
        <v>3000</v>
      </c>
      <c r="P60" s="151"/>
    </row>
    <row r="61" spans="2:16" ht="25.5" x14ac:dyDescent="0.2">
      <c r="B61" s="76" t="s">
        <v>441</v>
      </c>
      <c r="C61" s="85" t="e">
        <f>#REF!</f>
        <v>#REF!</v>
      </c>
      <c r="D61" s="113">
        <f t="shared" si="0"/>
        <v>7000</v>
      </c>
      <c r="E61" s="86">
        <v>5000</v>
      </c>
      <c r="F61" s="74">
        <f>1000+1000</f>
        <v>2000</v>
      </c>
      <c r="P61" s="151"/>
    </row>
    <row r="62" spans="2:16" ht="25.5" x14ac:dyDescent="0.2">
      <c r="B62" s="76" t="s">
        <v>442</v>
      </c>
      <c r="C62" s="85" t="e">
        <f>#REF!</f>
        <v>#REF!</v>
      </c>
      <c r="D62" s="113">
        <f t="shared" si="0"/>
        <v>1500</v>
      </c>
      <c r="E62" s="86">
        <v>500</v>
      </c>
      <c r="F62" s="74">
        <v>1000</v>
      </c>
      <c r="P62" s="151"/>
    </row>
    <row r="63" spans="2:16" ht="38.25" x14ac:dyDescent="0.2">
      <c r="B63" s="76" t="s">
        <v>443</v>
      </c>
      <c r="C63" s="85" t="e">
        <f>#REF!</f>
        <v>#REF!</v>
      </c>
      <c r="D63" s="113">
        <f t="shared" si="0"/>
        <v>24500</v>
      </c>
      <c r="E63" s="86">
        <v>24500</v>
      </c>
      <c r="F63" s="74"/>
      <c r="P63" s="151"/>
    </row>
    <row r="64" spans="2:16" x14ac:dyDescent="0.2">
      <c r="B64" s="79"/>
      <c r="C64" s="70"/>
      <c r="D64" s="70">
        <f t="shared" si="0"/>
        <v>0</v>
      </c>
      <c r="E64" s="70"/>
      <c r="F64" s="74"/>
      <c r="P64" s="151"/>
    </row>
    <row r="65" spans="2:16" ht="47.25" x14ac:dyDescent="0.25">
      <c r="B65" s="77" t="s">
        <v>444</v>
      </c>
      <c r="C65" s="84" t="e">
        <f>#REF!</f>
        <v>#REF!</v>
      </c>
      <c r="D65" s="103">
        <f>SUM(D66:D67)</f>
        <v>37000</v>
      </c>
      <c r="E65" s="103">
        <f>SUM(E66:E67)</f>
        <v>35500</v>
      </c>
      <c r="F65" s="131">
        <f>SUM(F66:F67)</f>
        <v>1500</v>
      </c>
      <c r="P65" s="151"/>
    </row>
    <row r="66" spans="2:16" ht="38.25" x14ac:dyDescent="0.2">
      <c r="B66" s="76" t="s">
        <v>445</v>
      </c>
      <c r="C66" s="85" t="e">
        <f>#REF!</f>
        <v>#REF!</v>
      </c>
      <c r="D66" s="113">
        <f>E66+F66</f>
        <v>15500</v>
      </c>
      <c r="E66" s="113">
        <v>15500</v>
      </c>
      <c r="F66" s="74"/>
      <c r="P66" s="151"/>
    </row>
    <row r="67" spans="2:16" ht="25.5" x14ac:dyDescent="0.2">
      <c r="B67" s="76" t="s">
        <v>446</v>
      </c>
      <c r="C67" s="85" t="e">
        <f>#REF!</f>
        <v>#REF!</v>
      </c>
      <c r="D67" s="113">
        <f t="shared" si="0"/>
        <v>21500</v>
      </c>
      <c r="E67" s="113">
        <v>20000</v>
      </c>
      <c r="F67" s="74">
        <v>1500</v>
      </c>
      <c r="O67" s="165"/>
      <c r="P67" s="151"/>
    </row>
    <row r="68" spans="2:16" x14ac:dyDescent="0.2">
      <c r="B68" s="79"/>
      <c r="C68" s="70"/>
      <c r="D68" s="113"/>
      <c r="E68" s="113"/>
      <c r="F68" s="74"/>
      <c r="P68" s="151"/>
    </row>
    <row r="69" spans="2:16" ht="31.5" x14ac:dyDescent="0.25">
      <c r="B69" s="77" t="s">
        <v>447</v>
      </c>
      <c r="C69" s="84" t="e">
        <f>#REF!</f>
        <v>#REF!</v>
      </c>
      <c r="D69" s="103">
        <f>SUM(D70:D71)</f>
        <v>19000</v>
      </c>
      <c r="E69" s="103">
        <f>SUM(E70:E71)</f>
        <v>17000</v>
      </c>
      <c r="F69" s="131">
        <f>SUM(F70:F71)</f>
        <v>2000</v>
      </c>
      <c r="P69" s="151"/>
    </row>
    <row r="70" spans="2:16" ht="38.25" x14ac:dyDescent="0.2">
      <c r="B70" s="76" t="s">
        <v>497</v>
      </c>
      <c r="C70" s="85" t="e">
        <f>#REF!</f>
        <v>#REF!</v>
      </c>
      <c r="D70" s="86">
        <f t="shared" ref="D70:D82" si="1">E70+F70</f>
        <v>11000</v>
      </c>
      <c r="E70" s="86">
        <f>13000-3000</f>
        <v>10000</v>
      </c>
      <c r="F70" s="74">
        <f>1000</f>
        <v>1000</v>
      </c>
      <c r="O70" s="166"/>
      <c r="P70" s="151"/>
    </row>
    <row r="71" spans="2:16" ht="25.5" x14ac:dyDescent="0.2">
      <c r="B71" s="76" t="s">
        <v>449</v>
      </c>
      <c r="C71" s="85" t="e">
        <f>#REF!</f>
        <v>#REF!</v>
      </c>
      <c r="D71" s="86">
        <f>E71+F71</f>
        <v>8000</v>
      </c>
      <c r="E71" s="86">
        <v>7000</v>
      </c>
      <c r="F71" s="74">
        <v>1000</v>
      </c>
      <c r="O71" s="166"/>
      <c r="P71" s="151"/>
    </row>
    <row r="72" spans="2:16" ht="47.25" x14ac:dyDescent="0.25">
      <c r="B72" s="77" t="s">
        <v>546</v>
      </c>
      <c r="C72" s="70"/>
      <c r="D72" s="103">
        <f>F72+E72</f>
        <v>10500</v>
      </c>
      <c r="E72" s="103">
        <v>9000</v>
      </c>
      <c r="F72" s="103">
        <v>1500</v>
      </c>
      <c r="P72" s="151"/>
    </row>
    <row r="73" spans="2:16" ht="31.5" x14ac:dyDescent="0.25">
      <c r="B73" s="77" t="s">
        <v>547</v>
      </c>
      <c r="C73" s="84" t="e">
        <f>#REF!</f>
        <v>#REF!</v>
      </c>
      <c r="D73" s="103">
        <f>SUM(D74:D76)</f>
        <v>64000</v>
      </c>
      <c r="E73" s="103">
        <f>SUM(E74:E76)</f>
        <v>61000</v>
      </c>
      <c r="F73" s="131">
        <f>SUM(F74:F76)</f>
        <v>3000</v>
      </c>
    </row>
    <row r="74" spans="2:16" ht="25.5" x14ac:dyDescent="0.2">
      <c r="B74" s="76" t="s">
        <v>450</v>
      </c>
      <c r="C74" s="85" t="e">
        <f>#REF!</f>
        <v>#REF!</v>
      </c>
      <c r="D74" s="86">
        <f t="shared" si="1"/>
        <v>45000</v>
      </c>
      <c r="E74" s="86">
        <v>42000</v>
      </c>
      <c r="F74" s="74">
        <f>2000+1000</f>
        <v>3000</v>
      </c>
    </row>
    <row r="75" spans="2:16" ht="38.25" x14ac:dyDescent="0.2">
      <c r="B75" s="76" t="s">
        <v>498</v>
      </c>
      <c r="C75" s="85" t="e">
        <f>#REF!</f>
        <v>#REF!</v>
      </c>
      <c r="D75" s="86">
        <f t="shared" si="1"/>
        <v>12000</v>
      </c>
      <c r="E75" s="86">
        <v>12000</v>
      </c>
      <c r="F75" s="74"/>
    </row>
    <row r="76" spans="2:16" ht="51" x14ac:dyDescent="0.2">
      <c r="B76" s="76" t="s">
        <v>451</v>
      </c>
      <c r="C76" s="85" t="e">
        <f>#REF!</f>
        <v>#REF!</v>
      </c>
      <c r="D76" s="86">
        <f t="shared" si="1"/>
        <v>7000</v>
      </c>
      <c r="E76" s="86">
        <v>7000</v>
      </c>
      <c r="F76" s="74"/>
    </row>
    <row r="77" spans="2:16" x14ac:dyDescent="0.2">
      <c r="B77" s="78"/>
      <c r="C77" s="70"/>
      <c r="D77" s="86"/>
      <c r="E77" s="70"/>
      <c r="F77" s="74"/>
    </row>
    <row r="78" spans="2:16" ht="56.25" x14ac:dyDescent="0.25">
      <c r="B78" s="118" t="s">
        <v>452</v>
      </c>
      <c r="C78" s="119" t="e">
        <f>#REF!</f>
        <v>#REF!</v>
      </c>
      <c r="D78" s="120">
        <f>SUM(D79,D83,D85)</f>
        <v>260869.15887850453</v>
      </c>
      <c r="E78" s="120">
        <f t="shared" ref="E78:F78" si="2">SUM(E79,E83,E85)</f>
        <v>255869.15887850453</v>
      </c>
      <c r="F78" s="158">
        <f t="shared" si="2"/>
        <v>5000</v>
      </c>
      <c r="O78" s="161"/>
    </row>
    <row r="79" spans="2:16" ht="47.25" x14ac:dyDescent="0.25">
      <c r="B79" s="77" t="s">
        <v>453</v>
      </c>
      <c r="C79" s="84" t="e">
        <f>#REF!</f>
        <v>#REF!</v>
      </c>
      <c r="D79" s="69">
        <f>SUM(D80:D82)</f>
        <v>55000</v>
      </c>
      <c r="E79" s="69">
        <f>SUM(E80:E82)</f>
        <v>52000</v>
      </c>
      <c r="F79" s="130">
        <f>SUM(F80:F82)</f>
        <v>3000</v>
      </c>
      <c r="O79" s="161"/>
    </row>
    <row r="80" spans="2:16" ht="25.5" x14ac:dyDescent="0.2">
      <c r="B80" s="76" t="s">
        <v>454</v>
      </c>
      <c r="C80" s="85" t="e">
        <f>#REF!</f>
        <v>#REF!</v>
      </c>
      <c r="D80" s="86">
        <f t="shared" si="1"/>
        <v>6000</v>
      </c>
      <c r="E80" s="86">
        <v>5000</v>
      </c>
      <c r="F80" s="74">
        <f>1000</f>
        <v>1000</v>
      </c>
      <c r="O80" s="161"/>
    </row>
    <row r="81" spans="1:15" ht="25.5" x14ac:dyDescent="0.2">
      <c r="B81" s="76" t="s">
        <v>455</v>
      </c>
      <c r="C81" s="85" t="e">
        <f>#REF!</f>
        <v>#REF!</v>
      </c>
      <c r="D81" s="86">
        <f t="shared" si="1"/>
        <v>49000</v>
      </c>
      <c r="E81" s="86">
        <f>49000-2000</f>
        <v>47000</v>
      </c>
      <c r="F81" s="74">
        <v>2000</v>
      </c>
      <c r="O81" s="161"/>
    </row>
    <row r="82" spans="1:15" x14ac:dyDescent="0.2">
      <c r="B82" s="79"/>
      <c r="C82" s="70"/>
      <c r="D82" s="86">
        <f t="shared" si="1"/>
        <v>0</v>
      </c>
      <c r="E82" s="70"/>
      <c r="F82" s="74"/>
      <c r="O82" s="161"/>
    </row>
    <row r="83" spans="1:15" ht="99" customHeight="1" x14ac:dyDescent="0.25">
      <c r="B83" s="77" t="s">
        <v>456</v>
      </c>
      <c r="C83" s="84" t="e">
        <f>#REF!</f>
        <v>#REF!</v>
      </c>
      <c r="D83" s="69">
        <f>F83+E83</f>
        <v>190000</v>
      </c>
      <c r="E83" s="69">
        <f>195000-5000</f>
        <v>190000</v>
      </c>
      <c r="F83" s="72"/>
      <c r="O83" s="161"/>
    </row>
    <row r="84" spans="1:15" x14ac:dyDescent="0.2">
      <c r="B84" s="79"/>
      <c r="C84" s="70"/>
      <c r="D84" s="70"/>
      <c r="E84" s="70"/>
      <c r="F84" s="74"/>
      <c r="O84" s="161"/>
    </row>
    <row r="85" spans="1:15" ht="33" customHeight="1" x14ac:dyDescent="0.25">
      <c r="B85" s="77" t="s">
        <v>457</v>
      </c>
      <c r="C85" s="84" t="e">
        <f>#REF!</f>
        <v>#REF!</v>
      </c>
      <c r="D85" s="69">
        <f>E85+F85</f>
        <v>15869.158878504531</v>
      </c>
      <c r="E85" s="69">
        <f>J99-5000</f>
        <v>13869.158878504531</v>
      </c>
      <c r="F85" s="72">
        <v>2000</v>
      </c>
      <c r="G85" s="88"/>
      <c r="O85" s="161"/>
    </row>
    <row r="86" spans="1:15" x14ac:dyDescent="0.2">
      <c r="B86" s="78"/>
      <c r="C86" s="70"/>
      <c r="D86" s="70"/>
      <c r="E86" s="70"/>
      <c r="F86" s="74"/>
    </row>
    <row r="87" spans="1:15" ht="18.75" thickBot="1" x14ac:dyDescent="0.25">
      <c r="A87" s="68"/>
      <c r="B87" s="111" t="s">
        <v>499</v>
      </c>
      <c r="C87" s="112"/>
      <c r="D87" s="114">
        <f>D58+D31+D3</f>
        <v>1026869.1588785045</v>
      </c>
      <c r="E87" s="114">
        <f>SUM(E58,E31,E3)</f>
        <v>831869.15887850453</v>
      </c>
      <c r="F87" s="132">
        <f>SUM(F58,F31,F3)</f>
        <v>195000</v>
      </c>
      <c r="G87" s="106"/>
      <c r="H87" s="88">
        <f>H99-SUM(D89:D92)</f>
        <v>1026869.1588785045</v>
      </c>
      <c r="I87" s="102">
        <v>994869.15887850453</v>
      </c>
      <c r="J87" s="83">
        <f>(D87-H87)/D87</f>
        <v>0</v>
      </c>
      <c r="K87" s="57">
        <v>404869.15887850453</v>
      </c>
    </row>
    <row r="88" spans="1:15" x14ac:dyDescent="0.2">
      <c r="B88" s="159"/>
      <c r="F88" s="160"/>
    </row>
    <row r="89" spans="1:15" ht="34.5" customHeight="1" x14ac:dyDescent="0.2">
      <c r="B89" s="9" t="s">
        <v>374</v>
      </c>
      <c r="C89" s="70"/>
      <c r="D89" s="168">
        <f>E89+F89</f>
        <v>75000</v>
      </c>
      <c r="E89" s="168">
        <v>30000</v>
      </c>
      <c r="F89" s="170">
        <f>60000*75%</f>
        <v>45000</v>
      </c>
      <c r="H89" s="88"/>
    </row>
    <row r="90" spans="1:15" ht="35.25" customHeight="1" x14ac:dyDescent="0.2">
      <c r="B90" s="9" t="s">
        <v>375</v>
      </c>
      <c r="C90" s="70"/>
      <c r="D90" s="168">
        <f>E90+F90</f>
        <v>210000</v>
      </c>
      <c r="E90" s="168">
        <f>40000+J102+(170000-30000)</f>
        <v>184626.16822429909</v>
      </c>
      <c r="F90" s="170">
        <f>35000-J102-10000+5000</f>
        <v>25373.831775700906</v>
      </c>
    </row>
    <row r="91" spans="1:15" ht="25.5" customHeight="1" x14ac:dyDescent="0.2">
      <c r="B91" s="9" t="s">
        <v>376</v>
      </c>
      <c r="C91" s="70"/>
      <c r="D91" s="168">
        <f t="shared" ref="D91:D92" si="3">E91+F91</f>
        <v>55000</v>
      </c>
      <c r="E91" s="168">
        <v>40000</v>
      </c>
      <c r="F91" s="170">
        <v>15000</v>
      </c>
    </row>
    <row r="92" spans="1:15" ht="26.25" customHeight="1" thickBot="1" x14ac:dyDescent="0.25">
      <c r="B92" s="35" t="s">
        <v>377</v>
      </c>
      <c r="C92" s="134"/>
      <c r="D92" s="168">
        <f t="shared" si="3"/>
        <v>35000</v>
      </c>
      <c r="E92" s="169">
        <v>35000</v>
      </c>
      <c r="F92" s="171"/>
    </row>
    <row r="93" spans="1:15" ht="18.75" x14ac:dyDescent="0.2">
      <c r="B93" s="135" t="s">
        <v>512</v>
      </c>
      <c r="C93" s="136"/>
      <c r="D93" s="142">
        <f>SUM(D87:D92)</f>
        <v>1401869.1588785045</v>
      </c>
      <c r="E93" s="142">
        <f t="shared" ref="E93:F93" si="4">SUM(E87:E92)</f>
        <v>1121495.3271028036</v>
      </c>
      <c r="F93" s="143">
        <f t="shared" si="4"/>
        <v>280373.83177570091</v>
      </c>
      <c r="I93" s="115"/>
    </row>
    <row r="94" spans="1:15" s="91" customFormat="1" ht="18" x14ac:dyDescent="0.25">
      <c r="B94" s="137" t="s">
        <v>511</v>
      </c>
      <c r="C94" s="133"/>
      <c r="D94" s="144">
        <f>D93*7%</f>
        <v>98130.841121495323</v>
      </c>
      <c r="E94" s="144">
        <f t="shared" ref="E94:F94" si="5">E93*7%</f>
        <v>78504.672897196258</v>
      </c>
      <c r="F94" s="145">
        <f t="shared" si="5"/>
        <v>19626.168224299065</v>
      </c>
    </row>
    <row r="95" spans="1:15" s="91" customFormat="1" ht="18.75" thickBot="1" x14ac:dyDescent="0.3">
      <c r="B95" s="138" t="s">
        <v>510</v>
      </c>
      <c r="C95" s="139"/>
      <c r="D95" s="140">
        <f>SUM(D93:D94)</f>
        <v>1499999.9999999998</v>
      </c>
      <c r="E95" s="140">
        <f>SUM(E93:E94)</f>
        <v>1200000</v>
      </c>
      <c r="F95" s="141">
        <f>SUM(F93:F94)</f>
        <v>300000</v>
      </c>
    </row>
    <row r="96" spans="1:15" s="91" customFormat="1" ht="15.75" hidden="1" customHeight="1" x14ac:dyDescent="0.2">
      <c r="B96" s="96"/>
      <c r="C96" s="93"/>
      <c r="E96" s="94"/>
      <c r="F96" s="94"/>
    </row>
    <row r="97" spans="2:16" s="91" customFormat="1" hidden="1" x14ac:dyDescent="0.2">
      <c r="B97" s="96"/>
      <c r="C97" s="93"/>
      <c r="D97" s="116">
        <f>1500000-D95</f>
        <v>0</v>
      </c>
      <c r="E97" s="94"/>
      <c r="F97" s="94"/>
      <c r="P97" s="167"/>
    </row>
    <row r="98" spans="2:16" s="91" customFormat="1" hidden="1" x14ac:dyDescent="0.2">
      <c r="B98" s="96"/>
      <c r="C98" s="93"/>
      <c r="D98" s="116">
        <f>D97*2</f>
        <v>0</v>
      </c>
      <c r="E98" s="94"/>
      <c r="F98" s="94"/>
    </row>
    <row r="99" spans="2:16" s="91" customFormat="1" ht="15.75" hidden="1" x14ac:dyDescent="0.25">
      <c r="B99" s="96"/>
      <c r="C99" s="93"/>
      <c r="E99" s="94"/>
      <c r="F99" s="94"/>
      <c r="H99" s="101">
        <f>1500000/1.07</f>
        <v>1401869.1588785045</v>
      </c>
      <c r="I99" s="117">
        <f>H99-D93</f>
        <v>0</v>
      </c>
      <c r="J99" s="91">
        <v>18869.158878504531</v>
      </c>
    </row>
    <row r="100" spans="2:16" s="91" customFormat="1" hidden="1" x14ac:dyDescent="0.2">
      <c r="B100" s="96"/>
      <c r="C100" s="93"/>
      <c r="D100" s="146" t="e">
        <f>(#REF!-75000)/#REF!</f>
        <v>#REF!</v>
      </c>
      <c r="E100" s="94"/>
      <c r="F100" s="94"/>
    </row>
    <row r="101" spans="2:16" s="91" customFormat="1" hidden="1" x14ac:dyDescent="0.2">
      <c r="B101" s="96"/>
      <c r="C101" s="93"/>
      <c r="E101" s="94"/>
      <c r="F101" s="94"/>
    </row>
    <row r="102" spans="2:16" s="91" customFormat="1" hidden="1" x14ac:dyDescent="0.2">
      <c r="B102" s="96"/>
      <c r="C102" s="93"/>
      <c r="E102" s="94"/>
      <c r="F102" s="94" t="s">
        <v>421</v>
      </c>
      <c r="I102" s="91">
        <f>Personnel-I103</f>
        <v>0</v>
      </c>
      <c r="J102" s="91">
        <v>4626.1682242990937</v>
      </c>
    </row>
    <row r="103" spans="2:16" s="91" customFormat="1" hidden="1" x14ac:dyDescent="0.2">
      <c r="B103" s="96"/>
      <c r="C103" s="93"/>
      <c r="E103" s="94"/>
      <c r="F103" s="94"/>
      <c r="I103" s="91">
        <f>300000/1.07</f>
        <v>280373.83177570091</v>
      </c>
    </row>
    <row r="104" spans="2:16" s="91" customFormat="1" hidden="1" x14ac:dyDescent="0.2">
      <c r="B104" s="96"/>
      <c r="C104" s="93"/>
      <c r="E104" s="94"/>
      <c r="F104" s="94"/>
    </row>
    <row r="105" spans="2:16" s="91" customFormat="1" hidden="1" x14ac:dyDescent="0.2">
      <c r="B105" s="96"/>
      <c r="C105" s="93"/>
      <c r="E105" s="94"/>
      <c r="F105" s="94"/>
    </row>
    <row r="106" spans="2:16" s="91" customFormat="1" hidden="1" x14ac:dyDescent="0.2">
      <c r="B106" s="95"/>
      <c r="C106" s="93"/>
      <c r="E106" s="94"/>
      <c r="F106" s="94"/>
    </row>
    <row r="107" spans="2:16" s="91" customFormat="1" hidden="1" x14ac:dyDescent="0.2">
      <c r="B107" s="92"/>
      <c r="C107" s="93"/>
      <c r="E107" s="94"/>
      <c r="F107" s="94"/>
    </row>
    <row r="108" spans="2:16" s="91" customFormat="1" hidden="1" x14ac:dyDescent="0.2">
      <c r="B108" s="95"/>
      <c r="C108" s="93"/>
      <c r="E108" s="94"/>
      <c r="F108" s="94"/>
    </row>
    <row r="109" spans="2:16" s="91" customFormat="1" hidden="1" x14ac:dyDescent="0.2">
      <c r="B109" s="95"/>
      <c r="C109" s="93"/>
      <c r="E109" s="94"/>
      <c r="F109" s="94"/>
    </row>
    <row r="110" spans="2:16" s="91" customFormat="1" hidden="1" x14ac:dyDescent="0.2">
      <c r="B110" s="95"/>
      <c r="C110" s="93"/>
      <c r="E110" s="94"/>
      <c r="F110" s="94"/>
    </row>
    <row r="111" spans="2:16" ht="15.75" hidden="1" x14ac:dyDescent="0.2">
      <c r="B111" s="90"/>
      <c r="F111" s="89"/>
    </row>
    <row r="112" spans="2:16" ht="15.75" hidden="1" x14ac:dyDescent="0.2">
      <c r="B112" s="90"/>
      <c r="F112" s="89"/>
    </row>
    <row r="113" spans="2:6" ht="15.75" hidden="1" x14ac:dyDescent="0.2">
      <c r="B113" s="97"/>
      <c r="F113" s="89"/>
    </row>
    <row r="114" spans="2:6" ht="15.75" hidden="1" x14ac:dyDescent="0.2">
      <c r="B114" s="90"/>
      <c r="F114" s="89"/>
    </row>
    <row r="115" spans="2:6" ht="15.75" x14ac:dyDescent="0.2">
      <c r="B115" s="90"/>
      <c r="F115" s="89"/>
    </row>
    <row r="116" spans="2:6" ht="15.75" x14ac:dyDescent="0.2">
      <c r="B116" s="90"/>
      <c r="F116" s="89"/>
    </row>
    <row r="117" spans="2:6" ht="15.75" x14ac:dyDescent="0.25">
      <c r="B117" s="98"/>
      <c r="F117" s="89"/>
    </row>
    <row r="118" spans="2:6" x14ac:dyDescent="0.2">
      <c r="F118" s="89"/>
    </row>
    <row r="119" spans="2:6" x14ac:dyDescent="0.2">
      <c r="F119" s="89"/>
    </row>
    <row r="120" spans="2:6" x14ac:dyDescent="0.2">
      <c r="F120" s="89"/>
    </row>
    <row r="121" spans="2:6" x14ac:dyDescent="0.2">
      <c r="F121" s="89"/>
    </row>
    <row r="122" spans="2:6" x14ac:dyDescent="0.2">
      <c r="F122" s="89"/>
    </row>
    <row r="123" spans="2:6" x14ac:dyDescent="0.2">
      <c r="F123" s="89"/>
    </row>
    <row r="124" spans="2:6" x14ac:dyDescent="0.2">
      <c r="F124" s="89"/>
    </row>
    <row r="125" spans="2:6" x14ac:dyDescent="0.2">
      <c r="F125" s="89"/>
    </row>
    <row r="126" spans="2:6" x14ac:dyDescent="0.2">
      <c r="F126" s="89"/>
    </row>
    <row r="127" spans="2:6" x14ac:dyDescent="0.2">
      <c r="F127" s="89"/>
    </row>
    <row r="128" spans="2:6" x14ac:dyDescent="0.2">
      <c r="F128" s="89"/>
    </row>
    <row r="129" spans="6:6" x14ac:dyDescent="0.2">
      <c r="F129" s="89"/>
    </row>
    <row r="130" spans="6:6" x14ac:dyDescent="0.2">
      <c r="F130" s="89"/>
    </row>
    <row r="131" spans="6:6" x14ac:dyDescent="0.2">
      <c r="F131" s="89"/>
    </row>
    <row r="132" spans="6:6" x14ac:dyDescent="0.2">
      <c r="F132" s="89"/>
    </row>
    <row r="133" spans="6:6" x14ac:dyDescent="0.2">
      <c r="F133" s="89"/>
    </row>
    <row r="134" spans="6:6" x14ac:dyDescent="0.2">
      <c r="F134" s="89"/>
    </row>
    <row r="135" spans="6:6" x14ac:dyDescent="0.2">
      <c r="F135" s="89"/>
    </row>
    <row r="136" spans="6:6" x14ac:dyDescent="0.2">
      <c r="F136" s="89"/>
    </row>
    <row r="137" spans="6:6" x14ac:dyDescent="0.2">
      <c r="F137" s="89"/>
    </row>
    <row r="138" spans="6:6" x14ac:dyDescent="0.2">
      <c r="F138" s="89"/>
    </row>
    <row r="139" spans="6:6" x14ac:dyDescent="0.2">
      <c r="F139" s="89"/>
    </row>
    <row r="140" spans="6:6" x14ac:dyDescent="0.2">
      <c r="F140" s="89"/>
    </row>
    <row r="141" spans="6:6" x14ac:dyDescent="0.2">
      <c r="F141" s="89"/>
    </row>
    <row r="142" spans="6:6" x14ac:dyDescent="0.2">
      <c r="F142" s="89"/>
    </row>
    <row r="143" spans="6:6" x14ac:dyDescent="0.2">
      <c r="F143" s="89"/>
    </row>
    <row r="144" spans="6:6" x14ac:dyDescent="0.2">
      <c r="F144" s="89"/>
    </row>
    <row r="145" spans="6:6" x14ac:dyDescent="0.2">
      <c r="F145" s="89"/>
    </row>
    <row r="146" spans="6:6" x14ac:dyDescent="0.2">
      <c r="F146" s="89"/>
    </row>
    <row r="147" spans="6:6" x14ac:dyDescent="0.2">
      <c r="F147" s="89"/>
    </row>
    <row r="148" spans="6:6" x14ac:dyDescent="0.2">
      <c r="F148" s="89"/>
    </row>
    <row r="149" spans="6:6" x14ac:dyDescent="0.2">
      <c r="F149" s="89"/>
    </row>
    <row r="150" spans="6:6" x14ac:dyDescent="0.2">
      <c r="F150" s="89"/>
    </row>
    <row r="151" spans="6:6" x14ac:dyDescent="0.2">
      <c r="F151" s="89"/>
    </row>
    <row r="152" spans="6:6" x14ac:dyDescent="0.2">
      <c r="F152" s="89"/>
    </row>
    <row r="153" spans="6:6" x14ac:dyDescent="0.2">
      <c r="F153" s="89"/>
    </row>
    <row r="154" spans="6:6" x14ac:dyDescent="0.2">
      <c r="F154" s="89"/>
    </row>
    <row r="155" spans="6:6" x14ac:dyDescent="0.2">
      <c r="F155" s="89"/>
    </row>
    <row r="156" spans="6:6" x14ac:dyDescent="0.2">
      <c r="F156" s="89"/>
    </row>
    <row r="157" spans="6:6" x14ac:dyDescent="0.2">
      <c r="F157" s="89"/>
    </row>
    <row r="158" spans="6:6" x14ac:dyDescent="0.2">
      <c r="F158" s="89"/>
    </row>
    <row r="159" spans="6:6" x14ac:dyDescent="0.2">
      <c r="F159" s="89"/>
    </row>
    <row r="160" spans="6:6" x14ac:dyDescent="0.2">
      <c r="F160" s="89"/>
    </row>
    <row r="161" spans="6:6" x14ac:dyDescent="0.2">
      <c r="F161" s="67"/>
    </row>
    <row r="162" spans="6:6" x14ac:dyDescent="0.2">
      <c r="F162" s="67"/>
    </row>
    <row r="163" spans="6:6" x14ac:dyDescent="0.2">
      <c r="F163" s="67"/>
    </row>
    <row r="164" spans="6:6" x14ac:dyDescent="0.2">
      <c r="F164" s="67"/>
    </row>
    <row r="165" spans="6:6" x14ac:dyDescent="0.2">
      <c r="F165" s="67"/>
    </row>
    <row r="166" spans="6:6" x14ac:dyDescent="0.2">
      <c r="F166" s="67"/>
    </row>
    <row r="167" spans="6:6" x14ac:dyDescent="0.2">
      <c r="F167" s="67"/>
    </row>
    <row r="168" spans="6:6" x14ac:dyDescent="0.2">
      <c r="F168" s="67"/>
    </row>
    <row r="169" spans="6:6" x14ac:dyDescent="0.2">
      <c r="F169" s="67"/>
    </row>
    <row r="170" spans="6:6" x14ac:dyDescent="0.2">
      <c r="F170" s="67"/>
    </row>
    <row r="171" spans="6:6" x14ac:dyDescent="0.2">
      <c r="F171" s="67"/>
    </row>
    <row r="172" spans="6:6" x14ac:dyDescent="0.2">
      <c r="F172" s="67"/>
    </row>
    <row r="173" spans="6:6" x14ac:dyDescent="0.2">
      <c r="F173" s="67"/>
    </row>
    <row r="174" spans="6:6" x14ac:dyDescent="0.2">
      <c r="F174" s="67"/>
    </row>
    <row r="175" spans="6:6" x14ac:dyDescent="0.2">
      <c r="F175" s="67"/>
    </row>
    <row r="176" spans="6:6" x14ac:dyDescent="0.2">
      <c r="F176" s="67"/>
    </row>
    <row r="177" spans="6:6" x14ac:dyDescent="0.2">
      <c r="F177" s="67"/>
    </row>
    <row r="178" spans="6:6" x14ac:dyDescent="0.2">
      <c r="F178" s="67"/>
    </row>
    <row r="179" spans="6:6" x14ac:dyDescent="0.2">
      <c r="F179" s="67"/>
    </row>
    <row r="180" spans="6:6" x14ac:dyDescent="0.2">
      <c r="F180" s="67"/>
    </row>
    <row r="181" spans="6:6" x14ac:dyDescent="0.2">
      <c r="F181" s="67"/>
    </row>
    <row r="182" spans="6:6" x14ac:dyDescent="0.2">
      <c r="F182" s="67"/>
    </row>
    <row r="183" spans="6:6" x14ac:dyDescent="0.2">
      <c r="F183" s="67"/>
    </row>
    <row r="184" spans="6:6" x14ac:dyDescent="0.2">
      <c r="F184" s="67"/>
    </row>
    <row r="185" spans="6:6" x14ac:dyDescent="0.2">
      <c r="F185" s="67"/>
    </row>
    <row r="186" spans="6:6" x14ac:dyDescent="0.2">
      <c r="F186" s="67"/>
    </row>
    <row r="187" spans="6:6" x14ac:dyDescent="0.2">
      <c r="F187" s="67"/>
    </row>
    <row r="188" spans="6:6" x14ac:dyDescent="0.2">
      <c r="F188" s="67"/>
    </row>
  </sheetData>
  <dataValidations count="7">
    <dataValidation allowBlank="1" showInputMessage="1" showErrorMessage="1" prompt=" Includes all general operating costs for running an office. Examples include telecommunication, rents, finance charges and other costs which cannot be mapped to other expense categories." sqref="B116"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15" xr:uid="{00000000-0002-0000-0100-000001000000}"/>
    <dataValidation allowBlank="1" showInputMessage="1" showErrorMessage="1" prompt="Services contracted by an organization which follow the normal procurement processes." sqref="B113" xr:uid="{00000000-0002-0000-0100-000002000000}"/>
    <dataValidation allowBlank="1" showInputMessage="1" showErrorMessage="1" prompt="Includes staff and non-staff travel paid for by the organization directly related to a project." sqref="B114"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12"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111" xr:uid="{00000000-0002-0000-0100-000005000000}"/>
    <dataValidation allowBlank="1" showInputMessage="1" showErrorMessage="1" prompt="Includes all related staff and temporary staff costs including base salary, post adjustment and all staff entitlements." sqref="B93:B110" xr:uid="{00000000-0002-0000-0100-000006000000}"/>
  </dataValidations>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S135"/>
  <sheetViews>
    <sheetView topLeftCell="B98" workbookViewId="0">
      <selection activeCell="N130" sqref="N130"/>
    </sheetView>
  </sheetViews>
  <sheetFormatPr baseColWidth="10" defaultColWidth="11.5703125" defaultRowHeight="15" x14ac:dyDescent="0.25"/>
  <cols>
    <col min="1" max="4" width="11.42578125" style="264" customWidth="1"/>
    <col min="5" max="5" width="42" style="264" customWidth="1"/>
    <col min="6" max="12" width="11.42578125" style="264" customWidth="1"/>
    <col min="13" max="13" width="23.5703125" style="264" customWidth="1"/>
    <col min="14" max="14" width="11.42578125" style="415" customWidth="1"/>
    <col min="15" max="15" width="11.42578125" style="416" customWidth="1"/>
    <col min="16" max="16" width="13" style="270" bestFit="1" customWidth="1"/>
    <col min="17" max="17" width="14" style="264" customWidth="1"/>
    <col min="18" max="16384" width="11.5703125" style="264"/>
  </cols>
  <sheetData>
    <row r="1" spans="1:18" ht="24.75" thickBot="1" x14ac:dyDescent="0.3">
      <c r="A1" s="811" t="s">
        <v>611</v>
      </c>
      <c r="B1" s="811"/>
      <c r="C1" s="811" t="s">
        <v>612</v>
      </c>
      <c r="D1" s="811"/>
      <c r="E1" s="811"/>
      <c r="F1" s="812" t="s">
        <v>613</v>
      </c>
      <c r="G1" s="812"/>
      <c r="H1" s="812"/>
      <c r="I1" s="812"/>
      <c r="J1" s="812"/>
      <c r="K1" s="812"/>
      <c r="L1" s="263" t="s">
        <v>614</v>
      </c>
      <c r="M1" s="263"/>
      <c r="N1" s="812" t="s">
        <v>615</v>
      </c>
      <c r="O1" s="812"/>
      <c r="P1" s="812"/>
    </row>
    <row r="2" spans="1:18" ht="27" hidden="1" customHeight="1" thickBot="1" x14ac:dyDescent="0.3">
      <c r="A2" s="813" t="s">
        <v>616</v>
      </c>
      <c r="B2" s="813"/>
      <c r="C2" s="814" t="s">
        <v>617</v>
      </c>
      <c r="D2" s="814"/>
      <c r="E2" s="814"/>
      <c r="F2" s="265" t="s">
        <v>618</v>
      </c>
      <c r="G2" s="265" t="s">
        <v>619</v>
      </c>
      <c r="H2" s="265" t="s">
        <v>620</v>
      </c>
      <c r="I2" s="265" t="s">
        <v>621</v>
      </c>
      <c r="J2" s="265" t="s">
        <v>622</v>
      </c>
      <c r="K2" s="265" t="s">
        <v>623</v>
      </c>
      <c r="L2" s="266"/>
      <c r="M2" s="266" t="s">
        <v>624</v>
      </c>
      <c r="N2" s="265" t="s">
        <v>625</v>
      </c>
      <c r="O2" s="267" t="s">
        <v>626</v>
      </c>
      <c r="P2" s="268" t="s">
        <v>627</v>
      </c>
    </row>
    <row r="3" spans="1:18" ht="15.75" hidden="1" customHeight="1" thickBot="1" x14ac:dyDescent="0.3">
      <c r="A3" s="816" t="s">
        <v>628</v>
      </c>
      <c r="B3" s="817"/>
      <c r="C3" s="817"/>
      <c r="D3" s="817"/>
      <c r="E3" s="817"/>
      <c r="F3" s="817"/>
      <c r="G3" s="817"/>
      <c r="H3" s="817"/>
      <c r="I3" s="817"/>
      <c r="J3" s="817"/>
      <c r="K3" s="817"/>
      <c r="L3" s="817"/>
      <c r="M3" s="817"/>
      <c r="N3" s="817"/>
      <c r="O3" s="818"/>
      <c r="P3" s="269">
        <f>SUM(P6:P41)</f>
        <v>381500</v>
      </c>
      <c r="R3" s="270"/>
    </row>
    <row r="4" spans="1:18" ht="15.75" hidden="1" customHeight="1" thickBot="1" x14ac:dyDescent="0.3">
      <c r="A4" s="271"/>
      <c r="B4" s="272"/>
      <c r="C4" s="272"/>
      <c r="D4" s="272"/>
      <c r="E4" s="272"/>
      <c r="F4" s="272"/>
      <c r="G4" s="272"/>
      <c r="H4" s="272"/>
      <c r="I4" s="272"/>
      <c r="J4" s="272"/>
      <c r="K4" s="272"/>
      <c r="L4" s="272"/>
      <c r="M4" s="272"/>
      <c r="N4" s="272"/>
      <c r="O4" s="273" t="s">
        <v>503</v>
      </c>
      <c r="P4" s="274">
        <f>SUM(P6,P10,P9,P11,P12,P14:P15,P16:P17,P18,P20,P22,P24,P27,P31,P32,P34,P35,P37,P40)</f>
        <v>353500</v>
      </c>
      <c r="R4" s="270"/>
    </row>
    <row r="5" spans="1:18" ht="15.75" hidden="1" customHeight="1" thickBot="1" x14ac:dyDescent="0.3">
      <c r="A5" s="275"/>
      <c r="B5" s="275"/>
      <c r="C5" s="275"/>
      <c r="D5" s="275"/>
      <c r="E5" s="275"/>
      <c r="F5" s="275"/>
      <c r="G5" s="275"/>
      <c r="H5" s="275"/>
      <c r="I5" s="275"/>
      <c r="J5" s="275"/>
      <c r="K5" s="275"/>
      <c r="L5" s="275"/>
      <c r="M5" s="275"/>
      <c r="N5" s="275"/>
      <c r="O5" s="276" t="s">
        <v>504</v>
      </c>
      <c r="P5" s="277">
        <f>SUM(P13,P19,P21,P23,P26,P28,P30,P36,P41)</f>
        <v>28000</v>
      </c>
      <c r="R5" s="270"/>
    </row>
    <row r="6" spans="1:18" ht="55.5" hidden="1" customHeight="1" thickBot="1" x14ac:dyDescent="0.3">
      <c r="A6" s="819" t="s">
        <v>629</v>
      </c>
      <c r="B6" s="820"/>
      <c r="C6" s="648" t="s">
        <v>630</v>
      </c>
      <c r="D6" s="613"/>
      <c r="E6" s="612" t="s">
        <v>631</v>
      </c>
      <c r="F6" s="628" t="s">
        <v>632</v>
      </c>
      <c r="G6" s="633"/>
      <c r="H6" s="633"/>
      <c r="I6" s="633"/>
      <c r="J6" s="633"/>
      <c r="K6" s="633"/>
      <c r="L6" s="629" t="s">
        <v>503</v>
      </c>
      <c r="M6" s="654" t="s">
        <v>633</v>
      </c>
      <c r="N6" s="653" t="s">
        <v>634</v>
      </c>
      <c r="O6" s="815" t="s">
        <v>635</v>
      </c>
      <c r="P6" s="623">
        <v>1000</v>
      </c>
      <c r="Q6" s="270"/>
    </row>
    <row r="7" spans="1:18" ht="33.75" hidden="1" customHeight="1" thickBot="1" x14ac:dyDescent="0.3">
      <c r="A7" s="782" t="s">
        <v>636</v>
      </c>
      <c r="B7" s="783"/>
      <c r="C7" s="611"/>
      <c r="D7" s="634"/>
      <c r="E7" s="612"/>
      <c r="F7" s="628"/>
      <c r="G7" s="633"/>
      <c r="H7" s="633"/>
      <c r="I7" s="633"/>
      <c r="J7" s="633"/>
      <c r="K7" s="633"/>
      <c r="L7" s="629"/>
      <c r="M7" s="654"/>
      <c r="N7" s="653"/>
      <c r="O7" s="815"/>
      <c r="P7" s="623"/>
    </row>
    <row r="8" spans="1:18" ht="56.25" hidden="1" customHeight="1" thickBot="1" x14ac:dyDescent="0.3">
      <c r="A8" s="762" t="s">
        <v>637</v>
      </c>
      <c r="B8" s="763"/>
      <c r="C8" s="808" t="s">
        <v>638</v>
      </c>
      <c r="D8" s="729"/>
      <c r="E8" s="612"/>
      <c r="F8" s="628"/>
      <c r="G8" s="633"/>
      <c r="H8" s="633"/>
      <c r="I8" s="633"/>
      <c r="J8" s="633"/>
      <c r="K8" s="633"/>
      <c r="L8" s="629"/>
      <c r="M8" s="654"/>
      <c r="N8" s="653"/>
      <c r="O8" s="815"/>
      <c r="P8" s="623"/>
    </row>
    <row r="9" spans="1:18" ht="43.5" hidden="1" thickBot="1" x14ac:dyDescent="0.3">
      <c r="A9" s="643"/>
      <c r="B9" s="645"/>
      <c r="C9" s="809" t="s">
        <v>421</v>
      </c>
      <c r="D9" s="626"/>
      <c r="E9" s="278" t="s">
        <v>639</v>
      </c>
      <c r="F9" s="279" t="s">
        <v>632</v>
      </c>
      <c r="G9" s="280"/>
      <c r="H9" s="280"/>
      <c r="I9" s="280"/>
      <c r="J9" s="281"/>
      <c r="K9" s="281"/>
      <c r="L9" s="282" t="s">
        <v>503</v>
      </c>
      <c r="M9" s="282" t="s">
        <v>633</v>
      </c>
      <c r="N9" s="283" t="s">
        <v>634</v>
      </c>
      <c r="O9" s="282" t="s">
        <v>635</v>
      </c>
      <c r="P9" s="284">
        <v>14000</v>
      </c>
    </row>
    <row r="10" spans="1:18" ht="29.25" hidden="1" thickBot="1" x14ac:dyDescent="0.3">
      <c r="A10" s="762" t="s">
        <v>640</v>
      </c>
      <c r="B10" s="763"/>
      <c r="C10" s="792" t="s">
        <v>641</v>
      </c>
      <c r="D10" s="692"/>
      <c r="E10" s="278" t="s">
        <v>642</v>
      </c>
      <c r="F10" s="279" t="s">
        <v>632</v>
      </c>
      <c r="G10" s="280"/>
      <c r="H10" s="280"/>
      <c r="I10" s="280"/>
      <c r="J10" s="285"/>
      <c r="K10" s="285"/>
      <c r="L10" s="282" t="s">
        <v>643</v>
      </c>
      <c r="M10" s="282" t="s">
        <v>644</v>
      </c>
      <c r="N10" s="283" t="s">
        <v>634</v>
      </c>
      <c r="O10" s="282" t="s">
        <v>645</v>
      </c>
      <c r="P10" s="284">
        <v>12000</v>
      </c>
    </row>
    <row r="11" spans="1:18" ht="43.5" hidden="1" thickBot="1" x14ac:dyDescent="0.3">
      <c r="A11" s="762" t="s">
        <v>646</v>
      </c>
      <c r="B11" s="763"/>
      <c r="C11" s="809" t="s">
        <v>647</v>
      </c>
      <c r="D11" s="810"/>
      <c r="E11" s="286" t="s">
        <v>648</v>
      </c>
      <c r="F11" s="279" t="s">
        <v>632</v>
      </c>
      <c r="G11" s="280"/>
      <c r="H11" s="280"/>
      <c r="I11" s="280"/>
      <c r="J11" s="285"/>
      <c r="K11" s="285"/>
      <c r="L11" s="282" t="s">
        <v>503</v>
      </c>
      <c r="M11" s="282" t="s">
        <v>649</v>
      </c>
      <c r="N11" s="283" t="s">
        <v>634</v>
      </c>
      <c r="O11" s="282" t="s">
        <v>650</v>
      </c>
      <c r="P11" s="284">
        <v>500</v>
      </c>
    </row>
    <row r="12" spans="1:18" ht="43.5" hidden="1" thickBot="1" x14ac:dyDescent="0.3">
      <c r="A12" s="643"/>
      <c r="B12" s="645"/>
      <c r="C12" s="808" t="s">
        <v>651</v>
      </c>
      <c r="D12" s="661"/>
      <c r="E12" s="287" t="s">
        <v>652</v>
      </c>
      <c r="F12" s="279" t="s">
        <v>632</v>
      </c>
      <c r="G12" s="280"/>
      <c r="H12" s="280"/>
      <c r="I12" s="280"/>
      <c r="J12" s="285"/>
      <c r="K12" s="285"/>
      <c r="L12" s="282" t="s">
        <v>503</v>
      </c>
      <c r="M12" s="282" t="s">
        <v>653</v>
      </c>
      <c r="N12" s="283" t="s">
        <v>634</v>
      </c>
      <c r="O12" s="282" t="s">
        <v>650</v>
      </c>
      <c r="P12" s="284">
        <v>3000</v>
      </c>
    </row>
    <row r="13" spans="1:18" ht="43.5" thickBot="1" x14ac:dyDescent="0.3">
      <c r="A13" s="288"/>
      <c r="B13" s="289"/>
      <c r="C13" s="290"/>
      <c r="D13" s="291"/>
      <c r="E13" s="292"/>
      <c r="F13" s="279"/>
      <c r="G13" s="280"/>
      <c r="H13" s="280"/>
      <c r="I13" s="280"/>
      <c r="J13" s="285"/>
      <c r="K13" s="285"/>
      <c r="L13" s="293" t="s">
        <v>504</v>
      </c>
      <c r="M13" s="281" t="s">
        <v>654</v>
      </c>
      <c r="N13" s="294" t="s">
        <v>634</v>
      </c>
      <c r="O13" s="281"/>
      <c r="P13" s="295">
        <v>8000</v>
      </c>
    </row>
    <row r="14" spans="1:18" ht="72" hidden="1" thickBot="1" x14ac:dyDescent="0.3">
      <c r="A14" s="762" t="s">
        <v>655</v>
      </c>
      <c r="B14" s="763"/>
      <c r="C14" s="798" t="s">
        <v>656</v>
      </c>
      <c r="D14" s="799"/>
      <c r="E14" s="710" t="s">
        <v>657</v>
      </c>
      <c r="F14" s="802" t="s">
        <v>632</v>
      </c>
      <c r="G14" s="804"/>
      <c r="H14" s="804"/>
      <c r="I14" s="804"/>
      <c r="J14" s="794"/>
      <c r="K14" s="806"/>
      <c r="L14" s="681" t="s">
        <v>503</v>
      </c>
      <c r="M14" s="296" t="s">
        <v>658</v>
      </c>
      <c r="N14" s="297" t="s">
        <v>634</v>
      </c>
      <c r="O14" s="282" t="s">
        <v>645</v>
      </c>
      <c r="P14" s="298">
        <v>3000</v>
      </c>
    </row>
    <row r="15" spans="1:18" ht="162.75" hidden="1" customHeight="1" thickBot="1" x14ac:dyDescent="0.3">
      <c r="A15" s="299"/>
      <c r="B15" s="300"/>
      <c r="C15" s="800"/>
      <c r="D15" s="801"/>
      <c r="E15" s="711"/>
      <c r="F15" s="803"/>
      <c r="G15" s="805"/>
      <c r="H15" s="805"/>
      <c r="I15" s="805"/>
      <c r="J15" s="795"/>
      <c r="K15" s="807"/>
      <c r="L15" s="683"/>
      <c r="M15" s="301" t="s">
        <v>659</v>
      </c>
      <c r="N15" s="302" t="s">
        <v>634</v>
      </c>
      <c r="O15" s="303" t="s">
        <v>645</v>
      </c>
      <c r="P15" s="304">
        <v>13000</v>
      </c>
    </row>
    <row r="16" spans="1:18" ht="72" hidden="1" thickBot="1" x14ac:dyDescent="0.3">
      <c r="A16" s="305"/>
      <c r="B16" s="306"/>
      <c r="C16" s="798" t="s">
        <v>660</v>
      </c>
      <c r="D16" s="799"/>
      <c r="E16" s="710" t="s">
        <v>661</v>
      </c>
      <c r="F16" s="802" t="s">
        <v>632</v>
      </c>
      <c r="G16" s="703" t="s">
        <v>632</v>
      </c>
      <c r="H16" s="804"/>
      <c r="I16" s="804"/>
      <c r="J16" s="794"/>
      <c r="K16" s="796"/>
      <c r="L16" s="681" t="s">
        <v>503</v>
      </c>
      <c r="M16" s="301" t="s">
        <v>662</v>
      </c>
      <c r="N16" s="302" t="s">
        <v>634</v>
      </c>
      <c r="O16" s="307" t="s">
        <v>645</v>
      </c>
      <c r="P16" s="298">
        <v>15000</v>
      </c>
    </row>
    <row r="17" spans="1:16" ht="43.5" hidden="1" thickBot="1" x14ac:dyDescent="0.3">
      <c r="A17" s="308"/>
      <c r="B17" s="309"/>
      <c r="C17" s="800"/>
      <c r="D17" s="801"/>
      <c r="E17" s="711"/>
      <c r="F17" s="803"/>
      <c r="G17" s="704"/>
      <c r="H17" s="805"/>
      <c r="I17" s="805"/>
      <c r="J17" s="795"/>
      <c r="K17" s="797"/>
      <c r="L17" s="683"/>
      <c r="M17" s="301" t="s">
        <v>663</v>
      </c>
      <c r="N17" s="302" t="s">
        <v>634</v>
      </c>
      <c r="O17" s="301" t="s">
        <v>645</v>
      </c>
      <c r="P17" s="304">
        <v>15000</v>
      </c>
    </row>
    <row r="18" spans="1:16" ht="100.5" hidden="1" thickBot="1" x14ac:dyDescent="0.3">
      <c r="A18" s="643"/>
      <c r="B18" s="645"/>
      <c r="C18" s="649" t="s">
        <v>664</v>
      </c>
      <c r="D18" s="649"/>
      <c r="E18" s="310" t="s">
        <v>665</v>
      </c>
      <c r="F18" s="279" t="s">
        <v>632</v>
      </c>
      <c r="G18" s="279" t="s">
        <v>632</v>
      </c>
      <c r="H18" s="280"/>
      <c r="I18" s="280"/>
      <c r="J18" s="281"/>
      <c r="K18" s="311"/>
      <c r="L18" s="301" t="s">
        <v>666</v>
      </c>
      <c r="M18" s="301" t="s">
        <v>667</v>
      </c>
      <c r="N18" s="312" t="s">
        <v>634</v>
      </c>
      <c r="O18" s="301" t="s">
        <v>635</v>
      </c>
      <c r="P18" s="304">
        <v>2000</v>
      </c>
    </row>
    <row r="19" spans="1:16" ht="29.25" thickBot="1" x14ac:dyDescent="0.3">
      <c r="A19" s="288"/>
      <c r="B19" s="289"/>
      <c r="C19" s="313"/>
      <c r="D19" s="313"/>
      <c r="E19" s="314"/>
      <c r="F19" s="280"/>
      <c r="G19" s="280"/>
      <c r="H19" s="280"/>
      <c r="I19" s="280"/>
      <c r="J19" s="281"/>
      <c r="K19" s="311"/>
      <c r="L19" s="315" t="s">
        <v>504</v>
      </c>
      <c r="M19" s="315" t="s">
        <v>668</v>
      </c>
      <c r="N19" s="316" t="s">
        <v>634</v>
      </c>
      <c r="O19" s="315"/>
      <c r="P19" s="317">
        <v>3000</v>
      </c>
    </row>
    <row r="20" spans="1:16" ht="33.75" hidden="1" thickBot="1" x14ac:dyDescent="0.3">
      <c r="A20" s="643"/>
      <c r="B20" s="645"/>
      <c r="C20" s="644"/>
      <c r="D20" s="645"/>
      <c r="E20" s="318" t="s">
        <v>669</v>
      </c>
      <c r="F20" s="280"/>
      <c r="G20" s="279" t="s">
        <v>632</v>
      </c>
      <c r="H20" s="280"/>
      <c r="I20" s="280"/>
      <c r="J20" s="281"/>
      <c r="K20" s="311"/>
      <c r="L20" s="319" t="s">
        <v>503</v>
      </c>
      <c r="M20" s="320" t="s">
        <v>670</v>
      </c>
      <c r="N20" s="321" t="s">
        <v>634</v>
      </c>
      <c r="O20" s="322" t="s">
        <v>635</v>
      </c>
      <c r="P20" s="323">
        <v>6500</v>
      </c>
    </row>
    <row r="21" spans="1:16" ht="29.25" thickBot="1" x14ac:dyDescent="0.3">
      <c r="A21" s="288"/>
      <c r="B21" s="289"/>
      <c r="D21" s="289"/>
      <c r="E21" s="292"/>
      <c r="F21" s="280"/>
      <c r="G21" s="279"/>
      <c r="H21" s="280"/>
      <c r="I21" s="280"/>
      <c r="J21" s="281"/>
      <c r="K21" s="311"/>
      <c r="L21" s="280" t="s">
        <v>504</v>
      </c>
      <c r="M21" s="281" t="s">
        <v>671</v>
      </c>
      <c r="N21" s="311" t="s">
        <v>634</v>
      </c>
      <c r="O21" s="324"/>
      <c r="P21" s="295">
        <v>1000</v>
      </c>
    </row>
    <row r="22" spans="1:16" ht="72" hidden="1" thickBot="1" x14ac:dyDescent="0.3">
      <c r="A22" s="643"/>
      <c r="B22" s="645"/>
      <c r="C22" s="753" t="s">
        <v>672</v>
      </c>
      <c r="D22" s="658"/>
      <c r="E22" s="278" t="s">
        <v>673</v>
      </c>
      <c r="F22" s="280"/>
      <c r="G22" s="279" t="s">
        <v>632</v>
      </c>
      <c r="H22" s="280"/>
      <c r="I22" s="280"/>
      <c r="J22" s="281"/>
      <c r="K22" s="281"/>
      <c r="L22" s="325" t="s">
        <v>503</v>
      </c>
      <c r="M22" s="282" t="s">
        <v>674</v>
      </c>
      <c r="N22" s="326" t="s">
        <v>634</v>
      </c>
      <c r="O22" s="322" t="s">
        <v>635</v>
      </c>
      <c r="P22" s="284">
        <v>13500</v>
      </c>
    </row>
    <row r="23" spans="1:16" ht="79.5" customHeight="1" thickBot="1" x14ac:dyDescent="0.3">
      <c r="A23" s="643"/>
      <c r="B23" s="645"/>
      <c r="C23" s="791"/>
      <c r="D23" s="670"/>
      <c r="E23" s="286" t="s">
        <v>675</v>
      </c>
      <c r="F23" s="280"/>
      <c r="G23" s="327" t="s">
        <v>632</v>
      </c>
      <c r="H23" s="280"/>
      <c r="I23" s="280"/>
      <c r="J23" s="281"/>
      <c r="K23" s="281"/>
      <c r="L23" s="281" t="s">
        <v>504</v>
      </c>
      <c r="M23" s="281" t="s">
        <v>676</v>
      </c>
      <c r="N23" s="294" t="s">
        <v>634</v>
      </c>
      <c r="O23" s="281"/>
      <c r="P23" s="295">
        <v>2000</v>
      </c>
    </row>
    <row r="24" spans="1:16" ht="134.25" hidden="1" customHeight="1" thickBot="1" x14ac:dyDescent="0.3">
      <c r="A24" s="643"/>
      <c r="B24" s="645"/>
      <c r="C24" s="792" t="s">
        <v>677</v>
      </c>
      <c r="D24" s="793"/>
      <c r="E24" s="673" t="s">
        <v>678</v>
      </c>
      <c r="F24" s="640"/>
      <c r="G24" s="628" t="s">
        <v>632</v>
      </c>
      <c r="H24" s="628" t="s">
        <v>632</v>
      </c>
      <c r="I24" s="633"/>
      <c r="J24" s="633"/>
      <c r="K24" s="633"/>
      <c r="L24" s="629" t="s">
        <v>503</v>
      </c>
      <c r="M24" s="630" t="s">
        <v>679</v>
      </c>
      <c r="N24" s="653" t="s">
        <v>634</v>
      </c>
      <c r="O24" s="622" t="s">
        <v>645</v>
      </c>
      <c r="P24" s="623">
        <v>9000</v>
      </c>
    </row>
    <row r="25" spans="1:16" hidden="1" x14ac:dyDescent="0.25">
      <c r="A25" s="643"/>
      <c r="B25" s="645"/>
      <c r="C25" s="611"/>
      <c r="D25" s="610"/>
      <c r="E25" s="674"/>
      <c r="F25" s="790"/>
      <c r="G25" s="703"/>
      <c r="H25" s="703"/>
      <c r="I25" s="785"/>
      <c r="J25" s="785"/>
      <c r="K25" s="785"/>
      <c r="L25" s="786"/>
      <c r="M25" s="705"/>
      <c r="N25" s="787"/>
      <c r="O25" s="788"/>
      <c r="P25" s="789"/>
    </row>
    <row r="26" spans="1:16" ht="29.25" thickBot="1" x14ac:dyDescent="0.3">
      <c r="A26" s="288"/>
      <c r="B26" s="289"/>
      <c r="E26" s="314"/>
      <c r="F26" s="328"/>
      <c r="G26" s="329"/>
      <c r="H26" s="329"/>
      <c r="I26" s="330"/>
      <c r="J26" s="330"/>
      <c r="K26" s="330"/>
      <c r="L26" s="331" t="s">
        <v>504</v>
      </c>
      <c r="M26" s="332" t="s">
        <v>671</v>
      </c>
      <c r="N26" s="333" t="s">
        <v>634</v>
      </c>
      <c r="O26" s="330"/>
      <c r="P26" s="334">
        <v>1000</v>
      </c>
    </row>
    <row r="27" spans="1:16" ht="41.25" hidden="1" thickBot="1" x14ac:dyDescent="0.3">
      <c r="A27" s="669"/>
      <c r="B27" s="670"/>
      <c r="C27" s="780" t="s">
        <v>651</v>
      </c>
      <c r="D27" s="781"/>
      <c r="E27" s="286" t="s">
        <v>680</v>
      </c>
      <c r="F27" s="324"/>
      <c r="G27" s="335" t="s">
        <v>632</v>
      </c>
      <c r="H27" s="335" t="s">
        <v>632</v>
      </c>
      <c r="I27" s="336"/>
      <c r="J27" s="293"/>
      <c r="K27" s="293"/>
      <c r="L27" s="296" t="s">
        <v>503</v>
      </c>
      <c r="M27" s="296" t="s">
        <v>681</v>
      </c>
      <c r="N27" s="297" t="s">
        <v>634</v>
      </c>
      <c r="O27" s="296" t="s">
        <v>645</v>
      </c>
      <c r="P27" s="298">
        <v>4000</v>
      </c>
    </row>
    <row r="28" spans="1:16" ht="159.75" customHeight="1" x14ac:dyDescent="0.25">
      <c r="A28" s="782" t="s">
        <v>682</v>
      </c>
      <c r="B28" s="783"/>
      <c r="C28" s="784" t="s">
        <v>683</v>
      </c>
      <c r="D28" s="776"/>
      <c r="E28" s="776" t="s">
        <v>684</v>
      </c>
      <c r="F28" s="769"/>
      <c r="G28" s="778" t="s">
        <v>632</v>
      </c>
      <c r="H28" s="769"/>
      <c r="I28" s="769"/>
      <c r="J28" s="769"/>
      <c r="K28" s="769"/>
      <c r="L28" s="770" t="s">
        <v>504</v>
      </c>
      <c r="M28" s="772" t="s">
        <v>685</v>
      </c>
      <c r="N28" s="772" t="s">
        <v>634</v>
      </c>
      <c r="O28" s="769"/>
      <c r="P28" s="774">
        <v>1000</v>
      </c>
    </row>
    <row r="29" spans="1:16" hidden="1" x14ac:dyDescent="0.25">
      <c r="A29" s="762" t="s">
        <v>686</v>
      </c>
      <c r="B29" s="763"/>
      <c r="C29" s="764"/>
      <c r="D29" s="756"/>
      <c r="E29" s="777"/>
      <c r="F29" s="756"/>
      <c r="G29" s="779"/>
      <c r="H29" s="756"/>
      <c r="I29" s="756"/>
      <c r="J29" s="756"/>
      <c r="K29" s="756"/>
      <c r="L29" s="771"/>
      <c r="M29" s="773"/>
      <c r="N29" s="773"/>
      <c r="O29" s="756"/>
      <c r="P29" s="775"/>
    </row>
    <row r="30" spans="1:16" ht="57" x14ac:dyDescent="0.25">
      <c r="A30" s="762" t="s">
        <v>687</v>
      </c>
      <c r="B30" s="763"/>
      <c r="C30" s="765" t="s">
        <v>688</v>
      </c>
      <c r="D30" s="766"/>
      <c r="E30" s="337" t="s">
        <v>689</v>
      </c>
      <c r="F30" s="331"/>
      <c r="G30" s="338" t="s">
        <v>632</v>
      </c>
      <c r="H30" s="331"/>
      <c r="I30" s="331"/>
      <c r="J30" s="331"/>
      <c r="K30" s="331"/>
      <c r="L30" s="331" t="s">
        <v>504</v>
      </c>
      <c r="M30" s="331" t="s">
        <v>690</v>
      </c>
      <c r="N30" s="332" t="s">
        <v>634</v>
      </c>
      <c r="O30" s="331"/>
      <c r="P30" s="339">
        <v>3000</v>
      </c>
    </row>
    <row r="31" spans="1:16" ht="28.5" hidden="1" x14ac:dyDescent="0.25">
      <c r="A31" s="762" t="s">
        <v>691</v>
      </c>
      <c r="B31" s="763"/>
      <c r="C31" s="767" t="s">
        <v>421</v>
      </c>
      <c r="D31" s="768"/>
      <c r="E31" s="337" t="s">
        <v>692</v>
      </c>
      <c r="F31" s="331"/>
      <c r="G31" s="338" t="s">
        <v>632</v>
      </c>
      <c r="H31" s="331"/>
      <c r="I31" s="331"/>
      <c r="J31" s="331"/>
      <c r="K31" s="331"/>
      <c r="L31" s="340" t="s">
        <v>503</v>
      </c>
      <c r="M31" s="340" t="s">
        <v>693</v>
      </c>
      <c r="N31" s="341" t="s">
        <v>634</v>
      </c>
      <c r="O31" s="340" t="s">
        <v>645</v>
      </c>
      <c r="P31" s="342">
        <v>57000</v>
      </c>
    </row>
    <row r="32" spans="1:16" ht="93.75" hidden="1" customHeight="1" x14ac:dyDescent="0.25">
      <c r="A32" s="762" t="s">
        <v>655</v>
      </c>
      <c r="B32" s="763"/>
      <c r="C32" s="649" t="s">
        <v>694</v>
      </c>
      <c r="D32" s="650"/>
      <c r="E32" s="759" t="s">
        <v>695</v>
      </c>
      <c r="F32" s="756"/>
      <c r="G32" s="756"/>
      <c r="H32" s="754" t="s">
        <v>632</v>
      </c>
      <c r="I32" s="754" t="s">
        <v>632</v>
      </c>
      <c r="J32" s="760" t="s">
        <v>632</v>
      </c>
      <c r="K32" s="760" t="s">
        <v>632</v>
      </c>
      <c r="L32" s="757" t="s">
        <v>503</v>
      </c>
      <c r="M32" s="749" t="s">
        <v>696</v>
      </c>
      <c r="N32" s="761" t="s">
        <v>634</v>
      </c>
      <c r="O32" s="751" t="s">
        <v>645</v>
      </c>
      <c r="P32" s="752">
        <v>10000</v>
      </c>
    </row>
    <row r="33" spans="1:18" hidden="1" x14ac:dyDescent="0.25">
      <c r="A33" s="643"/>
      <c r="B33" s="645"/>
      <c r="C33" s="644"/>
      <c r="D33" s="645"/>
      <c r="E33" s="759"/>
      <c r="F33" s="756"/>
      <c r="G33" s="756"/>
      <c r="H33" s="754"/>
      <c r="I33" s="754"/>
      <c r="J33" s="760"/>
      <c r="K33" s="760"/>
      <c r="L33" s="757"/>
      <c r="M33" s="749"/>
      <c r="N33" s="761"/>
      <c r="O33" s="751"/>
      <c r="P33" s="752"/>
    </row>
    <row r="34" spans="1:18" ht="28.5" hidden="1" x14ac:dyDescent="0.25">
      <c r="A34" s="643"/>
      <c r="B34" s="645"/>
      <c r="C34" s="651" t="s">
        <v>647</v>
      </c>
      <c r="D34" s="652"/>
      <c r="E34" s="343" t="s">
        <v>697</v>
      </c>
      <c r="F34" s="331"/>
      <c r="G34" s="331"/>
      <c r="H34" s="338" t="s">
        <v>632</v>
      </c>
      <c r="I34" s="338" t="s">
        <v>632</v>
      </c>
      <c r="J34" s="344" t="s">
        <v>632</v>
      </c>
      <c r="K34" s="344" t="s">
        <v>632</v>
      </c>
      <c r="L34" s="340" t="s">
        <v>503</v>
      </c>
      <c r="M34" s="340" t="s">
        <v>693</v>
      </c>
      <c r="N34" s="341" t="s">
        <v>634</v>
      </c>
      <c r="O34" s="340" t="s">
        <v>645</v>
      </c>
      <c r="P34" s="342">
        <v>100000</v>
      </c>
    </row>
    <row r="35" spans="1:18" ht="54" hidden="1" x14ac:dyDescent="0.25">
      <c r="A35" s="643"/>
      <c r="B35" s="645"/>
      <c r="C35" s="753" t="s">
        <v>688</v>
      </c>
      <c r="D35" s="658"/>
      <c r="E35" s="287" t="s">
        <v>698</v>
      </c>
      <c r="F35" s="345"/>
      <c r="G35" s="331"/>
      <c r="H35" s="338" t="s">
        <v>632</v>
      </c>
      <c r="I35" s="338" t="s">
        <v>632</v>
      </c>
      <c r="J35" s="344" t="s">
        <v>632</v>
      </c>
      <c r="K35" s="344" t="s">
        <v>632</v>
      </c>
      <c r="L35" s="340" t="s">
        <v>503</v>
      </c>
      <c r="M35" s="340" t="s">
        <v>693</v>
      </c>
      <c r="N35" s="341" t="s">
        <v>634</v>
      </c>
      <c r="O35" s="340" t="s">
        <v>645</v>
      </c>
      <c r="P35" s="342">
        <v>55000</v>
      </c>
    </row>
    <row r="36" spans="1:18" ht="57.75" thickBot="1" x14ac:dyDescent="0.3">
      <c r="A36" s="288"/>
      <c r="B36" s="289"/>
      <c r="C36" s="290"/>
      <c r="D36" s="291"/>
      <c r="E36" s="292"/>
      <c r="F36" s="345"/>
      <c r="G36" s="331"/>
      <c r="H36" s="332"/>
      <c r="I36" s="332"/>
      <c r="J36" s="331"/>
      <c r="K36" s="331"/>
      <c r="L36" s="331" t="s">
        <v>504</v>
      </c>
      <c r="M36" s="331" t="s">
        <v>699</v>
      </c>
      <c r="N36" s="332"/>
      <c r="O36" s="331"/>
      <c r="P36" s="339">
        <v>8000</v>
      </c>
    </row>
    <row r="37" spans="1:18" ht="69" hidden="1" customHeight="1" x14ac:dyDescent="0.25">
      <c r="A37" s="643"/>
      <c r="B37" s="645"/>
      <c r="C37" s="649" t="s">
        <v>700</v>
      </c>
      <c r="D37" s="650"/>
      <c r="E37" s="758" t="s">
        <v>701</v>
      </c>
      <c r="F37" s="756"/>
      <c r="G37" s="754" t="s">
        <v>632</v>
      </c>
      <c r="H37" s="755"/>
      <c r="I37" s="756"/>
      <c r="J37" s="756"/>
      <c r="K37" s="756"/>
      <c r="L37" s="757" t="s">
        <v>503</v>
      </c>
      <c r="M37" s="749" t="s">
        <v>693</v>
      </c>
      <c r="N37" s="750" t="s">
        <v>634</v>
      </c>
      <c r="O37" s="751" t="s">
        <v>645</v>
      </c>
      <c r="P37" s="752">
        <v>10000</v>
      </c>
    </row>
    <row r="38" spans="1:18" hidden="1" x14ac:dyDescent="0.25">
      <c r="A38" s="643"/>
      <c r="B38" s="645"/>
      <c r="C38" s="644"/>
      <c r="D38" s="645"/>
      <c r="E38" s="759"/>
      <c r="F38" s="756"/>
      <c r="G38" s="754"/>
      <c r="H38" s="755"/>
      <c r="I38" s="756"/>
      <c r="J38" s="756"/>
      <c r="K38" s="756"/>
      <c r="L38" s="757"/>
      <c r="M38" s="749"/>
      <c r="N38" s="750"/>
      <c r="O38" s="751"/>
      <c r="P38" s="752"/>
    </row>
    <row r="39" spans="1:18" hidden="1" x14ac:dyDescent="0.25">
      <c r="A39" s="643"/>
      <c r="B39" s="645"/>
      <c r="C39" s="753" t="s">
        <v>672</v>
      </c>
      <c r="D39" s="658"/>
      <c r="E39" s="759"/>
      <c r="F39" s="756"/>
      <c r="G39" s="754"/>
      <c r="H39" s="755"/>
      <c r="I39" s="756"/>
      <c r="J39" s="756"/>
      <c r="K39" s="756"/>
      <c r="L39" s="757"/>
      <c r="M39" s="749"/>
      <c r="N39" s="750"/>
      <c r="O39" s="751"/>
      <c r="P39" s="752"/>
    </row>
    <row r="40" spans="1:18" ht="28.5" hidden="1" x14ac:dyDescent="0.25">
      <c r="A40" s="643"/>
      <c r="B40" s="645"/>
      <c r="C40" s="644"/>
      <c r="D40" s="645"/>
      <c r="E40" s="346" t="s">
        <v>702</v>
      </c>
      <c r="F40" s="331"/>
      <c r="G40" s="331"/>
      <c r="H40" s="338" t="s">
        <v>632</v>
      </c>
      <c r="I40" s="338" t="s">
        <v>632</v>
      </c>
      <c r="J40" s="344" t="s">
        <v>632</v>
      </c>
      <c r="K40" s="344" t="s">
        <v>632</v>
      </c>
      <c r="L40" s="340" t="s">
        <v>503</v>
      </c>
      <c r="M40" s="340" t="s">
        <v>693</v>
      </c>
      <c r="N40" s="341" t="s">
        <v>634</v>
      </c>
      <c r="O40" s="340" t="s">
        <v>645</v>
      </c>
      <c r="P40" s="342">
        <v>10000</v>
      </c>
    </row>
    <row r="41" spans="1:18" ht="57.75" thickBot="1" x14ac:dyDescent="0.3">
      <c r="A41" s="308"/>
      <c r="B41" s="309"/>
      <c r="C41" s="347"/>
      <c r="D41" s="309"/>
      <c r="E41" s="348"/>
      <c r="F41" s="349"/>
      <c r="G41" s="349"/>
      <c r="H41" s="350"/>
      <c r="I41" s="350"/>
      <c r="J41" s="349"/>
      <c r="K41" s="349"/>
      <c r="L41" s="349" t="s">
        <v>504</v>
      </c>
      <c r="M41" s="349" t="s">
        <v>703</v>
      </c>
      <c r="N41" s="350"/>
      <c r="O41" s="349"/>
      <c r="P41" s="351">
        <v>1000</v>
      </c>
    </row>
    <row r="42" spans="1:18" ht="15.75" hidden="1" customHeight="1" thickBot="1" x14ac:dyDescent="0.3">
      <c r="A42" s="744" t="s">
        <v>704</v>
      </c>
      <c r="B42" s="745"/>
      <c r="C42" s="745"/>
      <c r="D42" s="745"/>
      <c r="E42" s="746"/>
      <c r="F42" s="746"/>
      <c r="G42" s="746"/>
      <c r="H42" s="746"/>
      <c r="I42" s="746"/>
      <c r="J42" s="746"/>
      <c r="K42" s="746"/>
      <c r="L42" s="746"/>
      <c r="M42" s="746"/>
      <c r="N42" s="746"/>
      <c r="O42" s="747"/>
      <c r="P42" s="352">
        <f>SUM(P45:P76)</f>
        <v>236000</v>
      </c>
    </row>
    <row r="43" spans="1:18" ht="15.75" hidden="1" customHeight="1" thickBot="1" x14ac:dyDescent="0.3">
      <c r="A43" s="271"/>
      <c r="B43" s="272"/>
      <c r="C43" s="272"/>
      <c r="D43" s="272"/>
      <c r="E43" s="272"/>
      <c r="F43" s="272"/>
      <c r="G43" s="272"/>
      <c r="H43" s="272"/>
      <c r="I43" s="272"/>
      <c r="J43" s="272"/>
      <c r="K43" s="272"/>
      <c r="L43" s="272"/>
      <c r="M43" s="272"/>
      <c r="N43" s="272"/>
      <c r="O43" s="273" t="s">
        <v>503</v>
      </c>
      <c r="P43" s="274">
        <f>SUM(P45,P47,P48,P50,P53,P54:P55,P57,P58,P60,P61)</f>
        <v>85000</v>
      </c>
      <c r="R43" s="270"/>
    </row>
    <row r="44" spans="1:18" ht="15.75" hidden="1" customHeight="1" thickBot="1" x14ac:dyDescent="0.3">
      <c r="A44" s="275"/>
      <c r="B44" s="275"/>
      <c r="C44" s="275"/>
      <c r="D44" s="275"/>
      <c r="E44" s="275"/>
      <c r="F44" s="275"/>
      <c r="G44" s="275"/>
      <c r="H44" s="275"/>
      <c r="I44" s="275"/>
      <c r="J44" s="275"/>
      <c r="K44" s="275"/>
      <c r="L44" s="275"/>
      <c r="M44" s="275"/>
      <c r="N44" s="275"/>
      <c r="O44" s="276" t="s">
        <v>504</v>
      </c>
      <c r="P44" s="277">
        <f>SUM(P49,P52,P56,P59,P62,P64,P65,P67,P70,P71,P72,P76)</f>
        <v>151000</v>
      </c>
      <c r="R44" s="270"/>
    </row>
    <row r="45" spans="1:18" ht="146.25" hidden="1" customHeight="1" thickBot="1" x14ac:dyDescent="0.3">
      <c r="A45" s="735" t="s">
        <v>705</v>
      </c>
      <c r="B45" s="736"/>
      <c r="C45" s="666" t="s">
        <v>706</v>
      </c>
      <c r="D45" s="650"/>
      <c r="E45" s="667" t="s">
        <v>707</v>
      </c>
      <c r="F45" s="728" t="s">
        <v>632</v>
      </c>
      <c r="G45" s="748"/>
      <c r="H45" s="633"/>
      <c r="I45" s="633"/>
      <c r="J45" s="633"/>
      <c r="K45" s="633"/>
      <c r="L45" s="629" t="s">
        <v>503</v>
      </c>
      <c r="M45" s="654" t="s">
        <v>708</v>
      </c>
      <c r="N45" s="653" t="s">
        <v>634</v>
      </c>
      <c r="O45" s="622" t="s">
        <v>645</v>
      </c>
      <c r="P45" s="623">
        <v>1000</v>
      </c>
    </row>
    <row r="46" spans="1:18" ht="15.75" hidden="1" thickBot="1" x14ac:dyDescent="0.3">
      <c r="A46" s="610"/>
      <c r="B46" s="644"/>
      <c r="C46" s="643"/>
      <c r="D46" s="645"/>
      <c r="E46" s="667"/>
      <c r="F46" s="728"/>
      <c r="G46" s="748"/>
      <c r="H46" s="633"/>
      <c r="I46" s="633"/>
      <c r="J46" s="633"/>
      <c r="K46" s="633"/>
      <c r="L46" s="629"/>
      <c r="M46" s="654"/>
      <c r="N46" s="653"/>
      <c r="O46" s="622"/>
      <c r="P46" s="623"/>
    </row>
    <row r="47" spans="1:18" ht="41.25" hidden="1" thickBot="1" x14ac:dyDescent="0.3">
      <c r="A47" s="732" t="s">
        <v>686</v>
      </c>
      <c r="B47" s="734"/>
      <c r="C47" s="657" t="s">
        <v>688</v>
      </c>
      <c r="D47" s="658"/>
      <c r="E47" s="286" t="s">
        <v>709</v>
      </c>
      <c r="F47" s="353" t="s">
        <v>632</v>
      </c>
      <c r="G47" s="353" t="s">
        <v>632</v>
      </c>
      <c r="H47" s="294"/>
      <c r="I47" s="294"/>
      <c r="J47" s="281"/>
      <c r="K47" s="281"/>
      <c r="L47" s="282" t="s">
        <v>503</v>
      </c>
      <c r="M47" s="282" t="s">
        <v>708</v>
      </c>
      <c r="N47" s="283" t="s">
        <v>634</v>
      </c>
      <c r="O47" s="282" t="s">
        <v>645</v>
      </c>
      <c r="P47" s="284">
        <v>25000</v>
      </c>
    </row>
    <row r="48" spans="1:18" ht="29.25" hidden="1" thickBot="1" x14ac:dyDescent="0.3">
      <c r="A48" s="732" t="s">
        <v>687</v>
      </c>
      <c r="B48" s="734"/>
      <c r="C48" s="737" t="s">
        <v>421</v>
      </c>
      <c r="D48" s="651"/>
      <c r="E48" s="310" t="s">
        <v>710</v>
      </c>
      <c r="F48" s="294"/>
      <c r="G48" s="353" t="s">
        <v>632</v>
      </c>
      <c r="H48" s="294"/>
      <c r="I48" s="294"/>
      <c r="J48" s="281"/>
      <c r="K48" s="281"/>
      <c r="L48" s="282" t="s">
        <v>503</v>
      </c>
      <c r="M48" s="282" t="s">
        <v>708</v>
      </c>
      <c r="N48" s="283" t="s">
        <v>634</v>
      </c>
      <c r="O48" s="282" t="s">
        <v>645</v>
      </c>
      <c r="P48" s="284">
        <v>12000</v>
      </c>
    </row>
    <row r="49" spans="1:16" ht="29.25" thickBot="1" x14ac:dyDescent="0.3">
      <c r="A49" s="354"/>
      <c r="B49" s="355"/>
      <c r="C49" s="356"/>
      <c r="D49" s="313"/>
      <c r="E49" s="357"/>
      <c r="F49" s="294"/>
      <c r="G49" s="294"/>
      <c r="H49" s="294"/>
      <c r="I49" s="294"/>
      <c r="J49" s="281"/>
      <c r="K49" s="281"/>
      <c r="L49" s="281" t="s">
        <v>504</v>
      </c>
      <c r="M49" s="281" t="s">
        <v>671</v>
      </c>
      <c r="N49" s="294"/>
      <c r="O49" s="281"/>
      <c r="P49" s="295">
        <v>1000</v>
      </c>
    </row>
    <row r="50" spans="1:16" ht="107.25" hidden="1" customHeight="1" thickBot="1" x14ac:dyDescent="0.3">
      <c r="A50" s="732" t="s">
        <v>691</v>
      </c>
      <c r="B50" s="734"/>
      <c r="C50" s="666" t="s">
        <v>711</v>
      </c>
      <c r="D50" s="649"/>
      <c r="E50" s="673" t="s">
        <v>712</v>
      </c>
      <c r="F50" s="743"/>
      <c r="G50" s="728" t="s">
        <v>632</v>
      </c>
      <c r="H50" s="633"/>
      <c r="I50" s="633"/>
      <c r="J50" s="633"/>
      <c r="K50" s="633"/>
      <c r="L50" s="629" t="s">
        <v>503</v>
      </c>
      <c r="M50" s="654" t="s">
        <v>708</v>
      </c>
      <c r="N50" s="653" t="s">
        <v>634</v>
      </c>
      <c r="O50" s="622" t="s">
        <v>645</v>
      </c>
      <c r="P50" s="623">
        <v>1000</v>
      </c>
    </row>
    <row r="51" spans="1:16" ht="15.75" hidden="1" customHeight="1" thickBot="1" x14ac:dyDescent="0.3">
      <c r="A51" s="732" t="s">
        <v>655</v>
      </c>
      <c r="B51" s="734"/>
      <c r="C51" s="643"/>
      <c r="D51" s="644"/>
      <c r="E51" s="674"/>
      <c r="F51" s="743"/>
      <c r="G51" s="728"/>
      <c r="H51" s="633"/>
      <c r="I51" s="633"/>
      <c r="J51" s="633"/>
      <c r="K51" s="633"/>
      <c r="L51" s="629"/>
      <c r="M51" s="654"/>
      <c r="N51" s="653"/>
      <c r="O51" s="622"/>
      <c r="P51" s="623"/>
    </row>
    <row r="52" spans="1:16" ht="72" thickBot="1" x14ac:dyDescent="0.3">
      <c r="A52" s="354"/>
      <c r="B52" s="355"/>
      <c r="C52" s="288"/>
      <c r="E52" s="314"/>
      <c r="F52" s="358"/>
      <c r="G52" s="294"/>
      <c r="H52" s="359"/>
      <c r="I52" s="359"/>
      <c r="J52" s="359"/>
      <c r="K52" s="359"/>
      <c r="L52" s="281" t="s">
        <v>504</v>
      </c>
      <c r="M52" s="281" t="s">
        <v>713</v>
      </c>
      <c r="N52" s="294" t="s">
        <v>634</v>
      </c>
      <c r="O52" s="281"/>
      <c r="P52" s="295">
        <v>3000</v>
      </c>
    </row>
    <row r="53" spans="1:16" ht="29.25" hidden="1" thickBot="1" x14ac:dyDescent="0.3">
      <c r="A53" s="610"/>
      <c r="B53" s="644"/>
      <c r="C53" s="657" t="s">
        <v>688</v>
      </c>
      <c r="D53" s="658"/>
      <c r="E53" s="286" t="s">
        <v>714</v>
      </c>
      <c r="F53" s="360"/>
      <c r="G53" s="353" t="s">
        <v>632</v>
      </c>
      <c r="H53" s="294"/>
      <c r="I53" s="294"/>
      <c r="J53" s="281"/>
      <c r="K53" s="281"/>
      <c r="L53" s="282" t="s">
        <v>503</v>
      </c>
      <c r="M53" s="282" t="s">
        <v>715</v>
      </c>
      <c r="N53" s="283" t="s">
        <v>634</v>
      </c>
      <c r="O53" s="282" t="s">
        <v>645</v>
      </c>
      <c r="P53" s="284">
        <v>3000</v>
      </c>
    </row>
    <row r="54" spans="1:16" ht="150.75" hidden="1" customHeight="1" thickBot="1" x14ac:dyDescent="0.3">
      <c r="A54" s="614"/>
      <c r="B54" s="738"/>
      <c r="C54" s="739" t="s">
        <v>421</v>
      </c>
      <c r="D54" s="740"/>
      <c r="E54" s="710" t="s">
        <v>716</v>
      </c>
      <c r="F54" s="712"/>
      <c r="G54" s="716" t="s">
        <v>632</v>
      </c>
      <c r="H54" s="716" t="s">
        <v>632</v>
      </c>
      <c r="I54" s="693"/>
      <c r="J54" s="693"/>
      <c r="K54" s="693"/>
      <c r="L54" s="630" t="s">
        <v>503</v>
      </c>
      <c r="M54" s="282" t="s">
        <v>717</v>
      </c>
      <c r="N54" s="630" t="s">
        <v>634</v>
      </c>
      <c r="O54" s="282" t="s">
        <v>645</v>
      </c>
      <c r="P54" s="284">
        <v>15000</v>
      </c>
    </row>
    <row r="55" spans="1:16" ht="43.5" hidden="1" thickBot="1" x14ac:dyDescent="0.3">
      <c r="A55" s="361"/>
      <c r="C55" s="741"/>
      <c r="D55" s="742"/>
      <c r="E55" s="711"/>
      <c r="F55" s="713"/>
      <c r="G55" s="717"/>
      <c r="H55" s="717"/>
      <c r="I55" s="694"/>
      <c r="J55" s="694"/>
      <c r="K55" s="694"/>
      <c r="L55" s="631"/>
      <c r="M55" s="282" t="s">
        <v>718</v>
      </c>
      <c r="N55" s="631"/>
      <c r="O55" s="282" t="s">
        <v>645</v>
      </c>
      <c r="P55" s="284">
        <v>15000</v>
      </c>
    </row>
    <row r="56" spans="1:16" ht="81.75" customHeight="1" thickBot="1" x14ac:dyDescent="0.3">
      <c r="A56" s="735" t="s">
        <v>719</v>
      </c>
      <c r="B56" s="736"/>
      <c r="C56" s="737" t="s">
        <v>720</v>
      </c>
      <c r="D56" s="651"/>
      <c r="E56" s="310" t="s">
        <v>721</v>
      </c>
      <c r="F56" s="353" t="s">
        <v>632</v>
      </c>
      <c r="G56" s="353" t="s">
        <v>632</v>
      </c>
      <c r="H56" s="281"/>
      <c r="I56" s="281"/>
      <c r="J56" s="281"/>
      <c r="K56" s="281"/>
      <c r="L56" s="281" t="s">
        <v>722</v>
      </c>
      <c r="M56" s="281" t="s">
        <v>723</v>
      </c>
      <c r="N56" s="294" t="s">
        <v>634</v>
      </c>
      <c r="O56" s="281"/>
      <c r="P56" s="295">
        <v>3000</v>
      </c>
    </row>
    <row r="57" spans="1:16" ht="81.75" hidden="1" customHeight="1" thickBot="1" x14ac:dyDescent="0.3">
      <c r="A57" s="362"/>
      <c r="B57" s="363"/>
      <c r="C57" s="356"/>
      <c r="D57" s="313"/>
      <c r="E57" s="314"/>
      <c r="F57" s="294"/>
      <c r="G57" s="294"/>
      <c r="H57" s="281"/>
      <c r="I57" s="281"/>
      <c r="J57" s="281"/>
      <c r="K57" s="281"/>
      <c r="L57" s="364" t="s">
        <v>503</v>
      </c>
      <c r="M57" s="364" t="s">
        <v>708</v>
      </c>
      <c r="N57" s="365" t="s">
        <v>634</v>
      </c>
      <c r="O57" s="364" t="s">
        <v>645</v>
      </c>
      <c r="P57" s="366">
        <v>1500</v>
      </c>
    </row>
    <row r="58" spans="1:16" ht="41.25" hidden="1" thickBot="1" x14ac:dyDescent="0.3">
      <c r="A58" s="732" t="s">
        <v>686</v>
      </c>
      <c r="B58" s="734"/>
      <c r="C58" s="657" t="s">
        <v>688</v>
      </c>
      <c r="D58" s="658"/>
      <c r="E58" s="286" t="s">
        <v>724</v>
      </c>
      <c r="F58" s="294"/>
      <c r="G58" s="353" t="s">
        <v>632</v>
      </c>
      <c r="H58" s="281"/>
      <c r="I58" s="281"/>
      <c r="J58" s="281"/>
      <c r="K58" s="281"/>
      <c r="L58" s="364" t="s">
        <v>503</v>
      </c>
      <c r="M58" s="364" t="s">
        <v>708</v>
      </c>
      <c r="N58" s="365" t="s">
        <v>634</v>
      </c>
      <c r="O58" s="364" t="s">
        <v>645</v>
      </c>
      <c r="P58" s="366">
        <v>5000</v>
      </c>
    </row>
    <row r="59" spans="1:16" ht="29.25" thickBot="1" x14ac:dyDescent="0.3">
      <c r="A59" s="732" t="s">
        <v>687</v>
      </c>
      <c r="B59" s="734"/>
      <c r="C59" s="643"/>
      <c r="D59" s="644"/>
      <c r="E59" s="310" t="s">
        <v>725</v>
      </c>
      <c r="F59" s="294"/>
      <c r="G59" s="353" t="s">
        <v>632</v>
      </c>
      <c r="H59" s="281"/>
      <c r="I59" s="281"/>
      <c r="J59" s="281"/>
      <c r="K59" s="281"/>
      <c r="L59" s="281" t="s">
        <v>504</v>
      </c>
      <c r="M59" s="281" t="s">
        <v>723</v>
      </c>
      <c r="N59" s="294" t="s">
        <v>634</v>
      </c>
      <c r="O59" s="281"/>
      <c r="P59" s="295">
        <v>2000</v>
      </c>
    </row>
    <row r="60" spans="1:16" ht="29.25" hidden="1" thickBot="1" x14ac:dyDescent="0.3">
      <c r="A60" s="354"/>
      <c r="B60" s="355"/>
      <c r="C60" s="288"/>
      <c r="E60" s="314"/>
      <c r="F60" s="294"/>
      <c r="G60" s="294"/>
      <c r="H60" s="281"/>
      <c r="I60" s="281"/>
      <c r="J60" s="281"/>
      <c r="K60" s="281"/>
      <c r="L60" s="364" t="s">
        <v>503</v>
      </c>
      <c r="M60" s="364" t="s">
        <v>708</v>
      </c>
      <c r="N60" s="365" t="s">
        <v>634</v>
      </c>
      <c r="O60" s="364" t="s">
        <v>645</v>
      </c>
      <c r="P60" s="366">
        <v>1500</v>
      </c>
    </row>
    <row r="61" spans="1:16" ht="29.25" hidden="1" thickBot="1" x14ac:dyDescent="0.3">
      <c r="A61" s="732" t="s">
        <v>691</v>
      </c>
      <c r="B61" s="734"/>
      <c r="C61" s="669"/>
      <c r="D61" s="670"/>
      <c r="E61" s="278" t="s">
        <v>726</v>
      </c>
      <c r="F61" s="294"/>
      <c r="G61" s="353" t="s">
        <v>632</v>
      </c>
      <c r="H61" s="281"/>
      <c r="I61" s="281"/>
      <c r="J61" s="281"/>
      <c r="K61" s="281"/>
      <c r="L61" s="364" t="s">
        <v>503</v>
      </c>
      <c r="M61" s="364" t="s">
        <v>708</v>
      </c>
      <c r="N61" s="365" t="s">
        <v>634</v>
      </c>
      <c r="O61" s="364" t="s">
        <v>645</v>
      </c>
      <c r="P61" s="366">
        <v>5000</v>
      </c>
    </row>
    <row r="62" spans="1:16" ht="45.6" customHeight="1" thickBot="1" x14ac:dyDescent="0.3">
      <c r="A62" s="732" t="s">
        <v>655</v>
      </c>
      <c r="B62" s="733"/>
      <c r="C62" s="626" t="s">
        <v>727</v>
      </c>
      <c r="D62" s="626"/>
      <c r="E62" s="612" t="s">
        <v>728</v>
      </c>
      <c r="F62" s="633"/>
      <c r="G62" s="728" t="s">
        <v>632</v>
      </c>
      <c r="H62" s="633"/>
      <c r="I62" s="633"/>
      <c r="J62" s="633"/>
      <c r="K62" s="633"/>
      <c r="L62" s="718" t="s">
        <v>504</v>
      </c>
      <c r="M62" s="693" t="s">
        <v>729</v>
      </c>
      <c r="N62" s="693" t="s">
        <v>634</v>
      </c>
      <c r="O62" s="633"/>
      <c r="P62" s="730">
        <v>1500</v>
      </c>
    </row>
    <row r="63" spans="1:16" ht="15.75" hidden="1" thickBot="1" x14ac:dyDescent="0.3">
      <c r="A63" s="610"/>
      <c r="B63" s="611"/>
      <c r="C63" s="634"/>
      <c r="D63" s="634"/>
      <c r="E63" s="612"/>
      <c r="F63" s="633"/>
      <c r="G63" s="728"/>
      <c r="H63" s="633"/>
      <c r="I63" s="633"/>
      <c r="J63" s="633"/>
      <c r="K63" s="633"/>
      <c r="L63" s="718"/>
      <c r="M63" s="694"/>
      <c r="N63" s="694"/>
      <c r="O63" s="633"/>
      <c r="P63" s="730"/>
    </row>
    <row r="64" spans="1:16" ht="49.15" customHeight="1" thickBot="1" x14ac:dyDescent="0.3">
      <c r="A64" s="610"/>
      <c r="B64" s="611"/>
      <c r="C64" s="729" t="s">
        <v>688</v>
      </c>
      <c r="D64" s="729"/>
      <c r="E64" s="278" t="s">
        <v>730</v>
      </c>
      <c r="F64" s="294"/>
      <c r="G64" s="353" t="s">
        <v>632</v>
      </c>
      <c r="H64" s="294"/>
      <c r="I64" s="294"/>
      <c r="J64" s="281"/>
      <c r="K64" s="281"/>
      <c r="L64" s="281" t="s">
        <v>504</v>
      </c>
      <c r="M64" s="281" t="s">
        <v>731</v>
      </c>
      <c r="N64" s="294" t="s">
        <v>634</v>
      </c>
      <c r="O64" s="281"/>
      <c r="P64" s="295">
        <v>5000</v>
      </c>
    </row>
    <row r="65" spans="1:18" ht="30.6" customHeight="1" thickBot="1" x14ac:dyDescent="0.3">
      <c r="A65" s="610"/>
      <c r="B65" s="611"/>
      <c r="C65" s="634"/>
      <c r="D65" s="634"/>
      <c r="E65" s="612" t="s">
        <v>732</v>
      </c>
      <c r="F65" s="633"/>
      <c r="G65" s="728" t="s">
        <v>632</v>
      </c>
      <c r="H65" s="633"/>
      <c r="I65" s="633"/>
      <c r="J65" s="633"/>
      <c r="K65" s="633"/>
      <c r="L65" s="718" t="s">
        <v>504</v>
      </c>
      <c r="M65" s="693" t="s">
        <v>733</v>
      </c>
      <c r="N65" s="731" t="s">
        <v>634</v>
      </c>
      <c r="O65" s="633"/>
      <c r="P65" s="730">
        <v>37500</v>
      </c>
    </row>
    <row r="66" spans="1:18" ht="15.75" hidden="1" thickBot="1" x14ac:dyDescent="0.3">
      <c r="A66" s="610"/>
      <c r="B66" s="611"/>
      <c r="C66" s="627"/>
      <c r="D66" s="627"/>
      <c r="E66" s="612"/>
      <c r="F66" s="633"/>
      <c r="G66" s="728"/>
      <c r="H66" s="633"/>
      <c r="I66" s="633"/>
      <c r="J66" s="633"/>
      <c r="K66" s="633"/>
      <c r="L66" s="718"/>
      <c r="M66" s="694"/>
      <c r="N66" s="731"/>
      <c r="O66" s="633"/>
      <c r="P66" s="730"/>
    </row>
    <row r="67" spans="1:18" ht="60" customHeight="1" thickBot="1" x14ac:dyDescent="0.3">
      <c r="A67" s="610"/>
      <c r="B67" s="611"/>
      <c r="C67" s="613" t="s">
        <v>734</v>
      </c>
      <c r="D67" s="613"/>
      <c r="E67" s="612" t="s">
        <v>735</v>
      </c>
      <c r="F67" s="633"/>
      <c r="G67" s="633"/>
      <c r="H67" s="728" t="s">
        <v>632</v>
      </c>
      <c r="I67" s="728" t="s">
        <v>632</v>
      </c>
      <c r="J67" s="633"/>
      <c r="K67" s="633"/>
      <c r="L67" s="718" t="s">
        <v>504</v>
      </c>
      <c r="M67" s="693" t="s">
        <v>733</v>
      </c>
      <c r="N67" s="731" t="s">
        <v>634</v>
      </c>
      <c r="O67" s="633"/>
      <c r="P67" s="730">
        <v>20000</v>
      </c>
    </row>
    <row r="68" spans="1:18" ht="15.75" hidden="1" thickBot="1" x14ac:dyDescent="0.3">
      <c r="A68" s="610"/>
      <c r="B68" s="611"/>
      <c r="C68" s="634"/>
      <c r="D68" s="634"/>
      <c r="E68" s="612"/>
      <c r="F68" s="633"/>
      <c r="G68" s="633"/>
      <c r="H68" s="728"/>
      <c r="I68" s="728"/>
      <c r="J68" s="633"/>
      <c r="K68" s="633"/>
      <c r="L68" s="718"/>
      <c r="M68" s="719"/>
      <c r="N68" s="731"/>
      <c r="O68" s="633"/>
      <c r="P68" s="730"/>
    </row>
    <row r="69" spans="1:18" ht="15.75" hidden="1" thickBot="1" x14ac:dyDescent="0.3">
      <c r="A69" s="610"/>
      <c r="B69" s="611"/>
      <c r="C69" s="729" t="s">
        <v>688</v>
      </c>
      <c r="D69" s="729"/>
      <c r="E69" s="612"/>
      <c r="F69" s="633"/>
      <c r="G69" s="633"/>
      <c r="H69" s="728"/>
      <c r="I69" s="728"/>
      <c r="J69" s="633"/>
      <c r="K69" s="633"/>
      <c r="L69" s="718"/>
      <c r="M69" s="694"/>
      <c r="N69" s="731"/>
      <c r="O69" s="633"/>
      <c r="P69" s="730"/>
    </row>
    <row r="70" spans="1:18" ht="82.9" customHeight="1" thickBot="1" x14ac:dyDescent="0.3">
      <c r="A70" s="610"/>
      <c r="B70" s="611"/>
      <c r="C70" s="634"/>
      <c r="D70" s="634"/>
      <c r="E70" s="278" t="s">
        <v>736</v>
      </c>
      <c r="F70" s="281"/>
      <c r="G70" s="281"/>
      <c r="H70" s="353" t="s">
        <v>632</v>
      </c>
      <c r="I70" s="353" t="s">
        <v>632</v>
      </c>
      <c r="J70" s="367" t="s">
        <v>632</v>
      </c>
      <c r="K70" s="367" t="s">
        <v>632</v>
      </c>
      <c r="L70" s="281" t="s">
        <v>504</v>
      </c>
      <c r="M70" s="281" t="s">
        <v>733</v>
      </c>
      <c r="N70" s="294" t="s">
        <v>634</v>
      </c>
      <c r="O70" s="281"/>
      <c r="P70" s="295">
        <v>55000</v>
      </c>
    </row>
    <row r="71" spans="1:18" ht="45" customHeight="1" thickBot="1" x14ac:dyDescent="0.3">
      <c r="A71" s="610"/>
      <c r="B71" s="611"/>
      <c r="C71" s="627"/>
      <c r="D71" s="627"/>
      <c r="E71" s="278" t="s">
        <v>737</v>
      </c>
      <c r="F71" s="281"/>
      <c r="G71" s="281"/>
      <c r="H71" s="353" t="s">
        <v>632</v>
      </c>
      <c r="I71" s="353" t="s">
        <v>632</v>
      </c>
      <c r="J71" s="367" t="s">
        <v>632</v>
      </c>
      <c r="K71" s="367" t="s">
        <v>632</v>
      </c>
      <c r="L71" s="281" t="s">
        <v>504</v>
      </c>
      <c r="M71" s="281" t="s">
        <v>738</v>
      </c>
      <c r="N71" s="294" t="s">
        <v>634</v>
      </c>
      <c r="O71" s="281"/>
      <c r="P71" s="295">
        <v>13000</v>
      </c>
    </row>
    <row r="72" spans="1:18" ht="94.15" customHeight="1" thickBot="1" x14ac:dyDescent="0.3">
      <c r="A72" s="610"/>
      <c r="B72" s="611"/>
      <c r="C72" s="613" t="s">
        <v>739</v>
      </c>
      <c r="D72" s="613"/>
      <c r="E72" s="612" t="s">
        <v>740</v>
      </c>
      <c r="F72" s="633"/>
      <c r="G72" s="633"/>
      <c r="H72" s="659" t="s">
        <v>632</v>
      </c>
      <c r="I72" s="728" t="s">
        <v>632</v>
      </c>
      <c r="J72" s="659" t="s">
        <v>632</v>
      </c>
      <c r="K72" s="659" t="s">
        <v>632</v>
      </c>
      <c r="L72" s="718" t="s">
        <v>504</v>
      </c>
      <c r="M72" s="693" t="s">
        <v>741</v>
      </c>
      <c r="N72" s="731" t="s">
        <v>634</v>
      </c>
      <c r="O72" s="633"/>
      <c r="P72" s="730">
        <v>5000</v>
      </c>
    </row>
    <row r="73" spans="1:18" ht="15.75" hidden="1" thickBot="1" x14ac:dyDescent="0.3">
      <c r="A73" s="610"/>
      <c r="B73" s="611"/>
      <c r="C73" s="634"/>
      <c r="D73" s="634"/>
      <c r="E73" s="612"/>
      <c r="F73" s="633"/>
      <c r="G73" s="633"/>
      <c r="H73" s="659"/>
      <c r="I73" s="728"/>
      <c r="J73" s="659"/>
      <c r="K73" s="659"/>
      <c r="L73" s="718"/>
      <c r="M73" s="719"/>
      <c r="N73" s="731"/>
      <c r="O73" s="633"/>
      <c r="P73" s="730"/>
    </row>
    <row r="74" spans="1:18" ht="15.75" hidden="1" thickBot="1" x14ac:dyDescent="0.3">
      <c r="A74" s="610"/>
      <c r="B74" s="611"/>
      <c r="C74" s="729" t="s">
        <v>688</v>
      </c>
      <c r="D74" s="729"/>
      <c r="E74" s="612"/>
      <c r="F74" s="633"/>
      <c r="G74" s="633"/>
      <c r="H74" s="659"/>
      <c r="I74" s="728"/>
      <c r="J74" s="659"/>
      <c r="K74" s="659"/>
      <c r="L74" s="718"/>
      <c r="M74" s="719"/>
      <c r="N74" s="731"/>
      <c r="O74" s="633"/>
      <c r="P74" s="730"/>
    </row>
    <row r="75" spans="1:18" ht="15.75" hidden="1" thickBot="1" x14ac:dyDescent="0.3">
      <c r="A75" s="610"/>
      <c r="B75" s="611"/>
      <c r="C75" s="634"/>
      <c r="D75" s="634"/>
      <c r="E75" s="612"/>
      <c r="F75" s="633"/>
      <c r="G75" s="633"/>
      <c r="H75" s="659"/>
      <c r="I75" s="728"/>
      <c r="J75" s="659"/>
      <c r="K75" s="659"/>
      <c r="L75" s="718"/>
      <c r="M75" s="694"/>
      <c r="N75" s="731"/>
      <c r="O75" s="633"/>
      <c r="P75" s="730"/>
    </row>
    <row r="76" spans="1:18" ht="90.6" customHeight="1" thickBot="1" x14ac:dyDescent="0.3">
      <c r="A76" s="614"/>
      <c r="B76" s="615"/>
      <c r="C76" s="627"/>
      <c r="D76" s="627"/>
      <c r="E76" s="278" t="s">
        <v>742</v>
      </c>
      <c r="F76" s="281"/>
      <c r="G76" s="281"/>
      <c r="H76" s="367" t="s">
        <v>632</v>
      </c>
      <c r="I76" s="353" t="s">
        <v>632</v>
      </c>
      <c r="J76" s="367" t="s">
        <v>632</v>
      </c>
      <c r="K76" s="367" t="s">
        <v>632</v>
      </c>
      <c r="L76" s="281" t="s">
        <v>504</v>
      </c>
      <c r="M76" s="281" t="s">
        <v>741</v>
      </c>
      <c r="N76" s="294" t="s">
        <v>634</v>
      </c>
      <c r="O76" s="281"/>
      <c r="P76" s="295">
        <v>5000</v>
      </c>
    </row>
    <row r="77" spans="1:18" ht="17.25" hidden="1" thickBot="1" x14ac:dyDescent="0.3">
      <c r="A77" s="720" t="s">
        <v>743</v>
      </c>
      <c r="B77" s="721"/>
      <c r="C77" s="721"/>
      <c r="D77" s="721"/>
      <c r="E77" s="721"/>
      <c r="F77" s="721"/>
      <c r="G77" s="721"/>
      <c r="H77" s="721"/>
      <c r="I77" s="721"/>
      <c r="J77" s="721"/>
      <c r="K77" s="721"/>
      <c r="L77" s="721"/>
      <c r="M77" s="721"/>
      <c r="N77" s="721"/>
      <c r="O77" s="722"/>
      <c r="P77" s="368">
        <f>SUM(P80:P118)</f>
        <v>424369</v>
      </c>
    </row>
    <row r="78" spans="1:18" ht="15.75" hidden="1" customHeight="1" thickBot="1" x14ac:dyDescent="0.3">
      <c r="A78" s="271"/>
      <c r="B78" s="272"/>
      <c r="C78" s="272"/>
      <c r="D78" s="272"/>
      <c r="E78" s="272"/>
      <c r="F78" s="272"/>
      <c r="G78" s="272"/>
      <c r="H78" s="272"/>
      <c r="I78" s="272"/>
      <c r="J78" s="272"/>
      <c r="K78" s="272"/>
      <c r="L78" s="272"/>
      <c r="M78" s="272"/>
      <c r="N78" s="272"/>
      <c r="O78" s="273" t="s">
        <v>503</v>
      </c>
      <c r="P78" s="274">
        <f>SUM(P80,P83,P84:P85,P87:P90,P91:P92,P94,P97,P99,P103,P104,P107,P108,P109,P112,P114,P115,P116)</f>
        <v>408369</v>
      </c>
      <c r="R78" s="270"/>
    </row>
    <row r="79" spans="1:18" ht="15.75" hidden="1" customHeight="1" thickBot="1" x14ac:dyDescent="0.3">
      <c r="A79" s="275"/>
      <c r="B79" s="275"/>
      <c r="C79" s="275"/>
      <c r="D79" s="275"/>
      <c r="E79" s="275"/>
      <c r="F79" s="275"/>
      <c r="G79" s="275"/>
      <c r="H79" s="275"/>
      <c r="I79" s="275"/>
      <c r="J79" s="275"/>
      <c r="K79" s="275"/>
      <c r="L79" s="275"/>
      <c r="M79" s="275"/>
      <c r="N79" s="275"/>
      <c r="O79" s="276" t="s">
        <v>504</v>
      </c>
      <c r="P79" s="277">
        <f>SUM(P82,P86,P93,P98,P102,P106,P113,P118)</f>
        <v>16000</v>
      </c>
      <c r="R79" s="270"/>
    </row>
    <row r="80" spans="1:18" ht="59.45" hidden="1" customHeight="1" thickBot="1" x14ac:dyDescent="0.3">
      <c r="A80" s="723" t="s">
        <v>744</v>
      </c>
      <c r="B80" s="724"/>
      <c r="C80" s="691" t="s">
        <v>745</v>
      </c>
      <c r="D80" s="692"/>
      <c r="E80" s="650" t="s">
        <v>746</v>
      </c>
      <c r="F80" s="640"/>
      <c r="G80" s="659" t="s">
        <v>632</v>
      </c>
      <c r="H80" s="727"/>
      <c r="I80" s="633"/>
      <c r="J80" s="633"/>
      <c r="K80" s="633"/>
      <c r="L80" s="629" t="s">
        <v>503</v>
      </c>
      <c r="M80" s="654" t="s">
        <v>747</v>
      </c>
      <c r="N80" s="653" t="s">
        <v>634</v>
      </c>
      <c r="O80" s="622" t="s">
        <v>635</v>
      </c>
      <c r="P80" s="623">
        <v>5500</v>
      </c>
    </row>
    <row r="81" spans="1:16" ht="15.75" hidden="1" thickBot="1" x14ac:dyDescent="0.3">
      <c r="A81" s="725"/>
      <c r="B81" s="726"/>
      <c r="C81" s="662"/>
      <c r="D81" s="663"/>
      <c r="E81" s="652"/>
      <c r="F81" s="640"/>
      <c r="G81" s="659"/>
      <c r="H81" s="727"/>
      <c r="I81" s="633"/>
      <c r="J81" s="633"/>
      <c r="K81" s="633"/>
      <c r="L81" s="629"/>
      <c r="M81" s="654"/>
      <c r="N81" s="653"/>
      <c r="O81" s="622"/>
      <c r="P81" s="623"/>
    </row>
    <row r="82" spans="1:16" ht="43.5" thickBot="1" x14ac:dyDescent="0.3">
      <c r="A82" s="725"/>
      <c r="B82" s="726"/>
      <c r="C82" s="288"/>
      <c r="D82" s="289"/>
      <c r="E82" s="292"/>
      <c r="F82" s="359"/>
      <c r="G82" s="281"/>
      <c r="H82" s="359"/>
      <c r="I82" s="359"/>
      <c r="J82" s="359"/>
      <c r="K82" s="359"/>
      <c r="L82" s="369" t="s">
        <v>504</v>
      </c>
      <c r="M82" s="370" t="s">
        <v>748</v>
      </c>
      <c r="N82" s="371" t="s">
        <v>634</v>
      </c>
      <c r="O82" s="372"/>
      <c r="P82" s="373">
        <v>1500</v>
      </c>
    </row>
    <row r="83" spans="1:16" ht="31.9" hidden="1" customHeight="1" thickBot="1" x14ac:dyDescent="0.3">
      <c r="A83" s="725"/>
      <c r="B83" s="726"/>
      <c r="C83" s="660" t="s">
        <v>688</v>
      </c>
      <c r="D83" s="661"/>
      <c r="E83" s="286" t="s">
        <v>749</v>
      </c>
      <c r="F83" s="281"/>
      <c r="G83" s="367" t="s">
        <v>632</v>
      </c>
      <c r="H83" s="374"/>
      <c r="I83" s="281"/>
      <c r="J83" s="281"/>
      <c r="K83" s="281"/>
      <c r="L83" s="282" t="s">
        <v>503</v>
      </c>
      <c r="M83" s="282" t="s">
        <v>747</v>
      </c>
      <c r="N83" s="283" t="s">
        <v>634</v>
      </c>
      <c r="O83" s="282" t="s">
        <v>635</v>
      </c>
      <c r="P83" s="284">
        <v>1500</v>
      </c>
    </row>
    <row r="84" spans="1:16" ht="38.450000000000003" hidden="1" customHeight="1" thickBot="1" x14ac:dyDescent="0.3">
      <c r="A84" s="725"/>
      <c r="B84" s="726"/>
      <c r="C84" s="706"/>
      <c r="D84" s="707"/>
      <c r="E84" s="710" t="s">
        <v>750</v>
      </c>
      <c r="F84" s="712"/>
      <c r="G84" s="714"/>
      <c r="H84" s="716" t="s">
        <v>632</v>
      </c>
      <c r="I84" s="693"/>
      <c r="J84" s="693"/>
      <c r="K84" s="693"/>
      <c r="L84" s="630" t="s">
        <v>503</v>
      </c>
      <c r="M84" s="282" t="s">
        <v>747</v>
      </c>
      <c r="N84" s="630" t="s">
        <v>634</v>
      </c>
      <c r="O84" s="282" t="s">
        <v>635</v>
      </c>
      <c r="P84" s="284">
        <v>17000</v>
      </c>
    </row>
    <row r="85" spans="1:16" ht="28.15" hidden="1" customHeight="1" thickBot="1" x14ac:dyDescent="0.3">
      <c r="A85" s="725"/>
      <c r="B85" s="726"/>
      <c r="C85" s="708"/>
      <c r="D85" s="709"/>
      <c r="E85" s="711"/>
      <c r="F85" s="713"/>
      <c r="G85" s="715"/>
      <c r="H85" s="717"/>
      <c r="I85" s="694"/>
      <c r="J85" s="694"/>
      <c r="K85" s="694"/>
      <c r="L85" s="631"/>
      <c r="M85" s="282" t="s">
        <v>751</v>
      </c>
      <c r="N85" s="631"/>
      <c r="O85" s="364" t="s">
        <v>645</v>
      </c>
      <c r="P85" s="284">
        <v>6000</v>
      </c>
    </row>
    <row r="86" spans="1:16" ht="43.5" thickBot="1" x14ac:dyDescent="0.3">
      <c r="A86" s="725"/>
      <c r="B86" s="726"/>
      <c r="C86" s="288"/>
      <c r="E86" s="314"/>
      <c r="F86" s="281"/>
      <c r="G86" s="374"/>
      <c r="H86" s="281"/>
      <c r="I86" s="281"/>
      <c r="J86" s="281"/>
      <c r="K86" s="281"/>
      <c r="L86" s="281" t="s">
        <v>504</v>
      </c>
      <c r="M86" s="294" t="s">
        <v>748</v>
      </c>
      <c r="N86" s="294"/>
      <c r="O86" s="281"/>
      <c r="P86" s="295">
        <v>1500</v>
      </c>
    </row>
    <row r="87" spans="1:16" ht="49.15" hidden="1" customHeight="1" thickBot="1" x14ac:dyDescent="0.3">
      <c r="A87" s="725"/>
      <c r="B87" s="726"/>
      <c r="C87" s="666" t="s">
        <v>752</v>
      </c>
      <c r="D87" s="650"/>
      <c r="E87" s="695" t="s">
        <v>753</v>
      </c>
      <c r="F87" s="698"/>
      <c r="G87" s="701"/>
      <c r="H87" s="703" t="s">
        <v>632</v>
      </c>
      <c r="I87" s="703" t="s">
        <v>632</v>
      </c>
      <c r="J87" s="703" t="s">
        <v>632</v>
      </c>
      <c r="K87" s="703" t="s">
        <v>632</v>
      </c>
      <c r="L87" s="630" t="s">
        <v>503</v>
      </c>
      <c r="M87" s="654" t="s">
        <v>754</v>
      </c>
      <c r="N87" s="653" t="s">
        <v>634</v>
      </c>
      <c r="O87" s="622" t="s">
        <v>645</v>
      </c>
      <c r="P87" s="623">
        <v>10000</v>
      </c>
    </row>
    <row r="88" spans="1:16" ht="15.75" hidden="1" customHeight="1" thickBot="1" x14ac:dyDescent="0.3">
      <c r="A88" s="725"/>
      <c r="B88" s="726"/>
      <c r="C88" s="643"/>
      <c r="D88" s="645"/>
      <c r="E88" s="696"/>
      <c r="F88" s="699"/>
      <c r="G88" s="689"/>
      <c r="H88" s="676"/>
      <c r="I88" s="676"/>
      <c r="J88" s="676"/>
      <c r="K88" s="676"/>
      <c r="L88" s="705"/>
      <c r="M88" s="654"/>
      <c r="N88" s="653"/>
      <c r="O88" s="622"/>
      <c r="P88" s="623"/>
    </row>
    <row r="89" spans="1:16" ht="15.75" hidden="1" customHeight="1" thickBot="1" x14ac:dyDescent="0.3">
      <c r="A89" s="725"/>
      <c r="B89" s="726"/>
      <c r="C89" s="657" t="s">
        <v>688</v>
      </c>
      <c r="D89" s="658"/>
      <c r="E89" s="696"/>
      <c r="F89" s="699"/>
      <c r="G89" s="689"/>
      <c r="H89" s="676"/>
      <c r="I89" s="676"/>
      <c r="J89" s="676"/>
      <c r="K89" s="676"/>
      <c r="L89" s="705"/>
      <c r="M89" s="654"/>
      <c r="N89" s="653"/>
      <c r="O89" s="622"/>
      <c r="P89" s="623"/>
    </row>
    <row r="90" spans="1:16" ht="24" hidden="1" customHeight="1" thickBot="1" x14ac:dyDescent="0.3">
      <c r="A90" s="725"/>
      <c r="B90" s="726"/>
      <c r="C90" s="375"/>
      <c r="D90" s="290"/>
      <c r="E90" s="697"/>
      <c r="F90" s="700"/>
      <c r="G90" s="702"/>
      <c r="H90" s="704"/>
      <c r="I90" s="704"/>
      <c r="J90" s="704"/>
      <c r="K90" s="704"/>
      <c r="L90" s="631"/>
      <c r="M90" s="283" t="s">
        <v>755</v>
      </c>
      <c r="N90" s="376" t="s">
        <v>634</v>
      </c>
      <c r="O90" s="377" t="s">
        <v>645</v>
      </c>
      <c r="P90" s="284">
        <v>5500</v>
      </c>
    </row>
    <row r="91" spans="1:16" ht="57" hidden="1" customHeight="1" thickBot="1" x14ac:dyDescent="0.3">
      <c r="A91" s="725"/>
      <c r="B91" s="726"/>
      <c r="C91" s="643"/>
      <c r="D91" s="644"/>
      <c r="E91" s="710" t="s">
        <v>756</v>
      </c>
      <c r="F91" s="712"/>
      <c r="G91" s="693"/>
      <c r="H91" s="703" t="s">
        <v>632</v>
      </c>
      <c r="I91" s="703" t="s">
        <v>632</v>
      </c>
      <c r="J91" s="703" t="s">
        <v>632</v>
      </c>
      <c r="K91" s="703" t="s">
        <v>632</v>
      </c>
      <c r="L91" s="630" t="s">
        <v>503</v>
      </c>
      <c r="M91" s="282" t="s">
        <v>757</v>
      </c>
      <c r="N91" s="283" t="s">
        <v>634</v>
      </c>
      <c r="O91" s="282" t="s">
        <v>645</v>
      </c>
      <c r="P91" s="284">
        <v>15000</v>
      </c>
    </row>
    <row r="92" spans="1:16" ht="29.25" hidden="1" thickBot="1" x14ac:dyDescent="0.3">
      <c r="A92" s="725"/>
      <c r="B92" s="726"/>
      <c r="C92" s="288"/>
      <c r="E92" s="711"/>
      <c r="F92" s="713"/>
      <c r="G92" s="694"/>
      <c r="H92" s="704"/>
      <c r="I92" s="704"/>
      <c r="J92" s="704"/>
      <c r="K92" s="704"/>
      <c r="L92" s="631"/>
      <c r="M92" s="282" t="s">
        <v>755</v>
      </c>
      <c r="N92" s="283" t="s">
        <v>634</v>
      </c>
      <c r="O92" s="282" t="s">
        <v>645</v>
      </c>
      <c r="P92" s="284">
        <v>5000</v>
      </c>
    </row>
    <row r="93" spans="1:16" ht="43.5" thickBot="1" x14ac:dyDescent="0.3">
      <c r="A93" s="725"/>
      <c r="B93" s="726"/>
      <c r="C93" s="308"/>
      <c r="D93" s="347"/>
      <c r="E93" s="314"/>
      <c r="F93" s="281"/>
      <c r="G93" s="281"/>
      <c r="H93" s="378"/>
      <c r="I93" s="378"/>
      <c r="J93" s="378"/>
      <c r="K93" s="378"/>
      <c r="L93" s="281" t="s">
        <v>504</v>
      </c>
      <c r="M93" s="294" t="s">
        <v>748</v>
      </c>
      <c r="N93" s="294" t="s">
        <v>634</v>
      </c>
      <c r="O93" s="281"/>
      <c r="P93" s="295">
        <v>1500</v>
      </c>
    </row>
    <row r="94" spans="1:16" ht="117.75" hidden="1" customHeight="1" thickBot="1" x14ac:dyDescent="0.3">
      <c r="A94" s="725"/>
      <c r="B94" s="726"/>
      <c r="C94" s="691" t="s">
        <v>758</v>
      </c>
      <c r="D94" s="692"/>
      <c r="E94" s="646" t="s">
        <v>759</v>
      </c>
      <c r="F94" s="633"/>
      <c r="G94" s="633"/>
      <c r="H94" s="668" t="s">
        <v>632</v>
      </c>
      <c r="I94" s="668" t="s">
        <v>632</v>
      </c>
      <c r="J94" s="668" t="s">
        <v>632</v>
      </c>
      <c r="K94" s="668" t="s">
        <v>632</v>
      </c>
      <c r="L94" s="629" t="s">
        <v>503</v>
      </c>
      <c r="M94" s="654" t="s">
        <v>754</v>
      </c>
      <c r="N94" s="653" t="s">
        <v>634</v>
      </c>
      <c r="O94" s="622" t="s">
        <v>645</v>
      </c>
      <c r="P94" s="623">
        <v>10000</v>
      </c>
    </row>
    <row r="95" spans="1:16" ht="15.75" hidden="1" thickBot="1" x14ac:dyDescent="0.3">
      <c r="A95" s="725"/>
      <c r="B95" s="726"/>
      <c r="C95" s="662"/>
      <c r="D95" s="663"/>
      <c r="E95" s="667"/>
      <c r="F95" s="633"/>
      <c r="G95" s="633"/>
      <c r="H95" s="668"/>
      <c r="I95" s="668"/>
      <c r="J95" s="668"/>
      <c r="K95" s="668"/>
      <c r="L95" s="629"/>
      <c r="M95" s="654"/>
      <c r="N95" s="653"/>
      <c r="O95" s="622"/>
      <c r="P95" s="623"/>
    </row>
    <row r="96" spans="1:16" ht="15.75" hidden="1" thickBot="1" x14ac:dyDescent="0.3">
      <c r="A96" s="725"/>
      <c r="B96" s="726"/>
      <c r="C96" s="660" t="s">
        <v>688</v>
      </c>
      <c r="D96" s="661"/>
      <c r="E96" s="648"/>
      <c r="F96" s="633"/>
      <c r="G96" s="633"/>
      <c r="H96" s="668"/>
      <c r="I96" s="668"/>
      <c r="J96" s="668"/>
      <c r="K96" s="668"/>
      <c r="L96" s="629"/>
      <c r="M96" s="654"/>
      <c r="N96" s="653"/>
      <c r="O96" s="622"/>
      <c r="P96" s="623"/>
    </row>
    <row r="97" spans="1:16" ht="29.25" hidden="1" thickBot="1" x14ac:dyDescent="0.3">
      <c r="A97" s="725"/>
      <c r="B97" s="726"/>
      <c r="C97" s="662"/>
      <c r="D97" s="663"/>
      <c r="E97" s="310" t="s">
        <v>760</v>
      </c>
      <c r="F97" s="281"/>
      <c r="G97" s="281"/>
      <c r="H97" s="379" t="s">
        <v>632</v>
      </c>
      <c r="I97" s="379" t="s">
        <v>632</v>
      </c>
      <c r="J97" s="379" t="s">
        <v>632</v>
      </c>
      <c r="K97" s="379" t="s">
        <v>632</v>
      </c>
      <c r="L97" s="282" t="s">
        <v>503</v>
      </c>
      <c r="M97" s="282" t="s">
        <v>754</v>
      </c>
      <c r="N97" s="283" t="s">
        <v>634</v>
      </c>
      <c r="O97" s="282" t="s">
        <v>645</v>
      </c>
      <c r="P97" s="284">
        <v>7000</v>
      </c>
    </row>
    <row r="98" spans="1:16" ht="43.5" thickBot="1" x14ac:dyDescent="0.3">
      <c r="A98" s="725"/>
      <c r="B98" s="726"/>
      <c r="C98" s="308"/>
      <c r="D98" s="309"/>
      <c r="E98" s="314"/>
      <c r="F98" s="293"/>
      <c r="G98" s="293"/>
      <c r="H98" s="380"/>
      <c r="I98" s="380"/>
      <c r="J98" s="380"/>
      <c r="K98" s="380"/>
      <c r="L98" s="293" t="s">
        <v>504</v>
      </c>
      <c r="M98" s="294" t="s">
        <v>748</v>
      </c>
      <c r="N98" s="294" t="s">
        <v>634</v>
      </c>
      <c r="O98" s="281"/>
      <c r="P98" s="295">
        <v>2000</v>
      </c>
    </row>
    <row r="99" spans="1:16" ht="198.75" hidden="1" customHeight="1" thickBot="1" x14ac:dyDescent="0.3">
      <c r="A99" s="725"/>
      <c r="B99" s="726"/>
      <c r="C99" s="666" t="s">
        <v>761</v>
      </c>
      <c r="D99" s="650"/>
      <c r="E99" s="650" t="s">
        <v>762</v>
      </c>
      <c r="F99" s="685"/>
      <c r="G99" s="688"/>
      <c r="H99" s="675" t="s">
        <v>632</v>
      </c>
      <c r="I99" s="675" t="s">
        <v>632</v>
      </c>
      <c r="J99" s="675" t="s">
        <v>632</v>
      </c>
      <c r="K99" s="678" t="s">
        <v>632</v>
      </c>
      <c r="L99" s="681" t="s">
        <v>503</v>
      </c>
      <c r="M99" s="684" t="s">
        <v>649</v>
      </c>
      <c r="N99" s="653" t="s">
        <v>634</v>
      </c>
      <c r="O99" s="622" t="s">
        <v>650</v>
      </c>
      <c r="P99" s="623">
        <v>4500</v>
      </c>
    </row>
    <row r="100" spans="1:16" ht="15.75" hidden="1" customHeight="1" thickBot="1" x14ac:dyDescent="0.3">
      <c r="A100" s="725"/>
      <c r="B100" s="726"/>
      <c r="C100" s="643"/>
      <c r="D100" s="645"/>
      <c r="E100" s="652"/>
      <c r="F100" s="686"/>
      <c r="G100" s="689"/>
      <c r="H100" s="676"/>
      <c r="I100" s="676"/>
      <c r="J100" s="676"/>
      <c r="K100" s="679"/>
      <c r="L100" s="682"/>
      <c r="M100" s="684"/>
      <c r="N100" s="653"/>
      <c r="O100" s="622"/>
      <c r="P100" s="623"/>
    </row>
    <row r="101" spans="1:16" ht="15.75" hidden="1" customHeight="1" thickBot="1" x14ac:dyDescent="0.3">
      <c r="A101" s="725"/>
      <c r="B101" s="726"/>
      <c r="C101" s="657" t="s">
        <v>688</v>
      </c>
      <c r="D101" s="658"/>
      <c r="E101" s="652"/>
      <c r="F101" s="687"/>
      <c r="G101" s="690"/>
      <c r="H101" s="677"/>
      <c r="I101" s="677"/>
      <c r="J101" s="677"/>
      <c r="K101" s="680"/>
      <c r="L101" s="683"/>
      <c r="M101" s="684"/>
      <c r="N101" s="653"/>
      <c r="O101" s="622"/>
      <c r="P101" s="623"/>
    </row>
    <row r="102" spans="1:16" ht="29.25" thickBot="1" x14ac:dyDescent="0.3">
      <c r="A102" s="725"/>
      <c r="B102" s="726"/>
      <c r="C102" s="375"/>
      <c r="D102" s="291"/>
      <c r="E102" s="292"/>
      <c r="F102" s="359"/>
      <c r="G102" s="359"/>
      <c r="H102" s="378"/>
      <c r="I102" s="378"/>
      <c r="J102" s="378"/>
      <c r="K102" s="378"/>
      <c r="L102" s="281" t="s">
        <v>504</v>
      </c>
      <c r="M102" s="294" t="s">
        <v>763</v>
      </c>
      <c r="N102" s="381" t="s">
        <v>634</v>
      </c>
      <c r="O102" s="359"/>
      <c r="P102" s="295">
        <v>1500</v>
      </c>
    </row>
    <row r="103" spans="1:16" ht="43.5" hidden="1" thickBot="1" x14ac:dyDescent="0.3">
      <c r="A103" s="725"/>
      <c r="B103" s="726"/>
      <c r="C103" s="669"/>
      <c r="D103" s="670"/>
      <c r="E103" s="286" t="s">
        <v>764</v>
      </c>
      <c r="F103" s="281"/>
      <c r="G103" s="281"/>
      <c r="H103" s="379" t="s">
        <v>632</v>
      </c>
      <c r="I103" s="379" t="s">
        <v>632</v>
      </c>
      <c r="J103" s="379" t="s">
        <v>632</v>
      </c>
      <c r="K103" s="379" t="s">
        <v>632</v>
      </c>
      <c r="L103" s="282" t="s">
        <v>503</v>
      </c>
      <c r="M103" s="282" t="s">
        <v>765</v>
      </c>
      <c r="N103" s="283" t="s">
        <v>634</v>
      </c>
      <c r="O103" s="282" t="s">
        <v>645</v>
      </c>
      <c r="P103" s="284">
        <v>4500</v>
      </c>
    </row>
    <row r="104" spans="1:16" ht="92.25" hidden="1" customHeight="1" thickBot="1" x14ac:dyDescent="0.3">
      <c r="A104" s="725"/>
      <c r="B104" s="726"/>
      <c r="C104" s="671" t="s">
        <v>766</v>
      </c>
      <c r="D104" s="672"/>
      <c r="E104" s="673" t="s">
        <v>767</v>
      </c>
      <c r="F104" s="640"/>
      <c r="G104" s="633"/>
      <c r="H104" s="668" t="s">
        <v>632</v>
      </c>
      <c r="I104" s="668" t="s">
        <v>632</v>
      </c>
      <c r="J104" s="668" t="s">
        <v>632</v>
      </c>
      <c r="K104" s="668" t="s">
        <v>632</v>
      </c>
      <c r="L104" s="629" t="s">
        <v>503</v>
      </c>
      <c r="M104" s="654" t="s">
        <v>768</v>
      </c>
      <c r="N104" s="653" t="s">
        <v>634</v>
      </c>
      <c r="O104" s="622" t="s">
        <v>645</v>
      </c>
      <c r="P104" s="623">
        <v>42000</v>
      </c>
    </row>
    <row r="105" spans="1:16" ht="15.75" hidden="1" thickBot="1" x14ac:dyDescent="0.3">
      <c r="A105" s="725"/>
      <c r="B105" s="726"/>
      <c r="C105" s="662"/>
      <c r="D105" s="610"/>
      <c r="E105" s="674"/>
      <c r="F105" s="640"/>
      <c r="G105" s="633"/>
      <c r="H105" s="668"/>
      <c r="I105" s="668"/>
      <c r="J105" s="668"/>
      <c r="K105" s="668"/>
      <c r="L105" s="629"/>
      <c r="M105" s="654"/>
      <c r="N105" s="653"/>
      <c r="O105" s="622"/>
      <c r="P105" s="623"/>
    </row>
    <row r="106" spans="1:16" ht="29.25" thickBot="1" x14ac:dyDescent="0.3">
      <c r="A106" s="725"/>
      <c r="B106" s="726"/>
      <c r="C106" s="288"/>
      <c r="E106" s="314"/>
      <c r="F106" s="359"/>
      <c r="G106" s="359"/>
      <c r="H106" s="378"/>
      <c r="I106" s="378"/>
      <c r="J106" s="378"/>
      <c r="K106" s="378"/>
      <c r="L106" s="281" t="s">
        <v>504</v>
      </c>
      <c r="M106" s="294" t="s">
        <v>763</v>
      </c>
      <c r="N106" s="382" t="s">
        <v>634</v>
      </c>
      <c r="O106" s="359"/>
      <c r="P106" s="295">
        <v>3000</v>
      </c>
    </row>
    <row r="107" spans="1:16" ht="29.25" hidden="1" thickBot="1" x14ac:dyDescent="0.3">
      <c r="A107" s="725"/>
      <c r="B107" s="726"/>
      <c r="C107" s="660" t="s">
        <v>688</v>
      </c>
      <c r="D107" s="661"/>
      <c r="E107" s="278" t="s">
        <v>769</v>
      </c>
      <c r="F107" s="281"/>
      <c r="G107" s="281"/>
      <c r="H107" s="374"/>
      <c r="I107" s="279" t="s">
        <v>632</v>
      </c>
      <c r="J107" s="279" t="s">
        <v>632</v>
      </c>
      <c r="K107" s="279" t="s">
        <v>632</v>
      </c>
      <c r="L107" s="282" t="s">
        <v>503</v>
      </c>
      <c r="M107" s="282" t="s">
        <v>768</v>
      </c>
      <c r="N107" s="283" t="s">
        <v>634</v>
      </c>
      <c r="O107" s="282" t="s">
        <v>645</v>
      </c>
      <c r="P107" s="284">
        <v>12000</v>
      </c>
    </row>
    <row r="108" spans="1:16" ht="54.75" hidden="1" thickBot="1" x14ac:dyDescent="0.3">
      <c r="A108" s="725"/>
      <c r="B108" s="726"/>
      <c r="C108" s="662"/>
      <c r="D108" s="663"/>
      <c r="E108" s="278" t="s">
        <v>770</v>
      </c>
      <c r="F108" s="281"/>
      <c r="G108" s="281"/>
      <c r="H108" s="281"/>
      <c r="I108" s="279" t="s">
        <v>632</v>
      </c>
      <c r="J108" s="279" t="s">
        <v>632</v>
      </c>
      <c r="K108" s="279" t="s">
        <v>632</v>
      </c>
      <c r="L108" s="282" t="s">
        <v>503</v>
      </c>
      <c r="M108" s="282" t="s">
        <v>768</v>
      </c>
      <c r="N108" s="283" t="s">
        <v>634</v>
      </c>
      <c r="O108" s="282" t="s">
        <v>645</v>
      </c>
      <c r="P108" s="284">
        <v>7000</v>
      </c>
    </row>
    <row r="109" spans="1:16" ht="81" hidden="1" customHeight="1" thickBot="1" x14ac:dyDescent="0.3">
      <c r="A109" s="664" t="s">
        <v>590</v>
      </c>
      <c r="B109" s="665"/>
      <c r="C109" s="666" t="s">
        <v>771</v>
      </c>
      <c r="D109" s="650"/>
      <c r="E109" s="667" t="s">
        <v>772</v>
      </c>
      <c r="F109" s="633"/>
      <c r="G109" s="668" t="s">
        <v>632</v>
      </c>
      <c r="H109" s="659" t="s">
        <v>632</v>
      </c>
      <c r="I109" s="633"/>
      <c r="J109" s="633"/>
      <c r="K109" s="633"/>
      <c r="L109" s="629" t="s">
        <v>503</v>
      </c>
      <c r="M109" s="654" t="s">
        <v>773</v>
      </c>
      <c r="N109" s="653" t="s">
        <v>634</v>
      </c>
      <c r="O109" s="622" t="s">
        <v>650</v>
      </c>
      <c r="P109" s="623">
        <v>5000</v>
      </c>
    </row>
    <row r="110" spans="1:16" ht="63.75" hidden="1" customHeight="1" thickBot="1" x14ac:dyDescent="0.3">
      <c r="A110" s="655" t="s">
        <v>535</v>
      </c>
      <c r="B110" s="656"/>
      <c r="C110" s="643"/>
      <c r="D110" s="645"/>
      <c r="E110" s="667"/>
      <c r="F110" s="633"/>
      <c r="G110" s="668"/>
      <c r="H110" s="659"/>
      <c r="I110" s="633"/>
      <c r="J110" s="633"/>
      <c r="K110" s="633"/>
      <c r="L110" s="629"/>
      <c r="M110" s="654"/>
      <c r="N110" s="653"/>
      <c r="O110" s="622"/>
      <c r="P110" s="623"/>
    </row>
    <row r="111" spans="1:16" ht="15.75" hidden="1" thickBot="1" x14ac:dyDescent="0.3">
      <c r="A111" s="643"/>
      <c r="B111" s="644"/>
      <c r="C111" s="657" t="s">
        <v>688</v>
      </c>
      <c r="D111" s="658"/>
      <c r="E111" s="648"/>
      <c r="F111" s="633"/>
      <c r="G111" s="668"/>
      <c r="H111" s="659"/>
      <c r="I111" s="633"/>
      <c r="J111" s="633"/>
      <c r="K111" s="633"/>
      <c r="L111" s="629"/>
      <c r="M111" s="654"/>
      <c r="N111" s="653"/>
      <c r="O111" s="622"/>
      <c r="P111" s="623"/>
    </row>
    <row r="112" spans="1:16" ht="86.25" hidden="1" thickBot="1" x14ac:dyDescent="0.3">
      <c r="A112" s="643"/>
      <c r="B112" s="644"/>
      <c r="C112" s="643"/>
      <c r="D112" s="645"/>
      <c r="E112" s="287" t="s">
        <v>774</v>
      </c>
      <c r="F112" s="281"/>
      <c r="G112" s="281"/>
      <c r="H112" s="281"/>
      <c r="I112" s="379" t="s">
        <v>632</v>
      </c>
      <c r="J112" s="281"/>
      <c r="K112" s="281"/>
      <c r="L112" s="282" t="s">
        <v>503</v>
      </c>
      <c r="M112" s="282" t="s">
        <v>775</v>
      </c>
      <c r="N112" s="283" t="s">
        <v>634</v>
      </c>
      <c r="O112" s="282" t="s">
        <v>645</v>
      </c>
      <c r="P112" s="284">
        <v>47000</v>
      </c>
    </row>
    <row r="113" spans="1:19" ht="57.75" thickBot="1" x14ac:dyDescent="0.3">
      <c r="A113" s="288"/>
      <c r="C113" s="308"/>
      <c r="D113" s="309"/>
      <c r="E113" s="292"/>
      <c r="F113" s="281"/>
      <c r="G113" s="281"/>
      <c r="H113" s="281"/>
      <c r="I113" s="378"/>
      <c r="J113" s="281"/>
      <c r="K113" s="281"/>
      <c r="L113" s="281" t="s">
        <v>504</v>
      </c>
      <c r="M113" s="294" t="s">
        <v>776</v>
      </c>
      <c r="N113" s="294" t="s">
        <v>634</v>
      </c>
      <c r="O113" s="281"/>
      <c r="P113" s="295">
        <v>3000</v>
      </c>
    </row>
    <row r="114" spans="1:19" ht="80.25" hidden="1" customHeight="1" thickBot="1" x14ac:dyDescent="0.3">
      <c r="A114" s="643"/>
      <c r="B114" s="645"/>
      <c r="C114" s="646" t="s">
        <v>777</v>
      </c>
      <c r="D114" s="647"/>
      <c r="E114" s="278" t="s">
        <v>778</v>
      </c>
      <c r="F114" s="281"/>
      <c r="G114" s="281"/>
      <c r="H114" s="281"/>
      <c r="I114" s="279" t="s">
        <v>632</v>
      </c>
      <c r="J114" s="279" t="s">
        <v>632</v>
      </c>
      <c r="K114" s="279" t="s">
        <v>632</v>
      </c>
      <c r="L114" s="282" t="s">
        <v>503</v>
      </c>
      <c r="M114" s="282" t="s">
        <v>779</v>
      </c>
      <c r="N114" s="283" t="s">
        <v>634</v>
      </c>
      <c r="O114" s="282" t="s">
        <v>645</v>
      </c>
      <c r="P114" s="284">
        <v>40000</v>
      </c>
    </row>
    <row r="115" spans="1:19" ht="57.75" hidden="1" thickBot="1" x14ac:dyDescent="0.3">
      <c r="A115" s="643"/>
      <c r="B115" s="645"/>
      <c r="C115" s="648"/>
      <c r="D115" s="613"/>
      <c r="E115" s="278" t="s">
        <v>780</v>
      </c>
      <c r="F115" s="281"/>
      <c r="G115" s="281"/>
      <c r="H115" s="281"/>
      <c r="I115" s="279" t="s">
        <v>632</v>
      </c>
      <c r="J115" s="279" t="s">
        <v>632</v>
      </c>
      <c r="K115" s="279" t="s">
        <v>632</v>
      </c>
      <c r="L115" s="282" t="s">
        <v>503</v>
      </c>
      <c r="M115" s="282" t="s">
        <v>781</v>
      </c>
      <c r="N115" s="283" t="s">
        <v>634</v>
      </c>
      <c r="O115" s="282" t="s">
        <v>645</v>
      </c>
      <c r="P115" s="284">
        <v>150000</v>
      </c>
    </row>
    <row r="116" spans="1:19" ht="65.25" hidden="1" customHeight="1" thickBot="1" x14ac:dyDescent="0.3">
      <c r="A116" s="643"/>
      <c r="B116" s="645"/>
      <c r="C116" s="649" t="s">
        <v>782</v>
      </c>
      <c r="D116" s="650"/>
      <c r="E116" s="640"/>
      <c r="F116" s="633"/>
      <c r="G116" s="633"/>
      <c r="H116" s="633"/>
      <c r="I116" s="628" t="s">
        <v>632</v>
      </c>
      <c r="J116" s="628" t="s">
        <v>632</v>
      </c>
      <c r="K116" s="628" t="s">
        <v>632</v>
      </c>
      <c r="L116" s="629" t="s">
        <v>503</v>
      </c>
      <c r="M116" s="654" t="s">
        <v>779</v>
      </c>
      <c r="N116" s="653" t="s">
        <v>634</v>
      </c>
      <c r="O116" s="622" t="s">
        <v>645</v>
      </c>
      <c r="P116" s="623">
        <v>13869</v>
      </c>
    </row>
    <row r="117" spans="1:19" ht="15.75" hidden="1" thickBot="1" x14ac:dyDescent="0.3">
      <c r="A117" s="643"/>
      <c r="B117" s="645"/>
      <c r="C117" s="651"/>
      <c r="D117" s="652"/>
      <c r="E117" s="640"/>
      <c r="F117" s="633"/>
      <c r="G117" s="633"/>
      <c r="H117" s="633"/>
      <c r="I117" s="628"/>
      <c r="J117" s="628"/>
      <c r="K117" s="628"/>
      <c r="L117" s="629"/>
      <c r="M117" s="654"/>
      <c r="N117" s="653"/>
      <c r="O117" s="622"/>
      <c r="P117" s="623"/>
    </row>
    <row r="118" spans="1:19" ht="43.5" thickBot="1" x14ac:dyDescent="0.3">
      <c r="A118" s="308"/>
      <c r="B118" s="309"/>
      <c r="C118" s="313"/>
      <c r="D118" s="318"/>
      <c r="E118" s="383"/>
      <c r="F118" s="384"/>
      <c r="G118" s="384"/>
      <c r="H118" s="384"/>
      <c r="I118" s="385"/>
      <c r="J118" s="385"/>
      <c r="K118" s="385"/>
      <c r="L118" s="293" t="s">
        <v>504</v>
      </c>
      <c r="M118" s="386" t="s">
        <v>748</v>
      </c>
      <c r="N118" s="387"/>
      <c r="O118" s="388"/>
      <c r="P118" s="295">
        <v>2000</v>
      </c>
    </row>
    <row r="119" spans="1:19" ht="17.25" hidden="1" customHeight="1" thickBot="1" x14ac:dyDescent="0.3">
      <c r="A119" s="641" t="s">
        <v>783</v>
      </c>
      <c r="B119" s="641"/>
      <c r="C119" s="641"/>
      <c r="D119" s="641"/>
      <c r="E119" s="641"/>
      <c r="F119" s="641"/>
      <c r="G119" s="641"/>
      <c r="H119" s="641"/>
      <c r="I119" s="641"/>
      <c r="J119" s="641"/>
      <c r="K119" s="641"/>
      <c r="L119" s="641"/>
      <c r="M119" s="641"/>
      <c r="N119" s="641"/>
      <c r="O119" s="642"/>
      <c r="P119" s="389">
        <f>SUM(P77,P42,P3)</f>
        <v>1041869</v>
      </c>
    </row>
    <row r="120" spans="1:19" ht="15.75" hidden="1" customHeight="1" thickBot="1" x14ac:dyDescent="0.3">
      <c r="A120" s="390"/>
      <c r="B120" s="391"/>
      <c r="C120" s="391"/>
      <c r="D120" s="391"/>
      <c r="E120" s="391"/>
      <c r="F120" s="391"/>
      <c r="G120" s="391"/>
      <c r="H120" s="391"/>
      <c r="I120" s="391"/>
      <c r="J120" s="391"/>
      <c r="K120" s="391"/>
      <c r="L120" s="391"/>
      <c r="M120" s="391"/>
      <c r="N120" s="391"/>
      <c r="O120" s="392" t="s">
        <v>503</v>
      </c>
      <c r="P120" s="274">
        <f>SUM(P78,P43,P4)</f>
        <v>846869</v>
      </c>
      <c r="R120" s="270"/>
    </row>
    <row r="121" spans="1:19" ht="15.75" hidden="1" customHeight="1" thickBot="1" x14ac:dyDescent="0.3">
      <c r="A121" s="393"/>
      <c r="B121" s="394"/>
      <c r="C121" s="394"/>
      <c r="D121" s="394"/>
      <c r="E121" s="394"/>
      <c r="F121" s="394"/>
      <c r="G121" s="394"/>
      <c r="H121" s="394"/>
      <c r="I121" s="394"/>
      <c r="J121" s="394"/>
      <c r="K121" s="394"/>
      <c r="L121" s="394"/>
      <c r="M121" s="394"/>
      <c r="N121" s="394"/>
      <c r="O121" s="395" t="s">
        <v>504</v>
      </c>
      <c r="P121" s="396">
        <f>SUM(P79,P44,P5)</f>
        <v>195000</v>
      </c>
      <c r="R121" s="270"/>
    </row>
    <row r="122" spans="1:19" ht="81.75" hidden="1" customHeight="1" thickBot="1" x14ac:dyDescent="0.3">
      <c r="A122" s="636" t="s">
        <v>784</v>
      </c>
      <c r="B122" s="637"/>
      <c r="C122" s="638" t="s">
        <v>785</v>
      </c>
      <c r="D122" s="638"/>
      <c r="E122" s="639" t="s">
        <v>786</v>
      </c>
      <c r="F122" s="627"/>
      <c r="G122" s="627"/>
      <c r="H122" s="627"/>
      <c r="I122" s="627"/>
      <c r="J122" s="627"/>
      <c r="K122" s="627"/>
      <c r="L122" s="282" t="s">
        <v>503</v>
      </c>
      <c r="M122" s="282"/>
      <c r="N122" s="283" t="s">
        <v>634</v>
      </c>
      <c r="O122" s="282">
        <v>61100</v>
      </c>
      <c r="P122" s="284">
        <v>30000</v>
      </c>
    </row>
    <row r="123" spans="1:19" ht="29.25" thickBot="1" x14ac:dyDescent="0.3">
      <c r="A123" s="397"/>
      <c r="B123" s="398"/>
      <c r="C123" s="399"/>
      <c r="D123" s="400"/>
      <c r="E123" s="635"/>
      <c r="F123" s="633"/>
      <c r="G123" s="633"/>
      <c r="H123" s="633"/>
      <c r="I123" s="633"/>
      <c r="J123" s="633"/>
      <c r="K123" s="633"/>
      <c r="L123" s="281" t="s">
        <v>550</v>
      </c>
      <c r="M123" s="281"/>
      <c r="N123" s="294" t="s">
        <v>634</v>
      </c>
      <c r="O123" s="281"/>
      <c r="P123" s="295">
        <v>45000</v>
      </c>
    </row>
    <row r="124" spans="1:19" ht="68.25" hidden="1" customHeight="1" thickBot="1" x14ac:dyDescent="0.3">
      <c r="A124" s="610"/>
      <c r="B124" s="611"/>
      <c r="C124" s="626" t="s">
        <v>787</v>
      </c>
      <c r="D124" s="626"/>
      <c r="E124" s="635" t="s">
        <v>788</v>
      </c>
      <c r="F124" s="633"/>
      <c r="G124" s="633"/>
      <c r="H124" s="633"/>
      <c r="I124" s="633"/>
      <c r="J124" s="633"/>
      <c r="K124" s="633"/>
      <c r="L124" s="282" t="s">
        <v>503</v>
      </c>
      <c r="M124" s="282"/>
      <c r="N124" s="283" t="s">
        <v>634</v>
      </c>
      <c r="O124" s="282" t="s">
        <v>789</v>
      </c>
      <c r="P124" s="284">
        <v>184626.17</v>
      </c>
      <c r="S124" s="270"/>
    </row>
    <row r="125" spans="1:19" ht="29.25" thickBot="1" x14ac:dyDescent="0.3">
      <c r="A125" s="624" t="s">
        <v>790</v>
      </c>
      <c r="B125" s="625"/>
      <c r="C125" s="634"/>
      <c r="D125" s="634"/>
      <c r="E125" s="635"/>
      <c r="F125" s="633"/>
      <c r="G125" s="633"/>
      <c r="H125" s="633"/>
      <c r="I125" s="633"/>
      <c r="J125" s="633"/>
      <c r="K125" s="633"/>
      <c r="L125" s="281" t="s">
        <v>550</v>
      </c>
      <c r="M125" s="281"/>
      <c r="N125" s="294" t="s">
        <v>634</v>
      </c>
      <c r="O125" s="281"/>
      <c r="P125" s="295">
        <v>25373.83</v>
      </c>
    </row>
    <row r="126" spans="1:19" ht="114.75" hidden="1" customHeight="1" thickBot="1" x14ac:dyDescent="0.3">
      <c r="A126" s="624" t="s">
        <v>791</v>
      </c>
      <c r="B126" s="625"/>
      <c r="C126" s="627"/>
      <c r="D126" s="627"/>
      <c r="E126" s="401"/>
      <c r="F126" s="281"/>
      <c r="G126" s="281"/>
      <c r="H126" s="281"/>
      <c r="I126" s="281"/>
      <c r="J126" s="281"/>
      <c r="K126" s="281"/>
      <c r="L126" s="281"/>
      <c r="M126" s="281"/>
      <c r="N126" s="294"/>
      <c r="O126" s="281"/>
      <c r="P126" s="402"/>
    </row>
    <row r="127" spans="1:19" ht="25.5" hidden="1" customHeight="1" thickBot="1" x14ac:dyDescent="0.3">
      <c r="A127" s="624" t="s">
        <v>792</v>
      </c>
      <c r="B127" s="625"/>
      <c r="C127" s="613" t="s">
        <v>793</v>
      </c>
      <c r="D127" s="613"/>
      <c r="E127" s="612" t="s">
        <v>794</v>
      </c>
      <c r="F127" s="628" t="s">
        <v>632</v>
      </c>
      <c r="G127" s="628" t="s">
        <v>632</v>
      </c>
      <c r="H127" s="628" t="s">
        <v>632</v>
      </c>
      <c r="I127" s="628" t="s">
        <v>632</v>
      </c>
      <c r="J127" s="628" t="s">
        <v>632</v>
      </c>
      <c r="K127" s="628" t="s">
        <v>632</v>
      </c>
      <c r="L127" s="629" t="s">
        <v>503</v>
      </c>
      <c r="M127" s="630"/>
      <c r="N127" s="632" t="s">
        <v>634</v>
      </c>
      <c r="O127" s="622" t="s">
        <v>789</v>
      </c>
      <c r="P127" s="623">
        <v>5000</v>
      </c>
    </row>
    <row r="128" spans="1:19" ht="25.5" hidden="1" customHeight="1" thickBot="1" x14ac:dyDescent="0.3">
      <c r="A128" s="624" t="s">
        <v>795</v>
      </c>
      <c r="B128" s="625"/>
      <c r="C128" s="626" t="s">
        <v>796</v>
      </c>
      <c r="D128" s="626"/>
      <c r="E128" s="612"/>
      <c r="F128" s="628"/>
      <c r="G128" s="628"/>
      <c r="H128" s="628"/>
      <c r="I128" s="628"/>
      <c r="J128" s="628"/>
      <c r="K128" s="628"/>
      <c r="L128" s="629"/>
      <c r="M128" s="631"/>
      <c r="N128" s="632"/>
      <c r="O128" s="622"/>
      <c r="P128" s="623"/>
    </row>
    <row r="129" spans="1:17" ht="43.5" hidden="1" thickBot="1" x14ac:dyDescent="0.3">
      <c r="A129" s="610"/>
      <c r="B129" s="611"/>
      <c r="C129" s="627"/>
      <c r="D129" s="627"/>
      <c r="E129" s="278" t="s">
        <v>797</v>
      </c>
      <c r="F129" s="279" t="s">
        <v>632</v>
      </c>
      <c r="G129" s="281"/>
      <c r="H129" s="379" t="s">
        <v>632</v>
      </c>
      <c r="I129" s="281"/>
      <c r="J129" s="379" t="s">
        <v>632</v>
      </c>
      <c r="K129" s="281"/>
      <c r="L129" s="282" t="s">
        <v>503</v>
      </c>
      <c r="M129" s="282"/>
      <c r="N129" s="283" t="s">
        <v>634</v>
      </c>
      <c r="O129" s="282" t="s">
        <v>789</v>
      </c>
      <c r="P129" s="284">
        <v>20000</v>
      </c>
      <c r="Q129" s="403"/>
    </row>
    <row r="130" spans="1:17" ht="17.25" thickBot="1" x14ac:dyDescent="0.3">
      <c r="A130" s="361"/>
      <c r="B130" s="388"/>
      <c r="C130" s="404"/>
      <c r="D130" s="404"/>
      <c r="E130" s="278"/>
      <c r="F130" s="279" t="s">
        <v>632</v>
      </c>
      <c r="G130" s="281"/>
      <c r="H130" s="379" t="s">
        <v>632</v>
      </c>
      <c r="I130" s="281"/>
      <c r="J130" s="379" t="s">
        <v>632</v>
      </c>
      <c r="K130" s="281"/>
      <c r="L130" s="281" t="s">
        <v>504</v>
      </c>
      <c r="M130" s="281" t="s">
        <v>798</v>
      </c>
      <c r="N130" s="294" t="s">
        <v>634</v>
      </c>
      <c r="O130" s="281"/>
      <c r="P130" s="295">
        <v>15000</v>
      </c>
    </row>
    <row r="131" spans="1:17" ht="43.5" hidden="1" thickBot="1" x14ac:dyDescent="0.3">
      <c r="A131" s="610"/>
      <c r="B131" s="611"/>
      <c r="C131" s="612" t="s">
        <v>799</v>
      </c>
      <c r="D131" s="612"/>
      <c r="E131" s="278" t="s">
        <v>800</v>
      </c>
      <c r="F131" s="281"/>
      <c r="G131" s="281"/>
      <c r="H131" s="281"/>
      <c r="I131" s="281"/>
      <c r="J131" s="379" t="s">
        <v>632</v>
      </c>
      <c r="K131" s="281"/>
      <c r="L131" s="282" t="s">
        <v>503</v>
      </c>
      <c r="M131" s="282"/>
      <c r="N131" s="283" t="s">
        <v>634</v>
      </c>
      <c r="O131" s="282" t="s">
        <v>789</v>
      </c>
      <c r="P131" s="284">
        <v>30000</v>
      </c>
    </row>
    <row r="132" spans="1:17" ht="43.5" hidden="1" thickBot="1" x14ac:dyDescent="0.3">
      <c r="A132" s="614"/>
      <c r="B132" s="615"/>
      <c r="C132" s="613"/>
      <c r="D132" s="613"/>
      <c r="E132" s="286" t="s">
        <v>801</v>
      </c>
      <c r="F132" s="293"/>
      <c r="G132" s="293"/>
      <c r="H132" s="293"/>
      <c r="I132" s="293"/>
      <c r="J132" s="293"/>
      <c r="K132" s="405" t="s">
        <v>632</v>
      </c>
      <c r="L132" s="296" t="s">
        <v>503</v>
      </c>
      <c r="M132" s="296"/>
      <c r="N132" s="297" t="s">
        <v>634</v>
      </c>
      <c r="O132" s="296" t="s">
        <v>789</v>
      </c>
      <c r="P132" s="284">
        <v>5000</v>
      </c>
    </row>
    <row r="133" spans="1:17" ht="15.75" hidden="1" thickBot="1" x14ac:dyDescent="0.3">
      <c r="A133" s="616" t="s">
        <v>594</v>
      </c>
      <c r="B133" s="617"/>
      <c r="C133" s="618"/>
      <c r="D133" s="619"/>
      <c r="E133" s="406"/>
      <c r="F133" s="406"/>
      <c r="G133" s="406"/>
      <c r="H133" s="406"/>
      <c r="I133" s="406"/>
      <c r="J133" s="406"/>
      <c r="K133" s="406"/>
      <c r="L133" s="406"/>
      <c r="M133" s="406"/>
      <c r="N133" s="407"/>
      <c r="O133" s="408"/>
      <c r="P133" s="409">
        <f>SUM(P120:P132)</f>
        <v>1401869</v>
      </c>
    </row>
    <row r="134" spans="1:17" ht="15.75" hidden="1" customHeight="1" thickBot="1" x14ac:dyDescent="0.3">
      <c r="A134" s="620" t="s">
        <v>802</v>
      </c>
      <c r="B134" s="621"/>
      <c r="C134" s="618"/>
      <c r="D134" s="619"/>
      <c r="E134" s="406"/>
      <c r="F134" s="406"/>
      <c r="G134" s="406"/>
      <c r="H134" s="406"/>
      <c r="I134" s="406"/>
      <c r="J134" s="406"/>
      <c r="K134" s="406"/>
      <c r="L134" s="406"/>
      <c r="M134" s="406"/>
      <c r="N134" s="407"/>
      <c r="O134" s="408"/>
      <c r="P134" s="410">
        <f>SUM(P132,P131,P129,P127,P124,P122,P120)</f>
        <v>1121495.17</v>
      </c>
    </row>
    <row r="135" spans="1:17" ht="15.75" hidden="1" customHeight="1" thickBot="1" x14ac:dyDescent="0.3">
      <c r="A135" s="606" t="s">
        <v>803</v>
      </c>
      <c r="B135" s="607"/>
      <c r="C135" s="608"/>
      <c r="D135" s="609"/>
      <c r="E135" s="411"/>
      <c r="F135" s="411"/>
      <c r="G135" s="411"/>
      <c r="H135" s="411"/>
      <c r="I135" s="411"/>
      <c r="J135" s="411"/>
      <c r="K135" s="411"/>
      <c r="L135" s="411"/>
      <c r="M135" s="411"/>
      <c r="N135" s="412"/>
      <c r="O135" s="413"/>
      <c r="P135" s="414">
        <f>SUM(P130,P125,P123,P121)</f>
        <v>280373.83</v>
      </c>
    </row>
  </sheetData>
  <autoFilter ref="A1:P135" xr:uid="{00000000-0009-0000-0000-000002000000}">
    <filterColumn colId="0" showButton="0"/>
    <filterColumn colId="2" showButton="0"/>
    <filterColumn colId="3" showButton="0"/>
    <filterColumn colId="5" showButton="0"/>
    <filterColumn colId="6" showButton="0"/>
    <filterColumn colId="7" showButton="0"/>
    <filterColumn colId="8" showButton="0"/>
    <filterColumn colId="9" showButton="0"/>
    <filterColumn colId="11">
      <filters>
        <filter val="MSIS"/>
        <filter val="MSIS TATAO"/>
      </filters>
    </filterColumn>
    <filterColumn colId="13" showButton="0"/>
    <filterColumn colId="14" showButton="0"/>
  </autoFilter>
  <mergeCells count="461">
    <mergeCell ref="A1:B1"/>
    <mergeCell ref="C1:E1"/>
    <mergeCell ref="F1:K1"/>
    <mergeCell ref="N1:P1"/>
    <mergeCell ref="A2:B2"/>
    <mergeCell ref="C2:E2"/>
    <mergeCell ref="O6:O8"/>
    <mergeCell ref="P6:P8"/>
    <mergeCell ref="A7:B7"/>
    <mergeCell ref="C7:D7"/>
    <mergeCell ref="A8:B8"/>
    <mergeCell ref="C8:D8"/>
    <mergeCell ref="A3:O3"/>
    <mergeCell ref="A6:B6"/>
    <mergeCell ref="C6:D6"/>
    <mergeCell ref="E6:E8"/>
    <mergeCell ref="F6:F8"/>
    <mergeCell ref="G6:G8"/>
    <mergeCell ref="H6:H8"/>
    <mergeCell ref="I6:I8"/>
    <mergeCell ref="J6:J8"/>
    <mergeCell ref="K6:K8"/>
    <mergeCell ref="A9:B9"/>
    <mergeCell ref="C9:D9"/>
    <mergeCell ref="A10:B10"/>
    <mergeCell ref="C10:D10"/>
    <mergeCell ref="A11:B11"/>
    <mergeCell ref="C11:D11"/>
    <mergeCell ref="L6:L8"/>
    <mergeCell ref="M6:M8"/>
    <mergeCell ref="N6:N8"/>
    <mergeCell ref="G14:G15"/>
    <mergeCell ref="H14:H15"/>
    <mergeCell ref="I14:I15"/>
    <mergeCell ref="J14:J15"/>
    <mergeCell ref="K14:K15"/>
    <mergeCell ref="L14:L15"/>
    <mergeCell ref="A12:B12"/>
    <mergeCell ref="C12:D12"/>
    <mergeCell ref="A14:B14"/>
    <mergeCell ref="C14:D15"/>
    <mergeCell ref="E14:E15"/>
    <mergeCell ref="F14:F15"/>
    <mergeCell ref="A22:B22"/>
    <mergeCell ref="C22:D22"/>
    <mergeCell ref="A23:B23"/>
    <mergeCell ref="C23:D23"/>
    <mergeCell ref="A24:B24"/>
    <mergeCell ref="C24:D24"/>
    <mergeCell ref="J16:J17"/>
    <mergeCell ref="K16:K17"/>
    <mergeCell ref="L16:L17"/>
    <mergeCell ref="A18:B18"/>
    <mergeCell ref="C18:D18"/>
    <mergeCell ref="A20:B20"/>
    <mergeCell ref="C20:D20"/>
    <mergeCell ref="C16:D17"/>
    <mergeCell ref="E16:E17"/>
    <mergeCell ref="F16:F17"/>
    <mergeCell ref="G16:G17"/>
    <mergeCell ref="H16:H17"/>
    <mergeCell ref="I16:I17"/>
    <mergeCell ref="N24:N25"/>
    <mergeCell ref="O24:O25"/>
    <mergeCell ref="P24:P25"/>
    <mergeCell ref="E24:E25"/>
    <mergeCell ref="F24:F25"/>
    <mergeCell ref="G24:G25"/>
    <mergeCell ref="H24:H25"/>
    <mergeCell ref="I24:I25"/>
    <mergeCell ref="J24:J25"/>
    <mergeCell ref="A25:B25"/>
    <mergeCell ref="C25:D25"/>
    <mergeCell ref="A27:B27"/>
    <mergeCell ref="C27:D27"/>
    <mergeCell ref="A28:B28"/>
    <mergeCell ref="C28:D28"/>
    <mergeCell ref="K24:K25"/>
    <mergeCell ref="L24:L25"/>
    <mergeCell ref="M24:M25"/>
    <mergeCell ref="N28:N29"/>
    <mergeCell ref="O28:O29"/>
    <mergeCell ref="P28:P29"/>
    <mergeCell ref="E28:E29"/>
    <mergeCell ref="F28:F29"/>
    <mergeCell ref="G28:G29"/>
    <mergeCell ref="H28:H29"/>
    <mergeCell ref="I28:I29"/>
    <mergeCell ref="J28:J29"/>
    <mergeCell ref="A29:B29"/>
    <mergeCell ref="C29:D29"/>
    <mergeCell ref="A30:B30"/>
    <mergeCell ref="C30:D30"/>
    <mergeCell ref="A31:B31"/>
    <mergeCell ref="C31:D31"/>
    <mergeCell ref="K28:K29"/>
    <mergeCell ref="L28:L29"/>
    <mergeCell ref="M28:M29"/>
    <mergeCell ref="A35:B35"/>
    <mergeCell ref="C35:D35"/>
    <mergeCell ref="A37:B37"/>
    <mergeCell ref="C37:D37"/>
    <mergeCell ref="E37:E39"/>
    <mergeCell ref="F37:F39"/>
    <mergeCell ref="O32:O33"/>
    <mergeCell ref="P32:P33"/>
    <mergeCell ref="A33:B33"/>
    <mergeCell ref="C33:D33"/>
    <mergeCell ref="A34:B34"/>
    <mergeCell ref="C34:D34"/>
    <mergeCell ref="I32:I33"/>
    <mergeCell ref="J32:J33"/>
    <mergeCell ref="K32:K33"/>
    <mergeCell ref="L32:L33"/>
    <mergeCell ref="M32:M33"/>
    <mergeCell ref="N32:N33"/>
    <mergeCell ref="A32:B32"/>
    <mergeCell ref="C32:D32"/>
    <mergeCell ref="E32:E33"/>
    <mergeCell ref="F32:F33"/>
    <mergeCell ref="G32:G33"/>
    <mergeCell ref="H32:H33"/>
    <mergeCell ref="M37:M39"/>
    <mergeCell ref="N37:N39"/>
    <mergeCell ref="O37:O39"/>
    <mergeCell ref="P37:P39"/>
    <mergeCell ref="A38:B38"/>
    <mergeCell ref="C38:D38"/>
    <mergeCell ref="A39:B39"/>
    <mergeCell ref="C39:D39"/>
    <mergeCell ref="G37:G39"/>
    <mergeCell ref="H37:H39"/>
    <mergeCell ref="I37:I39"/>
    <mergeCell ref="J37:J39"/>
    <mergeCell ref="K37:K39"/>
    <mergeCell ref="L37:L39"/>
    <mergeCell ref="A40:B40"/>
    <mergeCell ref="C40:D40"/>
    <mergeCell ref="A42:O42"/>
    <mergeCell ref="A45:B45"/>
    <mergeCell ref="C45:D45"/>
    <mergeCell ref="E45:E46"/>
    <mergeCell ref="F45:F46"/>
    <mergeCell ref="G45:G46"/>
    <mergeCell ref="H45:H46"/>
    <mergeCell ref="I45:I46"/>
    <mergeCell ref="P45:P46"/>
    <mergeCell ref="A46:B46"/>
    <mergeCell ref="C46:D46"/>
    <mergeCell ref="A47:B47"/>
    <mergeCell ref="C47:D47"/>
    <mergeCell ref="A48:B48"/>
    <mergeCell ref="C48:D48"/>
    <mergeCell ref="J45:J46"/>
    <mergeCell ref="K45:K46"/>
    <mergeCell ref="L45:L46"/>
    <mergeCell ref="M45:M46"/>
    <mergeCell ref="N45:N46"/>
    <mergeCell ref="O45:O46"/>
    <mergeCell ref="O50:O51"/>
    <mergeCell ref="P50:P51"/>
    <mergeCell ref="A51:B51"/>
    <mergeCell ref="C51:D51"/>
    <mergeCell ref="A53:B53"/>
    <mergeCell ref="C53:D53"/>
    <mergeCell ref="I50:I51"/>
    <mergeCell ref="J50:J51"/>
    <mergeCell ref="K50:K51"/>
    <mergeCell ref="L50:L51"/>
    <mergeCell ref="M50:M51"/>
    <mergeCell ref="N50:N51"/>
    <mergeCell ref="A50:B50"/>
    <mergeCell ref="C50:D50"/>
    <mergeCell ref="E50:E51"/>
    <mergeCell ref="F50:F51"/>
    <mergeCell ref="G50:G51"/>
    <mergeCell ref="H50:H51"/>
    <mergeCell ref="L54:L55"/>
    <mergeCell ref="N54:N55"/>
    <mergeCell ref="A56:B56"/>
    <mergeCell ref="C56:D56"/>
    <mergeCell ref="A54:B54"/>
    <mergeCell ref="C54:D55"/>
    <mergeCell ref="E54:E55"/>
    <mergeCell ref="F54:F55"/>
    <mergeCell ref="G54:G55"/>
    <mergeCell ref="H54:H55"/>
    <mergeCell ref="A58:B58"/>
    <mergeCell ref="C58:D58"/>
    <mergeCell ref="A59:B59"/>
    <mergeCell ref="C59:D59"/>
    <mergeCell ref="A61:B61"/>
    <mergeCell ref="C61:D61"/>
    <mergeCell ref="I54:I55"/>
    <mergeCell ref="J54:J55"/>
    <mergeCell ref="K54:K55"/>
    <mergeCell ref="O62:O63"/>
    <mergeCell ref="P62:P63"/>
    <mergeCell ref="A63:B63"/>
    <mergeCell ref="C63:D63"/>
    <mergeCell ref="A64:B64"/>
    <mergeCell ref="C64:D64"/>
    <mergeCell ref="I62:I63"/>
    <mergeCell ref="J62:J63"/>
    <mergeCell ref="K62:K63"/>
    <mergeCell ref="L62:L63"/>
    <mergeCell ref="M62:M63"/>
    <mergeCell ref="N62:N63"/>
    <mergeCell ref="A62:B62"/>
    <mergeCell ref="C62:D62"/>
    <mergeCell ref="E62:E63"/>
    <mergeCell ref="F62:F63"/>
    <mergeCell ref="G62:G63"/>
    <mergeCell ref="H62:H63"/>
    <mergeCell ref="O65:O66"/>
    <mergeCell ref="P65:P66"/>
    <mergeCell ref="A66:B66"/>
    <mergeCell ref="C66:D66"/>
    <mergeCell ref="A67:B67"/>
    <mergeCell ref="C67:D67"/>
    <mergeCell ref="E67:E69"/>
    <mergeCell ref="F67:F69"/>
    <mergeCell ref="G67:G69"/>
    <mergeCell ref="H67:H69"/>
    <mergeCell ref="I65:I66"/>
    <mergeCell ref="J65:J66"/>
    <mergeCell ref="K65:K66"/>
    <mergeCell ref="L65:L66"/>
    <mergeCell ref="M65:M66"/>
    <mergeCell ref="N65:N66"/>
    <mergeCell ref="A65:B65"/>
    <mergeCell ref="C65:D65"/>
    <mergeCell ref="E65:E66"/>
    <mergeCell ref="F65:F66"/>
    <mergeCell ref="G65:G66"/>
    <mergeCell ref="H65:H66"/>
    <mergeCell ref="A70:B70"/>
    <mergeCell ref="C70:D70"/>
    <mergeCell ref="A71:B71"/>
    <mergeCell ref="C71:D71"/>
    <mergeCell ref="A72:B72"/>
    <mergeCell ref="C72:D72"/>
    <mergeCell ref="O67:O69"/>
    <mergeCell ref="P67:P69"/>
    <mergeCell ref="A68:B68"/>
    <mergeCell ref="C68:D68"/>
    <mergeCell ref="A69:B69"/>
    <mergeCell ref="C69:D69"/>
    <mergeCell ref="I67:I69"/>
    <mergeCell ref="J67:J69"/>
    <mergeCell ref="K67:K69"/>
    <mergeCell ref="L67:L69"/>
    <mergeCell ref="M67:M69"/>
    <mergeCell ref="N67:N69"/>
    <mergeCell ref="N72:N75"/>
    <mergeCell ref="O72:O75"/>
    <mergeCell ref="P72:P75"/>
    <mergeCell ref="E72:E75"/>
    <mergeCell ref="F72:F75"/>
    <mergeCell ref="G72:G75"/>
    <mergeCell ref="H72:H75"/>
    <mergeCell ref="I72:I75"/>
    <mergeCell ref="J72:J75"/>
    <mergeCell ref="A73:B73"/>
    <mergeCell ref="C73:D73"/>
    <mergeCell ref="A74:B74"/>
    <mergeCell ref="C74:D74"/>
    <mergeCell ref="A75:B75"/>
    <mergeCell ref="C75:D75"/>
    <mergeCell ref="K72:K75"/>
    <mergeCell ref="L72:L75"/>
    <mergeCell ref="M72:M75"/>
    <mergeCell ref="A76:B76"/>
    <mergeCell ref="C76:D76"/>
    <mergeCell ref="A77:O77"/>
    <mergeCell ref="A80:B108"/>
    <mergeCell ref="C80:D80"/>
    <mergeCell ref="E80:E81"/>
    <mergeCell ref="F80:F81"/>
    <mergeCell ref="G80:G81"/>
    <mergeCell ref="H80:H81"/>
    <mergeCell ref="I80:I81"/>
    <mergeCell ref="N87:N89"/>
    <mergeCell ref="O87:O89"/>
    <mergeCell ref="C91:D91"/>
    <mergeCell ref="E91:E92"/>
    <mergeCell ref="F91:F92"/>
    <mergeCell ref="G91:G92"/>
    <mergeCell ref="H91:H92"/>
    <mergeCell ref="I91:I92"/>
    <mergeCell ref="J91:J92"/>
    <mergeCell ref="K91:K92"/>
    <mergeCell ref="L91:L92"/>
    <mergeCell ref="P80:P81"/>
    <mergeCell ref="C81:D81"/>
    <mergeCell ref="C83:D83"/>
    <mergeCell ref="C84:D85"/>
    <mergeCell ref="E84:E85"/>
    <mergeCell ref="F84:F85"/>
    <mergeCell ref="G84:G85"/>
    <mergeCell ref="H84:H85"/>
    <mergeCell ref="I84:I85"/>
    <mergeCell ref="J84:J85"/>
    <mergeCell ref="J80:J81"/>
    <mergeCell ref="K80:K81"/>
    <mergeCell ref="L80:L81"/>
    <mergeCell ref="M80:M81"/>
    <mergeCell ref="N80:N81"/>
    <mergeCell ref="O80:O81"/>
    <mergeCell ref="O94:O96"/>
    <mergeCell ref="P94:P96"/>
    <mergeCell ref="C95:D95"/>
    <mergeCell ref="C96:D96"/>
    <mergeCell ref="L94:L96"/>
    <mergeCell ref="M94:M96"/>
    <mergeCell ref="N94:N96"/>
    <mergeCell ref="P87:P89"/>
    <mergeCell ref="K84:K85"/>
    <mergeCell ref="L84:L85"/>
    <mergeCell ref="N84:N85"/>
    <mergeCell ref="C87:D87"/>
    <mergeCell ref="E87:E90"/>
    <mergeCell ref="F87:F90"/>
    <mergeCell ref="G87:G90"/>
    <mergeCell ref="H87:H90"/>
    <mergeCell ref="I87:I90"/>
    <mergeCell ref="J87:J90"/>
    <mergeCell ref="C88:D88"/>
    <mergeCell ref="C89:D89"/>
    <mergeCell ref="K87:K90"/>
    <mergeCell ref="L87:L90"/>
    <mergeCell ref="M87:M89"/>
    <mergeCell ref="C97:D97"/>
    <mergeCell ref="C99:D99"/>
    <mergeCell ref="E99:E101"/>
    <mergeCell ref="F99:F101"/>
    <mergeCell ref="G99:G101"/>
    <mergeCell ref="H99:H101"/>
    <mergeCell ref="I94:I96"/>
    <mergeCell ref="J94:J96"/>
    <mergeCell ref="K94:K96"/>
    <mergeCell ref="C94:D94"/>
    <mergeCell ref="E94:E96"/>
    <mergeCell ref="F94:F96"/>
    <mergeCell ref="G94:G96"/>
    <mergeCell ref="H94:H96"/>
    <mergeCell ref="O99:O101"/>
    <mergeCell ref="P99:P101"/>
    <mergeCell ref="C100:D100"/>
    <mergeCell ref="C101:D101"/>
    <mergeCell ref="C103:D103"/>
    <mergeCell ref="C104:D104"/>
    <mergeCell ref="E104:E105"/>
    <mergeCell ref="F104:F105"/>
    <mergeCell ref="G104:G105"/>
    <mergeCell ref="H104:H105"/>
    <mergeCell ref="I99:I101"/>
    <mergeCell ref="J99:J101"/>
    <mergeCell ref="K99:K101"/>
    <mergeCell ref="L99:L101"/>
    <mergeCell ref="M99:M101"/>
    <mergeCell ref="N99:N101"/>
    <mergeCell ref="O104:O105"/>
    <mergeCell ref="P104:P105"/>
    <mergeCell ref="C105:D105"/>
    <mergeCell ref="K104:K105"/>
    <mergeCell ref="L104:L105"/>
    <mergeCell ref="M104:M105"/>
    <mergeCell ref="N104:N105"/>
    <mergeCell ref="C107:D107"/>
    <mergeCell ref="C108:D108"/>
    <mergeCell ref="A109:B109"/>
    <mergeCell ref="C109:D109"/>
    <mergeCell ref="E109:E111"/>
    <mergeCell ref="F109:F111"/>
    <mergeCell ref="G109:G111"/>
    <mergeCell ref="I104:I105"/>
    <mergeCell ref="J104:J105"/>
    <mergeCell ref="O109:O111"/>
    <mergeCell ref="P109:P111"/>
    <mergeCell ref="A110:B110"/>
    <mergeCell ref="C110:D110"/>
    <mergeCell ref="A111:B111"/>
    <mergeCell ref="C111:D111"/>
    <mergeCell ref="H109:H111"/>
    <mergeCell ref="I109:I111"/>
    <mergeCell ref="J109:J111"/>
    <mergeCell ref="K109:K111"/>
    <mergeCell ref="L109:L111"/>
    <mergeCell ref="M109:M111"/>
    <mergeCell ref="A112:B112"/>
    <mergeCell ref="C112:D112"/>
    <mergeCell ref="A114:B114"/>
    <mergeCell ref="C114:D115"/>
    <mergeCell ref="A115:B115"/>
    <mergeCell ref="A116:B116"/>
    <mergeCell ref="C116:D117"/>
    <mergeCell ref="A117:B117"/>
    <mergeCell ref="N109:N111"/>
    <mergeCell ref="K116:K117"/>
    <mergeCell ref="L116:L117"/>
    <mergeCell ref="M116:M117"/>
    <mergeCell ref="N116:N117"/>
    <mergeCell ref="O116:O117"/>
    <mergeCell ref="P116:P117"/>
    <mergeCell ref="E116:E117"/>
    <mergeCell ref="F116:F117"/>
    <mergeCell ref="G116:G117"/>
    <mergeCell ref="H116:H117"/>
    <mergeCell ref="I116:I117"/>
    <mergeCell ref="J116:J117"/>
    <mergeCell ref="A119:O119"/>
    <mergeCell ref="A122:B122"/>
    <mergeCell ref="C122:D122"/>
    <mergeCell ref="E122:E123"/>
    <mergeCell ref="F122:F123"/>
    <mergeCell ref="G122:G123"/>
    <mergeCell ref="H122:H123"/>
    <mergeCell ref="I122:I123"/>
    <mergeCell ref="J122:J123"/>
    <mergeCell ref="K122:K123"/>
    <mergeCell ref="I124:I125"/>
    <mergeCell ref="J124:J125"/>
    <mergeCell ref="K124:K125"/>
    <mergeCell ref="A125:B125"/>
    <mergeCell ref="C125:D125"/>
    <mergeCell ref="A126:B126"/>
    <mergeCell ref="C126:D126"/>
    <mergeCell ref="A124:B124"/>
    <mergeCell ref="C124:D124"/>
    <mergeCell ref="E124:E125"/>
    <mergeCell ref="F124:F125"/>
    <mergeCell ref="G124:G125"/>
    <mergeCell ref="H124:H125"/>
    <mergeCell ref="O127:O128"/>
    <mergeCell ref="P127:P128"/>
    <mergeCell ref="A128:B128"/>
    <mergeCell ref="C128:D128"/>
    <mergeCell ref="A129:B129"/>
    <mergeCell ref="C129:D129"/>
    <mergeCell ref="I127:I128"/>
    <mergeCell ref="J127:J128"/>
    <mergeCell ref="K127:K128"/>
    <mergeCell ref="L127:L128"/>
    <mergeCell ref="M127:M128"/>
    <mergeCell ref="N127:N128"/>
    <mergeCell ref="A127:B127"/>
    <mergeCell ref="C127:D127"/>
    <mergeCell ref="E127:E128"/>
    <mergeCell ref="F127:F128"/>
    <mergeCell ref="G127:G128"/>
    <mergeCell ref="H127:H128"/>
    <mergeCell ref="A135:B135"/>
    <mergeCell ref="C135:D135"/>
    <mergeCell ref="A131:B131"/>
    <mergeCell ref="C131:D132"/>
    <mergeCell ref="A132:B132"/>
    <mergeCell ref="A133:B133"/>
    <mergeCell ref="C133:D133"/>
    <mergeCell ref="A134:B134"/>
    <mergeCell ref="C134:D134"/>
  </mergeCells>
  <pageMargins left="0.70000000000000007" right="0.70000000000000007" top="0.75" bottom="0.75" header="0.30000000000000004" footer="0.30000000000000004"/>
  <pageSetup paperSize="9"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2:N73"/>
  <sheetViews>
    <sheetView topLeftCell="A4" zoomScale="69" zoomScaleNormal="69" zoomScaleSheetLayoutView="69" workbookViewId="0">
      <pane xSplit="2" ySplit="2" topLeftCell="E6" activePane="bottomRight" state="frozen"/>
      <selection activeCell="A4" sqref="A4"/>
      <selection pane="topRight" activeCell="C4" sqref="C4"/>
      <selection pane="bottomLeft" activeCell="A6" sqref="A6"/>
      <selection pane="bottomRight" activeCell="N14" sqref="N14"/>
    </sheetView>
  </sheetViews>
  <sheetFormatPr baseColWidth="10" defaultColWidth="9.140625" defaultRowHeight="15" x14ac:dyDescent="0.25"/>
  <cols>
    <col min="1" max="1" width="4.28515625" style="14" customWidth="1"/>
    <col min="2" max="2" width="27.85546875" style="14" customWidth="1"/>
    <col min="3" max="3" width="33.7109375" style="14" customWidth="1"/>
    <col min="4" max="4" width="16.5703125" style="14" hidden="1" customWidth="1"/>
    <col min="5" max="5" width="23.140625" style="14" customWidth="1"/>
    <col min="6" max="6" width="17.5703125" style="14" customWidth="1"/>
    <col min="7" max="7" width="21.140625" style="14" customWidth="1"/>
    <col min="8" max="8" width="18" style="14" customWidth="1"/>
    <col min="9" max="9" width="24.28515625" style="14" customWidth="1"/>
    <col min="10" max="11" width="22.42578125" style="44" customWidth="1"/>
    <col min="12" max="12" width="21.140625" style="45" customWidth="1"/>
    <col min="13" max="13" width="39.140625" style="14" customWidth="1"/>
    <col min="14" max="14" width="41.42578125" style="14" customWidth="1"/>
    <col min="15" max="16384" width="9.140625" style="14"/>
  </cols>
  <sheetData>
    <row r="2" spans="1:14" ht="29.25" customHeight="1" x14ac:dyDescent="0.7">
      <c r="B2" s="846" t="s">
        <v>549</v>
      </c>
      <c r="C2" s="846"/>
      <c r="D2" s="846"/>
      <c r="E2" s="846"/>
      <c r="F2" s="846"/>
      <c r="G2" s="12"/>
      <c r="H2" s="12"/>
      <c r="I2" s="13"/>
      <c r="J2" s="46"/>
      <c r="K2" s="46"/>
      <c r="L2" s="432"/>
    </row>
    <row r="3" spans="1:14" ht="24" customHeight="1" x14ac:dyDescent="0.4">
      <c r="B3" s="847" t="s">
        <v>342</v>
      </c>
      <c r="C3" s="847"/>
      <c r="D3" s="847"/>
      <c r="E3" s="847"/>
      <c r="F3" s="847"/>
      <c r="G3" s="847"/>
      <c r="H3" s="847"/>
      <c r="I3" s="847"/>
      <c r="J3" s="47"/>
      <c r="K3" s="47"/>
      <c r="L3" s="433"/>
    </row>
    <row r="4" spans="1:14" ht="30" customHeight="1" thickBot="1" x14ac:dyDescent="0.4">
      <c r="B4" s="851" t="s">
        <v>836</v>
      </c>
      <c r="C4" s="851"/>
      <c r="D4" s="851"/>
      <c r="E4" s="851"/>
      <c r="F4" s="851"/>
      <c r="G4" s="851"/>
      <c r="H4" s="851"/>
      <c r="I4" s="851"/>
      <c r="J4" s="851"/>
      <c r="K4" s="851"/>
      <c r="L4" s="851"/>
      <c r="M4" s="851"/>
    </row>
    <row r="5" spans="1:14" ht="127.5" customHeight="1" x14ac:dyDescent="0.25">
      <c r="B5" s="488" t="s">
        <v>343</v>
      </c>
      <c r="C5" s="489" t="s">
        <v>378</v>
      </c>
      <c r="D5" s="489" t="s">
        <v>821</v>
      </c>
      <c r="E5" s="489" t="s">
        <v>822</v>
      </c>
      <c r="F5" s="490" t="s">
        <v>823</v>
      </c>
      <c r="G5" s="490" t="s">
        <v>379</v>
      </c>
      <c r="H5" s="489" t="s">
        <v>1</v>
      </c>
      <c r="I5" s="489" t="s">
        <v>380</v>
      </c>
      <c r="J5" s="547" t="s">
        <v>804</v>
      </c>
      <c r="K5" s="600" t="s">
        <v>564</v>
      </c>
      <c r="L5" s="434" t="s">
        <v>565</v>
      </c>
      <c r="M5" s="172" t="s">
        <v>551</v>
      </c>
    </row>
    <row r="6" spans="1:14" ht="48" customHeight="1" x14ac:dyDescent="0.25">
      <c r="B6" s="491"/>
      <c r="C6" s="435"/>
      <c r="D6" s="435"/>
      <c r="E6" s="54"/>
      <c r="F6" s="54"/>
      <c r="G6" s="54"/>
      <c r="H6" s="25"/>
      <c r="I6" s="25"/>
      <c r="J6" s="25"/>
      <c r="K6" s="25"/>
      <c r="L6" s="435"/>
      <c r="M6" s="492"/>
    </row>
    <row r="7" spans="1:14" ht="49.5" customHeight="1" x14ac:dyDescent="0.25">
      <c r="B7" s="493" t="s">
        <v>344</v>
      </c>
      <c r="C7" s="838" t="s">
        <v>537</v>
      </c>
      <c r="D7" s="838"/>
      <c r="E7" s="838"/>
      <c r="F7" s="838"/>
      <c r="G7" s="838"/>
      <c r="H7" s="838"/>
      <c r="I7" s="838"/>
      <c r="J7" s="839"/>
      <c r="K7" s="839"/>
      <c r="L7" s="839"/>
      <c r="M7" s="492"/>
    </row>
    <row r="8" spans="1:14" ht="51" customHeight="1" x14ac:dyDescent="0.25">
      <c r="B8" s="494" t="s">
        <v>345</v>
      </c>
      <c r="C8" s="848" t="s">
        <v>531</v>
      </c>
      <c r="D8" s="848"/>
      <c r="E8" s="849"/>
      <c r="F8" s="849"/>
      <c r="G8" s="849"/>
      <c r="H8" s="849"/>
      <c r="I8" s="849"/>
      <c r="J8" s="850"/>
      <c r="K8" s="850"/>
      <c r="L8" s="850"/>
      <c r="M8" s="492"/>
    </row>
    <row r="9" spans="1:14" ht="62.45" customHeight="1" x14ac:dyDescent="0.25">
      <c r="B9" s="495" t="s">
        <v>346</v>
      </c>
      <c r="C9" s="147" t="s">
        <v>548</v>
      </c>
      <c r="D9" s="147"/>
      <c r="E9" s="6"/>
      <c r="F9" s="6"/>
      <c r="G9" s="6"/>
      <c r="H9" s="38">
        <f>SUM(E9:G9)</f>
        <v>0</v>
      </c>
      <c r="I9" s="37"/>
      <c r="J9" s="6"/>
      <c r="K9" s="6"/>
      <c r="L9" s="436"/>
      <c r="M9" s="496"/>
    </row>
    <row r="10" spans="1:14" ht="57.6" customHeight="1" x14ac:dyDescent="0.25">
      <c r="B10" s="506" t="s">
        <v>347</v>
      </c>
      <c r="C10" s="147" t="s">
        <v>514</v>
      </c>
      <c r="D10" s="480">
        <v>61500</v>
      </c>
      <c r="E10" s="425">
        <v>68531.8</v>
      </c>
      <c r="F10" s="425">
        <v>17800</v>
      </c>
      <c r="G10" s="425"/>
      <c r="H10" s="507">
        <f t="shared" ref="H10:H12" si="0">SUM(E10:G10)</f>
        <v>86331.8</v>
      </c>
      <c r="I10" s="508">
        <v>0.35</v>
      </c>
      <c r="J10" s="509">
        <v>68531.399999999994</v>
      </c>
      <c r="K10" s="509">
        <v>9519.9627234206273</v>
      </c>
      <c r="L10" s="510">
        <f>J10+K10</f>
        <v>78051.362723420621</v>
      </c>
      <c r="M10" s="492" t="s">
        <v>808</v>
      </c>
    </row>
    <row r="11" spans="1:14" ht="75" x14ac:dyDescent="0.25">
      <c r="B11" s="506" t="s">
        <v>348</v>
      </c>
      <c r="C11" s="147" t="s">
        <v>515</v>
      </c>
      <c r="D11" s="480">
        <v>22000</v>
      </c>
      <c r="E11" s="425">
        <v>41272.1</v>
      </c>
      <c r="F11" s="425">
        <v>8550</v>
      </c>
      <c r="G11" s="425"/>
      <c r="H11" s="507">
        <f t="shared" si="0"/>
        <v>49822.1</v>
      </c>
      <c r="I11" s="508">
        <v>0.35</v>
      </c>
      <c r="J11" s="511">
        <v>40602.1</v>
      </c>
      <c r="K11" s="509">
        <v>4334.1038453036062</v>
      </c>
      <c r="L11" s="510">
        <f>J11+K11</f>
        <v>44936.203845303608</v>
      </c>
      <c r="M11" s="492" t="s">
        <v>809</v>
      </c>
    </row>
    <row r="12" spans="1:14" ht="109.5" customHeight="1" x14ac:dyDescent="0.25">
      <c r="B12" s="506" t="s">
        <v>349</v>
      </c>
      <c r="C12" s="147" t="s">
        <v>516</v>
      </c>
      <c r="D12" s="480">
        <v>13000</v>
      </c>
      <c r="E12" s="425">
        <v>13000</v>
      </c>
      <c r="F12" s="425">
        <v>850</v>
      </c>
      <c r="G12" s="425"/>
      <c r="H12" s="507">
        <f t="shared" si="0"/>
        <v>13850</v>
      </c>
      <c r="I12" s="508">
        <v>0.3</v>
      </c>
      <c r="J12" s="431">
        <v>22683.5</v>
      </c>
      <c r="K12" s="512">
        <v>122.75642810495569</v>
      </c>
      <c r="L12" s="510">
        <f>J12+K12</f>
        <v>22806.256428104956</v>
      </c>
      <c r="M12" s="907" t="s">
        <v>845</v>
      </c>
      <c r="N12" s="906"/>
    </row>
    <row r="13" spans="1:14" ht="50.25" customHeight="1" x14ac:dyDescent="0.25">
      <c r="A13" s="15"/>
      <c r="B13" s="513"/>
      <c r="C13" s="23" t="s">
        <v>381</v>
      </c>
      <c r="D13" s="481">
        <f>SUM(D9:D12)</f>
        <v>96500</v>
      </c>
      <c r="E13" s="7">
        <f>SUM(E9:E12)</f>
        <v>122803.9</v>
      </c>
      <c r="F13" s="7">
        <f>SUM(F9:F12)</f>
        <v>27200</v>
      </c>
      <c r="G13" s="7">
        <f>SUM(G9:G12)</f>
        <v>0</v>
      </c>
      <c r="H13" s="7">
        <f>SUM(H9:H12)</f>
        <v>150003.9</v>
      </c>
      <c r="I13" s="7">
        <f>(I9*H9)+(I10*H10)+(I11*H11)+(I12*H12)</f>
        <v>51808.864999999991</v>
      </c>
      <c r="J13" s="7">
        <f>SUM(J9:J12)</f>
        <v>131817</v>
      </c>
      <c r="K13" s="7">
        <f>SUM(K10:K12)</f>
        <v>13976.822996829189</v>
      </c>
      <c r="L13" s="56">
        <f>SUM(L10:L12)</f>
        <v>145793.82299682917</v>
      </c>
      <c r="M13" s="492" t="s">
        <v>828</v>
      </c>
    </row>
    <row r="14" spans="1:14" ht="51" customHeight="1" x14ac:dyDescent="0.25">
      <c r="A14" s="15"/>
      <c r="B14" s="493" t="s">
        <v>350</v>
      </c>
      <c r="C14" s="841" t="s">
        <v>532</v>
      </c>
      <c r="D14" s="841"/>
      <c r="E14" s="841"/>
      <c r="F14" s="841"/>
      <c r="G14" s="841"/>
      <c r="H14" s="841"/>
      <c r="I14" s="841"/>
      <c r="J14" s="842"/>
      <c r="K14" s="842"/>
      <c r="L14" s="842"/>
      <c r="M14" s="492"/>
    </row>
    <row r="15" spans="1:14" ht="93.75" customHeight="1" x14ac:dyDescent="0.25">
      <c r="A15" s="15"/>
      <c r="B15" s="506" t="s">
        <v>351</v>
      </c>
      <c r="C15" s="147" t="s">
        <v>518</v>
      </c>
      <c r="D15" s="480">
        <v>57000</v>
      </c>
      <c r="E15" s="425">
        <v>57000</v>
      </c>
      <c r="F15" s="425">
        <v>3400</v>
      </c>
      <c r="G15" s="425"/>
      <c r="H15" s="507">
        <f>SUM(E15:G15)</f>
        <v>60400</v>
      </c>
      <c r="I15" s="508">
        <v>0.4</v>
      </c>
      <c r="J15" s="511">
        <v>57000</v>
      </c>
      <c r="K15" s="425">
        <v>3367.0640557684615</v>
      </c>
      <c r="L15" s="510">
        <f>J15+K15</f>
        <v>60367.06405576846</v>
      </c>
      <c r="M15" s="492" t="s">
        <v>810</v>
      </c>
    </row>
    <row r="16" spans="1:14" ht="110.25" x14ac:dyDescent="0.25">
      <c r="A16" s="15"/>
      <c r="B16" s="506" t="s">
        <v>352</v>
      </c>
      <c r="C16" s="147" t="s">
        <v>519</v>
      </c>
      <c r="D16" s="480">
        <v>165000</v>
      </c>
      <c r="E16" s="425">
        <v>154000</v>
      </c>
      <c r="F16" s="425">
        <v>7000</v>
      </c>
      <c r="G16" s="425"/>
      <c r="H16" s="507">
        <f t="shared" ref="H16:H17" si="1">SUM(E16:G16)</f>
        <v>161000</v>
      </c>
      <c r="I16" s="508">
        <v>0.4</v>
      </c>
      <c r="J16" s="511">
        <v>33265</v>
      </c>
      <c r="K16" s="514">
        <v>7156.6911032023663</v>
      </c>
      <c r="L16" s="510">
        <f>J16+K16</f>
        <v>40421.691103202364</v>
      </c>
      <c r="M16" s="492" t="s">
        <v>811</v>
      </c>
    </row>
    <row r="17" spans="1:13" ht="217.15" customHeight="1" x14ac:dyDescent="0.25">
      <c r="A17" s="15"/>
      <c r="B17" s="506" t="s">
        <v>353</v>
      </c>
      <c r="C17" s="147" t="s">
        <v>541</v>
      </c>
      <c r="D17" s="480">
        <v>20000</v>
      </c>
      <c r="E17" s="425">
        <v>20000</v>
      </c>
      <c r="F17" s="425">
        <v>850</v>
      </c>
      <c r="G17" s="425"/>
      <c r="H17" s="507">
        <f t="shared" si="1"/>
        <v>20850</v>
      </c>
      <c r="I17" s="508">
        <v>0.4</v>
      </c>
      <c r="J17" s="425">
        <v>5832</v>
      </c>
      <c r="K17" s="425">
        <v>2307.6490333837896</v>
      </c>
      <c r="L17" s="510">
        <f>J17+K17</f>
        <v>8139.6490333837901</v>
      </c>
      <c r="M17" s="602" t="s">
        <v>839</v>
      </c>
    </row>
    <row r="18" spans="1:13" ht="37.5" customHeight="1" x14ac:dyDescent="0.25">
      <c r="A18" s="15"/>
      <c r="B18" s="513"/>
      <c r="C18" s="23" t="s">
        <v>381</v>
      </c>
      <c r="D18" s="482">
        <f>SUM(D15:D17)</f>
        <v>242000</v>
      </c>
      <c r="E18" s="8">
        <f>SUM(E15:E17)</f>
        <v>231000</v>
      </c>
      <c r="F18" s="8">
        <f>SUM(F15:F17)</f>
        <v>11250</v>
      </c>
      <c r="G18" s="8">
        <f>SUM(G15:G17)</f>
        <v>0</v>
      </c>
      <c r="H18" s="8">
        <f>SUM(H15:H17)</f>
        <v>242250</v>
      </c>
      <c r="I18" s="7">
        <f>(I15*H15)+(I16*H16)+(I17*H17)</f>
        <v>96900</v>
      </c>
      <c r="J18" s="7">
        <f>SUM(J15:J17)</f>
        <v>96097</v>
      </c>
      <c r="K18" s="7">
        <f>SUM(K15:K17)</f>
        <v>12831.404192354617</v>
      </c>
      <c r="L18" s="56">
        <f>SUM(L15:L17)</f>
        <v>108928.40419235462</v>
      </c>
      <c r="M18" s="492" t="s">
        <v>829</v>
      </c>
    </row>
    <row r="19" spans="1:13" ht="36.75" customHeight="1" x14ac:dyDescent="0.25">
      <c r="B19" s="515"/>
      <c r="C19" s="516"/>
      <c r="D19" s="516"/>
      <c r="E19" s="517"/>
      <c r="F19" s="517"/>
      <c r="G19" s="517"/>
      <c r="H19" s="517"/>
      <c r="I19" s="517"/>
      <c r="J19" s="517"/>
      <c r="K19" s="517"/>
      <c r="L19" s="487"/>
      <c r="M19" s="492"/>
    </row>
    <row r="20" spans="1:13" ht="51" customHeight="1" x14ac:dyDescent="0.25">
      <c r="B20" s="9" t="s">
        <v>354</v>
      </c>
      <c r="C20" s="840" t="s">
        <v>538</v>
      </c>
      <c r="D20" s="840"/>
      <c r="E20" s="840"/>
      <c r="F20" s="840"/>
      <c r="G20" s="840"/>
      <c r="H20" s="840"/>
      <c r="I20" s="840"/>
      <c r="J20" s="839"/>
      <c r="K20" s="839"/>
      <c r="L20" s="839"/>
      <c r="M20" s="492"/>
    </row>
    <row r="21" spans="1:13" ht="51" customHeight="1" x14ac:dyDescent="0.25">
      <c r="B21" s="493" t="s">
        <v>355</v>
      </c>
      <c r="C21" s="841" t="s">
        <v>539</v>
      </c>
      <c r="D21" s="841"/>
      <c r="E21" s="841"/>
      <c r="F21" s="841"/>
      <c r="G21" s="841"/>
      <c r="H21" s="841"/>
      <c r="I21" s="841"/>
      <c r="J21" s="842"/>
      <c r="K21" s="842"/>
      <c r="L21" s="842"/>
      <c r="M21" s="492"/>
    </row>
    <row r="22" spans="1:13" ht="112.5" customHeight="1" x14ac:dyDescent="0.25">
      <c r="B22" s="506" t="s">
        <v>356</v>
      </c>
      <c r="C22" s="147" t="s">
        <v>530</v>
      </c>
      <c r="D22" s="425">
        <v>38000</v>
      </c>
      <c r="E22" s="425">
        <v>38000</v>
      </c>
      <c r="F22" s="425">
        <v>1000</v>
      </c>
      <c r="G22" s="425"/>
      <c r="H22" s="507">
        <f>SUM(E22:G22)</f>
        <v>39000</v>
      </c>
      <c r="I22" s="508">
        <v>0.35</v>
      </c>
      <c r="J22" s="425">
        <v>38000</v>
      </c>
      <c r="K22" s="425">
        <v>71.698113207547166</v>
      </c>
      <c r="L22" s="510">
        <f>J22+K22</f>
        <v>38071.698113207545</v>
      </c>
      <c r="M22" s="492" t="s">
        <v>812</v>
      </c>
    </row>
    <row r="23" spans="1:13" ht="103.5" customHeight="1" x14ac:dyDescent="0.25">
      <c r="B23" s="506" t="s">
        <v>357</v>
      </c>
      <c r="C23" s="147" t="s">
        <v>520</v>
      </c>
      <c r="D23" s="425">
        <v>34000</v>
      </c>
      <c r="E23" s="425">
        <v>46359.47</v>
      </c>
      <c r="F23" s="425">
        <v>3000</v>
      </c>
      <c r="G23" s="425"/>
      <c r="H23" s="507">
        <f t="shared" ref="H23" si="2">SUM(E23:G23)</f>
        <v>49359.47</v>
      </c>
      <c r="I23" s="508">
        <v>0.35</v>
      </c>
      <c r="J23" s="425">
        <v>37859.47</v>
      </c>
      <c r="K23" s="425">
        <v>2900.6511045523653</v>
      </c>
      <c r="L23" s="510">
        <f>J23+K23</f>
        <v>40760.121104552367</v>
      </c>
      <c r="M23" s="492" t="s">
        <v>813</v>
      </c>
    </row>
    <row r="24" spans="1:13" s="15" customFormat="1" ht="45" customHeight="1" x14ac:dyDescent="0.25">
      <c r="A24" s="14"/>
      <c r="B24" s="513"/>
      <c r="C24" s="23" t="s">
        <v>381</v>
      </c>
      <c r="D24" s="483">
        <f>SUM(D22:D23)</f>
        <v>72000</v>
      </c>
      <c r="E24" s="7">
        <f>SUM(E22:E23)</f>
        <v>84359.47</v>
      </c>
      <c r="F24" s="7">
        <f>SUM(F22:F23)</f>
        <v>4000</v>
      </c>
      <c r="G24" s="7">
        <f>SUM(G22:G23)</f>
        <v>0</v>
      </c>
      <c r="H24" s="8">
        <f>SUM(H22:H23)</f>
        <v>88359.47</v>
      </c>
      <c r="I24" s="7">
        <f>(I22*H22)+(I23*H23)</f>
        <v>30925.8145</v>
      </c>
      <c r="J24" s="7">
        <f>SUM(J22:J23)</f>
        <v>75859.47</v>
      </c>
      <c r="K24" s="7">
        <f>SUM(K22:K23)</f>
        <v>2972.3492177599123</v>
      </c>
      <c r="L24" s="56">
        <f>SUM(L22:L23)</f>
        <v>78831.819217759912</v>
      </c>
      <c r="M24" s="518" t="s">
        <v>806</v>
      </c>
    </row>
    <row r="25" spans="1:13" ht="51" customHeight="1" x14ac:dyDescent="0.25">
      <c r="B25" s="493" t="s">
        <v>358</v>
      </c>
      <c r="C25" s="841" t="s">
        <v>533</v>
      </c>
      <c r="D25" s="841"/>
      <c r="E25" s="841"/>
      <c r="F25" s="841"/>
      <c r="G25" s="841"/>
      <c r="H25" s="841"/>
      <c r="I25" s="841"/>
      <c r="J25" s="842"/>
      <c r="K25" s="842"/>
      <c r="L25" s="842"/>
      <c r="M25" s="492"/>
    </row>
    <row r="26" spans="1:13" ht="63" x14ac:dyDescent="0.25">
      <c r="B26" s="506" t="s">
        <v>359</v>
      </c>
      <c r="C26" s="147" t="s">
        <v>521</v>
      </c>
      <c r="D26" s="480">
        <v>13000</v>
      </c>
      <c r="E26" s="425">
        <v>13000</v>
      </c>
      <c r="F26" s="425">
        <v>4850</v>
      </c>
      <c r="G26" s="425"/>
      <c r="H26" s="507">
        <f>SUM(E26:G26)</f>
        <v>17850</v>
      </c>
      <c r="I26" s="508">
        <v>0.25</v>
      </c>
      <c r="J26" s="425">
        <v>12111</v>
      </c>
      <c r="K26" s="425">
        <v>2573.5063053394151</v>
      </c>
      <c r="L26" s="510">
        <f>J26+K26</f>
        <v>14684.506305339415</v>
      </c>
      <c r="M26" s="492"/>
    </row>
    <row r="27" spans="1:13" ht="49.9" customHeight="1" x14ac:dyDescent="0.25">
      <c r="B27" s="506" t="s">
        <v>360</v>
      </c>
      <c r="C27" s="147" t="s">
        <v>522</v>
      </c>
      <c r="D27" s="147"/>
      <c r="E27" s="425">
        <v>0</v>
      </c>
      <c r="F27" s="425">
        <v>42680</v>
      </c>
      <c r="G27" s="425"/>
      <c r="H27" s="507">
        <f t="shared" ref="H27:H29" si="3">SUM(E27:G27)</f>
        <v>42680</v>
      </c>
      <c r="I27" s="508">
        <v>0.4</v>
      </c>
      <c r="J27" s="425"/>
      <c r="K27" s="425">
        <v>34860.517464516117</v>
      </c>
      <c r="L27" s="510">
        <f t="shared" ref="L27:L28" si="4">J27+K27</f>
        <v>34860.517464516117</v>
      </c>
      <c r="M27" s="492"/>
    </row>
    <row r="28" spans="1:13" ht="47.25" x14ac:dyDescent="0.25">
      <c r="B28" s="506" t="s">
        <v>361</v>
      </c>
      <c r="C28" s="147" t="s">
        <v>523</v>
      </c>
      <c r="D28" s="147"/>
      <c r="E28" s="425">
        <v>0</v>
      </c>
      <c r="F28" s="425">
        <v>72975</v>
      </c>
      <c r="G28" s="425"/>
      <c r="H28" s="507">
        <f t="shared" si="3"/>
        <v>72975</v>
      </c>
      <c r="I28" s="508">
        <v>0.4</v>
      </c>
      <c r="J28" s="425"/>
      <c r="K28" s="425">
        <v>69258.740318650394</v>
      </c>
      <c r="L28" s="510">
        <f t="shared" si="4"/>
        <v>69258.740318650394</v>
      </c>
      <c r="M28" s="492"/>
    </row>
    <row r="29" spans="1:13" ht="79.900000000000006" customHeight="1" x14ac:dyDescent="0.25">
      <c r="B29" s="506" t="s">
        <v>362</v>
      </c>
      <c r="C29" s="147" t="s">
        <v>543</v>
      </c>
      <c r="D29" s="147"/>
      <c r="E29" s="425">
        <v>11000</v>
      </c>
      <c r="F29" s="425">
        <v>9700</v>
      </c>
      <c r="G29" s="425"/>
      <c r="H29" s="507">
        <f t="shared" si="3"/>
        <v>20700</v>
      </c>
      <c r="I29" s="508">
        <v>0.4</v>
      </c>
      <c r="J29" s="425">
        <v>11000</v>
      </c>
      <c r="K29" s="425">
        <v>7680.0355495255599</v>
      </c>
      <c r="L29" s="510">
        <f>J29+K29</f>
        <v>18680.035549525561</v>
      </c>
      <c r="M29" s="492"/>
    </row>
    <row r="30" spans="1:13" ht="39" customHeight="1" x14ac:dyDescent="0.25">
      <c r="B30" s="513"/>
      <c r="C30" s="23" t="s">
        <v>381</v>
      </c>
      <c r="D30" s="484">
        <f>SUM(D26:D29)</f>
        <v>13000</v>
      </c>
      <c r="E30" s="7">
        <f>SUM(E26:E29)</f>
        <v>24000</v>
      </c>
      <c r="F30" s="7">
        <f>SUM(F26:F29)</f>
        <v>130205</v>
      </c>
      <c r="G30" s="7">
        <f>SUM(G26:G29)</f>
        <v>0</v>
      </c>
      <c r="H30" s="7">
        <f>SUM(H26:H29)</f>
        <v>154205</v>
      </c>
      <c r="I30" s="7">
        <f>(I26*H26)+(I27*H27)+(I28*H28)+(I29*H29)</f>
        <v>59004.5</v>
      </c>
      <c r="J30" s="7">
        <f>SUM(J26:J29)</f>
        <v>23111</v>
      </c>
      <c r="K30" s="7">
        <f>SUM(K26:K29)</f>
        <v>114372.79963803149</v>
      </c>
      <c r="L30" s="56">
        <f>SUM(L26:L29)</f>
        <v>137483.79963803149</v>
      </c>
      <c r="M30" s="492" t="s">
        <v>824</v>
      </c>
    </row>
    <row r="31" spans="1:13" ht="37.5" customHeight="1" x14ac:dyDescent="0.25">
      <c r="B31" s="497"/>
      <c r="C31" s="519"/>
      <c r="D31" s="519"/>
      <c r="E31" s="520"/>
      <c r="F31" s="520"/>
      <c r="G31" s="520"/>
      <c r="H31" s="520"/>
      <c r="I31" s="520"/>
      <c r="J31" s="520"/>
      <c r="K31" s="520"/>
      <c r="L31" s="521"/>
      <c r="M31" s="522"/>
    </row>
    <row r="32" spans="1:13" s="262" customFormat="1" ht="51" customHeight="1" x14ac:dyDescent="0.25">
      <c r="A32" s="14"/>
      <c r="B32" s="9" t="s">
        <v>363</v>
      </c>
      <c r="C32" s="843" t="s">
        <v>540</v>
      </c>
      <c r="D32" s="843"/>
      <c r="E32" s="843"/>
      <c r="F32" s="843"/>
      <c r="G32" s="843"/>
      <c r="H32" s="843"/>
      <c r="I32" s="843"/>
      <c r="J32" s="844"/>
      <c r="K32" s="844"/>
      <c r="L32" s="844"/>
      <c r="M32" s="523"/>
    </row>
    <row r="33" spans="2:13" ht="51" customHeight="1" x14ac:dyDescent="0.25">
      <c r="B33" s="493" t="s">
        <v>364</v>
      </c>
      <c r="C33" s="841" t="s">
        <v>534</v>
      </c>
      <c r="D33" s="841"/>
      <c r="E33" s="841"/>
      <c r="F33" s="841"/>
      <c r="G33" s="841"/>
      <c r="H33" s="841"/>
      <c r="I33" s="841"/>
      <c r="J33" s="842"/>
      <c r="K33" s="842"/>
      <c r="L33" s="842"/>
      <c r="M33" s="492"/>
    </row>
    <row r="34" spans="2:13" ht="63" x14ac:dyDescent="0.3">
      <c r="B34" s="506" t="s">
        <v>365</v>
      </c>
      <c r="C34" s="147" t="s">
        <v>524</v>
      </c>
      <c r="D34" s="480">
        <v>30000</v>
      </c>
      <c r="E34" s="425">
        <v>31000</v>
      </c>
      <c r="F34" s="425">
        <v>2400</v>
      </c>
      <c r="G34" s="425"/>
      <c r="H34" s="507">
        <f>SUM(E34:G34)</f>
        <v>33400</v>
      </c>
      <c r="I34" s="508">
        <v>0.4</v>
      </c>
      <c r="J34" s="511">
        <v>31000</v>
      </c>
      <c r="K34" s="425">
        <v>1349.8227282468745</v>
      </c>
      <c r="L34" s="510">
        <f>J34+K34</f>
        <v>32349.822728246876</v>
      </c>
      <c r="M34" s="498" t="s">
        <v>814</v>
      </c>
    </row>
    <row r="35" spans="2:13" ht="78.75" x14ac:dyDescent="0.3">
      <c r="B35" s="506" t="s">
        <v>366</v>
      </c>
      <c r="C35" s="147" t="s">
        <v>525</v>
      </c>
      <c r="D35" s="480">
        <v>35500</v>
      </c>
      <c r="E35" s="425">
        <v>74600</v>
      </c>
      <c r="F35" s="425">
        <v>1200</v>
      </c>
      <c r="G35" s="425"/>
      <c r="H35" s="507">
        <f t="shared" ref="H35:H38" si="5">SUM(E35:G35)</f>
        <v>75800</v>
      </c>
      <c r="I35" s="508">
        <v>0.4</v>
      </c>
      <c r="J35" s="511">
        <v>74600</v>
      </c>
      <c r="K35" s="425">
        <v>871.39622641509436</v>
      </c>
      <c r="L35" s="510">
        <f t="shared" ref="L35:L38" si="6">J35+K35</f>
        <v>75471.39622641509</v>
      </c>
      <c r="M35" s="498" t="s">
        <v>815</v>
      </c>
    </row>
    <row r="36" spans="2:13" ht="38.450000000000003" customHeight="1" x14ac:dyDescent="0.3">
      <c r="B36" s="506" t="s">
        <v>367</v>
      </c>
      <c r="C36" s="147" t="s">
        <v>526</v>
      </c>
      <c r="D36" s="480">
        <v>17000</v>
      </c>
      <c r="E36" s="425">
        <v>17000</v>
      </c>
      <c r="F36" s="425">
        <v>1600</v>
      </c>
      <c r="G36" s="425"/>
      <c r="H36" s="507">
        <f t="shared" si="5"/>
        <v>18600</v>
      </c>
      <c r="I36" s="508">
        <v>0.25</v>
      </c>
      <c r="J36" s="511">
        <v>17000</v>
      </c>
      <c r="K36" s="425">
        <v>1806.8318053031339</v>
      </c>
      <c r="L36" s="510">
        <f t="shared" si="6"/>
        <v>18806.831805303133</v>
      </c>
      <c r="M36" s="498" t="s">
        <v>816</v>
      </c>
    </row>
    <row r="37" spans="2:13" ht="63" x14ac:dyDescent="0.3">
      <c r="B37" s="506" t="s">
        <v>368</v>
      </c>
      <c r="C37" s="147" t="s">
        <v>545</v>
      </c>
      <c r="D37" s="480">
        <v>9000</v>
      </c>
      <c r="E37" s="425">
        <v>9000</v>
      </c>
      <c r="F37" s="425">
        <v>1200</v>
      </c>
      <c r="G37" s="425"/>
      <c r="H37" s="507">
        <f t="shared" si="5"/>
        <v>10200</v>
      </c>
      <c r="I37" s="508">
        <v>0.25</v>
      </c>
      <c r="J37" s="511">
        <v>9000</v>
      </c>
      <c r="K37" s="425">
        <v>0</v>
      </c>
      <c r="L37" s="510">
        <f t="shared" si="6"/>
        <v>9000</v>
      </c>
      <c r="M37" s="498"/>
    </row>
    <row r="38" spans="2:13" ht="47.25" x14ac:dyDescent="0.3">
      <c r="B38" s="506" t="s">
        <v>369</v>
      </c>
      <c r="C38" s="147" t="s">
        <v>527</v>
      </c>
      <c r="D38" s="480">
        <v>61000</v>
      </c>
      <c r="E38" s="425">
        <v>61000</v>
      </c>
      <c r="F38" s="425">
        <v>2400</v>
      </c>
      <c r="G38" s="425"/>
      <c r="H38" s="507">
        <f t="shared" si="5"/>
        <v>63400</v>
      </c>
      <c r="I38" s="508">
        <v>0.25</v>
      </c>
      <c r="J38" s="511">
        <v>19290</v>
      </c>
      <c r="K38" s="425">
        <v>1232.7044025157234</v>
      </c>
      <c r="L38" s="510">
        <f t="shared" si="6"/>
        <v>20522.704402515723</v>
      </c>
      <c r="M38" s="498" t="s">
        <v>816</v>
      </c>
    </row>
    <row r="39" spans="2:13" ht="50.25" customHeight="1" x14ac:dyDescent="0.25">
      <c r="B39" s="513"/>
      <c r="C39" s="23" t="s">
        <v>381</v>
      </c>
      <c r="D39" s="484">
        <f>SUM(D34:D38)</f>
        <v>152500</v>
      </c>
      <c r="E39" s="7">
        <f>SUM(E34:E38)</f>
        <v>192600</v>
      </c>
      <c r="F39" s="7">
        <f>SUM(F34:F38)</f>
        <v>8800</v>
      </c>
      <c r="G39" s="7">
        <f>SUM(G34:G38)</f>
        <v>0</v>
      </c>
      <c r="H39" s="8">
        <f>SUM(H34:H38)</f>
        <v>201400</v>
      </c>
      <c r="I39" s="7">
        <f>(I34*H34)+(I35*H35)+(I36*H36)+(I37*H37)+(I38*H38)</f>
        <v>66730</v>
      </c>
      <c r="J39" s="7">
        <f>SUM(J34:J38)</f>
        <v>150890</v>
      </c>
      <c r="K39" s="7">
        <f>SUM(K34:K38)</f>
        <v>5260.7551624808257</v>
      </c>
      <c r="L39" s="56">
        <f>SUM(L34:L38)</f>
        <v>156150.75516248081</v>
      </c>
      <c r="M39" s="492" t="s">
        <v>825</v>
      </c>
    </row>
    <row r="40" spans="2:13" ht="51" customHeight="1" x14ac:dyDescent="0.25">
      <c r="B40" s="493" t="s">
        <v>370</v>
      </c>
      <c r="C40" s="841" t="s">
        <v>535</v>
      </c>
      <c r="D40" s="841"/>
      <c r="E40" s="841"/>
      <c r="F40" s="841"/>
      <c r="G40" s="841"/>
      <c r="H40" s="841"/>
      <c r="I40" s="841"/>
      <c r="J40" s="842"/>
      <c r="K40" s="842"/>
      <c r="L40" s="842"/>
      <c r="M40" s="492"/>
    </row>
    <row r="41" spans="2:13" ht="110.25" x14ac:dyDescent="0.3">
      <c r="B41" s="506" t="s">
        <v>371</v>
      </c>
      <c r="C41" s="147" t="s">
        <v>529</v>
      </c>
      <c r="D41" s="480">
        <v>52000</v>
      </c>
      <c r="E41" s="425">
        <v>51917</v>
      </c>
      <c r="F41" s="425">
        <v>2400</v>
      </c>
      <c r="G41" s="425"/>
      <c r="H41" s="507">
        <f>SUM(E41:G41)</f>
        <v>54317</v>
      </c>
      <c r="I41" s="508">
        <v>0.4</v>
      </c>
      <c r="J41" s="425">
        <v>50000</v>
      </c>
      <c r="K41" s="425">
        <v>697.612020391736</v>
      </c>
      <c r="L41" s="510">
        <f>J41+K41</f>
        <v>50697.612020391738</v>
      </c>
      <c r="M41" s="498" t="s">
        <v>817</v>
      </c>
    </row>
    <row r="42" spans="2:13" ht="168.75" customHeight="1" x14ac:dyDescent="0.3">
      <c r="B42" s="506" t="s">
        <v>372</v>
      </c>
      <c r="C42" s="147" t="s">
        <v>536</v>
      </c>
      <c r="D42" s="480">
        <v>190000</v>
      </c>
      <c r="E42" s="425">
        <v>100000</v>
      </c>
      <c r="F42" s="425">
        <v>0</v>
      </c>
      <c r="G42" s="425"/>
      <c r="H42" s="507">
        <f t="shared" ref="H42:H43" si="7">SUM(E42:G42)</f>
        <v>100000</v>
      </c>
      <c r="I42" s="508">
        <v>0.4</v>
      </c>
      <c r="J42" s="425">
        <v>73602</v>
      </c>
      <c r="K42" s="425">
        <v>0</v>
      </c>
      <c r="L42" s="510">
        <f t="shared" ref="L42:L43" si="8">J42+K42</f>
        <v>73602</v>
      </c>
      <c r="M42" s="498" t="s">
        <v>838</v>
      </c>
    </row>
    <row r="43" spans="2:13" ht="78" customHeight="1" x14ac:dyDescent="0.25">
      <c r="B43" s="506" t="s">
        <v>373</v>
      </c>
      <c r="C43" s="147" t="s">
        <v>528</v>
      </c>
      <c r="D43" s="480">
        <v>13869.158878504531</v>
      </c>
      <c r="E43" s="425">
        <v>13869.158878504531</v>
      </c>
      <c r="F43" s="425">
        <v>1600</v>
      </c>
      <c r="G43" s="425"/>
      <c r="H43" s="507">
        <f t="shared" si="7"/>
        <v>15469.158878504531</v>
      </c>
      <c r="I43" s="508">
        <v>0.4</v>
      </c>
      <c r="J43" s="425">
        <v>4624</v>
      </c>
      <c r="K43" s="425">
        <v>0</v>
      </c>
      <c r="L43" s="510">
        <f t="shared" si="8"/>
        <v>4624</v>
      </c>
      <c r="M43" s="601" t="s">
        <v>837</v>
      </c>
    </row>
    <row r="44" spans="2:13" ht="45" customHeight="1" x14ac:dyDescent="0.25">
      <c r="B44" s="513"/>
      <c r="C44" s="23" t="s">
        <v>381</v>
      </c>
      <c r="D44" s="484">
        <f>SUM(D41:D43)</f>
        <v>255869.15887850453</v>
      </c>
      <c r="E44" s="7">
        <f>SUM(E41:E43)</f>
        <v>165786.15887850453</v>
      </c>
      <c r="F44" s="7">
        <f>SUM(F41:F43)</f>
        <v>4000</v>
      </c>
      <c r="G44" s="7">
        <f>SUM(G41:G43)</f>
        <v>0</v>
      </c>
      <c r="H44" s="7">
        <f>SUM(H41:H43)</f>
        <v>169786.15887850453</v>
      </c>
      <c r="I44" s="7">
        <f>(I41*H41)+(I42*H42)+(I43*H43)</f>
        <v>67914.463551401815</v>
      </c>
      <c r="J44" s="7">
        <f>SUM(J41:J43)</f>
        <v>128226</v>
      </c>
      <c r="K44" s="7">
        <f>SUM(K41:K43)</f>
        <v>697.612020391736</v>
      </c>
      <c r="L44" s="510">
        <f>SUM(L41:L43)</f>
        <v>128923.61202039174</v>
      </c>
      <c r="M44" s="492" t="s">
        <v>826</v>
      </c>
    </row>
    <row r="45" spans="2:13" ht="36.75" customHeight="1" x14ac:dyDescent="0.25">
      <c r="B45" s="497"/>
      <c r="C45" s="519"/>
      <c r="D45" s="519"/>
      <c r="E45" s="520"/>
      <c r="F45" s="520"/>
      <c r="G45" s="520"/>
      <c r="H45" s="520"/>
      <c r="I45" s="520"/>
      <c r="J45" s="520"/>
      <c r="K45" s="520"/>
      <c r="L45" s="521"/>
      <c r="M45" s="492"/>
    </row>
    <row r="46" spans="2:13" ht="63.75" customHeight="1" x14ac:dyDescent="0.25">
      <c r="B46" s="9" t="s">
        <v>374</v>
      </c>
      <c r="C46" s="524"/>
      <c r="D46" s="525">
        <v>30000</v>
      </c>
      <c r="E46" s="526">
        <v>14000</v>
      </c>
      <c r="F46" s="526">
        <v>45000</v>
      </c>
      <c r="G46" s="526"/>
      <c r="H46" s="527">
        <f>SUM(E46:G46)</f>
        <v>59000</v>
      </c>
      <c r="I46" s="528">
        <v>0.4</v>
      </c>
      <c r="J46" s="56">
        <v>3267</v>
      </c>
      <c r="K46" s="526">
        <v>44639.944859557909</v>
      </c>
      <c r="L46" s="529">
        <f>J46+K46</f>
        <v>47906.944859557909</v>
      </c>
      <c r="M46" s="492"/>
    </row>
    <row r="47" spans="2:13" ht="69.75" customHeight="1" x14ac:dyDescent="0.25">
      <c r="B47" s="9" t="s">
        <v>375</v>
      </c>
      <c r="C47" s="524"/>
      <c r="D47" s="525">
        <v>184626.16822429909</v>
      </c>
      <c r="E47" s="526">
        <v>184700.3</v>
      </c>
      <c r="F47" s="526">
        <v>34918.831775700906</v>
      </c>
      <c r="G47" s="526"/>
      <c r="H47" s="527">
        <f>SUM(E47:G47)</f>
        <v>219619.13177570089</v>
      </c>
      <c r="I47" s="528">
        <v>0.35</v>
      </c>
      <c r="J47" s="56">
        <v>147397</v>
      </c>
      <c r="K47" s="512">
        <v>32516.386675728536</v>
      </c>
      <c r="L47" s="529">
        <f>J47+K47</f>
        <v>179913.38667572854</v>
      </c>
      <c r="M47" s="492"/>
    </row>
    <row r="48" spans="2:13" ht="140.44999999999999" customHeight="1" x14ac:dyDescent="0.25">
      <c r="B48" s="9" t="s">
        <v>376</v>
      </c>
      <c r="C48" s="530"/>
      <c r="D48" s="531">
        <v>40000</v>
      </c>
      <c r="E48" s="526">
        <v>57000</v>
      </c>
      <c r="F48" s="526">
        <v>15000</v>
      </c>
      <c r="G48" s="526"/>
      <c r="H48" s="527">
        <f>SUM(E48:G48)</f>
        <v>72000</v>
      </c>
      <c r="I48" s="528">
        <v>0.35</v>
      </c>
      <c r="J48" s="56">
        <v>25168</v>
      </c>
      <c r="K48" s="526">
        <v>16480.463780008202</v>
      </c>
      <c r="L48" s="529">
        <f>J48+K48</f>
        <v>41648.463780008198</v>
      </c>
      <c r="M48" s="602" t="s">
        <v>840</v>
      </c>
    </row>
    <row r="49" spans="1:13" ht="49.9" customHeight="1" x14ac:dyDescent="0.25">
      <c r="B49" s="499" t="s">
        <v>377</v>
      </c>
      <c r="C49" s="524"/>
      <c r="D49" s="525">
        <v>35000</v>
      </c>
      <c r="E49" s="526">
        <v>45245.5</v>
      </c>
      <c r="F49" s="526">
        <v>0</v>
      </c>
      <c r="G49" s="526"/>
      <c r="H49" s="527">
        <f>SUM(E49:G49)</f>
        <v>45245.5</v>
      </c>
      <c r="I49" s="528">
        <v>0.35</v>
      </c>
      <c r="J49" s="56">
        <v>0</v>
      </c>
      <c r="K49" s="526">
        <v>0</v>
      </c>
      <c r="L49" s="529">
        <f>J49+K49</f>
        <v>0</v>
      </c>
      <c r="M49" s="492"/>
    </row>
    <row r="50" spans="1:13" ht="48" customHeight="1" thickBot="1" x14ac:dyDescent="0.3">
      <c r="B50" s="500"/>
      <c r="C50" s="501" t="s">
        <v>382</v>
      </c>
      <c r="D50" s="502">
        <f>SUM(D46:D49)</f>
        <v>289626.16822429909</v>
      </c>
      <c r="E50" s="503">
        <f>SUM(E46:E49)</f>
        <v>300945.8</v>
      </c>
      <c r="F50" s="503">
        <f>SUM(F46:F49)</f>
        <v>94918.831775700906</v>
      </c>
      <c r="G50" s="503">
        <f>SUM(G46:G49)</f>
        <v>0</v>
      </c>
      <c r="H50" s="503">
        <f>SUM(H46:H49)</f>
        <v>395864.63177570089</v>
      </c>
      <c r="I50" s="504">
        <f>(I46*H46)+(I47*H47)+(I48*H48)+(I49*H49)</f>
        <v>141502.62112149529</v>
      </c>
      <c r="J50" s="504">
        <f>SUM(J46:J49)</f>
        <v>175832</v>
      </c>
      <c r="K50" s="503">
        <f>SUM(K46:K49)</f>
        <v>93636.795315294643</v>
      </c>
      <c r="L50" s="505">
        <f>J50+K50</f>
        <v>269468.79531529464</v>
      </c>
      <c r="M50" s="532" t="s">
        <v>827</v>
      </c>
    </row>
    <row r="51" spans="1:13" ht="15.75" customHeight="1" x14ac:dyDescent="0.25">
      <c r="B51" s="3"/>
      <c r="C51" s="519"/>
      <c r="D51" s="519"/>
      <c r="E51" s="520"/>
      <c r="F51" s="520"/>
      <c r="G51" s="520"/>
      <c r="H51" s="520"/>
      <c r="I51" s="520"/>
      <c r="J51" s="521"/>
      <c r="K51" s="521"/>
      <c r="L51" s="521"/>
      <c r="M51" s="426"/>
    </row>
    <row r="52" spans="1:13" ht="15.75" customHeight="1" x14ac:dyDescent="0.25">
      <c r="B52" s="845"/>
      <c r="C52" s="845"/>
      <c r="D52" s="845"/>
      <c r="E52" s="845"/>
      <c r="F52" s="845"/>
      <c r="G52" s="845"/>
      <c r="H52" s="845"/>
      <c r="I52" s="845"/>
      <c r="J52" s="836" t="s">
        <v>833</v>
      </c>
      <c r="K52" s="836"/>
      <c r="L52" s="836"/>
      <c r="M52" s="836"/>
    </row>
    <row r="53" spans="1:13" ht="15.75" customHeight="1" thickBot="1" x14ac:dyDescent="0.3">
      <c r="B53" s="845"/>
      <c r="C53" s="845"/>
      <c r="D53" s="845"/>
      <c r="E53" s="845"/>
      <c r="F53" s="845"/>
      <c r="G53" s="845"/>
      <c r="H53" s="845"/>
      <c r="I53" s="845"/>
      <c r="J53" s="836"/>
      <c r="K53" s="836"/>
      <c r="L53" s="836"/>
      <c r="M53" s="836"/>
    </row>
    <row r="54" spans="1:13" ht="15.75" x14ac:dyDescent="0.25">
      <c r="B54" s="3"/>
      <c r="C54" s="833" t="s">
        <v>391</v>
      </c>
      <c r="D54" s="834"/>
      <c r="E54" s="834"/>
      <c r="F54" s="834"/>
      <c r="G54" s="834"/>
      <c r="H54" s="835"/>
      <c r="I54" s="5"/>
      <c r="J54" s="427"/>
      <c r="K54" s="427"/>
      <c r="L54" s="427"/>
      <c r="M54" s="45"/>
    </row>
    <row r="55" spans="1:13" ht="73.5" customHeight="1" thickBot="1" x14ac:dyDescent="0.3">
      <c r="B55" s="533"/>
      <c r="C55" s="534"/>
      <c r="D55" s="535"/>
      <c r="E55" s="55" t="str">
        <f>E5</f>
        <v>PNUD
(budget revise en USD)</v>
      </c>
      <c r="F55" s="55" t="str">
        <f t="shared" ref="F55:G55" si="9">F5</f>
        <v>MSIS-tatao
(budget revise en USD)</v>
      </c>
      <c r="G55" s="55" t="str">
        <f t="shared" si="9"/>
        <v>Organisation recipiendiaire 3 (budget en USD)</v>
      </c>
      <c r="H55" s="51" t="s">
        <v>1</v>
      </c>
      <c r="I55" s="533"/>
      <c r="J55" s="55" t="str">
        <f>J5</f>
        <v>Niveau de depense actuel en USD  -PNUD</v>
      </c>
      <c r="K55" s="55" t="str">
        <f t="shared" ref="K55:L55" si="10">K5</f>
        <v>Niveau de depense/ engagement actuel en USD  - MSIS TATAO</v>
      </c>
      <c r="L55" s="431" t="str">
        <f t="shared" si="10"/>
        <v xml:space="preserve">Niveau de depense TOTAL/ engagement actuel en USD  </v>
      </c>
      <c r="M55" s="45"/>
    </row>
    <row r="56" spans="1:13" ht="50.25" customHeight="1" x14ac:dyDescent="0.25">
      <c r="B56" s="533"/>
      <c r="C56" s="48" t="s">
        <v>383</v>
      </c>
      <c r="D56" s="485">
        <v>1121495.3271028036</v>
      </c>
      <c r="E56" s="536">
        <f>SUM(E13,E18,E24,E30,E39,E44,E46,E47,E48,E49)</f>
        <v>1121495.3288785045</v>
      </c>
      <c r="F56" s="536">
        <f>SUM(F13,F18,F24,F30,F39,F44,F46,F47,F48,F49)</f>
        <v>280373.83177570091</v>
      </c>
      <c r="G56" s="536">
        <f>SUM(G13,G18,G24,G30,G39,G44,G46,G47,G48,G49)</f>
        <v>0</v>
      </c>
      <c r="H56" s="537">
        <f>SUM(E56:G56)</f>
        <v>1401869.1606542054</v>
      </c>
      <c r="I56" s="538"/>
      <c r="J56" s="539">
        <f>J13+J18+J24+J30+J39+J44+J50</f>
        <v>781832.47</v>
      </c>
      <c r="K56" s="539">
        <f>K13+K18+K24+K30+K39+K44+K50</f>
        <v>243748.53854314244</v>
      </c>
      <c r="L56" s="540">
        <f>J56+K56</f>
        <v>1025581.0085431424</v>
      </c>
      <c r="M56" s="837"/>
    </row>
    <row r="57" spans="1:13" ht="54.75" customHeight="1" x14ac:dyDescent="0.25">
      <c r="B57" s="533"/>
      <c r="C57" s="48" t="s">
        <v>384</v>
      </c>
      <c r="D57" s="485">
        <v>78504.672897196258</v>
      </c>
      <c r="E57" s="536">
        <f>E56*0.07</f>
        <v>78504.673021495313</v>
      </c>
      <c r="F57" s="536">
        <f>F56*0.07</f>
        <v>19626.168224299065</v>
      </c>
      <c r="G57" s="536">
        <f>G56*0.07</f>
        <v>0</v>
      </c>
      <c r="H57" s="537">
        <f>H56*0.07</f>
        <v>98130.841245794378</v>
      </c>
      <c r="I57" s="538"/>
      <c r="J57" s="536">
        <v>48784</v>
      </c>
      <c r="K57" s="536">
        <f>+K56*0.07</f>
        <v>17062.397698019973</v>
      </c>
      <c r="L57" s="541">
        <f>J57+K57</f>
        <v>65846.39769801998</v>
      </c>
      <c r="M57" s="837"/>
    </row>
    <row r="58" spans="1:13" ht="51.75" customHeight="1" thickBot="1" x14ac:dyDescent="0.3">
      <c r="B58" s="533"/>
      <c r="C58" s="10" t="s">
        <v>1</v>
      </c>
      <c r="D58" s="486">
        <f>SUM(D56:D57)</f>
        <v>1200000</v>
      </c>
      <c r="E58" s="28">
        <f>SUM(E56:E57)</f>
        <v>1200000.0018999998</v>
      </c>
      <c r="F58" s="28">
        <f>SUM(F56:F57)</f>
        <v>300000</v>
      </c>
      <c r="G58" s="28">
        <f>SUM(G56:G57)</f>
        <v>0</v>
      </c>
      <c r="H58" s="34">
        <f>SUM(H56:H57)</f>
        <v>1500000.0018999998</v>
      </c>
      <c r="I58" s="533"/>
      <c r="J58" s="483">
        <f>SUM(J56:J57)</f>
        <v>830616.47</v>
      </c>
      <c r="K58" s="483">
        <f>SUM(K56:K57)</f>
        <v>260810.93624116242</v>
      </c>
      <c r="L58" s="437">
        <f>SUM(L56:L57)</f>
        <v>1091427.4062411622</v>
      </c>
      <c r="M58" s="837"/>
    </row>
    <row r="59" spans="1:13" ht="42" customHeight="1" thickBot="1" x14ac:dyDescent="0.3">
      <c r="B59" s="44"/>
      <c r="C59" s="44"/>
      <c r="D59" s="44"/>
      <c r="E59" s="44"/>
      <c r="F59" s="44"/>
      <c r="G59" s="44"/>
      <c r="H59" s="44"/>
      <c r="I59" s="184" t="s">
        <v>560</v>
      </c>
      <c r="J59" s="542">
        <f>J58/E58</f>
        <v>0.69218039057071445</v>
      </c>
      <c r="K59" s="543">
        <f>K58/F58</f>
        <v>0.86936978747054139</v>
      </c>
      <c r="L59" s="544">
        <f>L58/H58</f>
        <v>0.72761826990579181</v>
      </c>
      <c r="M59" s="837"/>
    </row>
    <row r="60" spans="1:13" s="15" customFormat="1" ht="29.25" customHeight="1" thickBot="1" x14ac:dyDescent="0.3">
      <c r="A60" s="14"/>
      <c r="B60" s="44"/>
      <c r="C60" s="44"/>
      <c r="D60" s="44"/>
      <c r="E60" s="44"/>
      <c r="F60" s="44"/>
      <c r="G60" s="44"/>
      <c r="H60" s="44"/>
      <c r="I60" s="11"/>
      <c r="J60" s="44"/>
      <c r="K60" s="44"/>
      <c r="L60" s="45"/>
    </row>
    <row r="61" spans="1:13" ht="51" customHeight="1" x14ac:dyDescent="0.25">
      <c r="B61" s="417"/>
      <c r="C61" s="822" t="s">
        <v>385</v>
      </c>
      <c r="D61" s="823"/>
      <c r="E61" s="824"/>
      <c r="F61" s="825"/>
      <c r="G61" s="825"/>
      <c r="H61" s="825"/>
      <c r="I61" s="826"/>
      <c r="M61" s="545"/>
    </row>
    <row r="62" spans="1:13" ht="51.75" customHeight="1" x14ac:dyDescent="0.25">
      <c r="B62" s="417"/>
      <c r="C62" s="24"/>
      <c r="D62" s="475"/>
      <c r="E62" s="55" t="str">
        <f>E5</f>
        <v>PNUD
(budget revise en USD)</v>
      </c>
      <c r="F62" s="55" t="str">
        <f t="shared" ref="F62:G62" si="11">F5</f>
        <v>MSIS-tatao
(budget revise en USD)</v>
      </c>
      <c r="G62" s="55" t="str">
        <f t="shared" si="11"/>
        <v>Organisation recipiendiaire 3 (budget en USD)</v>
      </c>
      <c r="H62" s="52" t="s">
        <v>1</v>
      </c>
      <c r="I62" s="53" t="s">
        <v>0</v>
      </c>
    </row>
    <row r="63" spans="1:13" ht="55.5" customHeight="1" x14ac:dyDescent="0.25">
      <c r="B63" s="417"/>
      <c r="C63" s="9" t="s">
        <v>386</v>
      </c>
      <c r="D63" s="476"/>
      <c r="E63" s="26">
        <f>$E$58*I63</f>
        <v>780000.00123499986</v>
      </c>
      <c r="F63" s="27">
        <f>$F$58*I63</f>
        <v>195000</v>
      </c>
      <c r="G63" s="27">
        <f>$G$58*I63</f>
        <v>0</v>
      </c>
      <c r="H63" s="27">
        <f>SUM(E63:G63)</f>
        <v>975000.00123499986</v>
      </c>
      <c r="I63" s="39">
        <v>0.65</v>
      </c>
    </row>
    <row r="64" spans="1:13" ht="57.75" customHeight="1" x14ac:dyDescent="0.25">
      <c r="B64" s="821"/>
      <c r="C64" s="35" t="s">
        <v>387</v>
      </c>
      <c r="D64" s="477"/>
      <c r="E64" s="26">
        <f>$E$58*I64</f>
        <v>420000.00066499988</v>
      </c>
      <c r="F64" s="27">
        <f>$F$58*I64</f>
        <v>105000</v>
      </c>
      <c r="G64" s="27">
        <f>$G$58*I64</f>
        <v>0</v>
      </c>
      <c r="H64" s="36">
        <f>SUM(E64:G64)</f>
        <v>525000.00066499994</v>
      </c>
      <c r="I64" s="40">
        <v>0.35</v>
      </c>
    </row>
    <row r="65" spans="2:11" ht="57.75" customHeight="1" x14ac:dyDescent="0.25">
      <c r="B65" s="821"/>
      <c r="C65" s="35" t="s">
        <v>388</v>
      </c>
      <c r="D65" s="477"/>
      <c r="E65" s="26">
        <f>$E$58*I65</f>
        <v>0</v>
      </c>
      <c r="F65" s="27">
        <f>$F$58*I65</f>
        <v>0</v>
      </c>
      <c r="G65" s="27">
        <f>$G$58*I65</f>
        <v>0</v>
      </c>
      <c r="H65" s="36">
        <f>SUM(E65:G65)</f>
        <v>0</v>
      </c>
      <c r="I65" s="41">
        <v>0</v>
      </c>
    </row>
    <row r="66" spans="2:11" ht="38.25" customHeight="1" thickBot="1" x14ac:dyDescent="0.3">
      <c r="B66" s="821"/>
      <c r="C66" s="10" t="s">
        <v>1</v>
      </c>
      <c r="D66" s="474"/>
      <c r="E66" s="28">
        <f>SUM(E63:E65)</f>
        <v>1200000.0018999998</v>
      </c>
      <c r="F66" s="28">
        <f>SUM(F63:F65)</f>
        <v>300000</v>
      </c>
      <c r="G66" s="28">
        <f>SUM(G63:G65)</f>
        <v>0</v>
      </c>
      <c r="H66" s="28">
        <f>SUM(H63:H65)</f>
        <v>1500000.0018999998</v>
      </c>
      <c r="I66" s="29">
        <f>SUM(I63:I65)</f>
        <v>1</v>
      </c>
    </row>
    <row r="67" spans="2:11" ht="31.5" customHeight="1" thickBot="1" x14ac:dyDescent="0.3">
      <c r="B67" s="821"/>
      <c r="C67" s="2"/>
      <c r="D67" s="2"/>
      <c r="E67" s="4"/>
      <c r="F67" s="4"/>
      <c r="G67" s="4"/>
      <c r="H67" s="4"/>
      <c r="I67" s="4"/>
    </row>
    <row r="68" spans="2:11" ht="49.5" customHeight="1" x14ac:dyDescent="0.25">
      <c r="B68" s="821"/>
      <c r="C68" s="30" t="s">
        <v>830</v>
      </c>
      <c r="D68" s="478"/>
      <c r="E68" s="31">
        <f>SUM(I13,I18,I24,I30,I39,I44,I50)*1.07</f>
        <v>550821.30266499997</v>
      </c>
      <c r="G68" s="49" t="s">
        <v>392</v>
      </c>
      <c r="H68" s="50">
        <f>L58</f>
        <v>1091427.4062411622</v>
      </c>
    </row>
    <row r="69" spans="2:11" ht="42.75" customHeight="1" thickBot="1" x14ac:dyDescent="0.3">
      <c r="B69" s="821"/>
      <c r="C69" s="32" t="s">
        <v>389</v>
      </c>
      <c r="D69" s="479"/>
      <c r="E69" s="43">
        <f>E68/H58</f>
        <v>0.36721420131152871</v>
      </c>
      <c r="G69" s="546" t="s">
        <v>393</v>
      </c>
      <c r="H69" s="181">
        <f>H68/H66</f>
        <v>0.72761826990579181</v>
      </c>
    </row>
    <row r="70" spans="2:11" ht="28.5" customHeight="1" x14ac:dyDescent="0.25">
      <c r="B70" s="821"/>
      <c r="C70" s="830"/>
      <c r="D70" s="831"/>
      <c r="E70" s="832"/>
    </row>
    <row r="71" spans="2:11" ht="43.5" customHeight="1" x14ac:dyDescent="0.25">
      <c r="B71" s="821"/>
      <c r="C71" s="32" t="s">
        <v>831</v>
      </c>
      <c r="D71" s="479"/>
      <c r="E71" s="33">
        <f>SUM(E48:G49)*1.07</f>
        <v>125452.68500000001</v>
      </c>
    </row>
    <row r="72" spans="2:11" ht="45.75" customHeight="1" x14ac:dyDescent="0.25">
      <c r="B72" s="821"/>
      <c r="C72" s="32" t="s">
        <v>390</v>
      </c>
      <c r="D72" s="479"/>
      <c r="E72" s="43">
        <f>E71/H58</f>
        <v>8.3635123227395525E-2</v>
      </c>
    </row>
    <row r="73" spans="2:11" ht="66.75" customHeight="1" thickBot="1" x14ac:dyDescent="0.3">
      <c r="B73" s="821"/>
      <c r="C73" s="827" t="s">
        <v>832</v>
      </c>
      <c r="D73" s="828"/>
      <c r="E73" s="829"/>
      <c r="H73" s="44"/>
      <c r="J73" s="45"/>
      <c r="K73" s="45"/>
    </row>
  </sheetData>
  <sheetProtection formatCells="0" formatColumns="0" formatRows="0"/>
  <protectedRanges>
    <protectedRange sqref="J5" name="Range1"/>
  </protectedRanges>
  <mergeCells count="21">
    <mergeCell ref="B2:F2"/>
    <mergeCell ref="B3:I3"/>
    <mergeCell ref="C14:L14"/>
    <mergeCell ref="C8:L8"/>
    <mergeCell ref="C25:L25"/>
    <mergeCell ref="B4:M4"/>
    <mergeCell ref="J52:M53"/>
    <mergeCell ref="M56:M59"/>
    <mergeCell ref="C7:L7"/>
    <mergeCell ref="C20:L20"/>
    <mergeCell ref="C21:L21"/>
    <mergeCell ref="C32:L32"/>
    <mergeCell ref="C33:L33"/>
    <mergeCell ref="C40:L40"/>
    <mergeCell ref="B52:F53"/>
    <mergeCell ref="G52:I53"/>
    <mergeCell ref="B64:B73"/>
    <mergeCell ref="C61:I61"/>
    <mergeCell ref="C73:E73"/>
    <mergeCell ref="C70:E70"/>
    <mergeCell ref="C54:H54"/>
  </mergeCells>
  <conditionalFormatting sqref="E69">
    <cfRule type="cellIs" dxfId="2" priority="46" operator="lessThan">
      <formula>0.15</formula>
    </cfRule>
  </conditionalFormatting>
  <conditionalFormatting sqref="E72">
    <cfRule type="cellIs" dxfId="1" priority="44" operator="lessThan">
      <formula>0.05</formula>
    </cfRule>
  </conditionalFormatting>
  <conditionalFormatting sqref="I66">
    <cfRule type="cellIs" dxfId="0" priority="1" operator="greaterThan">
      <formula>1</formula>
    </cfRule>
  </conditionalFormatting>
  <dataValidations xWindow="431" yWindow="475" count="5">
    <dataValidation allowBlank="1" showInputMessage="1" showErrorMessage="1" prompt="M&amp;E Budget Cannot be Less than 5%_x000a_" sqref="F72:H72" xr:uid="{00000000-0002-0000-0300-000000000000}"/>
    <dataValidation allowBlank="1" showInputMessage="1" showErrorMessage="1" prompt="Insert *text* description of Outcome here" sqref="C7:L7 C20:L20 C32:L32" xr:uid="{00000000-0002-0000-0300-000001000000}"/>
    <dataValidation allowBlank="1" showInputMessage="1" showErrorMessage="1" prompt="Insert *text* description of Output here" sqref="C8:D8 C14:D14 C21:D21 C25:D25 C33:D33 C40:D40" xr:uid="{00000000-0002-0000-0300-000002000000}"/>
    <dataValidation allowBlank="1" showInputMessage="1" showErrorMessage="1" prompt="Insert *text* description of Activity here" sqref="C9:D9 C15:D15 C41:D41 C26:D26 C34:D34 C22" xr:uid="{00000000-0002-0000-0300-000003000000}"/>
    <dataValidation allowBlank="1" showErrorMessage="1" prompt="% Towards Gender Equality and Women's Empowerment Must be Higher than 15%_x000a_" sqref="E71:H71 E69" xr:uid="{00000000-0002-0000-0300-000004000000}"/>
  </dataValidations>
  <pageMargins left="0.20866141699999999" right="0.25" top="0.25" bottom="0.25" header="0.31496062992126" footer="0.31496062992126"/>
  <pageSetup scale="15" fitToHeight="5" orientation="landscape" r:id="rId1"/>
  <rowBreaks count="1" manualBreakCount="1">
    <brk id="5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1:K134"/>
  <sheetViews>
    <sheetView tabSelected="1" zoomScale="82" zoomScaleNormal="82" workbookViewId="0">
      <pane xSplit="1" ySplit="4" topLeftCell="B5" activePane="bottomRight" state="frozen"/>
      <selection pane="topRight" activeCell="B1" sqref="B1"/>
      <selection pane="bottomLeft" activeCell="A5" sqref="A5"/>
      <selection pane="bottomRight" activeCell="K9" sqref="K9"/>
    </sheetView>
  </sheetViews>
  <sheetFormatPr baseColWidth="10" defaultColWidth="9.140625" defaultRowHeight="15.75" x14ac:dyDescent="0.25"/>
  <cols>
    <col min="1" max="1" width="4.42578125" style="16" customWidth="1"/>
    <col min="2" max="2" width="13.85546875" style="17" customWidth="1"/>
    <col min="3" max="3" width="38.5703125" style="17" customWidth="1"/>
    <col min="4" max="4" width="16.85546875" style="17" hidden="1" customWidth="1"/>
    <col min="5" max="5" width="15.7109375" style="17" customWidth="1"/>
    <col min="6" max="6" width="19.5703125" style="16" customWidth="1"/>
    <col min="7" max="7" width="21.42578125" style="16" customWidth="1"/>
    <col min="8" max="8" width="22.7109375" style="16" customWidth="1"/>
    <col min="9" max="9" width="21.7109375" style="16" customWidth="1"/>
    <col min="10" max="10" width="19" style="16" customWidth="1"/>
    <col min="11" max="11" width="43.85546875" style="16" customWidth="1"/>
    <col min="12" max="16384" width="9.140625" style="16"/>
  </cols>
  <sheetData>
    <row r="1" spans="1:11" ht="31.5" customHeight="1" thickBot="1" x14ac:dyDescent="0.4">
      <c r="A1" s="185"/>
      <c r="B1" s="870" t="s">
        <v>835</v>
      </c>
      <c r="C1" s="870"/>
      <c r="D1" s="870"/>
      <c r="E1" s="870"/>
      <c r="F1" s="870"/>
      <c r="G1" s="870"/>
      <c r="H1" s="870"/>
      <c r="I1" s="870"/>
      <c r="J1" s="870"/>
    </row>
    <row r="2" spans="1:11" ht="21.75" thickBot="1" x14ac:dyDescent="0.4">
      <c r="A2" s="185"/>
      <c r="B2" s="185"/>
      <c r="C2" s="456"/>
      <c r="D2" s="456"/>
      <c r="E2" s="885" t="s">
        <v>566</v>
      </c>
      <c r="F2" s="886"/>
      <c r="G2" s="887"/>
      <c r="H2" s="888" t="s">
        <v>567</v>
      </c>
      <c r="I2" s="889"/>
      <c r="J2" s="890"/>
    </row>
    <row r="3" spans="1:11" x14ac:dyDescent="0.25">
      <c r="A3" s="185"/>
      <c r="B3" s="185"/>
      <c r="C3" s="185"/>
      <c r="D3" s="185"/>
      <c r="E3" s="186"/>
      <c r="F3" s="186"/>
      <c r="G3" s="185"/>
      <c r="H3" s="185"/>
      <c r="I3" s="185"/>
      <c r="J3" s="185"/>
    </row>
    <row r="4" spans="1:11" ht="31.5" x14ac:dyDescent="0.25">
      <c r="A4" s="185"/>
      <c r="B4" s="185"/>
      <c r="C4" s="185"/>
      <c r="D4" s="185" t="s">
        <v>818</v>
      </c>
      <c r="E4" s="562" t="s">
        <v>820</v>
      </c>
      <c r="F4" s="428" t="str">
        <f>'[16]1) RF par produit'!E5</f>
        <v>MSIS-tatao
(budget en USD)</v>
      </c>
      <c r="G4" s="188" t="s">
        <v>568</v>
      </c>
      <c r="H4" s="188" t="s">
        <v>569</v>
      </c>
      <c r="I4" s="188" t="s">
        <v>570</v>
      </c>
      <c r="J4" s="188" t="s">
        <v>571</v>
      </c>
      <c r="K4" s="418" t="s">
        <v>842</v>
      </c>
    </row>
    <row r="5" spans="1:11" ht="26.25" customHeight="1" x14ac:dyDescent="0.25">
      <c r="A5" s="185"/>
      <c r="B5" s="862" t="s">
        <v>572</v>
      </c>
      <c r="C5" s="862"/>
      <c r="D5" s="862"/>
      <c r="E5" s="862"/>
      <c r="F5" s="862"/>
      <c r="G5" s="862"/>
      <c r="H5" s="862"/>
      <c r="I5" s="862"/>
      <c r="J5" s="862"/>
    </row>
    <row r="6" spans="1:11" ht="26.25" customHeight="1" x14ac:dyDescent="0.25">
      <c r="A6" s="185"/>
      <c r="B6" s="185"/>
      <c r="C6" s="891" t="s">
        <v>573</v>
      </c>
      <c r="D6" s="892"/>
      <c r="E6" s="892"/>
      <c r="F6" s="892"/>
      <c r="G6" s="892"/>
      <c r="H6" s="892"/>
      <c r="I6" s="892"/>
      <c r="J6" s="893"/>
    </row>
    <row r="7" spans="1:11" ht="26.25" customHeight="1" thickBot="1" x14ac:dyDescent="0.3">
      <c r="A7" s="185"/>
      <c r="B7" s="185"/>
      <c r="C7" s="189" t="s">
        <v>574</v>
      </c>
      <c r="D7" s="189"/>
      <c r="E7" s="190">
        <f>'[16]1) RF par produit'!D17</f>
        <v>96500</v>
      </c>
      <c r="F7" s="190">
        <f>'[16]1) RF par produit'!E17</f>
        <v>15000</v>
      </c>
      <c r="G7" s="191">
        <f>SUM(E7+F7)</f>
        <v>111500</v>
      </c>
      <c r="H7" s="192">
        <f>H15</f>
        <v>131817</v>
      </c>
      <c r="I7" s="192">
        <f>I15</f>
        <v>13976.822996829193</v>
      </c>
      <c r="J7" s="192">
        <f>J15</f>
        <v>145793.8229968292</v>
      </c>
    </row>
    <row r="8" spans="1:11" ht="42.75" customHeight="1" x14ac:dyDescent="0.25">
      <c r="A8" s="185"/>
      <c r="B8" s="564"/>
      <c r="C8" s="565" t="s">
        <v>575</v>
      </c>
      <c r="D8" s="566"/>
      <c r="E8" s="556"/>
      <c r="F8" s="561"/>
      <c r="G8" s="560">
        <f t="shared" ref="G8:G15" si="0">SUM(E8+F8)</f>
        <v>0</v>
      </c>
      <c r="H8" s="567"/>
      <c r="I8" s="568"/>
      <c r="J8" s="553">
        <f t="shared" ref="J8:J14" si="1">SUM(H8:I8)</f>
        <v>0</v>
      </c>
    </row>
    <row r="9" spans="1:11" ht="33" customHeight="1" x14ac:dyDescent="0.25">
      <c r="A9" s="185"/>
      <c r="B9" s="564"/>
      <c r="C9" s="569" t="s">
        <v>576</v>
      </c>
      <c r="D9" s="570">
        <v>2895</v>
      </c>
      <c r="E9" s="550">
        <v>886</v>
      </c>
      <c r="F9" s="550">
        <v>300</v>
      </c>
      <c r="G9" s="560">
        <f t="shared" si="0"/>
        <v>1186</v>
      </c>
      <c r="H9" s="460">
        <v>886</v>
      </c>
      <c r="I9" s="571">
        <v>268.31231553528306</v>
      </c>
      <c r="J9" s="553">
        <f t="shared" si="1"/>
        <v>1154.312315535283</v>
      </c>
    </row>
    <row r="10" spans="1:11" s="1" customFormat="1" ht="33" customHeight="1" x14ac:dyDescent="0.25">
      <c r="A10" s="256"/>
      <c r="B10" s="572"/>
      <c r="C10" s="569" t="s">
        <v>577</v>
      </c>
      <c r="D10" s="570"/>
      <c r="E10" s="573"/>
      <c r="F10" s="573">
        <v>3750</v>
      </c>
      <c r="G10" s="574">
        <f t="shared" si="0"/>
        <v>3750</v>
      </c>
      <c r="H10" s="460"/>
      <c r="I10" s="575">
        <v>2632.2108934800108</v>
      </c>
      <c r="J10" s="575">
        <f t="shared" si="1"/>
        <v>2632.2108934800108</v>
      </c>
    </row>
    <row r="11" spans="1:11" ht="170.25" customHeight="1" x14ac:dyDescent="0.25">
      <c r="A11" s="185"/>
      <c r="B11" s="564"/>
      <c r="C11" s="910" t="s">
        <v>578</v>
      </c>
      <c r="D11" s="577">
        <v>4825</v>
      </c>
      <c r="E11" s="550">
        <v>9851.9500000000007</v>
      </c>
      <c r="F11" s="550">
        <v>20750</v>
      </c>
      <c r="G11" s="560">
        <f t="shared" si="0"/>
        <v>30601.95</v>
      </c>
      <c r="H11" s="908">
        <v>42559</v>
      </c>
      <c r="I11" s="571">
        <v>11076.299787813898</v>
      </c>
      <c r="J11" s="567">
        <f t="shared" si="1"/>
        <v>53635.299787813899</v>
      </c>
      <c r="K11" s="909" t="s">
        <v>843</v>
      </c>
    </row>
    <row r="12" spans="1:11" ht="33" customHeight="1" x14ac:dyDescent="0.25">
      <c r="A12" s="185"/>
      <c r="B12" s="564"/>
      <c r="C12" s="569" t="s">
        <v>579</v>
      </c>
      <c r="D12" s="570">
        <v>4825</v>
      </c>
      <c r="E12" s="550">
        <v>6157.47</v>
      </c>
      <c r="F12" s="550">
        <v>2400</v>
      </c>
      <c r="G12" s="560">
        <f t="shared" si="0"/>
        <v>8557.4700000000012</v>
      </c>
      <c r="H12" s="460">
        <v>3247</v>
      </c>
      <c r="I12" s="578">
        <v>0</v>
      </c>
      <c r="J12" s="567">
        <f t="shared" si="1"/>
        <v>3247</v>
      </c>
    </row>
    <row r="13" spans="1:11" ht="33" customHeight="1" x14ac:dyDescent="0.25">
      <c r="A13" s="185"/>
      <c r="B13" s="564"/>
      <c r="C13" s="569" t="s">
        <v>580</v>
      </c>
      <c r="D13" s="570">
        <v>82025</v>
      </c>
      <c r="E13" s="550">
        <v>92362.05</v>
      </c>
      <c r="F13" s="550"/>
      <c r="G13" s="560">
        <f t="shared" si="0"/>
        <v>92362.05</v>
      </c>
      <c r="H13" s="460">
        <v>78399</v>
      </c>
      <c r="I13" s="567"/>
      <c r="J13" s="567">
        <f t="shared" si="1"/>
        <v>78399</v>
      </c>
      <c r="K13" s="418"/>
    </row>
    <row r="14" spans="1:11" ht="33" customHeight="1" x14ac:dyDescent="0.25">
      <c r="A14" s="185"/>
      <c r="B14" s="564"/>
      <c r="C14" s="569" t="s">
        <v>581</v>
      </c>
      <c r="D14" s="570">
        <v>1930</v>
      </c>
      <c r="E14" s="550">
        <v>13546.43</v>
      </c>
      <c r="F14" s="550"/>
      <c r="G14" s="560">
        <f t="shared" si="0"/>
        <v>13546.43</v>
      </c>
      <c r="H14" s="460">
        <v>6726</v>
      </c>
      <c r="I14" s="567"/>
      <c r="J14" s="567">
        <f t="shared" si="1"/>
        <v>6726</v>
      </c>
    </row>
    <row r="15" spans="1:11" ht="132.75" customHeight="1" x14ac:dyDescent="0.25">
      <c r="A15" s="185"/>
      <c r="B15" s="564"/>
      <c r="C15" s="579" t="s">
        <v>582</v>
      </c>
      <c r="D15" s="579">
        <f>SUM(D8:D14)</f>
        <v>96500</v>
      </c>
      <c r="E15" s="555">
        <f>SUM(E8:E14)</f>
        <v>122803.9</v>
      </c>
      <c r="F15" s="555">
        <f>SUM(F8:F14)</f>
        <v>27200</v>
      </c>
      <c r="G15" s="560">
        <f t="shared" si="0"/>
        <v>150003.9</v>
      </c>
      <c r="H15" s="580">
        <f>SUM(H8:H14)</f>
        <v>131817</v>
      </c>
      <c r="I15" s="580">
        <f>SUM(I8:I14)</f>
        <v>13976.822996829193</v>
      </c>
      <c r="J15" s="580">
        <f>SUM(J8:J14)</f>
        <v>145793.8229968292</v>
      </c>
      <c r="K15" s="605" t="s">
        <v>844</v>
      </c>
    </row>
    <row r="16" spans="1:11" x14ac:dyDescent="0.25">
      <c r="A16" s="200"/>
      <c r="B16" s="581"/>
      <c r="C16" s="581" t="s">
        <v>807</v>
      </c>
      <c r="D16" s="581"/>
      <c r="E16" s="582"/>
      <c r="F16" s="582"/>
      <c r="G16" s="583"/>
      <c r="H16" s="584">
        <v>9381</v>
      </c>
      <c r="I16" s="581"/>
      <c r="J16" s="581"/>
    </row>
    <row r="17" spans="1:11" ht="30.75" customHeight="1" x14ac:dyDescent="0.25">
      <c r="A17" s="185"/>
      <c r="B17" s="564"/>
      <c r="C17" s="879" t="s">
        <v>583</v>
      </c>
      <c r="D17" s="880"/>
      <c r="E17" s="880"/>
      <c r="F17" s="880"/>
      <c r="G17" s="881"/>
      <c r="H17" s="882"/>
      <c r="I17" s="883"/>
      <c r="J17" s="884"/>
    </row>
    <row r="18" spans="1:11" ht="30.75" customHeight="1" thickBot="1" x14ac:dyDescent="0.3">
      <c r="A18" s="185"/>
      <c r="B18" s="564"/>
      <c r="C18" s="585" t="s">
        <v>584</v>
      </c>
      <c r="D18" s="585"/>
      <c r="E18" s="586">
        <f>'[16]1) RF par produit'!D27</f>
        <v>242000</v>
      </c>
      <c r="F18" s="586">
        <f>'[16]1) RF par produit'!E27</f>
        <v>13000</v>
      </c>
      <c r="G18" s="560">
        <f>E18+F18</f>
        <v>255000</v>
      </c>
      <c r="H18" s="557">
        <f>H26</f>
        <v>96097</v>
      </c>
      <c r="I18" s="557">
        <f>I27</f>
        <v>0</v>
      </c>
      <c r="J18" s="557">
        <f>J26</f>
        <v>108928.40419235462</v>
      </c>
    </row>
    <row r="19" spans="1:11" ht="30.75" customHeight="1" x14ac:dyDescent="0.25">
      <c r="A19" s="185"/>
      <c r="B19" s="564"/>
      <c r="C19" s="565" t="s">
        <v>575</v>
      </c>
      <c r="D19" s="566"/>
      <c r="E19" s="556"/>
      <c r="F19" s="556"/>
      <c r="G19" s="560">
        <f t="shared" ref="G19:G26" si="2">E19+F19</f>
        <v>0</v>
      </c>
      <c r="H19" s="461"/>
      <c r="I19" s="461"/>
      <c r="J19" s="553">
        <f>SUM(H19:I19)</f>
        <v>0</v>
      </c>
    </row>
    <row r="20" spans="1:11" ht="30.75" customHeight="1" x14ac:dyDescent="0.25">
      <c r="A20" s="185"/>
      <c r="B20" s="564"/>
      <c r="C20" s="569" t="s">
        <v>576</v>
      </c>
      <c r="D20" s="570"/>
      <c r="E20" s="550"/>
      <c r="F20" s="550">
        <v>200</v>
      </c>
      <c r="G20" s="560">
        <f t="shared" si="2"/>
        <v>200</v>
      </c>
      <c r="H20" s="461"/>
      <c r="I20" s="551">
        <v>160.98738932116984</v>
      </c>
      <c r="J20" s="553">
        <f t="shared" ref="J20:J25" si="3">SUM(H20:I20)</f>
        <v>160.98738932116984</v>
      </c>
    </row>
    <row r="21" spans="1:11" ht="30.75" customHeight="1" x14ac:dyDescent="0.25">
      <c r="A21" s="185"/>
      <c r="B21" s="564"/>
      <c r="C21" s="569" t="s">
        <v>577</v>
      </c>
      <c r="D21" s="570">
        <v>4840</v>
      </c>
      <c r="E21" s="550">
        <v>1320</v>
      </c>
      <c r="F21" s="550">
        <v>1950</v>
      </c>
      <c r="G21" s="560">
        <f t="shared" si="2"/>
        <v>3270</v>
      </c>
      <c r="H21" s="461"/>
      <c r="I21" s="552">
        <v>1974.7786423396833</v>
      </c>
      <c r="J21" s="553">
        <f t="shared" si="3"/>
        <v>1974.7786423396833</v>
      </c>
    </row>
    <row r="22" spans="1:11" ht="30.75" customHeight="1" x14ac:dyDescent="0.25">
      <c r="A22" s="185"/>
      <c r="B22" s="564"/>
      <c r="C22" s="576" t="s">
        <v>578</v>
      </c>
      <c r="D22" s="577">
        <v>29040</v>
      </c>
      <c r="E22" s="550">
        <v>26680</v>
      </c>
      <c r="F22" s="550">
        <v>7150.0000000000009</v>
      </c>
      <c r="G22" s="560">
        <f t="shared" si="2"/>
        <v>33830</v>
      </c>
      <c r="H22" s="461"/>
      <c r="I22" s="551">
        <v>6955.5711271648506</v>
      </c>
      <c r="J22" s="553">
        <f t="shared" si="3"/>
        <v>6955.5711271648506</v>
      </c>
    </row>
    <row r="23" spans="1:11" ht="82.15" customHeight="1" x14ac:dyDescent="0.25">
      <c r="A23" s="185"/>
      <c r="B23" s="564"/>
      <c r="C23" s="569" t="s">
        <v>579</v>
      </c>
      <c r="D23" s="570">
        <v>9680</v>
      </c>
      <c r="E23" s="573">
        <v>8120</v>
      </c>
      <c r="F23" s="573">
        <v>1950</v>
      </c>
      <c r="G23" s="574">
        <f t="shared" si="2"/>
        <v>10070</v>
      </c>
      <c r="H23" s="460">
        <v>7019</v>
      </c>
      <c r="I23" s="603">
        <v>3740.0670335289146</v>
      </c>
      <c r="J23" s="604">
        <f>SUM(H23:I23)</f>
        <v>10759.067033528914</v>
      </c>
      <c r="K23" s="605" t="s">
        <v>841</v>
      </c>
    </row>
    <row r="24" spans="1:11" ht="30.75" customHeight="1" x14ac:dyDescent="0.25">
      <c r="A24" s="185"/>
      <c r="B24" s="564"/>
      <c r="C24" s="569" t="s">
        <v>580</v>
      </c>
      <c r="D24" s="570">
        <v>193600</v>
      </c>
      <c r="E24" s="550">
        <v>185600</v>
      </c>
      <c r="F24" s="550">
        <v>0</v>
      </c>
      <c r="G24" s="560">
        <f t="shared" si="2"/>
        <v>185600</v>
      </c>
      <c r="H24" s="460">
        <v>89078</v>
      </c>
      <c r="I24" s="461">
        <v>0</v>
      </c>
      <c r="J24" s="553">
        <f t="shared" si="3"/>
        <v>89078</v>
      </c>
    </row>
    <row r="25" spans="1:11" ht="30.75" customHeight="1" x14ac:dyDescent="0.25">
      <c r="A25" s="185"/>
      <c r="B25" s="564"/>
      <c r="C25" s="569" t="s">
        <v>581</v>
      </c>
      <c r="D25" s="570">
        <v>4840</v>
      </c>
      <c r="E25" s="550">
        <v>9280</v>
      </c>
      <c r="F25" s="550"/>
      <c r="G25" s="560">
        <f t="shared" si="2"/>
        <v>9280</v>
      </c>
      <c r="H25" s="578"/>
      <c r="I25" s="461">
        <v>0</v>
      </c>
      <c r="J25" s="553">
        <f t="shared" si="3"/>
        <v>0</v>
      </c>
    </row>
    <row r="26" spans="1:11" ht="30.75" customHeight="1" x14ac:dyDescent="0.25">
      <c r="A26" s="185"/>
      <c r="B26" s="564"/>
      <c r="C26" s="579" t="s">
        <v>582</v>
      </c>
      <c r="D26" s="579">
        <f>SUM(D19:D25)</f>
        <v>242000</v>
      </c>
      <c r="E26" s="555">
        <f>SUM(E19:E25)</f>
        <v>231000</v>
      </c>
      <c r="F26" s="555">
        <f>SUM(F19:F25)</f>
        <v>11250</v>
      </c>
      <c r="G26" s="560">
        <f t="shared" si="2"/>
        <v>242250</v>
      </c>
      <c r="H26" s="580">
        <f>SUM(H19:H24)</f>
        <v>96097</v>
      </c>
      <c r="I26" s="580">
        <f>SUM(I19:I25)</f>
        <v>12831.404192354617</v>
      </c>
      <c r="J26" s="580">
        <f>SUM(J19:J25)</f>
        <v>108928.40419235462</v>
      </c>
    </row>
    <row r="27" spans="1:11" ht="21.75" customHeight="1" x14ac:dyDescent="0.25">
      <c r="A27" s="200"/>
      <c r="B27" s="587"/>
      <c r="C27" s="587" t="s">
        <v>807</v>
      </c>
      <c r="D27" s="587"/>
      <c r="E27" s="587"/>
      <c r="F27" s="587"/>
      <c r="G27" s="587"/>
      <c r="H27" s="588">
        <v>1342</v>
      </c>
      <c r="I27" s="587"/>
      <c r="J27" s="587"/>
    </row>
    <row r="28" spans="1:11" ht="22.5" customHeight="1" x14ac:dyDescent="0.25">
      <c r="A28" s="185"/>
      <c r="B28" s="860" t="s">
        <v>585</v>
      </c>
      <c r="C28" s="860"/>
      <c r="D28" s="860"/>
      <c r="E28" s="860"/>
      <c r="F28" s="860"/>
      <c r="G28" s="860"/>
      <c r="H28" s="860"/>
      <c r="I28" s="860"/>
      <c r="J28" s="860"/>
    </row>
    <row r="29" spans="1:11" ht="22.5" customHeight="1" x14ac:dyDescent="0.25">
      <c r="A29" s="185"/>
      <c r="B29" s="564"/>
      <c r="C29" s="876" t="s">
        <v>355</v>
      </c>
      <c r="D29" s="877"/>
      <c r="E29" s="877"/>
      <c r="F29" s="877"/>
      <c r="G29" s="878"/>
      <c r="H29" s="589"/>
      <c r="I29" s="589"/>
      <c r="J29" s="589"/>
    </row>
    <row r="30" spans="1:11" ht="22.5" customHeight="1" thickBot="1" x14ac:dyDescent="0.3">
      <c r="A30" s="185"/>
      <c r="B30" s="564"/>
      <c r="C30" s="585" t="s">
        <v>586</v>
      </c>
      <c r="D30" s="585"/>
      <c r="E30" s="586">
        <f>'[16]1) RF par produit'!D59</f>
        <v>72000</v>
      </c>
      <c r="F30" s="586">
        <f>'[16]1) RF par produit'!E59</f>
        <v>4000</v>
      </c>
      <c r="G30" s="590">
        <f t="shared" ref="G30:G38" si="4">SUM(E30:F30)</f>
        <v>76000</v>
      </c>
      <c r="H30" s="557">
        <f>H38</f>
        <v>75859</v>
      </c>
      <c r="I30" s="557">
        <f>I38</f>
        <v>2972.3492177599123</v>
      </c>
      <c r="J30" s="557">
        <f>J38</f>
        <v>78831.349217759911</v>
      </c>
    </row>
    <row r="31" spans="1:11" ht="35.25" customHeight="1" x14ac:dyDescent="0.25">
      <c r="A31" s="185"/>
      <c r="B31" s="564"/>
      <c r="C31" s="565" t="s">
        <v>575</v>
      </c>
      <c r="D31" s="565">
        <v>0</v>
      </c>
      <c r="E31" s="556"/>
      <c r="F31" s="556"/>
      <c r="G31" s="591">
        <f t="shared" si="4"/>
        <v>0</v>
      </c>
      <c r="H31" s="567"/>
      <c r="I31" s="461"/>
      <c r="J31" s="567">
        <f>H31+I31</f>
        <v>0</v>
      </c>
    </row>
    <row r="32" spans="1:11" ht="35.25" customHeight="1" x14ac:dyDescent="0.25">
      <c r="A32" s="185"/>
      <c r="B32" s="564"/>
      <c r="C32" s="569" t="s">
        <v>576</v>
      </c>
      <c r="D32" s="569"/>
      <c r="E32" s="550"/>
      <c r="F32" s="550"/>
      <c r="G32" s="560">
        <f t="shared" si="4"/>
        <v>0</v>
      </c>
      <c r="H32" s="567"/>
      <c r="I32" s="461">
        <v>0</v>
      </c>
      <c r="J32" s="567">
        <f t="shared" ref="J32:J37" si="5">H32+I32</f>
        <v>0</v>
      </c>
    </row>
    <row r="33" spans="1:10" ht="35.25" customHeight="1" x14ac:dyDescent="0.25">
      <c r="A33" s="185"/>
      <c r="B33" s="564"/>
      <c r="C33" s="569" t="s">
        <v>577</v>
      </c>
      <c r="D33" s="569"/>
      <c r="E33" s="550"/>
      <c r="F33" s="550"/>
      <c r="G33" s="560">
        <f t="shared" si="4"/>
        <v>0</v>
      </c>
      <c r="H33" s="567"/>
      <c r="I33" s="461">
        <v>0</v>
      </c>
      <c r="J33" s="567">
        <f t="shared" si="5"/>
        <v>0</v>
      </c>
    </row>
    <row r="34" spans="1:10" ht="35.25" customHeight="1" x14ac:dyDescent="0.25">
      <c r="A34" s="185"/>
      <c r="B34" s="564"/>
      <c r="C34" s="576" t="s">
        <v>578</v>
      </c>
      <c r="D34" s="576"/>
      <c r="E34" s="550"/>
      <c r="F34" s="550">
        <v>4000</v>
      </c>
      <c r="G34" s="560">
        <f t="shared" si="4"/>
        <v>4000</v>
      </c>
      <c r="H34" s="567"/>
      <c r="I34" s="551">
        <v>2972.3492177599123</v>
      </c>
      <c r="J34" s="567">
        <f t="shared" si="5"/>
        <v>2972.3492177599123</v>
      </c>
    </row>
    <row r="35" spans="1:10" ht="35.25" customHeight="1" x14ac:dyDescent="0.25">
      <c r="A35" s="185"/>
      <c r="B35" s="564"/>
      <c r="C35" s="569" t="s">
        <v>579</v>
      </c>
      <c r="D35" s="569"/>
      <c r="E35" s="550"/>
      <c r="F35" s="550"/>
      <c r="G35" s="560">
        <f t="shared" si="4"/>
        <v>0</v>
      </c>
      <c r="H35" s="567"/>
      <c r="I35" s="461">
        <v>0</v>
      </c>
      <c r="J35" s="567">
        <f t="shared" si="5"/>
        <v>0</v>
      </c>
    </row>
    <row r="36" spans="1:10" ht="35.25" customHeight="1" x14ac:dyDescent="0.25">
      <c r="A36" s="200"/>
      <c r="B36" s="564"/>
      <c r="C36" s="569" t="s">
        <v>580</v>
      </c>
      <c r="D36" s="570">
        <v>72000</v>
      </c>
      <c r="E36" s="550">
        <v>84359.47</v>
      </c>
      <c r="F36" s="550"/>
      <c r="G36" s="560">
        <f t="shared" si="4"/>
        <v>84359.47</v>
      </c>
      <c r="H36" s="592">
        <f>76436-577</f>
        <v>75859</v>
      </c>
      <c r="I36" s="461">
        <v>0</v>
      </c>
      <c r="J36" s="567">
        <f t="shared" si="5"/>
        <v>75859</v>
      </c>
    </row>
    <row r="37" spans="1:10" ht="35.25" customHeight="1" x14ac:dyDescent="0.25">
      <c r="A37" s="200"/>
      <c r="B37" s="564"/>
      <c r="C37" s="569" t="s">
        <v>581</v>
      </c>
      <c r="D37" s="569"/>
      <c r="E37" s="550"/>
      <c r="F37" s="550"/>
      <c r="G37" s="560">
        <f t="shared" si="4"/>
        <v>0</v>
      </c>
      <c r="H37" s="567"/>
      <c r="I37" s="461">
        <v>0</v>
      </c>
      <c r="J37" s="567">
        <f t="shared" si="5"/>
        <v>0</v>
      </c>
    </row>
    <row r="38" spans="1:10" ht="27" customHeight="1" x14ac:dyDescent="0.25">
      <c r="A38" s="185"/>
      <c r="B38" s="564"/>
      <c r="C38" s="579" t="s">
        <v>582</v>
      </c>
      <c r="D38" s="579">
        <f>SUM(D31:D37)</f>
        <v>72000</v>
      </c>
      <c r="E38" s="555">
        <f>SUM(E31:E37)</f>
        <v>84359.47</v>
      </c>
      <c r="F38" s="555">
        <f>SUM(F31:F37)</f>
        <v>4000</v>
      </c>
      <c r="G38" s="555">
        <f t="shared" si="4"/>
        <v>88359.47</v>
      </c>
      <c r="H38" s="580">
        <f>SUM(H31:H37)</f>
        <v>75859</v>
      </c>
      <c r="I38" s="580">
        <f>SUM(I31:I37)</f>
        <v>2972.3492177599123</v>
      </c>
      <c r="J38" s="580">
        <f>SUM(J31:J37)</f>
        <v>78831.349217759911</v>
      </c>
    </row>
    <row r="39" spans="1:10" ht="22.5" customHeight="1" x14ac:dyDescent="0.25">
      <c r="A39" s="200"/>
      <c r="B39" s="581"/>
      <c r="C39" s="581" t="s">
        <v>807</v>
      </c>
      <c r="D39" s="581"/>
      <c r="E39" s="593"/>
      <c r="F39" s="593"/>
      <c r="G39" s="594"/>
      <c r="H39" s="588">
        <v>5351</v>
      </c>
      <c r="I39" s="581"/>
      <c r="J39" s="581"/>
    </row>
    <row r="40" spans="1:10" ht="37.5" customHeight="1" x14ac:dyDescent="0.25">
      <c r="A40" s="185"/>
      <c r="B40" s="581"/>
      <c r="C40" s="860" t="s">
        <v>358</v>
      </c>
      <c r="D40" s="860"/>
      <c r="E40" s="860"/>
      <c r="F40" s="860"/>
      <c r="G40" s="860"/>
      <c r="H40" s="860"/>
      <c r="I40" s="860"/>
      <c r="J40" s="860"/>
    </row>
    <row r="41" spans="1:10" ht="37.5" customHeight="1" thickBot="1" x14ac:dyDescent="0.3">
      <c r="A41" s="185"/>
      <c r="B41" s="564"/>
      <c r="C41" s="595" t="s">
        <v>587</v>
      </c>
      <c r="D41" s="595"/>
      <c r="E41" s="596">
        <f>'[16]1) RF par produit'!D69</f>
        <v>13000</v>
      </c>
      <c r="F41" s="596">
        <f>'[16]1) RF par produit'!E69</f>
        <v>147000</v>
      </c>
      <c r="G41" s="597">
        <f t="shared" ref="G41:G49" si="6">SUM(E41:F41)</f>
        <v>160000</v>
      </c>
      <c r="H41" s="557">
        <f>H49</f>
        <v>23111</v>
      </c>
      <c r="I41" s="557">
        <f>I49</f>
        <v>114372.79963803152</v>
      </c>
      <c r="J41" s="557">
        <f>J49</f>
        <v>137483.79963803152</v>
      </c>
    </row>
    <row r="42" spans="1:10" ht="37.5" customHeight="1" x14ac:dyDescent="0.25">
      <c r="A42" s="185"/>
      <c r="B42" s="564"/>
      <c r="C42" s="565" t="s">
        <v>575</v>
      </c>
      <c r="D42" s="566"/>
      <c r="E42" s="556"/>
      <c r="F42" s="561"/>
      <c r="G42" s="591">
        <f t="shared" si="6"/>
        <v>0</v>
      </c>
      <c r="H42" s="461"/>
      <c r="I42" s="571"/>
      <c r="J42" s="461">
        <f>H42+I42</f>
        <v>0</v>
      </c>
    </row>
    <row r="43" spans="1:10" ht="37.5" customHeight="1" x14ac:dyDescent="0.25">
      <c r="A43" s="185"/>
      <c r="B43" s="564"/>
      <c r="C43" s="569" t="s">
        <v>576</v>
      </c>
      <c r="D43" s="570"/>
      <c r="E43" s="550"/>
      <c r="F43" s="550">
        <v>0</v>
      </c>
      <c r="G43" s="560">
        <f t="shared" si="6"/>
        <v>0</v>
      </c>
      <c r="H43" s="461"/>
      <c r="I43" s="553">
        <v>0</v>
      </c>
      <c r="J43" s="553">
        <f t="shared" ref="J43:J48" si="7">H43+I43</f>
        <v>0</v>
      </c>
    </row>
    <row r="44" spans="1:10" ht="37.5" customHeight="1" x14ac:dyDescent="0.25">
      <c r="A44" s="185"/>
      <c r="B44" s="564"/>
      <c r="C44" s="569" t="s">
        <v>577</v>
      </c>
      <c r="D44" s="570"/>
      <c r="E44" s="550"/>
      <c r="F44" s="550">
        <v>7920</v>
      </c>
      <c r="G44" s="560">
        <f t="shared" si="6"/>
        <v>7920</v>
      </c>
      <c r="H44" s="461"/>
      <c r="I44" s="553">
        <v>6149.2712637510058</v>
      </c>
      <c r="J44" s="553">
        <f t="shared" si="7"/>
        <v>6149.2712637510058</v>
      </c>
    </row>
    <row r="45" spans="1:10" ht="37.5" customHeight="1" x14ac:dyDescent="0.25">
      <c r="A45" s="185"/>
      <c r="B45" s="564"/>
      <c r="C45" s="576" t="s">
        <v>578</v>
      </c>
      <c r="D45" s="577"/>
      <c r="E45" s="550">
        <v>11000.4</v>
      </c>
      <c r="F45" s="550">
        <v>2888.5</v>
      </c>
      <c r="G45" s="560">
        <f t="shared" si="6"/>
        <v>13888.9</v>
      </c>
      <c r="H45" s="461">
        <v>11000</v>
      </c>
      <c r="I45" s="553">
        <v>2190.9802950085473</v>
      </c>
      <c r="J45" s="553">
        <f t="shared" si="7"/>
        <v>13190.980295008547</v>
      </c>
    </row>
    <row r="46" spans="1:10" ht="37.5" customHeight="1" x14ac:dyDescent="0.25">
      <c r="A46" s="185"/>
      <c r="B46" s="564"/>
      <c r="C46" s="569" t="s">
        <v>579</v>
      </c>
      <c r="D46" s="570"/>
      <c r="E46" s="550"/>
      <c r="F46" s="550">
        <v>4657.5</v>
      </c>
      <c r="G46" s="560">
        <f t="shared" si="6"/>
        <v>4657.5</v>
      </c>
      <c r="H46" s="461"/>
      <c r="I46" s="553">
        <v>4740.5165987448381</v>
      </c>
      <c r="J46" s="553">
        <f t="shared" si="7"/>
        <v>4740.5165987448381</v>
      </c>
    </row>
    <row r="47" spans="1:10" ht="37.5" customHeight="1" x14ac:dyDescent="0.25">
      <c r="A47" s="185"/>
      <c r="B47" s="564"/>
      <c r="C47" s="569" t="s">
        <v>580</v>
      </c>
      <c r="D47" s="570">
        <v>13000</v>
      </c>
      <c r="E47" s="550">
        <v>12999.6</v>
      </c>
      <c r="F47" s="550">
        <v>112620</v>
      </c>
      <c r="G47" s="560">
        <f t="shared" si="6"/>
        <v>125619.6</v>
      </c>
      <c r="H47" s="598">
        <f>11311+800</f>
        <v>12111</v>
      </c>
      <c r="I47" s="553">
        <v>101292.03148052712</v>
      </c>
      <c r="J47" s="553">
        <f t="shared" si="7"/>
        <v>113403.03148052712</v>
      </c>
    </row>
    <row r="48" spans="1:10" ht="37.5" customHeight="1" x14ac:dyDescent="0.25">
      <c r="A48" s="185"/>
      <c r="B48" s="564"/>
      <c r="C48" s="569" t="s">
        <v>581</v>
      </c>
      <c r="D48" s="570"/>
      <c r="E48" s="550"/>
      <c r="F48" s="550">
        <v>2119</v>
      </c>
      <c r="G48" s="560">
        <f t="shared" si="6"/>
        <v>2119</v>
      </c>
      <c r="H48" s="461"/>
      <c r="I48" s="553">
        <v>0</v>
      </c>
      <c r="J48" s="553">
        <f t="shared" si="7"/>
        <v>0</v>
      </c>
    </row>
    <row r="49" spans="1:11" ht="37.5" customHeight="1" x14ac:dyDescent="0.25">
      <c r="A49" s="185"/>
      <c r="B49" s="564"/>
      <c r="C49" s="579" t="s">
        <v>582</v>
      </c>
      <c r="D49" s="599">
        <f>SUM(D42:D48)</f>
        <v>13000</v>
      </c>
      <c r="E49" s="555">
        <f>SUM(E42:E48)</f>
        <v>24000</v>
      </c>
      <c r="F49" s="555">
        <f>SUM(F42:F48)</f>
        <v>130205</v>
      </c>
      <c r="G49" s="555">
        <f t="shared" si="6"/>
        <v>154205</v>
      </c>
      <c r="H49" s="580">
        <f>SUM(H42:H48)</f>
        <v>23111</v>
      </c>
      <c r="I49" s="580">
        <f>SUM(I42:I48)</f>
        <v>114372.79963803152</v>
      </c>
      <c r="J49" s="580">
        <f>SUM(J42:J48)</f>
        <v>137483.79963803152</v>
      </c>
    </row>
    <row r="50" spans="1:11" x14ac:dyDescent="0.25">
      <c r="A50" s="200"/>
      <c r="B50" s="581"/>
      <c r="C50" s="581" t="s">
        <v>807</v>
      </c>
      <c r="D50" s="581"/>
      <c r="E50" s="581"/>
      <c r="F50" s="581"/>
      <c r="G50" s="581"/>
      <c r="H50" s="588">
        <v>1441</v>
      </c>
      <c r="I50" s="581"/>
      <c r="J50" s="581"/>
    </row>
    <row r="51" spans="1:11" x14ac:dyDescent="0.25">
      <c r="A51" s="185"/>
      <c r="B51" s="564"/>
      <c r="C51" s="564"/>
      <c r="D51" s="564"/>
      <c r="E51" s="564"/>
      <c r="F51" s="564"/>
      <c r="G51" s="564"/>
      <c r="H51" s="564"/>
      <c r="I51" s="564"/>
      <c r="J51" s="564"/>
    </row>
    <row r="52" spans="1:11" ht="37.5" customHeight="1" x14ac:dyDescent="0.25">
      <c r="A52" s="185"/>
      <c r="B52" s="861" t="s">
        <v>588</v>
      </c>
      <c r="C52" s="861"/>
      <c r="D52" s="861"/>
      <c r="E52" s="861"/>
      <c r="F52" s="861"/>
      <c r="G52" s="861"/>
      <c r="H52" s="861"/>
      <c r="I52" s="861"/>
      <c r="J52" s="861"/>
    </row>
    <row r="53" spans="1:11" ht="37.5" customHeight="1" x14ac:dyDescent="0.25">
      <c r="A53" s="185"/>
      <c r="B53" s="185"/>
      <c r="C53" s="862" t="s">
        <v>364</v>
      </c>
      <c r="D53" s="862"/>
      <c r="E53" s="862"/>
      <c r="F53" s="862"/>
      <c r="G53" s="862"/>
      <c r="H53" s="862"/>
      <c r="I53" s="862"/>
      <c r="J53" s="862"/>
    </row>
    <row r="54" spans="1:11" ht="37.5" customHeight="1" thickBot="1" x14ac:dyDescent="0.3">
      <c r="A54" s="185"/>
      <c r="B54" s="185"/>
      <c r="C54" s="189" t="s">
        <v>589</v>
      </c>
      <c r="D54" s="189"/>
      <c r="E54" s="190">
        <f>'[16]1) RF par produit'!D101</f>
        <v>152500</v>
      </c>
      <c r="F54" s="190">
        <f>'[16]1) RF par produit'!E101</f>
        <v>11000</v>
      </c>
      <c r="G54" s="206">
        <f t="shared" ref="G54:G62" si="8">SUM(E54:F54)</f>
        <v>163500</v>
      </c>
      <c r="H54" s="430">
        <f>H62</f>
        <v>150890</v>
      </c>
      <c r="I54" s="210">
        <f>I62</f>
        <v>5260.7551624808257</v>
      </c>
      <c r="J54" s="430">
        <f>J62</f>
        <v>156150.75516248081</v>
      </c>
    </row>
    <row r="55" spans="1:11" ht="37.5" customHeight="1" x14ac:dyDescent="0.25">
      <c r="A55" s="185"/>
      <c r="B55" s="185"/>
      <c r="C55" s="193" t="s">
        <v>575</v>
      </c>
      <c r="D55" s="463"/>
      <c r="E55" s="194"/>
      <c r="F55" s="194"/>
      <c r="G55" s="208">
        <f t="shared" si="8"/>
        <v>0</v>
      </c>
      <c r="H55" s="201"/>
      <c r="I55" s="201"/>
      <c r="J55" s="259">
        <f>H55+I55</f>
        <v>0</v>
      </c>
    </row>
    <row r="56" spans="1:11" ht="37.5" customHeight="1" x14ac:dyDescent="0.25">
      <c r="A56" s="185"/>
      <c r="B56" s="185"/>
      <c r="C56" s="195" t="s">
        <v>576</v>
      </c>
      <c r="D56" s="464"/>
      <c r="E56" s="196"/>
      <c r="F56" s="457">
        <v>0</v>
      </c>
      <c r="G56" s="191">
        <f t="shared" si="8"/>
        <v>0</v>
      </c>
      <c r="H56" s="201"/>
      <c r="I56" s="553">
        <v>11.671585725784814</v>
      </c>
      <c r="J56" s="259">
        <f t="shared" ref="J56:J61" si="9">H56+I56</f>
        <v>11.671585725784814</v>
      </c>
    </row>
    <row r="57" spans="1:11" ht="37.5" customHeight="1" x14ac:dyDescent="0.25">
      <c r="A57" s="185"/>
      <c r="B57" s="185"/>
      <c r="C57" s="195" t="s">
        <v>577</v>
      </c>
      <c r="D57" s="464">
        <v>15250</v>
      </c>
      <c r="E57" s="424">
        <v>1035</v>
      </c>
      <c r="F57" s="457"/>
      <c r="G57" s="191">
        <f t="shared" si="8"/>
        <v>1035</v>
      </c>
      <c r="H57" s="461"/>
      <c r="I57" s="458">
        <v>0</v>
      </c>
      <c r="J57" s="259">
        <f t="shared" si="9"/>
        <v>0</v>
      </c>
    </row>
    <row r="58" spans="1:11" ht="165" customHeight="1" x14ac:dyDescent="0.25">
      <c r="A58" s="185"/>
      <c r="B58" s="185"/>
      <c r="C58" s="911" t="s">
        <v>578</v>
      </c>
      <c r="D58" s="465">
        <v>38125</v>
      </c>
      <c r="E58" s="424">
        <v>13545</v>
      </c>
      <c r="F58" s="550">
        <v>4400</v>
      </c>
      <c r="G58" s="191">
        <f t="shared" si="8"/>
        <v>17945</v>
      </c>
      <c r="H58" s="912">
        <v>16081</v>
      </c>
      <c r="I58" s="553">
        <v>3558.7814908377254</v>
      </c>
      <c r="J58" s="259">
        <f t="shared" si="9"/>
        <v>19639.781490837726</v>
      </c>
      <c r="K58" s="605" t="s">
        <v>846</v>
      </c>
    </row>
    <row r="59" spans="1:11" ht="37.5" customHeight="1" x14ac:dyDescent="0.25">
      <c r="A59" s="185"/>
      <c r="B59" s="185"/>
      <c r="C59" s="195" t="s">
        <v>579</v>
      </c>
      <c r="D59" s="464">
        <v>5000</v>
      </c>
      <c r="E59" s="424">
        <v>7740</v>
      </c>
      <c r="F59" s="550">
        <v>4400</v>
      </c>
      <c r="G59" s="191">
        <f t="shared" si="8"/>
        <v>12140</v>
      </c>
      <c r="H59" s="549">
        <v>4347</v>
      </c>
      <c r="I59" s="553">
        <v>1690.3020859173157</v>
      </c>
      <c r="J59" s="259">
        <f t="shared" si="9"/>
        <v>6037.3020859173157</v>
      </c>
    </row>
    <row r="60" spans="1:11" ht="37.5" customHeight="1" x14ac:dyDescent="0.25">
      <c r="A60" s="185"/>
      <c r="B60" s="185"/>
      <c r="C60" s="195" t="s">
        <v>580</v>
      </c>
      <c r="D60" s="464">
        <v>68625</v>
      </c>
      <c r="E60" s="424">
        <v>156735</v>
      </c>
      <c r="F60" s="457"/>
      <c r="G60" s="191">
        <f t="shared" si="8"/>
        <v>156735</v>
      </c>
      <c r="H60" s="460">
        <f>116115+802</f>
        <v>116917</v>
      </c>
      <c r="I60" s="553">
        <v>0</v>
      </c>
      <c r="J60" s="259">
        <f t="shared" si="9"/>
        <v>116917</v>
      </c>
    </row>
    <row r="61" spans="1:11" ht="37.5" customHeight="1" x14ac:dyDescent="0.25">
      <c r="A61" s="185"/>
      <c r="B61" s="185"/>
      <c r="C61" s="195" t="s">
        <v>581</v>
      </c>
      <c r="D61" s="464">
        <v>25500</v>
      </c>
      <c r="E61" s="424">
        <v>13545</v>
      </c>
      <c r="F61" s="457"/>
      <c r="G61" s="199">
        <f t="shared" si="8"/>
        <v>13545</v>
      </c>
      <c r="H61" s="458">
        <v>13545</v>
      </c>
      <c r="I61" s="458">
        <v>0</v>
      </c>
      <c r="J61" s="259">
        <f t="shared" si="9"/>
        <v>13545</v>
      </c>
    </row>
    <row r="62" spans="1:11" ht="37.5" customHeight="1" x14ac:dyDescent="0.25">
      <c r="A62" s="185"/>
      <c r="B62" s="185"/>
      <c r="C62" s="198" t="s">
        <v>582</v>
      </c>
      <c r="D62" s="198">
        <f>SUM(D55:D61)</f>
        <v>152500</v>
      </c>
      <c r="E62" s="199">
        <f>SUM(E55:E61)</f>
        <v>192600</v>
      </c>
      <c r="F62" s="199">
        <f>SUM(F55:F61)</f>
        <v>8800</v>
      </c>
      <c r="G62" s="199">
        <f t="shared" si="8"/>
        <v>201400</v>
      </c>
      <c r="H62" s="449">
        <f>SUM(H55:H61)</f>
        <v>150890</v>
      </c>
      <c r="I62" s="449">
        <f>SUM(I55:I61)</f>
        <v>5260.7551624808257</v>
      </c>
      <c r="J62" s="449">
        <f>SUM(J55:J61)</f>
        <v>156150.75516248081</v>
      </c>
    </row>
    <row r="63" spans="1:11" x14ac:dyDescent="0.25">
      <c r="A63" s="200"/>
      <c r="B63" s="200"/>
      <c r="C63" s="200" t="s">
        <v>807</v>
      </c>
      <c r="D63" s="200"/>
      <c r="E63" s="202"/>
      <c r="F63" s="202"/>
      <c r="G63" s="209"/>
      <c r="H63" s="554">
        <v>10399</v>
      </c>
      <c r="I63" s="200"/>
      <c r="J63" s="451"/>
    </row>
    <row r="64" spans="1:11" ht="33" customHeight="1" x14ac:dyDescent="0.25">
      <c r="A64" s="185"/>
      <c r="B64" s="185"/>
      <c r="C64" s="862" t="s">
        <v>590</v>
      </c>
      <c r="D64" s="862"/>
      <c r="E64" s="862"/>
      <c r="F64" s="862"/>
      <c r="G64" s="862"/>
      <c r="H64" s="862"/>
      <c r="I64" s="862"/>
      <c r="J64" s="862"/>
    </row>
    <row r="65" spans="1:10" ht="33" customHeight="1" thickBot="1" x14ac:dyDescent="0.3">
      <c r="A65" s="185"/>
      <c r="B65" s="185"/>
      <c r="C65" s="203" t="s">
        <v>591</v>
      </c>
      <c r="D65" s="203"/>
      <c r="E65" s="204">
        <f>'[16]1) RF par produit'!D111</f>
        <v>255869.15887850453</v>
      </c>
      <c r="F65" s="204">
        <f>'[16]1) RF par produit'!E111</f>
        <v>5000</v>
      </c>
      <c r="G65" s="205">
        <f t="shared" ref="G65:G73" si="10">SUM(E65:F65)</f>
        <v>260869.15887850453</v>
      </c>
      <c r="H65" s="207">
        <f>H73</f>
        <v>128226</v>
      </c>
      <c r="I65" s="207">
        <f>I73</f>
        <v>697.612020391736</v>
      </c>
      <c r="J65" s="207">
        <f>J73</f>
        <v>128923.61202039174</v>
      </c>
    </row>
    <row r="66" spans="1:10" ht="33" customHeight="1" x14ac:dyDescent="0.25">
      <c r="A66" s="185"/>
      <c r="B66" s="185"/>
      <c r="C66" s="193" t="s">
        <v>575</v>
      </c>
      <c r="D66" s="463"/>
      <c r="E66" s="194"/>
      <c r="F66" s="194"/>
      <c r="G66" s="208">
        <f t="shared" si="10"/>
        <v>0</v>
      </c>
      <c r="H66" s="201"/>
      <c r="I66" s="461"/>
      <c r="J66" s="201">
        <f>H66+I66</f>
        <v>0</v>
      </c>
    </row>
    <row r="67" spans="1:10" ht="33" customHeight="1" x14ac:dyDescent="0.25">
      <c r="A67" s="185"/>
      <c r="B67" s="185"/>
      <c r="C67" s="195" t="s">
        <v>576</v>
      </c>
      <c r="D67" s="464">
        <v>2558.6915887850455</v>
      </c>
      <c r="E67" s="424">
        <v>1657.86</v>
      </c>
      <c r="F67" s="457">
        <v>0</v>
      </c>
      <c r="G67" s="191">
        <f t="shared" si="10"/>
        <v>1657.86</v>
      </c>
      <c r="H67" s="450">
        <v>103</v>
      </c>
      <c r="I67" s="461">
        <v>0</v>
      </c>
      <c r="J67" s="201">
        <f t="shared" ref="J67:J72" si="11">H67+I67</f>
        <v>103</v>
      </c>
    </row>
    <row r="68" spans="1:10" ht="33" customHeight="1" x14ac:dyDescent="0.25">
      <c r="A68" s="185"/>
      <c r="B68" s="185"/>
      <c r="C68" s="195" t="s">
        <v>577</v>
      </c>
      <c r="D68" s="464"/>
      <c r="E68" s="424"/>
      <c r="F68" s="550"/>
      <c r="G68" s="191">
        <f t="shared" si="10"/>
        <v>0</v>
      </c>
      <c r="H68" s="460"/>
      <c r="I68" s="461">
        <v>0</v>
      </c>
      <c r="J68" s="201">
        <f t="shared" si="11"/>
        <v>0</v>
      </c>
    </row>
    <row r="69" spans="1:10" ht="33" customHeight="1" x14ac:dyDescent="0.25">
      <c r="A69" s="185"/>
      <c r="B69" s="185"/>
      <c r="C69" s="197" t="s">
        <v>578</v>
      </c>
      <c r="D69" s="465">
        <v>15352.149532710271</v>
      </c>
      <c r="E69" s="424">
        <v>24867.919999999998</v>
      </c>
      <c r="F69" s="550">
        <v>2500</v>
      </c>
      <c r="G69" s="191">
        <f t="shared" si="10"/>
        <v>27367.919999999998</v>
      </c>
      <c r="H69" s="549">
        <v>15502</v>
      </c>
      <c r="I69" s="461">
        <v>0</v>
      </c>
      <c r="J69" s="201">
        <f t="shared" si="11"/>
        <v>15502</v>
      </c>
    </row>
    <row r="70" spans="1:10" ht="33" customHeight="1" x14ac:dyDescent="0.25">
      <c r="A70" s="185"/>
      <c r="B70" s="185"/>
      <c r="C70" s="195" t="s">
        <v>579</v>
      </c>
      <c r="D70" s="464">
        <v>7676.0747663551356</v>
      </c>
      <c r="E70" s="424">
        <v>11605.03</v>
      </c>
      <c r="F70" s="550">
        <v>1500</v>
      </c>
      <c r="G70" s="191">
        <f t="shared" si="10"/>
        <v>13105.03</v>
      </c>
      <c r="H70" s="549">
        <v>4625</v>
      </c>
      <c r="I70" s="551">
        <v>697.612020391736</v>
      </c>
      <c r="J70" s="201">
        <f t="shared" si="11"/>
        <v>5322.6120203917362</v>
      </c>
    </row>
    <row r="71" spans="1:10" ht="33" customHeight="1" x14ac:dyDescent="0.25">
      <c r="A71" s="185"/>
      <c r="B71" s="185"/>
      <c r="C71" s="195" t="s">
        <v>580</v>
      </c>
      <c r="D71" s="464">
        <v>230282.24299065408</v>
      </c>
      <c r="E71" s="424">
        <v>127655.34</v>
      </c>
      <c r="F71" s="550"/>
      <c r="G71" s="191">
        <f t="shared" si="10"/>
        <v>127655.34</v>
      </c>
      <c r="H71" s="549">
        <v>107996</v>
      </c>
      <c r="I71" s="461">
        <v>0</v>
      </c>
      <c r="J71" s="201">
        <f t="shared" si="11"/>
        <v>107996</v>
      </c>
    </row>
    <row r="72" spans="1:10" ht="33" customHeight="1" x14ac:dyDescent="0.25">
      <c r="A72" s="185"/>
      <c r="B72" s="185"/>
      <c r="C72" s="195" t="s">
        <v>581</v>
      </c>
      <c r="D72" s="464"/>
      <c r="E72" s="196"/>
      <c r="F72" s="550"/>
      <c r="G72" s="191">
        <f t="shared" si="10"/>
        <v>0</v>
      </c>
      <c r="H72" s="201"/>
      <c r="I72" s="461">
        <v>0</v>
      </c>
      <c r="J72" s="201">
        <f t="shared" si="11"/>
        <v>0</v>
      </c>
    </row>
    <row r="73" spans="1:10" ht="33" customHeight="1" x14ac:dyDescent="0.25">
      <c r="A73" s="185"/>
      <c r="B73" s="185"/>
      <c r="C73" s="198" t="s">
        <v>582</v>
      </c>
      <c r="D73" s="466">
        <f>SUM(D66:D72)</f>
        <v>255869.15887850453</v>
      </c>
      <c r="E73" s="199">
        <f>SUM(E66:E72)</f>
        <v>165786.15</v>
      </c>
      <c r="F73" s="555">
        <f>SUM(F66:F72)</f>
        <v>4000</v>
      </c>
      <c r="G73" s="555">
        <f t="shared" si="10"/>
        <v>169786.15</v>
      </c>
      <c r="H73" s="259">
        <f>SUM(H66:H72)</f>
        <v>128226</v>
      </c>
      <c r="I73" s="201">
        <f>SUM(I66:I72)</f>
        <v>697.612020391736</v>
      </c>
      <c r="J73" s="201">
        <f>SUM(J66:J72)</f>
        <v>128923.61202039174</v>
      </c>
    </row>
    <row r="74" spans="1:10" x14ac:dyDescent="0.25">
      <c r="A74" s="185"/>
      <c r="B74" s="185"/>
      <c r="C74" s="447" t="s">
        <v>807</v>
      </c>
      <c r="D74" s="447"/>
      <c r="E74" s="16"/>
      <c r="F74" s="419"/>
      <c r="H74" s="554">
        <v>8769</v>
      </c>
      <c r="J74" s="419"/>
    </row>
    <row r="75" spans="1:10" ht="31.5" customHeight="1" x14ac:dyDescent="0.25">
      <c r="A75" s="185"/>
      <c r="B75" s="185"/>
      <c r="C75" s="863" t="s">
        <v>592</v>
      </c>
      <c r="D75" s="863"/>
      <c r="E75" s="863"/>
      <c r="F75" s="863"/>
      <c r="G75" s="863"/>
      <c r="H75" s="863"/>
      <c r="I75" s="863"/>
      <c r="J75" s="863"/>
    </row>
    <row r="76" spans="1:10" ht="31.5" customHeight="1" thickBot="1" x14ac:dyDescent="0.3">
      <c r="A76" s="185"/>
      <c r="B76" s="185"/>
      <c r="C76" s="203" t="s">
        <v>593</v>
      </c>
      <c r="D76" s="203"/>
      <c r="E76" s="204">
        <f>'[16]1) RF par produit'!D180</f>
        <v>289626.16822429909</v>
      </c>
      <c r="F76" s="204">
        <f>'[16]1) RF par produit'!E180</f>
        <v>85373.831775700906</v>
      </c>
      <c r="G76" s="205">
        <f t="shared" ref="G76:G84" si="12">SUM(E76:F76)</f>
        <v>375000</v>
      </c>
      <c r="H76" s="192">
        <f>H84</f>
        <v>175832</v>
      </c>
      <c r="I76" s="192">
        <f>I84</f>
        <v>93636.795315294643</v>
      </c>
      <c r="J76" s="192">
        <f>J84</f>
        <v>269468.79531529464</v>
      </c>
    </row>
    <row r="77" spans="1:10" ht="31.5" customHeight="1" x14ac:dyDescent="0.25">
      <c r="A77" s="185"/>
      <c r="B77" s="185"/>
      <c r="C77" s="193" t="s">
        <v>575</v>
      </c>
      <c r="D77" s="463">
        <v>30000</v>
      </c>
      <c r="E77" s="423">
        <v>14000</v>
      </c>
      <c r="F77" s="556">
        <v>45000</v>
      </c>
      <c r="G77" s="208">
        <f t="shared" si="12"/>
        <v>59000</v>
      </c>
      <c r="H77" s="452">
        <v>3267</v>
      </c>
      <c r="I77" s="459">
        <v>44639.944859557909</v>
      </c>
      <c r="J77" s="452">
        <f>H77+I77</f>
        <v>47906.944859557909</v>
      </c>
    </row>
    <row r="78" spans="1:10" ht="31.5" customHeight="1" x14ac:dyDescent="0.25">
      <c r="A78" s="185"/>
      <c r="B78" s="185"/>
      <c r="C78" s="195" t="s">
        <v>576</v>
      </c>
      <c r="D78" s="464"/>
      <c r="E78" s="424">
        <v>1887.9</v>
      </c>
      <c r="F78" s="550">
        <v>1.5887850454419095E-3</v>
      </c>
      <c r="G78" s="191">
        <f t="shared" si="12"/>
        <v>1887.9015887850455</v>
      </c>
      <c r="H78" s="459"/>
      <c r="I78" s="459">
        <v>0</v>
      </c>
      <c r="J78" s="452">
        <f t="shared" ref="J78:J83" si="13">H78+I78</f>
        <v>0</v>
      </c>
    </row>
    <row r="79" spans="1:10" ht="31.5" customHeight="1" x14ac:dyDescent="0.25">
      <c r="A79" s="185"/>
      <c r="B79" s="185"/>
      <c r="C79" s="195" t="s">
        <v>577</v>
      </c>
      <c r="D79" s="464">
        <v>20770.093457943927</v>
      </c>
      <c r="E79" s="424">
        <v>10788.01</v>
      </c>
      <c r="F79" s="550">
        <v>13561.05</v>
      </c>
      <c r="G79" s="191">
        <f t="shared" si="12"/>
        <v>24349.059999999998</v>
      </c>
      <c r="H79" s="459">
        <v>9929</v>
      </c>
      <c r="I79" s="459">
        <v>12457.901797692512</v>
      </c>
      <c r="J79" s="452">
        <f t="shared" si="13"/>
        <v>22386.90179769251</v>
      </c>
    </row>
    <row r="80" spans="1:10" ht="31.5" customHeight="1" x14ac:dyDescent="0.25">
      <c r="A80" s="185"/>
      <c r="B80" s="185"/>
      <c r="C80" s="197" t="s">
        <v>578</v>
      </c>
      <c r="D80" s="465">
        <v>192123.36448598132</v>
      </c>
      <c r="E80" s="424">
        <v>217914.72</v>
      </c>
      <c r="F80" s="550">
        <v>19737.820186915866</v>
      </c>
      <c r="G80" s="191">
        <f t="shared" si="12"/>
        <v>237652.54018691587</v>
      </c>
      <c r="H80" s="453">
        <v>117937</v>
      </c>
      <c r="I80" s="459">
        <v>20058.484878036023</v>
      </c>
      <c r="J80" s="452">
        <f t="shared" si="13"/>
        <v>137995.48487803602</v>
      </c>
    </row>
    <row r="81" spans="1:10" ht="31.5" customHeight="1" x14ac:dyDescent="0.25">
      <c r="A81" s="185"/>
      <c r="B81" s="185"/>
      <c r="C81" s="195" t="s">
        <v>579</v>
      </c>
      <c r="D81" s="464">
        <v>23366.355140186919</v>
      </c>
      <c r="E81" s="424">
        <v>32082.13</v>
      </c>
      <c r="F81" s="550">
        <v>6737.82</v>
      </c>
      <c r="G81" s="191">
        <f t="shared" si="12"/>
        <v>38819.949999999997</v>
      </c>
      <c r="H81" s="453">
        <v>25168</v>
      </c>
      <c r="I81" s="459">
        <v>8113.8152711895009</v>
      </c>
      <c r="J81" s="452">
        <f t="shared" si="13"/>
        <v>33281.815271189502</v>
      </c>
    </row>
    <row r="82" spans="1:10" ht="31.5" customHeight="1" x14ac:dyDescent="0.25">
      <c r="A82" s="185"/>
      <c r="B82" s="185"/>
      <c r="C82" s="195" t="s">
        <v>580</v>
      </c>
      <c r="D82" s="464"/>
      <c r="E82" s="424"/>
      <c r="F82" s="550"/>
      <c r="G82" s="191">
        <f t="shared" si="12"/>
        <v>0</v>
      </c>
      <c r="H82" s="452"/>
      <c r="I82" s="459">
        <v>0</v>
      </c>
      <c r="J82" s="452">
        <f t="shared" si="13"/>
        <v>0</v>
      </c>
    </row>
    <row r="83" spans="1:10" ht="36.75" customHeight="1" x14ac:dyDescent="0.25">
      <c r="A83" s="185"/>
      <c r="B83" s="185"/>
      <c r="C83" s="195" t="s">
        <v>581</v>
      </c>
      <c r="D83" s="464">
        <v>23366.355140186919</v>
      </c>
      <c r="E83" s="424">
        <v>24273.05</v>
      </c>
      <c r="F83" s="550">
        <v>9882.14</v>
      </c>
      <c r="G83" s="191">
        <f t="shared" si="12"/>
        <v>34155.19</v>
      </c>
      <c r="H83" s="453">
        <v>19531</v>
      </c>
      <c r="I83" s="459">
        <v>8366.6485088187001</v>
      </c>
      <c r="J83" s="452">
        <f t="shared" si="13"/>
        <v>27897.6485088187</v>
      </c>
    </row>
    <row r="84" spans="1:10" ht="35.25" customHeight="1" x14ac:dyDescent="0.25">
      <c r="A84" s="185"/>
      <c r="B84" s="185"/>
      <c r="C84" s="198" t="s">
        <v>582</v>
      </c>
      <c r="D84" s="198">
        <f>SUM(D77:D83)</f>
        <v>289626.16822429909</v>
      </c>
      <c r="E84" s="199">
        <f>SUM(E77:E83)</f>
        <v>300945.81</v>
      </c>
      <c r="F84" s="199">
        <f>SUM(F77:F83)</f>
        <v>94918.831775700921</v>
      </c>
      <c r="G84" s="199">
        <f t="shared" si="12"/>
        <v>395864.6417757009</v>
      </c>
      <c r="H84" s="261">
        <f>SUM(H77:H83)</f>
        <v>175832</v>
      </c>
      <c r="I84" s="261">
        <f>SUM(I77:I83)</f>
        <v>93636.795315294643</v>
      </c>
      <c r="J84" s="261">
        <f>SUM(J77:J83)</f>
        <v>269468.79531529464</v>
      </c>
    </row>
    <row r="85" spans="1:10" ht="31.5" customHeight="1" thickBot="1" x14ac:dyDescent="0.3">
      <c r="A85" s="185"/>
      <c r="B85" s="185"/>
      <c r="C85" s="429" t="s">
        <v>807</v>
      </c>
      <c r="D85" s="429"/>
      <c r="E85" s="429"/>
      <c r="F85" s="429"/>
      <c r="G85" s="429"/>
      <c r="H85" s="554">
        <v>12101</v>
      </c>
      <c r="I85" s="429"/>
      <c r="J85" s="429"/>
    </row>
    <row r="86" spans="1:10" x14ac:dyDescent="0.25">
      <c r="A86" s="185"/>
      <c r="B86" s="185"/>
      <c r="C86" s="252"/>
      <c r="D86" s="252"/>
      <c r="E86" s="253"/>
      <c r="F86" s="864" t="s">
        <v>805</v>
      </c>
      <c r="G86" s="865"/>
      <c r="H86" s="865"/>
      <c r="I86" s="866"/>
      <c r="J86" s="251"/>
    </row>
    <row r="87" spans="1:10" ht="16.5" thickBot="1" x14ac:dyDescent="0.3">
      <c r="A87" s="185"/>
      <c r="B87" s="185"/>
      <c r="C87" s="252"/>
      <c r="D87" s="252"/>
      <c r="E87" s="253"/>
      <c r="F87" s="867"/>
      <c r="G87" s="868"/>
      <c r="H87" s="868"/>
      <c r="I87" s="869"/>
      <c r="J87" s="251"/>
    </row>
    <row r="88" spans="1:10" ht="30.75" customHeight="1" thickBot="1" x14ac:dyDescent="0.3">
      <c r="A88" s="185"/>
      <c r="B88" s="185"/>
      <c r="C88" s="185"/>
      <c r="D88" s="185"/>
      <c r="E88" s="185"/>
      <c r="F88" s="563"/>
      <c r="G88" s="871" t="s">
        <v>610</v>
      </c>
      <c r="H88" s="872"/>
      <c r="I88" s="563"/>
      <c r="J88" s="185"/>
    </row>
    <row r="89" spans="1:10" x14ac:dyDescent="0.25">
      <c r="A89" s="185"/>
      <c r="B89" s="185"/>
      <c r="C89" s="873" t="s">
        <v>391</v>
      </c>
      <c r="D89" s="874"/>
      <c r="E89" s="874"/>
      <c r="F89" s="874"/>
      <c r="G89" s="874"/>
      <c r="H89" s="874"/>
      <c r="I89" s="874"/>
      <c r="J89" s="875"/>
    </row>
    <row r="90" spans="1:10" ht="47.25" x14ac:dyDescent="0.25">
      <c r="A90" s="185"/>
      <c r="B90" s="185"/>
      <c r="C90" s="211"/>
      <c r="D90" s="462"/>
      <c r="E90" s="187" t="str">
        <f>'[16]1) RF par produit'!D5</f>
        <v>PNUD
(budget en USD)</v>
      </c>
      <c r="F90" s="187" t="str">
        <f>'[16]1) RF par produit'!E5</f>
        <v>MSIS-tatao
(budget en USD)</v>
      </c>
      <c r="G90" s="225" t="s">
        <v>391</v>
      </c>
      <c r="H90" s="188" t="s">
        <v>569</v>
      </c>
      <c r="I90" s="188" t="s">
        <v>570</v>
      </c>
      <c r="J90" s="188" t="s">
        <v>571</v>
      </c>
    </row>
    <row r="91" spans="1:10" ht="45" customHeight="1" x14ac:dyDescent="0.25">
      <c r="A91" s="185"/>
      <c r="B91" s="185"/>
      <c r="C91" s="212" t="s">
        <v>575</v>
      </c>
      <c r="D91" s="469">
        <v>30000</v>
      </c>
      <c r="E91" s="557">
        <f t="shared" ref="E91:F98" si="14">SUM(E66,E55,E42,E31,E19,E8,E77)</f>
        <v>14000</v>
      </c>
      <c r="F91" s="557">
        <f t="shared" si="14"/>
        <v>45000</v>
      </c>
      <c r="G91" s="214">
        <f t="shared" ref="G91:G98" si="15">SUM(E91:F91)</f>
        <v>59000</v>
      </c>
      <c r="H91" s="260">
        <f>H8+H19+H31+H42+H55+H66+H77</f>
        <v>3267</v>
      </c>
      <c r="I91" s="260">
        <f>I8+I19+I31+I42+I55+I66+I77</f>
        <v>44639.944859557909</v>
      </c>
      <c r="J91" s="454">
        <f>H91+I91</f>
        <v>47906.944859557909</v>
      </c>
    </row>
    <row r="92" spans="1:10" ht="45" customHeight="1" x14ac:dyDescent="0.25">
      <c r="A92" s="185"/>
      <c r="B92" s="185"/>
      <c r="C92" s="467" t="s">
        <v>576</v>
      </c>
      <c r="D92" s="469">
        <v>5453.6915887850455</v>
      </c>
      <c r="E92" s="557">
        <f t="shared" si="14"/>
        <v>4431.76</v>
      </c>
      <c r="F92" s="558">
        <f t="shared" si="14"/>
        <v>500.00158878504544</v>
      </c>
      <c r="G92" s="214">
        <f t="shared" si="15"/>
        <v>4931.7615887850461</v>
      </c>
      <c r="H92" s="260">
        <f>H9+H20+H32+H43+H56+H67+H78</f>
        <v>989</v>
      </c>
      <c r="I92" s="260">
        <f t="shared" ref="H92:I97" si="16">I9+I20+I32+I43+I56+I67+I78</f>
        <v>440.97129058223771</v>
      </c>
      <c r="J92" s="454">
        <f t="shared" ref="J92:J99" si="17">H92+I92</f>
        <v>1429.9712905822378</v>
      </c>
    </row>
    <row r="93" spans="1:10" ht="45" customHeight="1" x14ac:dyDescent="0.25">
      <c r="A93" s="185"/>
      <c r="B93" s="185"/>
      <c r="C93" s="467" t="s">
        <v>577</v>
      </c>
      <c r="D93" s="469">
        <v>40860.093457943927</v>
      </c>
      <c r="E93" s="557">
        <f t="shared" si="14"/>
        <v>13143.01</v>
      </c>
      <c r="F93" s="558">
        <f t="shared" si="14"/>
        <v>27181.05</v>
      </c>
      <c r="G93" s="214">
        <f t="shared" si="15"/>
        <v>40324.06</v>
      </c>
      <c r="H93" s="260">
        <f t="shared" si="16"/>
        <v>9929</v>
      </c>
      <c r="I93" s="260">
        <f t="shared" si="16"/>
        <v>23214.16259726321</v>
      </c>
      <c r="J93" s="454">
        <f t="shared" si="17"/>
        <v>33143.16259726321</v>
      </c>
    </row>
    <row r="94" spans="1:10" ht="45" customHeight="1" x14ac:dyDescent="0.25">
      <c r="A94" s="185"/>
      <c r="B94" s="185"/>
      <c r="C94" s="468" t="s">
        <v>578</v>
      </c>
      <c r="D94" s="470">
        <v>279465.51401869161</v>
      </c>
      <c r="E94" s="557">
        <f t="shared" si="14"/>
        <v>303859.99</v>
      </c>
      <c r="F94" s="558">
        <f t="shared" si="14"/>
        <v>61426.320186915866</v>
      </c>
      <c r="G94" s="214">
        <f t="shared" si="15"/>
        <v>365286.31018691586</v>
      </c>
      <c r="H94" s="448">
        <f t="shared" si="16"/>
        <v>203079</v>
      </c>
      <c r="I94" s="260">
        <f t="shared" si="16"/>
        <v>46812.466796620953</v>
      </c>
      <c r="J94" s="454">
        <f t="shared" si="17"/>
        <v>249891.46679662095</v>
      </c>
    </row>
    <row r="95" spans="1:10" ht="45" customHeight="1" x14ac:dyDescent="0.25">
      <c r="A95" s="185"/>
      <c r="B95" s="185"/>
      <c r="C95" s="467" t="s">
        <v>579</v>
      </c>
      <c r="D95" s="469">
        <v>50547.429906542056</v>
      </c>
      <c r="E95" s="557">
        <f t="shared" si="14"/>
        <v>65704.63</v>
      </c>
      <c r="F95" s="558">
        <f t="shared" si="14"/>
        <v>21645.32</v>
      </c>
      <c r="G95" s="214">
        <f t="shared" si="15"/>
        <v>87349.950000000012</v>
      </c>
      <c r="H95" s="448">
        <f t="shared" si="16"/>
        <v>44406</v>
      </c>
      <c r="I95" s="260">
        <f t="shared" si="16"/>
        <v>18982.313009772304</v>
      </c>
      <c r="J95" s="454">
        <f t="shared" si="17"/>
        <v>63388.313009772304</v>
      </c>
    </row>
    <row r="96" spans="1:10" ht="45" customHeight="1" x14ac:dyDescent="0.25">
      <c r="A96" s="185"/>
      <c r="B96" s="185"/>
      <c r="C96" s="467" t="s">
        <v>580</v>
      </c>
      <c r="D96" s="469">
        <v>659532.24299065408</v>
      </c>
      <c r="E96" s="557">
        <f t="shared" si="14"/>
        <v>659711.46</v>
      </c>
      <c r="F96" s="558">
        <f t="shared" si="14"/>
        <v>112620</v>
      </c>
      <c r="G96" s="214">
        <f t="shared" si="15"/>
        <v>772331.46</v>
      </c>
      <c r="H96" s="260">
        <f t="shared" si="16"/>
        <v>480360</v>
      </c>
      <c r="I96" s="260">
        <f t="shared" si="16"/>
        <v>101292.03148052712</v>
      </c>
      <c r="J96" s="454">
        <f t="shared" si="17"/>
        <v>581652.03148052713</v>
      </c>
    </row>
    <row r="97" spans="1:10" ht="45" customHeight="1" x14ac:dyDescent="0.25">
      <c r="A97" s="185"/>
      <c r="B97" s="185"/>
      <c r="C97" s="467" t="s">
        <v>581</v>
      </c>
      <c r="D97" s="469">
        <v>55636.355140186919</v>
      </c>
      <c r="E97" s="557">
        <f t="shared" si="14"/>
        <v>60644.479999999996</v>
      </c>
      <c r="F97" s="557">
        <f t="shared" si="14"/>
        <v>12001.14</v>
      </c>
      <c r="G97" s="214">
        <f t="shared" si="15"/>
        <v>72645.62</v>
      </c>
      <c r="H97" s="260">
        <f t="shared" si="16"/>
        <v>39802</v>
      </c>
      <c r="I97" s="260">
        <f t="shared" si="16"/>
        <v>8366.6485088187001</v>
      </c>
      <c r="J97" s="454">
        <f t="shared" si="17"/>
        <v>48168.648508818704</v>
      </c>
    </row>
    <row r="98" spans="1:10" ht="45" customHeight="1" x14ac:dyDescent="0.25">
      <c r="A98" s="185"/>
      <c r="B98" s="185"/>
      <c r="C98" s="257" t="s">
        <v>383</v>
      </c>
      <c r="D98" s="471">
        <f>SUM(D91:D97)</f>
        <v>1121495.3271028036</v>
      </c>
      <c r="E98" s="471">
        <f t="shared" si="14"/>
        <v>1121495.33</v>
      </c>
      <c r="F98" s="471">
        <f>SUM(F91:F97)</f>
        <v>280373.83177570091</v>
      </c>
      <c r="G98" s="471">
        <f t="shared" si="15"/>
        <v>1401869.161775701</v>
      </c>
      <c r="H98" s="258">
        <f>SUM(H91:H97)</f>
        <v>781832</v>
      </c>
      <c r="I98" s="258">
        <f>SUM(I91:I97)</f>
        <v>243748.53854314244</v>
      </c>
      <c r="J98" s="258">
        <f t="shared" ref="J98" si="18">SUM(J91:J97)</f>
        <v>1025580.5385431425</v>
      </c>
    </row>
    <row r="99" spans="1:10" ht="45" customHeight="1" thickBot="1" x14ac:dyDescent="0.3">
      <c r="A99" s="185"/>
      <c r="B99" s="185"/>
      <c r="C99" s="215" t="s">
        <v>384</v>
      </c>
      <c r="D99" s="472">
        <f>D98*0.07</f>
        <v>78504.672897196258</v>
      </c>
      <c r="E99" s="216">
        <f>E98*0.07</f>
        <v>78504.673100000015</v>
      </c>
      <c r="F99" s="559">
        <f>F98*0.07</f>
        <v>19626.168224299065</v>
      </c>
      <c r="G99" s="217">
        <f>G98*0.07</f>
        <v>98130.841324299079</v>
      </c>
      <c r="H99" s="447">
        <f>H16+H27+H39+H50+H63+H74+H85</f>
        <v>48784</v>
      </c>
      <c r="I99" s="218">
        <f>+I98*0.07</f>
        <v>17062.397698019973</v>
      </c>
      <c r="J99" s="420">
        <f t="shared" si="17"/>
        <v>65846.39769801998</v>
      </c>
    </row>
    <row r="100" spans="1:10" ht="39.75" customHeight="1" thickBot="1" x14ac:dyDescent="0.3">
      <c r="A100" s="185"/>
      <c r="B100" s="185"/>
      <c r="C100" s="219" t="s">
        <v>594</v>
      </c>
      <c r="D100" s="473">
        <f>D98+D99</f>
        <v>1200000</v>
      </c>
      <c r="E100" s="205">
        <f>SUM(E98:E99)</f>
        <v>1200000.0031000001</v>
      </c>
      <c r="F100" s="205">
        <f>SUM(F98:F99)</f>
        <v>300000</v>
      </c>
      <c r="G100" s="220">
        <f>SUM(G98:G99)</f>
        <v>1500000.0031000001</v>
      </c>
      <c r="H100" s="221">
        <f>H98+H99</f>
        <v>830616</v>
      </c>
      <c r="I100" s="221">
        <f>I98+I99</f>
        <v>260810.93624116242</v>
      </c>
      <c r="J100" s="455">
        <f>J98+J99</f>
        <v>1091426.9362411625</v>
      </c>
    </row>
    <row r="101" spans="1:10" x14ac:dyDescent="0.25">
      <c r="B101" s="16"/>
      <c r="C101" s="16"/>
      <c r="D101" s="16"/>
      <c r="E101" s="16"/>
    </row>
    <row r="102" spans="1:10" ht="24.75" customHeight="1" x14ac:dyDescent="0.25">
      <c r="B102" s="255"/>
      <c r="C102"/>
      <c r="D102"/>
      <c r="E102" s="255"/>
      <c r="F102"/>
    </row>
    <row r="103" spans="1:10" ht="28.5" customHeight="1" x14ac:dyDescent="0.25">
      <c r="B103" s="16"/>
      <c r="C103" s="16"/>
      <c r="D103" s="16"/>
      <c r="E103" s="16"/>
      <c r="G103" s="255"/>
      <c r="H103"/>
      <c r="I103" s="255"/>
      <c r="J103"/>
    </row>
    <row r="104" spans="1:10" ht="28.5" customHeight="1" x14ac:dyDescent="0.25">
      <c r="B104"/>
      <c r="C104" s="173"/>
      <c r="D104" s="173"/>
      <c r="E104" s="852" t="s">
        <v>554</v>
      </c>
      <c r="F104" s="852"/>
      <c r="G104"/>
      <c r="H104"/>
      <c r="I104" s="173"/>
      <c r="J104"/>
    </row>
    <row r="105" spans="1:10" ht="23.25" customHeight="1" x14ac:dyDescent="0.25">
      <c r="B105" s="174"/>
      <c r="C105" s="179" t="s">
        <v>553</v>
      </c>
      <c r="D105" s="179"/>
      <c r="E105" s="179" t="s">
        <v>555</v>
      </c>
      <c r="F105" s="180" t="s">
        <v>556</v>
      </c>
      <c r="G105" s="180" t="s">
        <v>501</v>
      </c>
      <c r="H105"/>
      <c r="I105"/>
      <c r="J105"/>
    </row>
    <row r="106" spans="1:10" ht="39.75" customHeight="1" x14ac:dyDescent="0.25">
      <c r="B106" s="175" t="s">
        <v>834</v>
      </c>
      <c r="C106" s="176">
        <v>300000</v>
      </c>
      <c r="D106" s="176"/>
      <c r="E106" s="176">
        <f>I100</f>
        <v>260810.93624116242</v>
      </c>
      <c r="F106" s="177">
        <f>+C106-E106</f>
        <v>39189.063758837583</v>
      </c>
      <c r="G106" s="178">
        <f>E106/C106</f>
        <v>0.86936978747054139</v>
      </c>
      <c r="H106"/>
      <c r="I106"/>
      <c r="J106"/>
    </row>
    <row r="107" spans="1:10" ht="39.75" customHeight="1" x14ac:dyDescent="0.25">
      <c r="B107" s="175" t="s">
        <v>557</v>
      </c>
      <c r="C107" s="176">
        <f>F100</f>
        <v>300000</v>
      </c>
      <c r="D107" s="176"/>
      <c r="E107" s="176">
        <f>I100</f>
        <v>260810.93624116242</v>
      </c>
      <c r="F107" s="177">
        <f>+C107-E107</f>
        <v>39189.063758837583</v>
      </c>
      <c r="G107" s="178">
        <f>E107/C107</f>
        <v>0.86936978747054139</v>
      </c>
      <c r="H107"/>
      <c r="I107"/>
      <c r="J107"/>
    </row>
    <row r="108" spans="1:10" ht="21.75" customHeight="1" x14ac:dyDescent="0.25">
      <c r="B108"/>
      <c r="C108"/>
      <c r="D108"/>
      <c r="E108"/>
      <c r="F108"/>
      <c r="G108"/>
      <c r="H108"/>
      <c r="I108"/>
      <c r="J108"/>
    </row>
    <row r="109" spans="1:10" ht="21.75" customHeight="1" x14ac:dyDescent="0.25">
      <c r="B109"/>
      <c r="C109" s="173"/>
      <c r="D109" s="173"/>
      <c r="E109" s="852" t="s">
        <v>558</v>
      </c>
      <c r="F109" s="852"/>
      <c r="G109"/>
      <c r="H109"/>
      <c r="I109"/>
      <c r="J109"/>
    </row>
    <row r="110" spans="1:10" ht="23.25" customHeight="1" x14ac:dyDescent="0.25">
      <c r="B110" s="174"/>
      <c r="C110" s="179" t="s">
        <v>553</v>
      </c>
      <c r="D110" s="179"/>
      <c r="E110" s="179" t="s">
        <v>555</v>
      </c>
      <c r="F110" s="180" t="s">
        <v>556</v>
      </c>
      <c r="G110" s="180" t="s">
        <v>501</v>
      </c>
      <c r="H110"/>
      <c r="I110"/>
      <c r="J110"/>
    </row>
    <row r="111" spans="1:10" ht="36" customHeight="1" x14ac:dyDescent="0.25">
      <c r="B111" s="175" t="s">
        <v>819</v>
      </c>
      <c r="C111" s="182">
        <v>1200000</v>
      </c>
      <c r="D111" s="182"/>
      <c r="E111" s="176">
        <f>H100</f>
        <v>830616</v>
      </c>
      <c r="F111" s="183">
        <f>+C111-E111</f>
        <v>369384</v>
      </c>
      <c r="G111" s="178">
        <f>E111/C111</f>
        <v>0.69218000000000002</v>
      </c>
      <c r="H111"/>
      <c r="I111"/>
      <c r="J111"/>
    </row>
    <row r="112" spans="1:10" ht="34.5" customHeight="1" x14ac:dyDescent="0.25">
      <c r="B112" s="175" t="s">
        <v>557</v>
      </c>
      <c r="C112" s="182">
        <f>E100</f>
        <v>1200000.0031000001</v>
      </c>
      <c r="D112" s="182"/>
      <c r="E112" s="176">
        <f>H100</f>
        <v>830616</v>
      </c>
      <c r="F112" s="183">
        <f>+C112-E112</f>
        <v>369384.00310000009</v>
      </c>
      <c r="G112" s="178">
        <f>E112/C112</f>
        <v>0.69217999821186826</v>
      </c>
      <c r="H112"/>
      <c r="I112"/>
      <c r="J112"/>
    </row>
    <row r="113" spans="2:10" ht="27.75" customHeight="1" x14ac:dyDescent="0.25">
      <c r="B113"/>
      <c r="C113"/>
      <c r="D113"/>
      <c r="E113"/>
      <c r="F113"/>
      <c r="G113"/>
      <c r="H113"/>
      <c r="I113"/>
      <c r="J113"/>
    </row>
    <row r="114" spans="2:10" ht="29.25" customHeight="1" thickBot="1" x14ac:dyDescent="0.3">
      <c r="B114"/>
      <c r="C114"/>
      <c r="D114"/>
      <c r="E114" s="852" t="s">
        <v>559</v>
      </c>
      <c r="F114" s="852"/>
      <c r="G114"/>
      <c r="H114"/>
      <c r="I114"/>
      <c r="J114"/>
    </row>
    <row r="115" spans="2:10" ht="24.75" customHeight="1" thickBot="1" x14ac:dyDescent="0.3">
      <c r="B115"/>
      <c r="C115" s="853" t="s">
        <v>503</v>
      </c>
      <c r="D115" s="854"/>
      <c r="E115" s="855"/>
      <c r="F115" s="856"/>
      <c r="G115" s="857" t="s">
        <v>550</v>
      </c>
      <c r="H115" s="858"/>
      <c r="I115" s="859"/>
      <c r="J115" s="548" t="s">
        <v>552</v>
      </c>
    </row>
    <row r="116" spans="2:10" ht="33" customHeight="1" x14ac:dyDescent="0.25">
      <c r="B116" s="438"/>
      <c r="C116" s="439" t="s">
        <v>553</v>
      </c>
      <c r="D116" s="439"/>
      <c r="E116" s="439" t="s">
        <v>561</v>
      </c>
      <c r="F116" s="440" t="s">
        <v>556</v>
      </c>
      <c r="G116" s="439" t="s">
        <v>553</v>
      </c>
      <c r="H116" s="439" t="s">
        <v>561</v>
      </c>
      <c r="I116" s="440" t="s">
        <v>556</v>
      </c>
      <c r="J116" s="439" t="s">
        <v>553</v>
      </c>
    </row>
    <row r="117" spans="2:10" s="1" customFormat="1" ht="77.25" customHeight="1" x14ac:dyDescent="0.25">
      <c r="B117" s="441" t="s">
        <v>562</v>
      </c>
      <c r="C117" s="260">
        <f>C111</f>
        <v>1200000</v>
      </c>
      <c r="D117" s="260"/>
      <c r="E117" s="260">
        <f>E111</f>
        <v>830616</v>
      </c>
      <c r="F117" s="421">
        <f>C117-E117</f>
        <v>369384</v>
      </c>
      <c r="G117" s="260">
        <f>C106</f>
        <v>300000</v>
      </c>
      <c r="H117" s="260">
        <f>E106</f>
        <v>260810.93624116242</v>
      </c>
      <c r="I117" s="422">
        <f>G117-H117</f>
        <v>39189.063758837583</v>
      </c>
      <c r="J117" s="260">
        <f>C117+G117</f>
        <v>1500000</v>
      </c>
    </row>
    <row r="118" spans="2:10" ht="62.25" customHeight="1" thickBot="1" x14ac:dyDescent="0.3">
      <c r="B118" s="442" t="s">
        <v>563</v>
      </c>
      <c r="C118" s="443">
        <f>C112</f>
        <v>1200000.0031000001</v>
      </c>
      <c r="D118" s="443"/>
      <c r="E118" s="444">
        <f>E112</f>
        <v>830616</v>
      </c>
      <c r="F118" s="445">
        <f>C118-E118</f>
        <v>369384.00310000009</v>
      </c>
      <c r="G118" s="444">
        <f>C107</f>
        <v>300000</v>
      </c>
      <c r="H118" s="444">
        <f>E107</f>
        <v>260810.93624116242</v>
      </c>
      <c r="I118" s="446">
        <f>G118-H118</f>
        <v>39189.063758837583</v>
      </c>
      <c r="J118" s="443">
        <f>C118+G118</f>
        <v>1500000.0031000001</v>
      </c>
    </row>
    <row r="119" spans="2:10" x14ac:dyDescent="0.25">
      <c r="B119" s="16"/>
      <c r="C119" s="16"/>
      <c r="D119" s="16"/>
      <c r="E119" s="16"/>
      <c r="F119"/>
      <c r="G119"/>
      <c r="H119"/>
      <c r="I119"/>
      <c r="J119"/>
    </row>
    <row r="120" spans="2:10" x14ac:dyDescent="0.25">
      <c r="B120" s="16"/>
      <c r="C120" s="16"/>
      <c r="D120" s="16"/>
      <c r="E120" s="16"/>
      <c r="J120" s="254"/>
    </row>
    <row r="121" spans="2:10" x14ac:dyDescent="0.25">
      <c r="B121" s="16"/>
      <c r="C121" s="254"/>
      <c r="D121" s="254"/>
      <c r="E121" s="16"/>
    </row>
    <row r="122" spans="2:10" x14ac:dyDescent="0.25">
      <c r="B122" s="16"/>
      <c r="C122" s="16"/>
      <c r="D122" s="16"/>
      <c r="E122" s="16"/>
      <c r="I122" s="418"/>
    </row>
    <row r="123" spans="2:10" x14ac:dyDescent="0.25">
      <c r="B123" s="16"/>
      <c r="C123" s="16"/>
      <c r="D123" s="16"/>
      <c r="E123" s="16"/>
    </row>
    <row r="124" spans="2:10" x14ac:dyDescent="0.25">
      <c r="B124" s="16"/>
      <c r="C124" s="16"/>
      <c r="D124" s="16"/>
      <c r="E124" s="16"/>
    </row>
    <row r="125" spans="2:10" x14ac:dyDescent="0.25">
      <c r="B125" s="16"/>
      <c r="C125" s="16"/>
      <c r="D125" s="16"/>
      <c r="E125" s="16"/>
    </row>
    <row r="126" spans="2:10" x14ac:dyDescent="0.25">
      <c r="B126" s="16"/>
      <c r="C126" s="16"/>
      <c r="D126" s="16"/>
      <c r="E126" s="16"/>
    </row>
    <row r="127" spans="2:10" x14ac:dyDescent="0.25">
      <c r="B127" s="16"/>
      <c r="C127" s="16"/>
      <c r="D127" s="16"/>
      <c r="E127" s="16"/>
    </row>
    <row r="128" spans="2:10" x14ac:dyDescent="0.25">
      <c r="B128" s="16"/>
      <c r="C128" s="16"/>
      <c r="D128" s="16"/>
      <c r="E128" s="16"/>
    </row>
    <row r="129" s="16" customFormat="1" x14ac:dyDescent="0.25"/>
    <row r="130" s="16" customFormat="1" x14ac:dyDescent="0.25"/>
    <row r="131" s="16" customFormat="1" x14ac:dyDescent="0.25"/>
    <row r="132" s="16" customFormat="1" x14ac:dyDescent="0.25"/>
    <row r="133" s="16" customFormat="1" x14ac:dyDescent="0.25"/>
    <row r="134" s="16" customFormat="1" x14ac:dyDescent="0.25"/>
  </sheetData>
  <sheetProtection insertColumns="0" insertRows="0" deleteRows="0"/>
  <mergeCells count="22">
    <mergeCell ref="B1:J1"/>
    <mergeCell ref="G88:H88"/>
    <mergeCell ref="C89:J89"/>
    <mergeCell ref="E104:F104"/>
    <mergeCell ref="E109:F109"/>
    <mergeCell ref="B28:J28"/>
    <mergeCell ref="C29:G29"/>
    <mergeCell ref="C17:G17"/>
    <mergeCell ref="H17:J17"/>
    <mergeCell ref="E2:G2"/>
    <mergeCell ref="H2:J2"/>
    <mergeCell ref="B5:J5"/>
    <mergeCell ref="C6:J6"/>
    <mergeCell ref="E114:F114"/>
    <mergeCell ref="C115:F115"/>
    <mergeCell ref="G115:I115"/>
    <mergeCell ref="C40:J40"/>
    <mergeCell ref="B52:J52"/>
    <mergeCell ref="C53:J53"/>
    <mergeCell ref="C64:J64"/>
    <mergeCell ref="C75:J75"/>
    <mergeCell ref="F86:I87"/>
  </mergeCells>
  <dataValidations count="7">
    <dataValidation allowBlank="1" showInputMessage="1" showErrorMessage="1" prompt="Includes all related staff and temporary staff costs including base salary, post adjustment and all staff entitlements." sqref="C8:D8 C19:D19 C31:D31 C42:D42 C55:D55 C66:D66 C77:D77 C91:D91"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D9 C20:D20 C32:D32 C43:D43 C56:D56 C67:D67 C78:D78 C92:D92"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D10 C21:D21 C33:D33 C44:D44 C57:D57 C68:D68 C79:D79 C93:D93" xr:uid="{00000000-0002-0000-0400-000002000000}"/>
    <dataValidation allowBlank="1" showInputMessage="1" showErrorMessage="1" prompt="Includes staff and non-staff travel paid for by the organization directly related to a project." sqref="C12:D12 C23:D23 C35:D35 C46:D46 C59:D59 C70:D70 C81:D81 C95:D95" xr:uid="{00000000-0002-0000-0400-000003000000}"/>
    <dataValidation allowBlank="1" showInputMessage="1" showErrorMessage="1" prompt="Services contracted by an organization which follow the normal procurement processes." sqref="C11:D11 C22:D22 C34:D34 C45:D45 C58:D58 C69:D69 C80:D80 C94:D94"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D13 C24:D24 C36:D36 C47:D47 C60:D60 C71:D71 C82:D82 C96:D96"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C14:D14 C25:D25 C37:D37 C48:D48 C61:D61 C72:D72 C83:D83 C97:D97" xr:uid="{00000000-0002-0000-0400-000006000000}"/>
  </dataValidations>
  <pageMargins left="0.70866141732283505" right="0.70866141732283505" top="0.74803149606299202" bottom="0.74803149606299202" header="0.31496062992126" footer="0.31496062992126"/>
  <pageSetup scale="49" fitToHeight="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F24"/>
  <sheetViews>
    <sheetView workbookViewId="0">
      <selection activeCell="D28" sqref="D28"/>
    </sheetView>
  </sheetViews>
  <sheetFormatPr baseColWidth="10" defaultColWidth="8.85546875" defaultRowHeight="15" x14ac:dyDescent="0.25"/>
  <cols>
    <col min="2" max="2" width="33.7109375" customWidth="1"/>
    <col min="3" max="3" width="23.5703125" customWidth="1"/>
    <col min="4" max="4" width="16.5703125" customWidth="1"/>
    <col min="5" max="5" width="26" customWidth="1"/>
  </cols>
  <sheetData>
    <row r="1" spans="2:6" ht="15.75" thickBot="1" x14ac:dyDescent="0.3">
      <c r="B1" s="222"/>
      <c r="C1" s="222"/>
      <c r="D1" s="222"/>
      <c r="E1" s="222"/>
      <c r="F1" s="222"/>
    </row>
    <row r="2" spans="2:6" ht="15.75" x14ac:dyDescent="0.25">
      <c r="B2" s="894" t="s">
        <v>595</v>
      </c>
      <c r="C2" s="895"/>
      <c r="D2" s="895"/>
      <c r="E2" s="896"/>
      <c r="F2" s="223"/>
    </row>
    <row r="3" spans="2:6" ht="16.5" thickBot="1" x14ac:dyDescent="0.3">
      <c r="B3" s="897"/>
      <c r="C3" s="898"/>
      <c r="D3" s="898"/>
      <c r="E3" s="899"/>
      <c r="F3" s="223"/>
    </row>
    <row r="4" spans="2:6" ht="16.5" thickBot="1" x14ac:dyDescent="0.3">
      <c r="B4" s="223"/>
      <c r="C4" s="223"/>
      <c r="D4" s="223"/>
      <c r="E4" s="223"/>
      <c r="F4" s="223"/>
    </row>
    <row r="5" spans="2:6" ht="16.5" thickBot="1" x14ac:dyDescent="0.3">
      <c r="B5" s="900" t="s">
        <v>596</v>
      </c>
      <c r="C5" s="901"/>
      <c r="D5" s="901"/>
      <c r="E5" s="902"/>
      <c r="F5" s="223"/>
    </row>
    <row r="6" spans="2:6" ht="30.75" customHeight="1" x14ac:dyDescent="0.25">
      <c r="B6" s="211"/>
      <c r="C6" s="224" t="str">
        <f>'[16]1) RF par produit'!D5</f>
        <v>PNUD
(budget en USD)</v>
      </c>
      <c r="D6" s="224" t="str">
        <f>'[16]1) RF par produit'!E5</f>
        <v>MSIS-tatao
(budget en USD)</v>
      </c>
      <c r="E6" s="225" t="s">
        <v>596</v>
      </c>
      <c r="F6" s="223"/>
    </row>
    <row r="7" spans="2:6" ht="30.75" customHeight="1" x14ac:dyDescent="0.25">
      <c r="B7" s="226" t="s">
        <v>597</v>
      </c>
      <c r="C7" s="213">
        <f>'[16]2) RP par categorie budgetaire'!D198</f>
        <v>30000</v>
      </c>
      <c r="D7" s="213">
        <f>'[16]2) RP par categorie budgetaire'!E198</f>
        <v>45000</v>
      </c>
      <c r="E7" s="227">
        <f t="shared" ref="E7:E14" si="0">SUM(C7:D7)</f>
        <v>75000</v>
      </c>
      <c r="F7" s="223"/>
    </row>
    <row r="8" spans="2:6" ht="30.75" customHeight="1" x14ac:dyDescent="0.25">
      <c r="B8" s="226" t="s">
        <v>598</v>
      </c>
      <c r="C8" s="213">
        <f>'[16]2) RP par categorie budgetaire'!D199</f>
        <v>5453.6915887850455</v>
      </c>
      <c r="D8" s="213">
        <f>'[16]2) RP par categorie budgetaire'!E199</f>
        <v>13828.691588785045</v>
      </c>
      <c r="E8" s="228">
        <f t="shared" si="0"/>
        <v>19282.383177570089</v>
      </c>
      <c r="F8" s="223"/>
    </row>
    <row r="9" spans="2:6" ht="30.75" customHeight="1" x14ac:dyDescent="0.25">
      <c r="B9" s="226" t="s">
        <v>599</v>
      </c>
      <c r="C9" s="213">
        <f>'[16]2) RP par categorie budgetaire'!D200</f>
        <v>40860.093457943927</v>
      </c>
      <c r="D9" s="213">
        <f>'[16]2) RP par categorie budgetaire'!E200</f>
        <v>33899.439252336437</v>
      </c>
      <c r="E9" s="228">
        <f t="shared" si="0"/>
        <v>74759.532710280357</v>
      </c>
      <c r="F9" s="223"/>
    </row>
    <row r="10" spans="2:6" ht="30.75" customHeight="1" x14ac:dyDescent="0.25">
      <c r="B10" s="229" t="s">
        <v>600</v>
      </c>
      <c r="C10" s="213">
        <f>'[16]2) RP par categorie budgetaire'!D201</f>
        <v>279465.51401869161</v>
      </c>
      <c r="D10" s="213">
        <f>'[16]2) RP par categorie budgetaire'!E201</f>
        <v>44866.074766355137</v>
      </c>
      <c r="E10" s="228">
        <f t="shared" si="0"/>
        <v>324331.58878504677</v>
      </c>
      <c r="F10" s="223"/>
    </row>
    <row r="11" spans="2:6" ht="30.75" customHeight="1" x14ac:dyDescent="0.25">
      <c r="B11" s="226" t="s">
        <v>601</v>
      </c>
      <c r="C11" s="213">
        <f>'[16]2) RP par categorie budgetaire'!D202</f>
        <v>50547.429906542056</v>
      </c>
      <c r="D11" s="213">
        <f>'[16]2) RP par categorie budgetaire'!E202</f>
        <v>19237.383177570089</v>
      </c>
      <c r="E11" s="228">
        <f t="shared" si="0"/>
        <v>69784.813084112146</v>
      </c>
      <c r="F11" s="223"/>
    </row>
    <row r="12" spans="2:6" ht="30.75" customHeight="1" x14ac:dyDescent="0.25">
      <c r="B12" s="226" t="s">
        <v>602</v>
      </c>
      <c r="C12" s="213">
        <f>'[16]2) RP par categorie budgetaire'!D203</f>
        <v>659532.24299065408</v>
      </c>
      <c r="D12" s="213">
        <f>'[16]2) RP par categorie budgetaire'!E203</f>
        <v>111720</v>
      </c>
      <c r="E12" s="228">
        <f t="shared" si="0"/>
        <v>771252.24299065408</v>
      </c>
      <c r="F12" s="223"/>
    </row>
    <row r="13" spans="2:6" ht="30.75" customHeight="1" thickBot="1" x14ac:dyDescent="0.3">
      <c r="B13" s="230" t="s">
        <v>603</v>
      </c>
      <c r="C13" s="231">
        <f>'[16]2) RP par categorie budgetaire'!D204</f>
        <v>55636.355140186919</v>
      </c>
      <c r="D13" s="231">
        <f>'[16]2) RP par categorie budgetaire'!E204</f>
        <v>11822.2429906542</v>
      </c>
      <c r="E13" s="232">
        <f t="shared" si="0"/>
        <v>67458.598130841114</v>
      </c>
      <c r="F13" s="223"/>
    </row>
    <row r="14" spans="2:6" ht="30.75" customHeight="1" x14ac:dyDescent="0.25">
      <c r="B14" s="233" t="s">
        <v>604</v>
      </c>
      <c r="C14" s="234">
        <f>SUM(C7:C13)</f>
        <v>1121495.3271028036</v>
      </c>
      <c r="D14" s="234">
        <f>SUM(D7:D13)</f>
        <v>280373.83177570091</v>
      </c>
      <c r="E14" s="235">
        <f t="shared" si="0"/>
        <v>1401869.1588785045</v>
      </c>
      <c r="F14" s="223"/>
    </row>
    <row r="15" spans="2:6" ht="30.75" customHeight="1" x14ac:dyDescent="0.25">
      <c r="B15" s="236" t="s">
        <v>605</v>
      </c>
      <c r="C15" s="237">
        <f>C14*0.07</f>
        <v>78504.672897196258</v>
      </c>
      <c r="D15" s="237">
        <f>D14*0.07</f>
        <v>19626.168224299065</v>
      </c>
      <c r="E15" s="238">
        <f>E14*0.07</f>
        <v>98130.841121495323</v>
      </c>
      <c r="F15" s="223"/>
    </row>
    <row r="16" spans="2:6" ht="30.75" customHeight="1" thickBot="1" x14ac:dyDescent="0.3">
      <c r="B16" s="239" t="s">
        <v>1</v>
      </c>
      <c r="C16" s="240">
        <f>C14+C15</f>
        <v>1200000</v>
      </c>
      <c r="D16" s="240">
        <f>D14+D15</f>
        <v>300000</v>
      </c>
      <c r="E16" s="241">
        <f>E14+E15</f>
        <v>1499999.9999999998</v>
      </c>
      <c r="F16" s="223"/>
    </row>
    <row r="17" spans="2:6" ht="16.5" thickBot="1" x14ac:dyDescent="0.3">
      <c r="B17" s="223"/>
      <c r="C17" s="223"/>
      <c r="D17" s="223"/>
      <c r="E17" s="223"/>
      <c r="F17" s="223"/>
    </row>
    <row r="18" spans="2:6" ht="15.75" x14ac:dyDescent="0.25">
      <c r="B18" s="903" t="s">
        <v>606</v>
      </c>
      <c r="C18" s="904"/>
      <c r="D18" s="904"/>
      <c r="E18" s="905"/>
      <c r="F18" s="223"/>
    </row>
    <row r="19" spans="2:6" ht="46.5" customHeight="1" x14ac:dyDescent="0.25">
      <c r="B19" s="242"/>
      <c r="C19" s="225" t="str">
        <f>'[16]1) RF par produit'!D5</f>
        <v>PNUD
(budget en USD)</v>
      </c>
      <c r="D19" s="225" t="str">
        <f>'[16]1) RF par produit'!E5</f>
        <v>MSIS-tatao
(budget en USD)</v>
      </c>
      <c r="E19" s="243" t="s">
        <v>594</v>
      </c>
      <c r="F19" s="244" t="s">
        <v>0</v>
      </c>
    </row>
    <row r="20" spans="2:6" ht="28.5" customHeight="1" x14ac:dyDescent="0.25">
      <c r="B20" s="226" t="s">
        <v>607</v>
      </c>
      <c r="C20" s="245">
        <f>'[16]1) RF par produit'!D197</f>
        <v>780000</v>
      </c>
      <c r="D20" s="245">
        <f>'[16]1) RF par produit'!E197</f>
        <v>195000</v>
      </c>
      <c r="E20" s="246">
        <f>'[16]1) RF par produit'!G197</f>
        <v>975000</v>
      </c>
      <c r="F20" s="247">
        <f>'[16]1) RF par produit'!H197</f>
        <v>0.65</v>
      </c>
    </row>
    <row r="21" spans="2:6" ht="28.5" customHeight="1" x14ac:dyDescent="0.25">
      <c r="B21" s="226" t="s">
        <v>608</v>
      </c>
      <c r="C21" s="245">
        <f>'[16]1) RF par produit'!D198</f>
        <v>420000</v>
      </c>
      <c r="D21" s="245">
        <f>'[16]1) RF par produit'!E198</f>
        <v>105000</v>
      </c>
      <c r="E21" s="246">
        <f>'[16]1) RF par produit'!G198</f>
        <v>525000</v>
      </c>
      <c r="F21" s="247">
        <f>'[16]1) RF par produit'!H198</f>
        <v>0.35</v>
      </c>
    </row>
    <row r="22" spans="2:6" ht="28.5" customHeight="1" thickBot="1" x14ac:dyDescent="0.3">
      <c r="B22" s="226" t="s">
        <v>609</v>
      </c>
      <c r="C22" s="245">
        <f>'[16]1) RF par produit'!D199</f>
        <v>0</v>
      </c>
      <c r="D22" s="245">
        <f>'[16]1) RF par produit'!E199</f>
        <v>0</v>
      </c>
      <c r="E22" s="246">
        <f>'[16]1) RF par produit'!G199</f>
        <v>0</v>
      </c>
      <c r="F22" s="248">
        <f>'[16]1) RF par produit'!H199</f>
        <v>0</v>
      </c>
    </row>
    <row r="23" spans="2:6" ht="16.5" thickBot="1" x14ac:dyDescent="0.3">
      <c r="B23" s="249" t="s">
        <v>594</v>
      </c>
      <c r="C23" s="250">
        <f>'[16]1) RF par produit'!D200</f>
        <v>1200000</v>
      </c>
      <c r="D23" s="250">
        <f>'[16]1) RF par produit'!E200</f>
        <v>300000</v>
      </c>
      <c r="E23" s="250">
        <f>'[16]1) RF par produit'!G200</f>
        <v>1500000</v>
      </c>
      <c r="F23" s="222"/>
    </row>
    <row r="24" spans="2:6" x14ac:dyDescent="0.25">
      <c r="B24" s="222"/>
      <c r="C24" s="222"/>
      <c r="D24" s="222"/>
      <c r="E24" s="222"/>
      <c r="F24" s="222"/>
    </row>
  </sheetData>
  <mergeCells count="3">
    <mergeCell ref="B2:E3"/>
    <mergeCell ref="B5:E5"/>
    <mergeCell ref="B18:E18"/>
  </mergeCells>
  <dataValidations count="7">
    <dataValidation allowBlank="1" showInputMessage="1" showErrorMessage="1" prompt=" Includes all general operating costs for running an office. Examples include telecommunication, rents, finance charges and other costs which cannot be mapped to other expense categories." sqref="B13" xr:uid="{00000000-0002-0000-05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00000000-0002-0000-0500-000001000000}"/>
    <dataValidation allowBlank="1" showInputMessage="1" showErrorMessage="1" prompt="Services contracted by an organization which follow the normal procurement processes." sqref="B10" xr:uid="{00000000-0002-0000-0500-000002000000}"/>
    <dataValidation allowBlank="1" showInputMessage="1" showErrorMessage="1" prompt="Includes staff and non-staff travel paid for by the organization directly related to a project." sqref="B11" xr:uid="{00000000-0002-0000-05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00000000-0002-0000-05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00000000-0002-0000-0500-000005000000}"/>
    <dataValidation allowBlank="1" showInputMessage="1" showErrorMessage="1" prompt="Includes all related staff and temporary staff costs including base salary, post adjustment and all staff entitlements." sqref="B7" xr:uid="{00000000-0002-0000-0500-000006000000}"/>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F20" sqref="F19:F20"/>
    </sheetView>
  </sheetViews>
  <sheetFormatPr baseColWidth="10" defaultColWidth="8.85546875" defaultRowHeight="15" x14ac:dyDescent="0.25"/>
  <sheetData>
    <row r="1" spans="1:1" x14ac:dyDescent="0.25">
      <c r="A1" s="42">
        <v>0</v>
      </c>
    </row>
    <row r="2" spans="1:1" x14ac:dyDescent="0.25">
      <c r="A2" s="42">
        <v>0.2</v>
      </c>
    </row>
    <row r="3" spans="1:1" x14ac:dyDescent="0.25">
      <c r="A3" s="42">
        <v>0.4</v>
      </c>
    </row>
    <row r="4" spans="1:1" x14ac:dyDescent="0.25">
      <c r="A4" s="42">
        <v>0.6</v>
      </c>
    </row>
    <row r="5" spans="1:1" x14ac:dyDescent="0.25">
      <c r="A5" s="42">
        <v>0.8</v>
      </c>
    </row>
    <row r="6" spans="1:1" x14ac:dyDescent="0.25">
      <c r="A6" s="42">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9" workbookViewId="0">
      <selection activeCell="A16" sqref="A16"/>
    </sheetView>
  </sheetViews>
  <sheetFormatPr baseColWidth="10" defaultColWidth="8.85546875" defaultRowHeight="15" x14ac:dyDescent="0.25"/>
  <cols>
    <col min="1" max="1" width="23.85546875" customWidth="1"/>
  </cols>
  <sheetData>
    <row r="1" spans="1:2" x14ac:dyDescent="0.25">
      <c r="A1" s="18" t="s">
        <v>2</v>
      </c>
      <c r="B1" s="19" t="s">
        <v>3</v>
      </c>
    </row>
    <row r="2" spans="1:2" x14ac:dyDescent="0.25">
      <c r="A2" s="20" t="s">
        <v>4</v>
      </c>
      <c r="B2" s="21" t="s">
        <v>5</v>
      </c>
    </row>
    <row r="3" spans="1:2" x14ac:dyDescent="0.25">
      <c r="A3" s="20" t="s">
        <v>6</v>
      </c>
      <c r="B3" s="21" t="s">
        <v>7</v>
      </c>
    </row>
    <row r="4" spans="1:2" x14ac:dyDescent="0.25">
      <c r="A4" s="20" t="s">
        <v>8</v>
      </c>
      <c r="B4" s="21" t="s">
        <v>9</v>
      </c>
    </row>
    <row r="5" spans="1:2" x14ac:dyDescent="0.25">
      <c r="A5" s="20" t="s">
        <v>10</v>
      </c>
      <c r="B5" s="21" t="s">
        <v>11</v>
      </c>
    </row>
    <row r="6" spans="1:2" x14ac:dyDescent="0.25">
      <c r="A6" s="20" t="s">
        <v>12</v>
      </c>
      <c r="B6" s="21" t="s">
        <v>13</v>
      </c>
    </row>
    <row r="7" spans="1:2" x14ac:dyDescent="0.25">
      <c r="A7" s="20" t="s">
        <v>14</v>
      </c>
      <c r="B7" s="21" t="s">
        <v>15</v>
      </c>
    </row>
    <row r="8" spans="1:2" x14ac:dyDescent="0.25">
      <c r="A8" s="20" t="s">
        <v>16</v>
      </c>
      <c r="B8" s="21" t="s">
        <v>17</v>
      </c>
    </row>
    <row r="9" spans="1:2" x14ac:dyDescent="0.25">
      <c r="A9" s="20" t="s">
        <v>18</v>
      </c>
      <c r="B9" s="21" t="s">
        <v>19</v>
      </c>
    </row>
    <row r="10" spans="1:2" x14ac:dyDescent="0.25">
      <c r="A10" s="20" t="s">
        <v>20</v>
      </c>
      <c r="B10" s="21" t="s">
        <v>21</v>
      </c>
    </row>
    <row r="11" spans="1:2" x14ac:dyDescent="0.25">
      <c r="A11" s="20" t="s">
        <v>22</v>
      </c>
      <c r="B11" s="21" t="s">
        <v>23</v>
      </c>
    </row>
    <row r="12" spans="1:2" x14ac:dyDescent="0.25">
      <c r="A12" s="20" t="s">
        <v>24</v>
      </c>
      <c r="B12" s="21" t="s">
        <v>25</v>
      </c>
    </row>
    <row r="13" spans="1:2" x14ac:dyDescent="0.25">
      <c r="A13" s="20" t="s">
        <v>26</v>
      </c>
      <c r="B13" s="21" t="s">
        <v>27</v>
      </c>
    </row>
    <row r="14" spans="1:2" x14ac:dyDescent="0.25">
      <c r="A14" s="20" t="s">
        <v>28</v>
      </c>
      <c r="B14" s="21" t="s">
        <v>29</v>
      </c>
    </row>
    <row r="15" spans="1:2" x14ac:dyDescent="0.25">
      <c r="A15" s="20" t="s">
        <v>30</v>
      </c>
      <c r="B15" s="21" t="s">
        <v>31</v>
      </c>
    </row>
    <row r="16" spans="1:2" x14ac:dyDescent="0.25">
      <c r="A16" s="20" t="s">
        <v>32</v>
      </c>
      <c r="B16" s="21" t="s">
        <v>33</v>
      </c>
    </row>
    <row r="17" spans="1:2" x14ac:dyDescent="0.25">
      <c r="A17" s="20" t="s">
        <v>34</v>
      </c>
      <c r="B17" s="21" t="s">
        <v>35</v>
      </c>
    </row>
    <row r="18" spans="1:2" x14ac:dyDescent="0.25">
      <c r="A18" s="20" t="s">
        <v>36</v>
      </c>
      <c r="B18" s="21" t="s">
        <v>37</v>
      </c>
    </row>
    <row r="19" spans="1:2" x14ac:dyDescent="0.25">
      <c r="A19" s="20" t="s">
        <v>38</v>
      </c>
      <c r="B19" s="21" t="s">
        <v>39</v>
      </c>
    </row>
    <row r="20" spans="1:2" x14ac:dyDescent="0.25">
      <c r="A20" s="20" t="s">
        <v>40</v>
      </c>
      <c r="B20" s="21" t="s">
        <v>41</v>
      </c>
    </row>
    <row r="21" spans="1:2" x14ac:dyDescent="0.25">
      <c r="A21" s="20" t="s">
        <v>42</v>
      </c>
      <c r="B21" s="21" t="s">
        <v>43</v>
      </c>
    </row>
    <row r="22" spans="1:2" x14ac:dyDescent="0.25">
      <c r="A22" s="20" t="s">
        <v>44</v>
      </c>
      <c r="B22" s="21" t="s">
        <v>45</v>
      </c>
    </row>
    <row r="23" spans="1:2" x14ac:dyDescent="0.25">
      <c r="A23" s="20" t="s">
        <v>46</v>
      </c>
      <c r="B23" s="21" t="s">
        <v>47</v>
      </c>
    </row>
    <row r="24" spans="1:2" x14ac:dyDescent="0.25">
      <c r="A24" s="20" t="s">
        <v>48</v>
      </c>
      <c r="B24" s="21" t="s">
        <v>49</v>
      </c>
    </row>
    <row r="25" spans="1:2" x14ac:dyDescent="0.25">
      <c r="A25" s="20" t="s">
        <v>50</v>
      </c>
      <c r="B25" s="21" t="s">
        <v>51</v>
      </c>
    </row>
    <row r="26" spans="1:2" x14ac:dyDescent="0.25">
      <c r="A26" s="20" t="s">
        <v>52</v>
      </c>
      <c r="B26" s="21" t="s">
        <v>53</v>
      </c>
    </row>
    <row r="27" spans="1:2" x14ac:dyDescent="0.25">
      <c r="A27" s="20" t="s">
        <v>54</v>
      </c>
      <c r="B27" s="21" t="s">
        <v>55</v>
      </c>
    </row>
    <row r="28" spans="1:2" x14ac:dyDescent="0.25">
      <c r="A28" s="20" t="s">
        <v>56</v>
      </c>
      <c r="B28" s="21" t="s">
        <v>57</v>
      </c>
    </row>
    <row r="29" spans="1:2" x14ac:dyDescent="0.25">
      <c r="A29" s="20" t="s">
        <v>58</v>
      </c>
      <c r="B29" s="21" t="s">
        <v>59</v>
      </c>
    </row>
    <row r="30" spans="1:2" x14ac:dyDescent="0.25">
      <c r="A30" s="20" t="s">
        <v>60</v>
      </c>
      <c r="B30" s="21" t="s">
        <v>61</v>
      </c>
    </row>
    <row r="31" spans="1:2" x14ac:dyDescent="0.25">
      <c r="A31" s="20" t="s">
        <v>62</v>
      </c>
      <c r="B31" s="21" t="s">
        <v>63</v>
      </c>
    </row>
    <row r="32" spans="1:2" x14ac:dyDescent="0.25">
      <c r="A32" s="20" t="s">
        <v>64</v>
      </c>
      <c r="B32" s="21" t="s">
        <v>65</v>
      </c>
    </row>
    <row r="33" spans="1:2" x14ac:dyDescent="0.25">
      <c r="A33" s="20" t="s">
        <v>66</v>
      </c>
      <c r="B33" s="21" t="s">
        <v>67</v>
      </c>
    </row>
    <row r="34" spans="1:2" x14ac:dyDescent="0.25">
      <c r="A34" s="20" t="s">
        <v>68</v>
      </c>
      <c r="B34" s="21" t="s">
        <v>69</v>
      </c>
    </row>
    <row r="35" spans="1:2" x14ac:dyDescent="0.25">
      <c r="A35" s="20" t="s">
        <v>70</v>
      </c>
      <c r="B35" s="21" t="s">
        <v>71</v>
      </c>
    </row>
    <row r="36" spans="1:2" x14ac:dyDescent="0.25">
      <c r="A36" s="20" t="s">
        <v>72</v>
      </c>
      <c r="B36" s="21" t="s">
        <v>73</v>
      </c>
    </row>
    <row r="37" spans="1:2" x14ac:dyDescent="0.25">
      <c r="A37" s="20" t="s">
        <v>74</v>
      </c>
      <c r="B37" s="21" t="s">
        <v>75</v>
      </c>
    </row>
    <row r="38" spans="1:2" x14ac:dyDescent="0.25">
      <c r="A38" s="20" t="s">
        <v>76</v>
      </c>
      <c r="B38" s="21" t="s">
        <v>77</v>
      </c>
    </row>
    <row r="39" spans="1:2" x14ac:dyDescent="0.25">
      <c r="A39" s="20" t="s">
        <v>78</v>
      </c>
      <c r="B39" s="21" t="s">
        <v>79</v>
      </c>
    </row>
    <row r="40" spans="1:2" x14ac:dyDescent="0.25">
      <c r="A40" s="20" t="s">
        <v>80</v>
      </c>
      <c r="B40" s="21" t="s">
        <v>81</v>
      </c>
    </row>
    <row r="41" spans="1:2" x14ac:dyDescent="0.25">
      <c r="A41" s="20" t="s">
        <v>82</v>
      </c>
      <c r="B41" s="21" t="s">
        <v>83</v>
      </c>
    </row>
    <row r="42" spans="1:2" x14ac:dyDescent="0.25">
      <c r="A42" s="20" t="s">
        <v>84</v>
      </c>
      <c r="B42" s="21" t="s">
        <v>85</v>
      </c>
    </row>
    <row r="43" spans="1:2" x14ac:dyDescent="0.25">
      <c r="A43" s="20" t="s">
        <v>86</v>
      </c>
      <c r="B43" s="21" t="s">
        <v>87</v>
      </c>
    </row>
    <row r="44" spans="1:2" x14ac:dyDescent="0.25">
      <c r="A44" s="20" t="s">
        <v>88</v>
      </c>
      <c r="B44" s="21" t="s">
        <v>89</v>
      </c>
    </row>
    <row r="45" spans="1:2" x14ac:dyDescent="0.25">
      <c r="A45" s="20" t="s">
        <v>90</v>
      </c>
      <c r="B45" s="21" t="s">
        <v>91</v>
      </c>
    </row>
    <row r="46" spans="1:2" x14ac:dyDescent="0.25">
      <c r="A46" s="20" t="s">
        <v>92</v>
      </c>
      <c r="B46" s="21" t="s">
        <v>93</v>
      </c>
    </row>
    <row r="47" spans="1:2" x14ac:dyDescent="0.25">
      <c r="A47" s="20" t="s">
        <v>94</v>
      </c>
      <c r="B47" s="21" t="s">
        <v>95</v>
      </c>
    </row>
    <row r="48" spans="1:2" x14ac:dyDescent="0.25">
      <c r="A48" s="20" t="s">
        <v>96</v>
      </c>
      <c r="B48" s="21" t="s">
        <v>97</v>
      </c>
    </row>
    <row r="49" spans="1:2" x14ac:dyDescent="0.25">
      <c r="A49" s="20" t="s">
        <v>98</v>
      </c>
      <c r="B49" s="21" t="s">
        <v>99</v>
      </c>
    </row>
    <row r="50" spans="1:2" x14ac:dyDescent="0.25">
      <c r="A50" s="20" t="s">
        <v>100</v>
      </c>
      <c r="B50" s="21" t="s">
        <v>101</v>
      </c>
    </row>
    <row r="51" spans="1:2" x14ac:dyDescent="0.25">
      <c r="A51" s="20" t="s">
        <v>102</v>
      </c>
      <c r="B51" s="21" t="s">
        <v>103</v>
      </c>
    </row>
    <row r="52" spans="1:2" x14ac:dyDescent="0.25">
      <c r="A52" s="20" t="s">
        <v>104</v>
      </c>
      <c r="B52" s="21" t="s">
        <v>105</v>
      </c>
    </row>
    <row r="53" spans="1:2" x14ac:dyDescent="0.25">
      <c r="A53" s="20" t="s">
        <v>106</v>
      </c>
      <c r="B53" s="21" t="s">
        <v>107</v>
      </c>
    </row>
    <row r="54" spans="1:2" x14ac:dyDescent="0.25">
      <c r="A54" s="20" t="s">
        <v>108</v>
      </c>
      <c r="B54" s="21" t="s">
        <v>109</v>
      </c>
    </row>
    <row r="55" spans="1:2" x14ac:dyDescent="0.25">
      <c r="A55" s="20" t="s">
        <v>110</v>
      </c>
      <c r="B55" s="21" t="s">
        <v>111</v>
      </c>
    </row>
    <row r="56" spans="1:2" x14ac:dyDescent="0.25">
      <c r="A56" s="20" t="s">
        <v>112</v>
      </c>
      <c r="B56" s="21" t="s">
        <v>113</v>
      </c>
    </row>
    <row r="57" spans="1:2" x14ac:dyDescent="0.25">
      <c r="A57" s="20" t="s">
        <v>114</v>
      </c>
      <c r="B57" s="21" t="s">
        <v>115</v>
      </c>
    </row>
    <row r="58" spans="1:2" x14ac:dyDescent="0.25">
      <c r="A58" s="20" t="s">
        <v>116</v>
      </c>
      <c r="B58" s="21" t="s">
        <v>117</v>
      </c>
    </row>
    <row r="59" spans="1:2" x14ac:dyDescent="0.25">
      <c r="A59" s="20" t="s">
        <v>118</v>
      </c>
      <c r="B59" s="21" t="s">
        <v>119</v>
      </c>
    </row>
    <row r="60" spans="1:2" x14ac:dyDescent="0.25">
      <c r="A60" s="20" t="s">
        <v>120</v>
      </c>
      <c r="B60" s="21" t="s">
        <v>121</v>
      </c>
    </row>
    <row r="61" spans="1:2" x14ac:dyDescent="0.25">
      <c r="A61" s="20" t="s">
        <v>122</v>
      </c>
      <c r="B61" s="21" t="s">
        <v>123</v>
      </c>
    </row>
    <row r="62" spans="1:2" x14ac:dyDescent="0.25">
      <c r="A62" s="20" t="s">
        <v>124</v>
      </c>
      <c r="B62" s="21" t="s">
        <v>125</v>
      </c>
    </row>
    <row r="63" spans="1:2" x14ac:dyDescent="0.25">
      <c r="A63" s="20" t="s">
        <v>126</v>
      </c>
      <c r="B63" s="21" t="s">
        <v>127</v>
      </c>
    </row>
    <row r="64" spans="1:2" x14ac:dyDescent="0.25">
      <c r="A64" s="20" t="s">
        <v>128</v>
      </c>
      <c r="B64" s="21" t="s">
        <v>129</v>
      </c>
    </row>
    <row r="65" spans="1:2" x14ac:dyDescent="0.25">
      <c r="A65" s="20" t="s">
        <v>130</v>
      </c>
      <c r="B65" s="21" t="s">
        <v>131</v>
      </c>
    </row>
    <row r="66" spans="1:2" x14ac:dyDescent="0.25">
      <c r="A66" s="20" t="s">
        <v>132</v>
      </c>
      <c r="B66" s="21" t="s">
        <v>133</v>
      </c>
    </row>
    <row r="67" spans="1:2" x14ac:dyDescent="0.25">
      <c r="A67" s="20" t="s">
        <v>134</v>
      </c>
      <c r="B67" s="21" t="s">
        <v>135</v>
      </c>
    </row>
    <row r="68" spans="1:2" x14ac:dyDescent="0.25">
      <c r="A68" s="20" t="s">
        <v>136</v>
      </c>
      <c r="B68" s="21" t="s">
        <v>137</v>
      </c>
    </row>
    <row r="69" spans="1:2" x14ac:dyDescent="0.25">
      <c r="A69" s="20" t="s">
        <v>138</v>
      </c>
      <c r="B69" s="21" t="s">
        <v>139</v>
      </c>
    </row>
    <row r="70" spans="1:2" x14ac:dyDescent="0.25">
      <c r="A70" s="20" t="s">
        <v>140</v>
      </c>
      <c r="B70" s="21" t="s">
        <v>141</v>
      </c>
    </row>
    <row r="71" spans="1:2" x14ac:dyDescent="0.25">
      <c r="A71" s="20" t="s">
        <v>142</v>
      </c>
      <c r="B71" s="21" t="s">
        <v>143</v>
      </c>
    </row>
    <row r="72" spans="1:2" x14ac:dyDescent="0.25">
      <c r="A72" s="20" t="s">
        <v>144</v>
      </c>
      <c r="B72" s="21" t="s">
        <v>145</v>
      </c>
    </row>
    <row r="73" spans="1:2" x14ac:dyDescent="0.25">
      <c r="A73" s="20" t="s">
        <v>146</v>
      </c>
      <c r="B73" s="21" t="s">
        <v>147</v>
      </c>
    </row>
    <row r="74" spans="1:2" x14ac:dyDescent="0.25">
      <c r="A74" s="20" t="s">
        <v>148</v>
      </c>
      <c r="B74" s="21" t="s">
        <v>149</v>
      </c>
    </row>
    <row r="75" spans="1:2" x14ac:dyDescent="0.25">
      <c r="A75" s="20" t="s">
        <v>150</v>
      </c>
      <c r="B75" s="22" t="s">
        <v>151</v>
      </c>
    </row>
    <row r="76" spans="1:2" x14ac:dyDescent="0.25">
      <c r="A76" s="20" t="s">
        <v>152</v>
      </c>
      <c r="B76" s="22" t="s">
        <v>153</v>
      </c>
    </row>
    <row r="77" spans="1:2" x14ac:dyDescent="0.25">
      <c r="A77" s="20" t="s">
        <v>154</v>
      </c>
      <c r="B77" s="22" t="s">
        <v>155</v>
      </c>
    </row>
    <row r="78" spans="1:2" x14ac:dyDescent="0.25">
      <c r="A78" s="20" t="s">
        <v>156</v>
      </c>
      <c r="B78" s="22" t="s">
        <v>157</v>
      </c>
    </row>
    <row r="79" spans="1:2" x14ac:dyDescent="0.25">
      <c r="A79" s="20" t="s">
        <v>158</v>
      </c>
      <c r="B79" s="22" t="s">
        <v>159</v>
      </c>
    </row>
    <row r="80" spans="1:2" x14ac:dyDescent="0.25">
      <c r="A80" s="20" t="s">
        <v>160</v>
      </c>
      <c r="B80" s="22" t="s">
        <v>161</v>
      </c>
    </row>
    <row r="81" spans="1:2" x14ac:dyDescent="0.25">
      <c r="A81" s="20" t="s">
        <v>162</v>
      </c>
      <c r="B81" s="22" t="s">
        <v>163</v>
      </c>
    </row>
    <row r="82" spans="1:2" x14ac:dyDescent="0.25">
      <c r="A82" s="20" t="s">
        <v>164</v>
      </c>
      <c r="B82" s="22" t="s">
        <v>165</v>
      </c>
    </row>
    <row r="83" spans="1:2" x14ac:dyDescent="0.25">
      <c r="A83" s="20" t="s">
        <v>166</v>
      </c>
      <c r="B83" s="22" t="s">
        <v>167</v>
      </c>
    </row>
    <row r="84" spans="1:2" x14ac:dyDescent="0.25">
      <c r="A84" s="20" t="s">
        <v>168</v>
      </c>
      <c r="B84" s="22" t="s">
        <v>169</v>
      </c>
    </row>
    <row r="85" spans="1:2" x14ac:dyDescent="0.25">
      <c r="A85" s="20" t="s">
        <v>170</v>
      </c>
      <c r="B85" s="22" t="s">
        <v>171</v>
      </c>
    </row>
    <row r="86" spans="1:2" x14ac:dyDescent="0.25">
      <c r="A86" s="20" t="s">
        <v>172</v>
      </c>
      <c r="B86" s="22" t="s">
        <v>173</v>
      </c>
    </row>
    <row r="87" spans="1:2" x14ac:dyDescent="0.25">
      <c r="A87" s="20" t="s">
        <v>174</v>
      </c>
      <c r="B87" s="22" t="s">
        <v>175</v>
      </c>
    </row>
    <row r="88" spans="1:2" x14ac:dyDescent="0.25">
      <c r="A88" s="20" t="s">
        <v>176</v>
      </c>
      <c r="B88" s="22" t="s">
        <v>177</v>
      </c>
    </row>
    <row r="89" spans="1:2" x14ac:dyDescent="0.25">
      <c r="A89" s="20" t="s">
        <v>178</v>
      </c>
      <c r="B89" s="22" t="s">
        <v>179</v>
      </c>
    </row>
    <row r="90" spans="1:2" x14ac:dyDescent="0.25">
      <c r="A90" s="20" t="s">
        <v>180</v>
      </c>
      <c r="B90" s="22" t="s">
        <v>181</v>
      </c>
    </row>
    <row r="91" spans="1:2" x14ac:dyDescent="0.25">
      <c r="A91" s="20" t="s">
        <v>182</v>
      </c>
      <c r="B91" s="22" t="s">
        <v>183</v>
      </c>
    </row>
    <row r="92" spans="1:2" x14ac:dyDescent="0.25">
      <c r="A92" s="20" t="s">
        <v>184</v>
      </c>
      <c r="B92" s="22" t="s">
        <v>185</v>
      </c>
    </row>
    <row r="93" spans="1:2" x14ac:dyDescent="0.25">
      <c r="A93" s="20" t="s">
        <v>186</v>
      </c>
      <c r="B93" s="22" t="s">
        <v>187</v>
      </c>
    </row>
    <row r="94" spans="1:2" x14ac:dyDescent="0.25">
      <c r="A94" s="20" t="s">
        <v>188</v>
      </c>
      <c r="B94" s="22" t="s">
        <v>189</v>
      </c>
    </row>
    <row r="95" spans="1:2" x14ac:dyDescent="0.25">
      <c r="A95" s="20" t="s">
        <v>190</v>
      </c>
      <c r="B95" s="22" t="s">
        <v>191</v>
      </c>
    </row>
    <row r="96" spans="1:2" x14ac:dyDescent="0.25">
      <c r="A96" s="20" t="s">
        <v>192</v>
      </c>
      <c r="B96" s="22" t="s">
        <v>193</v>
      </c>
    </row>
    <row r="97" spans="1:2" x14ac:dyDescent="0.25">
      <c r="A97" s="20" t="s">
        <v>194</v>
      </c>
      <c r="B97" s="22" t="s">
        <v>195</v>
      </c>
    </row>
    <row r="98" spans="1:2" x14ac:dyDescent="0.25">
      <c r="A98" s="20" t="s">
        <v>196</v>
      </c>
      <c r="B98" s="22" t="s">
        <v>197</v>
      </c>
    </row>
    <row r="99" spans="1:2" x14ac:dyDescent="0.25">
      <c r="A99" s="20" t="s">
        <v>198</v>
      </c>
      <c r="B99" s="22" t="s">
        <v>199</v>
      </c>
    </row>
    <row r="100" spans="1:2" x14ac:dyDescent="0.25">
      <c r="A100" s="20" t="s">
        <v>200</v>
      </c>
      <c r="B100" s="22" t="s">
        <v>201</v>
      </c>
    </row>
    <row r="101" spans="1:2" x14ac:dyDescent="0.25">
      <c r="A101" s="20" t="s">
        <v>202</v>
      </c>
      <c r="B101" s="22" t="s">
        <v>203</v>
      </c>
    </row>
    <row r="102" spans="1:2" x14ac:dyDescent="0.25">
      <c r="A102" s="20" t="s">
        <v>204</v>
      </c>
      <c r="B102" s="22" t="s">
        <v>205</v>
      </c>
    </row>
    <row r="103" spans="1:2" x14ac:dyDescent="0.25">
      <c r="A103" s="20" t="s">
        <v>206</v>
      </c>
      <c r="B103" s="22" t="s">
        <v>207</v>
      </c>
    </row>
    <row r="104" spans="1:2" x14ac:dyDescent="0.25">
      <c r="A104" s="20" t="s">
        <v>208</v>
      </c>
      <c r="B104" s="22" t="s">
        <v>209</v>
      </c>
    </row>
    <row r="105" spans="1:2" x14ac:dyDescent="0.25">
      <c r="A105" s="20" t="s">
        <v>210</v>
      </c>
      <c r="B105" s="22" t="s">
        <v>211</v>
      </c>
    </row>
    <row r="106" spans="1:2" x14ac:dyDescent="0.25">
      <c r="A106" s="20" t="s">
        <v>212</v>
      </c>
      <c r="B106" s="22" t="s">
        <v>213</v>
      </c>
    </row>
    <row r="107" spans="1:2" x14ac:dyDescent="0.25">
      <c r="A107" s="20" t="s">
        <v>214</v>
      </c>
      <c r="B107" s="22" t="s">
        <v>215</v>
      </c>
    </row>
    <row r="108" spans="1:2" x14ac:dyDescent="0.25">
      <c r="A108" s="20" t="s">
        <v>216</v>
      </c>
      <c r="B108" s="22" t="s">
        <v>217</v>
      </c>
    </row>
    <row r="109" spans="1:2" x14ac:dyDescent="0.25">
      <c r="A109" s="20" t="s">
        <v>218</v>
      </c>
      <c r="B109" s="22" t="s">
        <v>219</v>
      </c>
    </row>
    <row r="110" spans="1:2" x14ac:dyDescent="0.25">
      <c r="A110" s="20" t="s">
        <v>220</v>
      </c>
      <c r="B110" s="22" t="s">
        <v>221</v>
      </c>
    </row>
    <row r="111" spans="1:2" x14ac:dyDescent="0.25">
      <c r="A111" s="20" t="s">
        <v>222</v>
      </c>
      <c r="B111" s="22" t="s">
        <v>223</v>
      </c>
    </row>
    <row r="112" spans="1:2" x14ac:dyDescent="0.25">
      <c r="A112" s="20" t="s">
        <v>224</v>
      </c>
      <c r="B112" s="22" t="s">
        <v>225</v>
      </c>
    </row>
    <row r="113" spans="1:2" x14ac:dyDescent="0.25">
      <c r="A113" s="20" t="s">
        <v>226</v>
      </c>
      <c r="B113" s="22" t="s">
        <v>227</v>
      </c>
    </row>
    <row r="114" spans="1:2" x14ac:dyDescent="0.25">
      <c r="A114" s="20" t="s">
        <v>228</v>
      </c>
      <c r="B114" s="22" t="s">
        <v>229</v>
      </c>
    </row>
    <row r="115" spans="1:2" x14ac:dyDescent="0.25">
      <c r="A115" s="20" t="s">
        <v>230</v>
      </c>
      <c r="B115" s="22" t="s">
        <v>231</v>
      </c>
    </row>
    <row r="116" spans="1:2" x14ac:dyDescent="0.25">
      <c r="A116" s="20" t="s">
        <v>232</v>
      </c>
      <c r="B116" s="22" t="s">
        <v>233</v>
      </c>
    </row>
    <row r="117" spans="1:2" x14ac:dyDescent="0.25">
      <c r="A117" s="20" t="s">
        <v>234</v>
      </c>
      <c r="B117" s="22" t="s">
        <v>235</v>
      </c>
    </row>
    <row r="118" spans="1:2" x14ac:dyDescent="0.25">
      <c r="A118" s="20" t="s">
        <v>236</v>
      </c>
      <c r="B118" s="22" t="s">
        <v>237</v>
      </c>
    </row>
    <row r="119" spans="1:2" x14ac:dyDescent="0.25">
      <c r="A119" s="20" t="s">
        <v>238</v>
      </c>
      <c r="B119" s="22" t="s">
        <v>239</v>
      </c>
    </row>
    <row r="120" spans="1:2" x14ac:dyDescent="0.25">
      <c r="A120" s="20" t="s">
        <v>240</v>
      </c>
      <c r="B120" s="22" t="s">
        <v>241</v>
      </c>
    </row>
    <row r="121" spans="1:2" x14ac:dyDescent="0.25">
      <c r="A121" s="20" t="s">
        <v>242</v>
      </c>
      <c r="B121" s="22" t="s">
        <v>243</v>
      </c>
    </row>
    <row r="122" spans="1:2" x14ac:dyDescent="0.25">
      <c r="A122" s="20" t="s">
        <v>244</v>
      </c>
      <c r="B122" s="22" t="s">
        <v>245</v>
      </c>
    </row>
    <row r="123" spans="1:2" x14ac:dyDescent="0.25">
      <c r="A123" s="20" t="s">
        <v>246</v>
      </c>
      <c r="B123" s="22" t="s">
        <v>247</v>
      </c>
    </row>
    <row r="124" spans="1:2" x14ac:dyDescent="0.25">
      <c r="A124" s="20" t="s">
        <v>248</v>
      </c>
      <c r="B124" s="22" t="s">
        <v>249</v>
      </c>
    </row>
    <row r="125" spans="1:2" x14ac:dyDescent="0.25">
      <c r="A125" s="20" t="s">
        <v>250</v>
      </c>
      <c r="B125" s="22" t="s">
        <v>251</v>
      </c>
    </row>
    <row r="126" spans="1:2" x14ac:dyDescent="0.25">
      <c r="A126" s="20" t="s">
        <v>252</v>
      </c>
      <c r="B126" s="22" t="s">
        <v>253</v>
      </c>
    </row>
    <row r="127" spans="1:2" x14ac:dyDescent="0.25">
      <c r="A127" s="20" t="s">
        <v>254</v>
      </c>
      <c r="B127" s="22" t="s">
        <v>255</v>
      </c>
    </row>
    <row r="128" spans="1:2" x14ac:dyDescent="0.25">
      <c r="A128" s="20" t="s">
        <v>256</v>
      </c>
      <c r="B128" s="22" t="s">
        <v>257</v>
      </c>
    </row>
    <row r="129" spans="1:2" x14ac:dyDescent="0.25">
      <c r="A129" s="20" t="s">
        <v>258</v>
      </c>
      <c r="B129" s="22" t="s">
        <v>259</v>
      </c>
    </row>
    <row r="130" spans="1:2" x14ac:dyDescent="0.25">
      <c r="A130" s="20" t="s">
        <v>260</v>
      </c>
      <c r="B130" s="22" t="s">
        <v>261</v>
      </c>
    </row>
    <row r="131" spans="1:2" x14ac:dyDescent="0.25">
      <c r="A131" s="20" t="s">
        <v>262</v>
      </c>
      <c r="B131" s="22" t="s">
        <v>263</v>
      </c>
    </row>
    <row r="132" spans="1:2" x14ac:dyDescent="0.25">
      <c r="A132" s="20" t="s">
        <v>264</v>
      </c>
      <c r="B132" s="22" t="s">
        <v>265</v>
      </c>
    </row>
    <row r="133" spans="1:2" x14ac:dyDescent="0.25">
      <c r="A133" s="20" t="s">
        <v>266</v>
      </c>
      <c r="B133" s="22" t="s">
        <v>267</v>
      </c>
    </row>
    <row r="134" spans="1:2" x14ac:dyDescent="0.25">
      <c r="A134" s="20" t="s">
        <v>268</v>
      </c>
      <c r="B134" s="22" t="s">
        <v>269</v>
      </c>
    </row>
    <row r="135" spans="1:2" x14ac:dyDescent="0.25">
      <c r="A135" s="20" t="s">
        <v>270</v>
      </c>
      <c r="B135" s="22" t="s">
        <v>271</v>
      </c>
    </row>
    <row r="136" spans="1:2" x14ac:dyDescent="0.25">
      <c r="A136" s="20" t="s">
        <v>272</v>
      </c>
      <c r="B136" s="22" t="s">
        <v>273</v>
      </c>
    </row>
    <row r="137" spans="1:2" x14ac:dyDescent="0.25">
      <c r="A137" s="20" t="s">
        <v>274</v>
      </c>
      <c r="B137" s="22" t="s">
        <v>275</v>
      </c>
    </row>
    <row r="138" spans="1:2" x14ac:dyDescent="0.25">
      <c r="A138" s="20" t="s">
        <v>276</v>
      </c>
      <c r="B138" s="22" t="s">
        <v>277</v>
      </c>
    </row>
    <row r="139" spans="1:2" x14ac:dyDescent="0.25">
      <c r="A139" s="20" t="s">
        <v>278</v>
      </c>
      <c r="B139" s="22" t="s">
        <v>279</v>
      </c>
    </row>
    <row r="140" spans="1:2" x14ac:dyDescent="0.25">
      <c r="A140" s="20" t="s">
        <v>280</v>
      </c>
      <c r="B140" s="22" t="s">
        <v>281</v>
      </c>
    </row>
    <row r="141" spans="1:2" x14ac:dyDescent="0.25">
      <c r="A141" s="20" t="s">
        <v>282</v>
      </c>
      <c r="B141" s="22" t="s">
        <v>283</v>
      </c>
    </row>
    <row r="142" spans="1:2" x14ac:dyDescent="0.25">
      <c r="A142" s="20" t="s">
        <v>284</v>
      </c>
      <c r="B142" s="22" t="s">
        <v>285</v>
      </c>
    </row>
    <row r="143" spans="1:2" x14ac:dyDescent="0.25">
      <c r="A143" s="20" t="s">
        <v>286</v>
      </c>
      <c r="B143" s="22" t="s">
        <v>287</v>
      </c>
    </row>
    <row r="144" spans="1:2" x14ac:dyDescent="0.25">
      <c r="A144" s="20" t="s">
        <v>288</v>
      </c>
      <c r="B144" s="22" t="s">
        <v>289</v>
      </c>
    </row>
    <row r="145" spans="1:2" x14ac:dyDescent="0.25">
      <c r="A145" s="20" t="s">
        <v>290</v>
      </c>
      <c r="B145" s="22" t="s">
        <v>291</v>
      </c>
    </row>
    <row r="146" spans="1:2" x14ac:dyDescent="0.25">
      <c r="A146" s="20" t="s">
        <v>292</v>
      </c>
      <c r="B146" s="22" t="s">
        <v>293</v>
      </c>
    </row>
    <row r="147" spans="1:2" x14ac:dyDescent="0.25">
      <c r="A147" s="20" t="s">
        <v>294</v>
      </c>
      <c r="B147" s="22" t="s">
        <v>295</v>
      </c>
    </row>
    <row r="148" spans="1:2" x14ac:dyDescent="0.25">
      <c r="A148" s="20" t="s">
        <v>296</v>
      </c>
      <c r="B148" s="22" t="s">
        <v>297</v>
      </c>
    </row>
    <row r="149" spans="1:2" x14ac:dyDescent="0.25">
      <c r="A149" s="20" t="s">
        <v>298</v>
      </c>
      <c r="B149" s="22" t="s">
        <v>299</v>
      </c>
    </row>
    <row r="150" spans="1:2" x14ac:dyDescent="0.25">
      <c r="A150" s="20" t="s">
        <v>300</v>
      </c>
      <c r="B150" s="22" t="s">
        <v>301</v>
      </c>
    </row>
    <row r="151" spans="1:2" x14ac:dyDescent="0.25">
      <c r="A151" s="20" t="s">
        <v>302</v>
      </c>
      <c r="B151" s="22" t="s">
        <v>303</v>
      </c>
    </row>
    <row r="152" spans="1:2" x14ac:dyDescent="0.25">
      <c r="A152" s="20" t="s">
        <v>304</v>
      </c>
      <c r="B152" s="22" t="s">
        <v>305</v>
      </c>
    </row>
    <row r="153" spans="1:2" x14ac:dyDescent="0.25">
      <c r="A153" s="20" t="s">
        <v>306</v>
      </c>
      <c r="B153" s="22" t="s">
        <v>307</v>
      </c>
    </row>
    <row r="154" spans="1:2" x14ac:dyDescent="0.25">
      <c r="A154" s="20" t="s">
        <v>308</v>
      </c>
      <c r="B154" s="22" t="s">
        <v>309</v>
      </c>
    </row>
    <row r="155" spans="1:2" x14ac:dyDescent="0.25">
      <c r="A155" s="20" t="s">
        <v>310</v>
      </c>
      <c r="B155" s="22" t="s">
        <v>311</v>
      </c>
    </row>
    <row r="156" spans="1:2" x14ac:dyDescent="0.25">
      <c r="A156" s="20" t="s">
        <v>312</v>
      </c>
      <c r="B156" s="22" t="s">
        <v>313</v>
      </c>
    </row>
    <row r="157" spans="1:2" x14ac:dyDescent="0.25">
      <c r="A157" s="20" t="s">
        <v>314</v>
      </c>
      <c r="B157" s="22" t="s">
        <v>315</v>
      </c>
    </row>
    <row r="158" spans="1:2" x14ac:dyDescent="0.25">
      <c r="A158" s="20" t="s">
        <v>316</v>
      </c>
      <c r="B158" s="22" t="s">
        <v>317</v>
      </c>
    </row>
    <row r="159" spans="1:2" x14ac:dyDescent="0.25">
      <c r="A159" s="20" t="s">
        <v>318</v>
      </c>
      <c r="B159" s="22" t="s">
        <v>319</v>
      </c>
    </row>
    <row r="160" spans="1:2" x14ac:dyDescent="0.25">
      <c r="A160" s="20" t="s">
        <v>320</v>
      </c>
      <c r="B160" s="22" t="s">
        <v>321</v>
      </c>
    </row>
    <row r="161" spans="1:2" x14ac:dyDescent="0.25">
      <c r="A161" s="20" t="s">
        <v>322</v>
      </c>
      <c r="B161" s="22" t="s">
        <v>323</v>
      </c>
    </row>
    <row r="162" spans="1:2" x14ac:dyDescent="0.25">
      <c r="A162" s="20" t="s">
        <v>324</v>
      </c>
      <c r="B162" s="22" t="s">
        <v>325</v>
      </c>
    </row>
    <row r="163" spans="1:2" x14ac:dyDescent="0.25">
      <c r="A163" s="20" t="s">
        <v>326</v>
      </c>
      <c r="B163" s="22" t="s">
        <v>327</v>
      </c>
    </row>
    <row r="164" spans="1:2" x14ac:dyDescent="0.25">
      <c r="A164" s="20" t="s">
        <v>328</v>
      </c>
      <c r="B164" s="22" t="s">
        <v>329</v>
      </c>
    </row>
    <row r="165" spans="1:2" x14ac:dyDescent="0.25">
      <c r="A165" s="20" t="s">
        <v>330</v>
      </c>
      <c r="B165" s="22" t="s">
        <v>331</v>
      </c>
    </row>
    <row r="166" spans="1:2" x14ac:dyDescent="0.25">
      <c r="A166" s="20" t="s">
        <v>332</v>
      </c>
      <c r="B166" s="22" t="s">
        <v>333</v>
      </c>
    </row>
    <row r="167" spans="1:2" x14ac:dyDescent="0.25">
      <c r="A167" s="20" t="s">
        <v>334</v>
      </c>
      <c r="B167" s="22" t="s">
        <v>335</v>
      </c>
    </row>
    <row r="168" spans="1:2" x14ac:dyDescent="0.25">
      <c r="A168" s="20" t="s">
        <v>336</v>
      </c>
      <c r="B168" s="22" t="s">
        <v>337</v>
      </c>
    </row>
    <row r="169" spans="1:2" x14ac:dyDescent="0.25">
      <c r="A169" s="20" t="s">
        <v>338</v>
      </c>
      <c r="B169" s="22" t="s">
        <v>339</v>
      </c>
    </row>
    <row r="170" spans="1:2" x14ac:dyDescent="0.25">
      <c r="A170" s="20" t="s">
        <v>340</v>
      </c>
      <c r="B170" s="22" t="s">
        <v>341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MPTF_00006_00810</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2022-12-05T08:00:00+00:00</DocumentDate>
    <Featured xmlns="b1528a4b-5ccb-40f7-a09e-43427183cd95">1</Featured>
    <FormTypeCode xmlns="b1528a4b-5ccb-40f7-a09e-43427183cd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76DA85-4B55-4399-BA55-970CC77CF749}"/>
</file>

<file path=customXml/itemProps2.xml><?xml version="1.0" encoding="utf-8"?>
<ds:datastoreItem xmlns:ds="http://schemas.openxmlformats.org/officeDocument/2006/customXml" ds:itemID="{F079AD25-5447-46AF-964C-4F6026B823DE}">
  <ds:schemaRefs>
    <ds:schemaRef ds:uri="http://schemas.microsoft.com/office/2006/documentManagement/types"/>
    <ds:schemaRef ds:uri="http://schemas.microsoft.com/office/2006/metadata/properties"/>
    <ds:schemaRef ds:uri="http://schemas.openxmlformats.org/package/2006/metadata/core-properties"/>
    <ds:schemaRef ds:uri="http://purl.org/dc/elements/1.1/"/>
    <ds:schemaRef ds:uri="http://www.w3.org/XML/1998/namespace"/>
    <ds:schemaRef ds:uri="http://purl.org/dc/dcmitype/"/>
    <ds:schemaRef ds:uri="http://schemas.microsoft.com/office/infopath/2007/PartnerControls"/>
    <ds:schemaRef ds:uri="http://purl.org/dc/terms/"/>
    <ds:schemaRef ds:uri="3352a50b-fe51-4c0c-a9ac-ac90f8281031"/>
    <ds:schemaRef ds:uri="9dc44b34-9e2b-42ea-86f7-9ee7f71036fc"/>
  </ds:schemaRefs>
</ds:datastoreItem>
</file>

<file path=customXml/itemProps3.xml><?xml version="1.0" encoding="utf-8"?>
<ds:datastoreItem xmlns:ds="http://schemas.openxmlformats.org/officeDocument/2006/customXml" ds:itemID="{93BB9294-EB2C-43FD-A26A-3A95E22554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52</vt:i4>
      </vt:variant>
    </vt:vector>
  </HeadingPairs>
  <TitlesOfParts>
    <vt:vector size="60" baseType="lpstr">
      <vt:lpstr>coûts unitaires</vt:lpstr>
      <vt:lpstr>Répartition_Final</vt:lpstr>
      <vt:lpstr>PTA Initial OBS</vt:lpstr>
      <vt:lpstr>1) RF par produit</vt:lpstr>
      <vt:lpstr>2) RF par categorie budgeta</vt:lpstr>
      <vt:lpstr>3) Pour utilisation par MPTFO</vt:lpstr>
      <vt:lpstr>Dropdowns</vt:lpstr>
      <vt:lpstr>Sheet2</vt:lpstr>
      <vt:lpstr>Répartition_Final!_ftn1</vt:lpstr>
      <vt:lpstr>Répartition_Final!_ftn2</vt:lpstr>
      <vt:lpstr>Répartition_Final!_ftnref2</vt:lpstr>
      <vt:lpstr>Répartition_Final!_ftnref3</vt:lpstr>
      <vt:lpstr>affichegdnb</vt:lpstr>
      <vt:lpstr>annonceradio</vt:lpstr>
      <vt:lpstr>appelindemn</vt:lpstr>
      <vt:lpstr>applicform</vt:lpstr>
      <vt:lpstr>boost</vt:lpstr>
      <vt:lpstr>change</vt:lpstr>
      <vt:lpstr>connexapprenants</vt:lpstr>
      <vt:lpstr>delairoute</vt:lpstr>
      <vt:lpstr>depladist</vt:lpstr>
      <vt:lpstr>deplanat</vt:lpstr>
      <vt:lpstr>deplareg</vt:lpstr>
      <vt:lpstr>depliantgdnb</vt:lpstr>
      <vt:lpstr>doccoul</vt:lpstr>
      <vt:lpstr>docnb</vt:lpstr>
      <vt:lpstr>formindemn</vt:lpstr>
      <vt:lpstr>formindemnobs</vt:lpstr>
      <vt:lpstr>fournituresatelier</vt:lpstr>
      <vt:lpstr>goodies</vt:lpstr>
      <vt:lpstr>infographiste</vt:lpstr>
      <vt:lpstr>juristes</vt:lpstr>
      <vt:lpstr>numeroverts</vt:lpstr>
      <vt:lpstr>obsformindemn</vt:lpstr>
      <vt:lpstr>OBSindemn</vt:lpstr>
      <vt:lpstr>perdiemdist</vt:lpstr>
      <vt:lpstr>perdiemnat</vt:lpstr>
      <vt:lpstr>perdiemreg</vt:lpstr>
      <vt:lpstr>Répartition_Final!Personnel</vt:lpstr>
      <vt:lpstr>photodessin</vt:lpstr>
      <vt:lpstr>radioreportprod</vt:lpstr>
      <vt:lpstr>reportprod</vt:lpstr>
      <vt:lpstr>restodist</vt:lpstr>
      <vt:lpstr>restonat</vt:lpstr>
      <vt:lpstr>restoreg</vt:lpstr>
      <vt:lpstr>RSOCindemn</vt:lpstr>
      <vt:lpstr>RSOFindemn</vt:lpstr>
      <vt:lpstr>salle</vt:lpstr>
      <vt:lpstr>sallenat</vt:lpstr>
      <vt:lpstr>sallereg</vt:lpstr>
      <vt:lpstr>smsOBS</vt:lpstr>
      <vt:lpstr>spot</vt:lpstr>
      <vt:lpstr>spotradiodif</vt:lpstr>
      <vt:lpstr>spottvdif</vt:lpstr>
      <vt:lpstr>tadindemn</vt:lpstr>
      <vt:lpstr>teleconseiller</vt:lpstr>
      <vt:lpstr>tvreportprod</vt:lpstr>
      <vt:lpstr>tvreportprodnat</vt:lpstr>
      <vt:lpstr>tvreportprodreg</vt:lpstr>
      <vt:lpstr>'1) RF par produit'!Zone_d_impression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Madagascar_00126085_Finance Report_nov22.xlsx</dc:title>
  <dc:creator>Jelena Zelenovic</dc:creator>
  <cp:lastModifiedBy>ICT_PROVIDER</cp:lastModifiedBy>
  <cp:lastPrinted>2021-11-24T16:08:19Z</cp:lastPrinted>
  <dcterms:created xsi:type="dcterms:W3CDTF">2017-11-15T21:17:43Z</dcterms:created>
  <dcterms:modified xsi:type="dcterms:W3CDTF">2022-11-21T11:51:08Z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2244800</vt:r8>
  </property>
</Properties>
</file>