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17E6B1DC-4FE4-4860-8733-83DFDE1BFFC6}" xr6:coauthVersionLast="47" xr6:coauthVersionMax="47" xr10:uidLastSave="{00000000-0000-0000-0000-000000000000}"/>
  <bookViews>
    <workbookView xWindow="-110" yWindow="-110" windowWidth="19420" windowHeight="10420" tabRatio="834" activeTab="1" xr2:uid="{00000000-000D-0000-FFFF-FFFF00000000}"/>
  </bookViews>
  <sheets>
    <sheet name="Final_Categorie Budetaire" sheetId="7" r:id="rId1"/>
    <sheet name="Final_Resultat &amp; Agences" sheetId="12" r:id="rId2"/>
  </sheets>
  <definedNames>
    <definedName name="_xlnm._FilterDatabase" localSheetId="1" hidden="1">'Final_Resultat &amp; Agences'!$A$3:$Q$39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12" l="1"/>
  <c r="B27" i="7"/>
  <c r="I27" i="7" s="1"/>
  <c r="B26" i="7"/>
  <c r="I26" i="7" s="1"/>
  <c r="E25" i="7"/>
  <c r="E26" i="7" s="1"/>
  <c r="C25" i="7" l="1"/>
  <c r="D25" i="7"/>
  <c r="B19" i="7" l="1"/>
  <c r="B20" i="7"/>
  <c r="B21" i="7"/>
  <c r="B22" i="7"/>
  <c r="B23" i="7"/>
  <c r="B24" i="7"/>
  <c r="B18" i="7"/>
  <c r="B25" i="7" l="1"/>
  <c r="H25" i="7" s="1"/>
  <c r="H18" i="7"/>
  <c r="D26" i="7" l="1"/>
  <c r="D27" i="7" l="1"/>
  <c r="C35" i="12"/>
  <c r="O11" i="12" l="1"/>
  <c r="H31" i="12"/>
  <c r="K30" i="12"/>
  <c r="K28" i="12"/>
  <c r="K29" i="12" s="1"/>
  <c r="K6" i="12"/>
  <c r="J25" i="12" l="1"/>
  <c r="J21" i="12"/>
  <c r="I16" i="12"/>
  <c r="I10" i="12"/>
  <c r="J16" i="12" l="1"/>
  <c r="J10" i="12"/>
  <c r="I25" i="12"/>
  <c r="I21" i="12"/>
  <c r="E27" i="7"/>
  <c r="I31" i="12" l="1"/>
  <c r="G26" i="12" l="1"/>
  <c r="H25" i="12"/>
  <c r="H10" i="12"/>
  <c r="F26" i="7" l="1"/>
  <c r="G26" i="7"/>
  <c r="H11" i="7"/>
  <c r="C11" i="7"/>
  <c r="D11" i="7"/>
  <c r="E11" i="7"/>
  <c r="F11" i="7"/>
  <c r="G11" i="7"/>
  <c r="B10" i="7"/>
  <c r="B11" i="7" s="1"/>
  <c r="H16" i="12"/>
  <c r="I18" i="7" l="1"/>
  <c r="B12" i="7" l="1"/>
  <c r="C46" i="12"/>
  <c r="F46" i="12"/>
  <c r="E46" i="12"/>
  <c r="F37" i="12"/>
  <c r="E37" i="12"/>
  <c r="D37" i="12"/>
  <c r="C36" i="12"/>
  <c r="O34" i="12"/>
  <c r="M34" i="12"/>
  <c r="L34" i="12"/>
  <c r="J34" i="12"/>
  <c r="H34" i="12"/>
  <c r="G34" i="12"/>
  <c r="F34" i="12"/>
  <c r="E34" i="12"/>
  <c r="D34" i="12"/>
  <c r="C34" i="12"/>
  <c r="N33" i="12"/>
  <c r="N32" i="12"/>
  <c r="O31" i="12"/>
  <c r="M31" i="12"/>
  <c r="L31" i="12"/>
  <c r="K31" i="12"/>
  <c r="J31" i="12"/>
  <c r="G31" i="12"/>
  <c r="F31" i="12"/>
  <c r="E31" i="12"/>
  <c r="D31" i="12"/>
  <c r="C30" i="12"/>
  <c r="C31" i="12" s="1"/>
  <c r="M29" i="12"/>
  <c r="L29" i="12"/>
  <c r="J29" i="12"/>
  <c r="I29" i="12"/>
  <c r="H29" i="12"/>
  <c r="G29" i="12"/>
  <c r="F29" i="12"/>
  <c r="E29" i="12"/>
  <c r="D29" i="12"/>
  <c r="O28" i="12"/>
  <c r="C28" i="12"/>
  <c r="N28" i="12" s="1"/>
  <c r="F25" i="12"/>
  <c r="E25" i="12"/>
  <c r="D25" i="12"/>
  <c r="O24" i="12"/>
  <c r="K24" i="12"/>
  <c r="C24" i="12"/>
  <c r="O23" i="12"/>
  <c r="K23" i="12"/>
  <c r="C23" i="12"/>
  <c r="K22" i="12"/>
  <c r="K25" i="12" s="1"/>
  <c r="C22" i="12"/>
  <c r="M21" i="12"/>
  <c r="L21" i="12"/>
  <c r="H21" i="12"/>
  <c r="H26" i="12" s="1"/>
  <c r="H27" i="12" s="1"/>
  <c r="H35" i="12" s="1"/>
  <c r="F21" i="12"/>
  <c r="E21" i="12"/>
  <c r="D21" i="12"/>
  <c r="O20" i="12"/>
  <c r="K20" i="12"/>
  <c r="C20" i="12"/>
  <c r="O19" i="12"/>
  <c r="K19" i="12"/>
  <c r="C19" i="12"/>
  <c r="O18" i="12"/>
  <c r="K18" i="12"/>
  <c r="C18" i="12"/>
  <c r="K17" i="12"/>
  <c r="C17" i="12"/>
  <c r="M16" i="12"/>
  <c r="L16" i="12"/>
  <c r="F16" i="12"/>
  <c r="E16" i="12"/>
  <c r="D16" i="12"/>
  <c r="O15" i="12"/>
  <c r="K15" i="12"/>
  <c r="C15" i="12"/>
  <c r="O14" i="12"/>
  <c r="K14" i="12"/>
  <c r="C14" i="12"/>
  <c r="O13" i="12"/>
  <c r="K13" i="12"/>
  <c r="C13" i="12"/>
  <c r="O12" i="12"/>
  <c r="K12" i="12"/>
  <c r="C12" i="12"/>
  <c r="K11" i="12"/>
  <c r="C11" i="12"/>
  <c r="M10" i="12"/>
  <c r="L10" i="12"/>
  <c r="J26" i="12"/>
  <c r="J27" i="12" s="1"/>
  <c r="F10" i="12"/>
  <c r="E10" i="12"/>
  <c r="D10" i="12"/>
  <c r="O9" i="12"/>
  <c r="K9" i="12"/>
  <c r="N9" i="12" s="1"/>
  <c r="C9" i="12"/>
  <c r="O8" i="12"/>
  <c r="K8" i="12"/>
  <c r="C8" i="12"/>
  <c r="O7" i="12"/>
  <c r="K7" i="12"/>
  <c r="C7" i="12"/>
  <c r="O6" i="12"/>
  <c r="C6" i="12"/>
  <c r="N6" i="12" s="1"/>
  <c r="I19" i="7"/>
  <c r="I20" i="7"/>
  <c r="I21" i="7"/>
  <c r="I22" i="7"/>
  <c r="I23" i="7"/>
  <c r="H19" i="7"/>
  <c r="H20" i="7"/>
  <c r="H21" i="7"/>
  <c r="H22" i="7"/>
  <c r="H23" i="7"/>
  <c r="H24" i="7"/>
  <c r="N19" i="12" l="1"/>
  <c r="N14" i="12"/>
  <c r="O35" i="12"/>
  <c r="O37" i="12" s="1"/>
  <c r="N24" i="12"/>
  <c r="N31" i="12"/>
  <c r="K16" i="12"/>
  <c r="K10" i="12"/>
  <c r="C29" i="12"/>
  <c r="N29" i="12" s="1"/>
  <c r="K21" i="12"/>
  <c r="N13" i="12"/>
  <c r="C16" i="12"/>
  <c r="I26" i="12"/>
  <c r="N11" i="12"/>
  <c r="N20" i="12"/>
  <c r="O16" i="12"/>
  <c r="I24" i="7"/>
  <c r="N7" i="12"/>
  <c r="N18" i="12"/>
  <c r="D26" i="12"/>
  <c r="N15" i="12"/>
  <c r="O21" i="12"/>
  <c r="M35" i="12"/>
  <c r="M37" i="12" s="1"/>
  <c r="N8" i="12"/>
  <c r="E26" i="12"/>
  <c r="N22" i="12"/>
  <c r="N34" i="12"/>
  <c r="J35" i="12"/>
  <c r="C25" i="12"/>
  <c r="N30" i="12"/>
  <c r="C21" i="12"/>
  <c r="F26" i="12"/>
  <c r="N17" i="12"/>
  <c r="L35" i="12"/>
  <c r="L37" i="12" s="1"/>
  <c r="C37" i="12"/>
  <c r="N12" i="12"/>
  <c r="O10" i="12"/>
  <c r="C10" i="12"/>
  <c r="N23" i="12"/>
  <c r="O39" i="12" l="1"/>
  <c r="I27" i="12"/>
  <c r="I35" i="12" s="1"/>
  <c r="I36" i="12" s="1"/>
  <c r="I37" i="12" s="1"/>
  <c r="K26" i="12"/>
  <c r="K27" i="12" s="1"/>
  <c r="K35" i="12" s="1"/>
  <c r="H37" i="12"/>
  <c r="D43" i="12" s="1"/>
  <c r="J36" i="12"/>
  <c r="N21" i="12"/>
  <c r="N16" i="12"/>
  <c r="H26" i="7"/>
  <c r="I25" i="7"/>
  <c r="C27" i="7"/>
  <c r="N10" i="12"/>
  <c r="C26" i="12"/>
  <c r="K36" i="12" l="1"/>
  <c r="N36" i="12" s="1"/>
  <c r="J37" i="12"/>
  <c r="D45" i="12" s="1"/>
  <c r="G45" i="12" s="1"/>
  <c r="G43" i="12"/>
  <c r="G44" i="12"/>
  <c r="D44" i="12"/>
  <c r="H27" i="7"/>
  <c r="M44" i="12" l="1"/>
  <c r="J44" i="12"/>
  <c r="M45" i="12"/>
  <c r="J45" i="12"/>
  <c r="L45" i="12"/>
  <c r="K37" i="12"/>
  <c r="N37" i="12" s="1"/>
  <c r="J43" i="12"/>
  <c r="L43" i="12"/>
  <c r="M43" i="12"/>
  <c r="N35" i="12"/>
  <c r="L44" i="12"/>
  <c r="D46" i="12"/>
  <c r="L46" i="12" l="1"/>
  <c r="G46" i="12"/>
  <c r="M46" i="12" s="1"/>
</calcChain>
</file>

<file path=xl/sharedStrings.xml><?xml version="1.0" encoding="utf-8"?>
<sst xmlns="http://schemas.openxmlformats.org/spreadsheetml/2006/main" count="142" uniqueCount="109">
  <si>
    <t>Table 1 - PBF project budget by Outcome, output and activity</t>
  </si>
  <si>
    <t>Nombre de resultat / produit</t>
  </si>
  <si>
    <t xml:space="preserve">Pourcentage du budget pour chaque produit ou activite reserve pour action directe sur le genre (cas echeant) </t>
  </si>
  <si>
    <t>Commitment /po</t>
  </si>
  <si>
    <t xml:space="preserve">Avance </t>
  </si>
  <si>
    <t>Taux de Réalisation par ligne budgetaire</t>
  </si>
  <si>
    <t>Frais du personnel du projet</t>
  </si>
  <si>
    <t>Sous Total le Cout du Personnel du projet:</t>
  </si>
  <si>
    <t>Frais généraux de fonctionnement</t>
  </si>
  <si>
    <t>Founitures et consommables de bureau</t>
  </si>
  <si>
    <t>Sous Total Frais généraux</t>
  </si>
  <si>
    <t xml:space="preserve">Indirect support costs (7%):                                                                            </t>
  </si>
  <si>
    <t xml:space="preserve">TOTAL PROJECT BUDGET:           </t>
  </si>
  <si>
    <t>RECAP Delivery par Agence par Agence</t>
  </si>
  <si>
    <t>Budget par agence recipiendiaire en USD</t>
  </si>
  <si>
    <t>Dépenses</t>
  </si>
  <si>
    <t>Avance non Justifiée</t>
  </si>
  <si>
    <t>Solde</t>
  </si>
  <si>
    <t>%Tage de Réalisation</t>
  </si>
  <si>
    <t xml:space="preserve">Commentaire sur les dépenses / activités </t>
  </si>
  <si>
    <t>Totaux</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</si>
  <si>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</si>
  <si>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</si>
  <si>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</si>
  <si>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</si>
  <si>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</si>
  <si>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</si>
  <si>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</si>
  <si>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</si>
  <si>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</si>
  <si>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</si>
  <si>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</si>
  <si>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</si>
  <si>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</si>
  <si>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</si>
  <si>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</si>
  <si>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</si>
  <si>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</si>
  <si>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Commitment</t>
  </si>
  <si>
    <t>Avances non justifiées</t>
  </si>
  <si>
    <t>SOLDE TOTAL</t>
  </si>
  <si>
    <t>% de Realisation par budget global</t>
  </si>
  <si>
    <t>PRODUITS</t>
  </si>
  <si>
    <t>ACTIVITES</t>
  </si>
  <si>
    <t>A</t>
  </si>
  <si>
    <t>B</t>
  </si>
  <si>
    <t>F</t>
  </si>
  <si>
    <t>ACT 1</t>
  </si>
  <si>
    <t>Sub Total OutPut 1.1</t>
  </si>
  <si>
    <t>ACT 2</t>
  </si>
  <si>
    <t>Sub Total OutPut 1.2</t>
  </si>
  <si>
    <t>ACT 3</t>
  </si>
  <si>
    <t>Sub Total OutPut 1.3</t>
  </si>
  <si>
    <t>ACT 4</t>
  </si>
  <si>
    <t>Budget S&amp;E du projet</t>
  </si>
  <si>
    <t>Sous Total S &amp; E du projet:</t>
  </si>
  <si>
    <t xml:space="preserve">SUB-TOTAL PROJECT BUDGET:                                                      </t>
  </si>
  <si>
    <t>Budget par agence recipiendiaire en USD - Veuillez ajouter une nouvelle colonne par agence recipiendiaire BUDGET TOTAL</t>
  </si>
  <si>
    <t>D</t>
  </si>
  <si>
    <t>E</t>
  </si>
  <si>
    <t>G</t>
  </si>
  <si>
    <t>H</t>
  </si>
  <si>
    <t xml:space="preserve"> Équipement, véhicules et mobilier (compte tenu de la dépréciation)</t>
  </si>
  <si>
    <t xml:space="preserve">Suivi du projet </t>
  </si>
  <si>
    <t xml:space="preserve">Total dépensé </t>
  </si>
  <si>
    <t>TOTAL BUDGET</t>
  </si>
  <si>
    <t>Notes quelconque le cas echeant (.e.g sur types des entrants ou justification du budget) GEWE</t>
  </si>
  <si>
    <t>RESULTAT 1: La cohabitation pacifique entre communautés est améliorée grâce au dialogue et aux relations économiques mutualisées et à une amélioration des mécanismes de gouvernance foncière</t>
  </si>
  <si>
    <t>Appuyer un processus de planification et de capitalisation participative communautaire intégrant une approche basée sur les droits avec la représentation de différents groupes ethniques</t>
  </si>
  <si>
    <t>Mettre en place de plateformes de dialogue multi-acteurs pour la prévention et la résolution des conflits fonciers et renforcement de celles existantes à travers notamment l’opérationnalisation des Directives Volontaires</t>
  </si>
  <si>
    <t>Appuyer la réalisation d’actifs communautaires partagés, en échange de transferts en espèces (FFA) (tout en s’assurant de la sécurisation foncière des sites à aménager)</t>
  </si>
  <si>
    <t>Organiser des sessions de renforcement de capacités sur le Développement Territorial Participatif et Négocié, la négociation foncière, la prévention et le règlement des conflits fonciers</t>
  </si>
  <si>
    <t>Niveau de depense/ engagement actuel en USD (a remplir au moment des rapports de projet)      FAO</t>
  </si>
  <si>
    <t>Fournir des intrants agricoles (engrais, semences) et petits outillages aux organisations paysannes  pour la préparation, le semi/plantation, l'entretien et la récolte</t>
  </si>
  <si>
    <t>Mise en place de champs écoles paysans pour le renforcement du dialogue social et des capacités techniques des membres des groupements sur les bonnes pratiques agricoles.</t>
  </si>
  <si>
    <t>Organisation de formations des groupements sur la manutention, le stockage, la transformation, la gouvernance, le développement organisationnel et la gestion simplifiée</t>
  </si>
  <si>
    <t>Renforcer les capacités des membres des communautés sur les mécanismes de gouvernance foncière et la propriété.</t>
  </si>
  <si>
    <t>Fournir des transferts monétaires aux comités de gestion des cantines scolaire du PAM ciblés pour l’achat de nourriture auprès des organisations paysannes et autres fournisseurs locaux</t>
  </si>
  <si>
    <t>Produit 1.3  Les acteurs communautaires, administratifs et les femmes connaissent et utilisent le cadre juridique et institutionnel relatif à la gouvernance foncière pour un accès sécurisé aux ressources foncières</t>
  </si>
  <si>
    <t>Produit 1.2    Les moyens de subsistance des membres de plusieurs communautés qui travaillent et collaborent au sein d’organisations paysannes sont améliorés et diversifiés de manière durable</t>
  </si>
  <si>
    <t xml:space="preserve">Produit 1.1    Les espaces de dialogue intercommunautaires sont créés et consolidés </t>
  </si>
  <si>
    <t>Appuyer la réalisation d'une analyse critique des faiblesses du cadre juridique et institutionnel de la gouvernance foncière en Guinée, ainsi que sa cohabitation avec le droit coutumier lié au foncier et à l’accès des femmes aux ressources productives</t>
  </si>
  <si>
    <t>Produire et vulgariser auprès des acteurs une note technique, documentée et simplifiée du cadre juridique et institutionnel relative à la gouvernance foncière en Guinée et à l’accès équitable à la terre et contribuer</t>
  </si>
  <si>
    <t>Vulgariser le cadre juridique et institutionnel ainsi que les outils locaux relatifs à la gouvernance foncière et l'accès équitable à la terre, auprès des autorités administratives et judiciaires et des organisations de la société civile</t>
  </si>
  <si>
    <t>Réaliser un plaidoyer en faveur d’une réforme du cadre juridique et institutionnel relatif à la gouvernance foncière (Code foncier et domanial, Code pastoral, Code des collectivités locales, etc.) et son harmonisation avec le droit coutumier et les traités internationaux en matière des droits de l’homme pertinents</t>
  </si>
  <si>
    <t>Produit 1.4  Les acteurs communautaires, administratifs et les femmes connaissent et utilisent le cadre juridique et institutionnel relatif à la gouvernance foncière pour un accès sécurisé aux ressources foncières</t>
  </si>
  <si>
    <t>Réaliser une campagne de sensibilisation sur les droits économiques des femmes et jeunes, y compris l'accès à la terre et à d'autres ressources productives</t>
  </si>
  <si>
    <t>Renforcer les capacités des femmes et jeunes sur la procédure judiciaire et administrative d’accès à la terre</t>
  </si>
  <si>
    <t>Apporter un accompagnement aux femmes des localités du projet, engagées dans des procédures foncières au niveau administratif et judicaire</t>
  </si>
  <si>
    <t>Sub Total OutPut 1.4</t>
  </si>
  <si>
    <t>SOUS TOTAL Resultat 1:</t>
  </si>
  <si>
    <t>TOTAL OUTCOME 1:</t>
  </si>
  <si>
    <t>PAM</t>
  </si>
  <si>
    <t>HCDH</t>
  </si>
  <si>
    <t>FAO</t>
  </si>
  <si>
    <t>Amount Recipient  Agency PAM</t>
  </si>
  <si>
    <t>Amount Recipient  Agency HCDH</t>
  </si>
  <si>
    <t>Amount Recipient  Agency FAO</t>
  </si>
  <si>
    <t>Formulation du resultat/ produit/ activité</t>
  </si>
  <si>
    <r>
      <t xml:space="preserve">Budget par agence recipiendiaire en USD - Veuillez ajouter une nouvelle colonne par agence recipiendiaire </t>
    </r>
    <r>
      <rPr>
        <sz val="12"/>
        <color rgb="FFFF0000"/>
        <rFont val="Times New Roman"/>
        <family val="1"/>
      </rPr>
      <t>PAM</t>
    </r>
  </si>
  <si>
    <r>
      <t xml:space="preserve">Budget par agence recipiendiaire en USD - Veuillez ajouter une nouvelle colonne par agence recipiendiaire </t>
    </r>
    <r>
      <rPr>
        <sz val="12"/>
        <color rgb="FFFF0000"/>
        <rFont val="Times New Roman"/>
        <family val="1"/>
      </rPr>
      <t>HCDH</t>
    </r>
  </si>
  <si>
    <r>
      <t xml:space="preserve">Budget par agence recipiendiaire en USD - Veuillez ajouter une nouvelle colonne par agence recipiendiaire </t>
    </r>
    <r>
      <rPr>
        <sz val="12"/>
        <color rgb="FFFF0000"/>
        <rFont val="Times New Roman"/>
        <family val="1"/>
      </rPr>
      <t>FAO</t>
    </r>
  </si>
  <si>
    <r>
      <t xml:space="preserve">Niveau de depense/ engagement actuel en USD (a remplir au moment des rapports de projet) </t>
    </r>
    <r>
      <rPr>
        <sz val="12"/>
        <color rgb="FFFF0000"/>
        <rFont val="Times New Roman"/>
        <family val="1"/>
      </rPr>
      <t>PAM</t>
    </r>
  </si>
  <si>
    <r>
      <t xml:space="preserve">Niveau de depense/ engagement actuel en USD (a remplir au moment des rapports de projet) </t>
    </r>
    <r>
      <rPr>
        <sz val="12"/>
        <color rgb="FFFF0000"/>
        <rFont val="Times New Roman"/>
        <family val="1"/>
      </rPr>
      <t>HCDH</t>
    </r>
  </si>
  <si>
    <t>PBF/GIN/A-13: Prévention des conflits intercommunautaires en Guinée forestière par une économie mutualisée et l’amélioration de la gouvernance foncière</t>
  </si>
  <si>
    <t xml:space="preserve">Montant budget reçu </t>
  </si>
  <si>
    <t>Total dépenses à la fin du projet</t>
  </si>
  <si>
    <t>Dépenses par agences</t>
  </si>
  <si>
    <t xml:space="preserve">DEPENSES GLOBAL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</si>
</sst>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 #,##0.00\ &quot;€&quot;_-;\-* #,##0.00\ &quot;€&quot;_-;_-* &quot;-&quot;??\ &quot;€&quot;_-;_-@_-"/>
    <numFmt numFmtId="164" formatCode="_(&quot;$&quot;* #,##0.00_);_(&quot;$&quot;* \(#,##0.00\);_(&quot;$&quot;* &quot;-&quot;??_);_(@_)"/>
    <numFmt numFmtId="165" formatCode="_(* #,##0.00_);_(* \(#,##0.00\);_(* &quot;-&quot;??_);_(@_)"/>
    <numFmt numFmtId="166" formatCode="_-* #,##0.00\ _€_-;\-* #,##0.00\ _€_-;_-* &quot;-&quot;??\ _€_-;_-@_-"/>
    <numFmt numFmtId="167" formatCode="_-* #,##0\ _F_G_-;\-* #,##0\ _F_G_-;_-* &quot;-&quot;\ _F_G_-;_-@_-"/>
    <numFmt numFmtId="168" formatCode="_-* #,##0.00\ _F_G_-;\-* #,##0.00\ _F_G_-;_-* &quot;-&quot;??\ _F_G_-;_-@_-"/>
    <numFmt numFmtId="169" formatCode="_-* #,##0.00\ _F_G_-;\-* #,##0.00\ _F_G_-;_-* &quot;-&quot;\ _F_G_-;_-@_-"/>
    <numFmt numFmtId="170" formatCode="_-* #,##0\ _€_-;\-* #,##0\ _€_-;_-* &quot;-&quot;??\ _€_-;_-@_-"/>
  </numFmts>
  <fonts count="23" x14ac:knownFonts="1">
    <font>
      <sz val="11"/>
      <color theme="1"/>
      <name val="Calibri"/>
      <family val="2"/>
      <scheme val="minor"/>
    </font>
    <font>
      <b/>
      <sz val="12"/>
      <color indexed="8"/>
      <name val="Times New Roman"/>
      <family val="1"/>
    </font>
    <font>
      <sz val="12"/>
      <name val="Times New Roman"/>
      <family val="1"/>
    </font>
    <font>
      <b/>
      <sz val="12"/>
      <name val="Times New Roman"/>
      <family val="1"/>
    </font>
    <font>
      <sz val="11"/>
      <color theme="1"/>
      <name val="Calibri"/>
      <family val="2"/>
      <scheme val="minor"/>
    </font>
    <font>
      <b/>
      <sz val="12"/>
      <color theme="1"/>
      <name val="Calibri"/>
      <family val="2"/>
      <scheme val="minor"/>
    </font>
    <font>
      <b/>
      <sz val="12"/>
      <color theme="1"/>
      <name val="Calibri"/>
      <family val="2"/>
    </font>
    <font>
      <sz val="11"/>
      <color theme="1"/>
      <name val="Times New Roman"/>
      <family val="1"/>
    </font>
    <font>
      <sz val="12"/>
      <color theme="1"/>
      <name val="Calibri"/>
      <family val="2"/>
    </font>
    <font>
      <sz val="10"/>
      <color theme="1"/>
      <name val="Times New Roman"/>
      <family val="1"/>
    </font>
    <font>
      <b/>
      <sz val="10"/>
      <color theme="1"/>
      <name val="Times New Roman"/>
      <family val="1"/>
    </font>
    <font>
      <b/>
      <sz val="10"/>
      <color theme="1"/>
      <name val="Calibri"/>
      <family val="2"/>
    </font>
    <font>
      <sz val="12"/>
      <color theme="1"/>
      <name val="Calibri"/>
      <family val="2"/>
      <scheme val="minor"/>
    </font>
    <font>
      <b/>
      <sz val="12"/>
      <color theme="1"/>
      <name val="Times New Roman"/>
      <family val="1"/>
    </font>
    <font>
      <sz val="12"/>
      <color theme="1"/>
      <name val="Times New Roman"/>
      <family val="1"/>
    </font>
    <font>
      <sz val="12"/>
      <name val="Calibri"/>
      <family val="2"/>
      <scheme val="minor"/>
    </font>
    <font>
      <sz val="20"/>
      <color rgb="FF000000"/>
      <name val="Times New Roman"/>
      <family val="1"/>
    </font>
    <font>
      <sz val="12"/>
      <color rgb="FFFF0000"/>
      <name val="Times New Roman"/>
      <family val="1"/>
    </font>
    <font>
      <sz val="10"/>
      <name val="Arial"/>
      <family val="2"/>
    </font>
    <font>
      <b/>
      <sz val="11"/>
      <color theme="1"/>
      <name val="Times New Roman"/>
      <family val="1"/>
    </font>
    <font>
      <sz val="10"/>
      <name val="Arial"/>
      <family val="2"/>
    </font>
    <font>
      <sz val="10"/>
      <name val="Arial"/>
      <family val="2"/>
    </font>
    <font>
      <b/>
      <sz val="11"/>
      <color theme="1"/>
      <name val="Calibri"/>
      <family val="2"/>
      <scheme val="minor"/>
    </font>
  </fonts>
  <fills count="21">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6" tint="0.59999389629810485"/>
        <bgColor indexed="64"/>
      </patternFill>
    </fill>
    <fill>
      <patternFill patternType="solid">
        <fgColor rgb="FF00FFFF"/>
        <bgColor indexed="64"/>
      </patternFill>
    </fill>
    <fill>
      <patternFill patternType="solid">
        <fgColor theme="4" tint="0.59999389629810485"/>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B3B3B3"/>
        <bgColor indexed="64"/>
      </patternFill>
    </fill>
    <fill>
      <patternFill patternType="solid">
        <fgColor theme="2" tint="-9.9978637043366805E-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8"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8" fillId="0" borderId="0"/>
    <xf numFmtId="44" fontId="4" fillId="0" borderId="0" applyFont="0" applyFill="0" applyBorder="0" applyAlignment="0" applyProtection="0"/>
    <xf numFmtId="0" fontId="20" fillId="0" borderId="0"/>
    <xf numFmtId="44" fontId="4" fillId="0" borderId="0" applyFont="0" applyFill="0" applyBorder="0" applyAlignment="0" applyProtection="0"/>
    <xf numFmtId="0" fontId="21" fillId="0" borderId="0"/>
    <xf numFmtId="44" fontId="4" fillId="0" borderId="0" applyFont="0" applyFill="0" applyBorder="0" applyAlignment="0" applyProtection="0"/>
    <xf numFmtId="0" fontId="1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cellStyleXfs>
  <cellXfs count="283">
    <xf numFmtId="0" fontId="0" fillId="0" borderId="0" xfId="0"/>
    <xf numFmtId="0" fontId="0" fillId="0" borderId="0" xfId="0" applyAlignment="1">
      <alignment horizontal="center"/>
    </xf>
    <xf numFmtId="0" fontId="6" fillId="2" borderId="31" xfId="0" applyFont="1" applyFill="1" applyBorder="1" applyAlignment="1">
      <alignment horizontal="center" vertical="center" wrapText="1"/>
    </xf>
    <xf numFmtId="168" fontId="7" fillId="0" borderId="1" xfId="1" applyFont="1" applyFill="1" applyBorder="1" applyAlignment="1">
      <alignment horizontal="right" vertical="center" wrapText="1"/>
    </xf>
    <xf numFmtId="170" fontId="8" fillId="0" borderId="31" xfId="1" applyNumberFormat="1" applyFont="1" applyBorder="1" applyAlignment="1">
      <alignment horizontal="left" vertical="center" wrapText="1"/>
    </xf>
    <xf numFmtId="0" fontId="9" fillId="0" borderId="32" xfId="0" applyFont="1" applyBorder="1" applyAlignment="1">
      <alignment vertical="center" wrapText="1"/>
    </xf>
    <xf numFmtId="168" fontId="7" fillId="0" borderId="1" xfId="1" applyFont="1" applyFill="1" applyBorder="1" applyAlignment="1">
      <alignment vertical="center" wrapText="1"/>
    </xf>
    <xf numFmtId="0" fontId="10" fillId="4" borderId="32" xfId="0" applyFont="1" applyFill="1" applyBorder="1" applyAlignment="1">
      <alignment vertical="center" wrapText="1"/>
    </xf>
    <xf numFmtId="0" fontId="9" fillId="0" borderId="5" xfId="0" applyFont="1" applyBorder="1" applyAlignment="1">
      <alignment vertical="center" wrapText="1"/>
    </xf>
    <xf numFmtId="0" fontId="6" fillId="2" borderId="33" xfId="0" applyFont="1" applyFill="1" applyBorder="1" applyAlignment="1">
      <alignment horizontal="center" vertical="center" wrapText="1"/>
    </xf>
    <xf numFmtId="170" fontId="8" fillId="0" borderId="33" xfId="1" applyNumberFormat="1" applyFont="1" applyBorder="1" applyAlignment="1">
      <alignment horizontal="lef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10" fillId="4" borderId="36" xfId="0" applyFont="1" applyFill="1" applyBorder="1" applyAlignment="1">
      <alignment vertical="center" wrapText="1"/>
    </xf>
    <xf numFmtId="0" fontId="9" fillId="0" borderId="8" xfId="0" applyFont="1" applyBorder="1" applyAlignment="1">
      <alignment vertical="center" wrapText="1"/>
    </xf>
    <xf numFmtId="0" fontId="6" fillId="2" borderId="37" xfId="0" applyFont="1" applyFill="1" applyBorder="1" applyAlignment="1">
      <alignment horizontal="center" vertical="center" wrapText="1"/>
    </xf>
    <xf numFmtId="168" fontId="7" fillId="0" borderId="9" xfId="1" applyFont="1" applyFill="1" applyBorder="1" applyAlignment="1">
      <alignment horizontal="right" vertical="center" wrapText="1"/>
    </xf>
    <xf numFmtId="170" fontId="8" fillId="0" borderId="1" xfId="1" applyNumberFormat="1" applyFont="1" applyBorder="1" applyAlignment="1">
      <alignment horizontal="left" vertical="center" wrapText="1"/>
    </xf>
    <xf numFmtId="0" fontId="12" fillId="0" borderId="0" xfId="0" applyFont="1" applyFill="1" applyBorder="1" applyAlignment="1">
      <alignment wrapText="1"/>
    </xf>
    <xf numFmtId="44" fontId="12" fillId="6" borderId="0" xfId="3" applyFont="1" applyFill="1" applyBorder="1" applyAlignment="1" applyProtection="1">
      <alignment vertical="center" wrapText="1"/>
      <protection locked="0"/>
    </xf>
    <xf numFmtId="164" fontId="5" fillId="6" borderId="0" xfId="0" applyNumberFormat="1" applyFont="1" applyFill="1" applyBorder="1" applyAlignment="1">
      <alignment vertical="center" wrapText="1"/>
    </xf>
    <xf numFmtId="169" fontId="4" fillId="0" borderId="0" xfId="2" applyNumberFormat="1" applyFont="1" applyAlignment="1">
      <alignment horizontal="center"/>
    </xf>
    <xf numFmtId="166" fontId="10" fillId="3" borderId="3" xfId="1" applyNumberFormat="1" applyFont="1" applyFill="1" applyBorder="1" applyAlignment="1">
      <alignment horizontal="center" vertical="center" wrapText="1"/>
    </xf>
    <xf numFmtId="169" fontId="14" fillId="0" borderId="11" xfId="2" applyNumberFormat="1" applyFont="1" applyFill="1" applyBorder="1" applyAlignment="1">
      <alignment horizontal="center" vertical="center" wrapText="1"/>
    </xf>
    <xf numFmtId="169" fontId="5" fillId="13" borderId="10" xfId="2" applyNumberFormat="1" applyFont="1" applyFill="1" applyBorder="1" applyAlignment="1">
      <alignment horizontal="right" vertical="center"/>
    </xf>
    <xf numFmtId="169" fontId="13" fillId="5" borderId="1" xfId="2" applyNumberFormat="1" applyFont="1" applyFill="1" applyBorder="1" applyAlignment="1">
      <alignment horizontal="right" vertical="center" wrapText="1"/>
    </xf>
    <xf numFmtId="169" fontId="13" fillId="8" borderId="1" xfId="2" applyNumberFormat="1" applyFont="1" applyFill="1" applyBorder="1" applyAlignment="1">
      <alignment horizontal="right" vertical="center" wrapText="1"/>
    </xf>
    <xf numFmtId="169" fontId="3" fillId="11" borderId="2" xfId="2" applyNumberFormat="1" applyFont="1" applyFill="1" applyBorder="1" applyAlignment="1">
      <alignment horizontal="right" vertical="center" wrapText="1"/>
    </xf>
    <xf numFmtId="169" fontId="3" fillId="5" borderId="1" xfId="2" applyNumberFormat="1" applyFont="1" applyFill="1" applyBorder="1" applyAlignment="1">
      <alignment horizontal="right" vertical="center" wrapText="1"/>
    </xf>
    <xf numFmtId="169" fontId="13" fillId="14" borderId="1" xfId="2" applyNumberFormat="1" applyFont="1" applyFill="1" applyBorder="1" applyAlignment="1">
      <alignment horizontal="right" vertical="center" wrapText="1"/>
    </xf>
    <xf numFmtId="169" fontId="3" fillId="15" borderId="14" xfId="2" applyNumberFormat="1" applyFont="1" applyFill="1" applyBorder="1" applyAlignment="1">
      <alignment horizontal="center" vertical="center" wrapText="1"/>
    </xf>
    <xf numFmtId="169" fontId="5" fillId="0" borderId="0" xfId="2" applyNumberFormat="1" applyFont="1" applyFill="1" applyAlignment="1">
      <alignment horizontal="center"/>
    </xf>
    <xf numFmtId="169" fontId="5" fillId="0" borderId="0" xfId="2" applyNumberFormat="1" applyFont="1" applyFill="1" applyAlignment="1">
      <alignment horizontal="right"/>
    </xf>
    <xf numFmtId="169" fontId="5" fillId="0" borderId="15" xfId="2" applyNumberFormat="1" applyFont="1" applyFill="1" applyBorder="1" applyAlignment="1">
      <alignment horizontal="center" vertical="center" wrapText="1"/>
    </xf>
    <xf numFmtId="169" fontId="12" fillId="0" borderId="4" xfId="2" applyNumberFormat="1" applyFont="1" applyFill="1" applyBorder="1" applyAlignment="1">
      <alignment horizontal="right" vertical="center"/>
    </xf>
    <xf numFmtId="169" fontId="12" fillId="0" borderId="16" xfId="2" applyNumberFormat="1" applyFont="1" applyFill="1" applyBorder="1" applyAlignment="1">
      <alignment horizontal="center" vertical="center"/>
    </xf>
    <xf numFmtId="169" fontId="5" fillId="0" borderId="4" xfId="2" applyNumberFormat="1" applyFont="1" applyFill="1" applyBorder="1" applyAlignment="1">
      <alignment horizontal="center" vertical="center"/>
    </xf>
    <xf numFmtId="9" fontId="12" fillId="0" borderId="17" xfId="4" applyFont="1" applyFill="1" applyBorder="1" applyAlignment="1">
      <alignment horizontal="center" vertical="center"/>
    </xf>
    <xf numFmtId="169" fontId="5" fillId="0" borderId="0" xfId="2" applyNumberFormat="1" applyFont="1"/>
    <xf numFmtId="169" fontId="12" fillId="0" borderId="0" xfId="2" applyNumberFormat="1" applyFont="1"/>
    <xf numFmtId="169" fontId="12" fillId="0" borderId="0" xfId="2" applyNumberFormat="1" applyFont="1" applyAlignment="1">
      <alignment horizontal="center"/>
    </xf>
    <xf numFmtId="169" fontId="12" fillId="0" borderId="0" xfId="2" applyNumberFormat="1" applyFont="1" applyAlignment="1">
      <alignment wrapText="1"/>
    </xf>
    <xf numFmtId="169" fontId="5" fillId="0" borderId="0" xfId="2" applyNumberFormat="1" applyFont="1" applyFill="1" applyAlignment="1">
      <alignment horizontal="center" wrapText="1"/>
    </xf>
    <xf numFmtId="169" fontId="14" fillId="0" borderId="18" xfId="2" applyNumberFormat="1" applyFont="1" applyBorder="1" applyAlignment="1">
      <alignment vertical="center" wrapText="1"/>
    </xf>
    <xf numFmtId="169" fontId="14" fillId="0" borderId="11" xfId="2" applyNumberFormat="1" applyFont="1" applyBorder="1" applyAlignment="1">
      <alignment vertical="center" wrapText="1"/>
    </xf>
    <xf numFmtId="169" fontId="12" fillId="0" borderId="11" xfId="2" applyNumberFormat="1" applyFont="1" applyFill="1" applyBorder="1" applyAlignment="1">
      <alignment horizontal="center" vertical="center" wrapText="1"/>
    </xf>
    <xf numFmtId="169" fontId="14" fillId="0" borderId="11" xfId="2" applyNumberFormat="1" applyFont="1" applyBorder="1" applyAlignment="1">
      <alignment horizontal="center" vertical="center" wrapText="1"/>
    </xf>
    <xf numFmtId="169" fontId="14" fillId="0" borderId="11" xfId="2" applyNumberFormat="1" applyFont="1" applyFill="1" applyBorder="1" applyAlignment="1">
      <alignment vertical="center" wrapText="1"/>
    </xf>
    <xf numFmtId="169" fontId="5" fillId="13" borderId="20" xfId="2" applyNumberFormat="1" applyFont="1" applyFill="1" applyBorder="1" applyAlignment="1">
      <alignment horizontal="center"/>
    </xf>
    <xf numFmtId="169" fontId="5" fillId="13" borderId="10" xfId="2" applyNumberFormat="1" applyFont="1" applyFill="1" applyBorder="1" applyAlignment="1">
      <alignment horizontal="center"/>
    </xf>
    <xf numFmtId="169" fontId="12" fillId="13" borderId="10" xfId="2" applyNumberFormat="1" applyFont="1" applyFill="1" applyBorder="1" applyAlignment="1">
      <alignment horizontal="center" vertical="center"/>
    </xf>
    <xf numFmtId="169" fontId="5" fillId="13" borderId="10" xfId="2" applyNumberFormat="1" applyFont="1" applyFill="1" applyBorder="1" applyAlignment="1">
      <alignment horizontal="center" vertical="center"/>
    </xf>
    <xf numFmtId="169" fontId="14" fillId="0" borderId="10" xfId="2" applyNumberFormat="1" applyFont="1" applyBorder="1" applyAlignment="1">
      <alignment vertical="center" wrapText="1"/>
    </xf>
    <xf numFmtId="169" fontId="12" fillId="16" borderId="10" xfId="2" applyNumberFormat="1" applyFont="1" applyFill="1" applyBorder="1" applyAlignment="1">
      <alignment vertical="center"/>
    </xf>
    <xf numFmtId="169" fontId="12" fillId="5" borderId="10" xfId="2" applyNumberFormat="1" applyFont="1" applyFill="1" applyBorder="1" applyAlignment="1">
      <alignment vertical="center"/>
    </xf>
    <xf numFmtId="169" fontId="12" fillId="12" borderId="10" xfId="2" applyNumberFormat="1" applyFont="1" applyFill="1" applyBorder="1" applyAlignment="1">
      <alignment vertical="center"/>
    </xf>
    <xf numFmtId="169" fontId="12" fillId="0" borderId="10" xfId="2" applyNumberFormat="1" applyFont="1" applyFill="1" applyBorder="1" applyAlignment="1">
      <alignment horizontal="center" vertical="center"/>
    </xf>
    <xf numFmtId="169" fontId="14" fillId="0" borderId="10" xfId="2" applyNumberFormat="1" applyFont="1" applyBorder="1" applyAlignment="1">
      <alignment horizontal="center" vertical="center" wrapText="1"/>
    </xf>
    <xf numFmtId="169" fontId="12" fillId="16" borderId="12" xfId="2" applyNumberFormat="1" applyFont="1" applyFill="1" applyBorder="1" applyAlignment="1">
      <alignment vertical="center"/>
    </xf>
    <xf numFmtId="169" fontId="12" fillId="5" borderId="12" xfId="2" applyNumberFormat="1" applyFont="1" applyFill="1" applyBorder="1" applyAlignment="1">
      <alignment vertical="center"/>
    </xf>
    <xf numFmtId="169" fontId="12" fillId="12" borderId="12" xfId="2" applyNumberFormat="1" applyFont="1" applyFill="1" applyBorder="1" applyAlignment="1">
      <alignment vertical="center"/>
    </xf>
    <xf numFmtId="169" fontId="12" fillId="0" borderId="12" xfId="2" applyNumberFormat="1" applyFont="1" applyFill="1" applyBorder="1" applyAlignment="1">
      <alignment horizontal="center" vertical="center"/>
    </xf>
    <xf numFmtId="169" fontId="14" fillId="0" borderId="12" xfId="2" applyNumberFormat="1" applyFont="1" applyBorder="1" applyAlignment="1">
      <alignment vertical="center" wrapText="1"/>
    </xf>
    <xf numFmtId="169" fontId="14" fillId="0" borderId="12" xfId="2" applyNumberFormat="1" applyFont="1" applyBorder="1" applyAlignment="1">
      <alignment horizontal="center" vertical="center" wrapText="1"/>
    </xf>
    <xf numFmtId="169" fontId="14" fillId="5" borderId="1" xfId="2" applyNumberFormat="1" applyFont="1" applyFill="1" applyBorder="1" applyAlignment="1">
      <alignment vertical="center" wrapText="1"/>
    </xf>
    <xf numFmtId="169" fontId="13" fillId="5" borderId="1" xfId="2" applyNumberFormat="1" applyFont="1" applyFill="1" applyBorder="1" applyAlignment="1">
      <alignment vertical="center" wrapText="1"/>
    </xf>
    <xf numFmtId="169" fontId="13" fillId="5" borderId="1" xfId="2" applyNumberFormat="1" applyFont="1" applyFill="1" applyBorder="1" applyAlignment="1">
      <alignment horizontal="center" vertical="center" wrapText="1"/>
    </xf>
    <xf numFmtId="169" fontId="13" fillId="0" borderId="1" xfId="2" applyNumberFormat="1" applyFont="1" applyBorder="1" applyAlignment="1">
      <alignment vertical="center" wrapText="1"/>
    </xf>
    <xf numFmtId="169" fontId="12" fillId="0" borderId="1" xfId="2" applyNumberFormat="1" applyFont="1" applyFill="1" applyBorder="1" applyAlignment="1">
      <alignment horizontal="center" vertical="center"/>
    </xf>
    <xf numFmtId="169" fontId="2" fillId="0" borderId="1" xfId="2" applyNumberFormat="1" applyFont="1" applyBorder="1" applyAlignment="1">
      <alignment vertical="center" wrapText="1"/>
    </xf>
    <xf numFmtId="169" fontId="2" fillId="0" borderId="2" xfId="2" applyNumberFormat="1" applyFont="1" applyBorder="1" applyAlignment="1">
      <alignment vertical="center" wrapText="1"/>
    </xf>
    <xf numFmtId="169" fontId="14" fillId="0" borderId="2" xfId="2" applyNumberFormat="1" applyFont="1" applyBorder="1" applyAlignment="1">
      <alignment horizontal="center" vertical="center" wrapText="1"/>
    </xf>
    <xf numFmtId="169" fontId="14" fillId="0" borderId="1" xfId="2" applyNumberFormat="1" applyFont="1" applyFill="1" applyBorder="1" applyAlignment="1">
      <alignment horizontal="center" wrapText="1"/>
    </xf>
    <xf numFmtId="169" fontId="14" fillId="0" borderId="3" xfId="2" applyNumberFormat="1" applyFont="1" applyFill="1" applyBorder="1" applyAlignment="1">
      <alignment horizontal="center" wrapText="1"/>
    </xf>
    <xf numFmtId="169" fontId="3" fillId="0" borderId="1" xfId="2" applyNumberFormat="1" applyFont="1" applyBorder="1" applyAlignment="1">
      <alignment vertical="center" wrapText="1"/>
    </xf>
    <xf numFmtId="169" fontId="13" fillId="5" borderId="2" xfId="2" applyNumberFormat="1" applyFont="1" applyFill="1" applyBorder="1" applyAlignment="1">
      <alignment horizontal="center" vertical="center" wrapText="1"/>
    </xf>
    <xf numFmtId="169" fontId="13" fillId="9" borderId="1" xfId="2" applyNumberFormat="1" applyFont="1" applyFill="1" applyBorder="1" applyAlignment="1">
      <alignment vertical="center" wrapText="1"/>
    </xf>
    <xf numFmtId="169" fontId="13" fillId="9" borderId="2" xfId="2" applyNumberFormat="1" applyFont="1" applyFill="1" applyBorder="1" applyAlignment="1">
      <alignment horizontal="center" vertical="center" wrapText="1"/>
    </xf>
    <xf numFmtId="169" fontId="3" fillId="0" borderId="2" xfId="2" applyNumberFormat="1" applyFont="1" applyFill="1" applyBorder="1" applyAlignment="1">
      <alignment horizontal="center" vertical="center" wrapText="1"/>
    </xf>
    <xf numFmtId="169" fontId="12" fillId="6" borderId="0" xfId="2" applyNumberFormat="1" applyFont="1" applyFill="1"/>
    <xf numFmtId="169" fontId="13" fillId="8" borderId="1" xfId="2" applyNumberFormat="1" applyFont="1" applyFill="1" applyBorder="1" applyAlignment="1">
      <alignment vertical="center" wrapText="1"/>
    </xf>
    <xf numFmtId="169" fontId="14" fillId="8" borderId="1" xfId="2" applyNumberFormat="1" applyFont="1" applyFill="1" applyBorder="1" applyAlignment="1">
      <alignment vertical="center" wrapText="1"/>
    </xf>
    <xf numFmtId="169" fontId="13" fillId="8" borderId="1" xfId="2" applyNumberFormat="1" applyFont="1" applyFill="1" applyBorder="1" applyAlignment="1">
      <alignment horizontal="center" vertical="center" wrapText="1"/>
    </xf>
    <xf numFmtId="169" fontId="13" fillId="8" borderId="2" xfId="2" applyNumberFormat="1" applyFont="1" applyFill="1" applyBorder="1" applyAlignment="1">
      <alignment horizontal="center" vertical="center" wrapText="1"/>
    </xf>
    <xf numFmtId="169" fontId="14" fillId="16" borderId="1" xfId="2" applyNumberFormat="1" applyFont="1" applyFill="1" applyBorder="1" applyAlignment="1">
      <alignment vertical="center" wrapText="1"/>
    </xf>
    <xf numFmtId="169" fontId="14" fillId="12" borderId="1" xfId="2" applyNumberFormat="1" applyFont="1" applyFill="1" applyBorder="1" applyAlignment="1">
      <alignment vertical="center" wrapText="1"/>
    </xf>
    <xf numFmtId="169" fontId="13" fillId="0" borderId="2" xfId="2" applyNumberFormat="1" applyFont="1" applyFill="1" applyBorder="1" applyAlignment="1">
      <alignment horizontal="center" vertical="center" wrapText="1"/>
    </xf>
    <xf numFmtId="169" fontId="14" fillId="0" borderId="1" xfId="2" applyNumberFormat="1" applyFont="1" applyBorder="1" applyAlignment="1">
      <alignment vertical="center" wrapText="1"/>
    </xf>
    <xf numFmtId="169" fontId="2" fillId="16" borderId="2" xfId="2" applyNumberFormat="1" applyFont="1" applyFill="1" applyBorder="1" applyAlignment="1">
      <alignment vertical="center" wrapText="1"/>
    </xf>
    <xf numFmtId="169" fontId="2" fillId="5" borderId="2" xfId="2" applyNumberFormat="1" applyFont="1" applyFill="1" applyBorder="1" applyAlignment="1">
      <alignment vertical="center" wrapText="1"/>
    </xf>
    <xf numFmtId="169" fontId="3" fillId="5" borderId="1" xfId="2" applyNumberFormat="1" applyFont="1" applyFill="1" applyBorder="1" applyAlignment="1">
      <alignment vertical="center" wrapText="1"/>
    </xf>
    <xf numFmtId="169" fontId="2" fillId="5" borderId="1" xfId="2" applyNumberFormat="1" applyFont="1" applyFill="1" applyBorder="1" applyAlignment="1">
      <alignment vertical="center" wrapText="1"/>
    </xf>
    <xf numFmtId="169" fontId="14" fillId="0" borderId="2" xfId="2" applyNumberFormat="1" applyFont="1" applyBorder="1" applyAlignment="1">
      <alignment vertical="center" wrapText="1"/>
    </xf>
    <xf numFmtId="169" fontId="13" fillId="14" borderId="1" xfId="2" applyNumberFormat="1" applyFont="1" applyFill="1" applyBorder="1" applyAlignment="1">
      <alignment vertical="center" wrapText="1"/>
    </xf>
    <xf numFmtId="169" fontId="14" fillId="14" borderId="1" xfId="2" applyNumberFormat="1" applyFont="1" applyFill="1" applyBorder="1" applyAlignment="1">
      <alignment vertical="center" wrapText="1"/>
    </xf>
    <xf numFmtId="169" fontId="13" fillId="14" borderId="1" xfId="2" applyNumberFormat="1" applyFont="1" applyFill="1" applyBorder="1" applyAlignment="1">
      <alignment horizontal="center" vertical="center" wrapText="1"/>
    </xf>
    <xf numFmtId="169" fontId="13" fillId="14" borderId="2" xfId="2" applyNumberFormat="1" applyFont="1" applyFill="1" applyBorder="1" applyAlignment="1">
      <alignment horizontal="center" vertical="center" wrapText="1"/>
    </xf>
    <xf numFmtId="169" fontId="3" fillId="17" borderId="1" xfId="2" applyNumberFormat="1" applyFont="1" applyFill="1" applyBorder="1" applyAlignment="1">
      <alignment horizontal="center" vertical="center" wrapText="1"/>
    </xf>
    <xf numFmtId="169" fontId="6" fillId="15" borderId="23" xfId="2" applyNumberFormat="1" applyFont="1" applyFill="1" applyBorder="1" applyAlignment="1">
      <alignment horizontal="center" vertical="center" wrapText="1"/>
    </xf>
    <xf numFmtId="169" fontId="12" fillId="0" borderId="0" xfId="2" applyNumberFormat="1" applyFont="1" applyFill="1" applyAlignment="1">
      <alignment horizontal="center"/>
    </xf>
    <xf numFmtId="169" fontId="12" fillId="0" borderId="0" xfId="2" applyNumberFormat="1" applyFont="1" applyFill="1"/>
    <xf numFmtId="169" fontId="5" fillId="18" borderId="15" xfId="2" applyNumberFormat="1" applyFont="1" applyFill="1" applyBorder="1" applyAlignment="1">
      <alignment horizontal="center" vertical="center"/>
    </xf>
    <xf numFmtId="169" fontId="12" fillId="18" borderId="4" xfId="2" applyNumberFormat="1" applyFont="1" applyFill="1" applyBorder="1" applyAlignment="1">
      <alignment horizontal="center" vertical="center" wrapText="1"/>
    </xf>
    <xf numFmtId="169" fontId="5" fillId="18" borderId="16" xfId="2" applyNumberFormat="1" applyFont="1" applyFill="1" applyBorder="1" applyAlignment="1">
      <alignment horizontal="center" vertical="center" wrapText="1"/>
    </xf>
    <xf numFmtId="169" fontId="5" fillId="0" borderId="1" xfId="2" applyNumberFormat="1" applyFont="1" applyFill="1" applyBorder="1" applyAlignment="1">
      <alignment horizontal="center" vertical="center" wrapText="1"/>
    </xf>
    <xf numFmtId="169" fontId="5" fillId="0" borderId="16" xfId="2" applyNumberFormat="1" applyFont="1" applyFill="1" applyBorder="1" applyAlignment="1">
      <alignment horizontal="center" vertical="center" wrapText="1"/>
    </xf>
    <xf numFmtId="169" fontId="5" fillId="18" borderId="4" xfId="2" applyNumberFormat="1" applyFont="1" applyFill="1" applyBorder="1" applyAlignment="1">
      <alignment horizontal="center" vertical="center" wrapText="1"/>
    </xf>
    <xf numFmtId="169" fontId="5" fillId="18" borderId="17" xfId="2" applyNumberFormat="1" applyFont="1" applyFill="1" applyBorder="1" applyAlignment="1">
      <alignment horizontal="center" vertical="center" wrapText="1"/>
    </xf>
    <xf numFmtId="169" fontId="5" fillId="0" borderId="15" xfId="2" applyNumberFormat="1" applyFont="1" applyBorder="1" applyAlignment="1">
      <alignment horizontal="center" vertical="center"/>
    </xf>
    <xf numFmtId="169" fontId="12" fillId="0" borderId="4" xfId="2" applyNumberFormat="1" applyFont="1" applyFill="1" applyBorder="1" applyAlignment="1">
      <alignment horizontal="center" vertical="center"/>
    </xf>
    <xf numFmtId="169" fontId="5" fillId="0" borderId="16" xfId="2" applyNumberFormat="1" applyFont="1" applyFill="1" applyBorder="1" applyAlignment="1">
      <alignment horizontal="center" vertical="center"/>
    </xf>
    <xf numFmtId="169" fontId="5" fillId="7" borderId="1" xfId="2" applyNumberFormat="1" applyFont="1" applyFill="1" applyBorder="1" applyAlignment="1">
      <alignment horizontal="center" vertical="center"/>
    </xf>
    <xf numFmtId="169" fontId="12" fillId="0" borderId="0" xfId="2" applyNumberFormat="1" applyFont="1" applyAlignment="1">
      <alignment horizontal="left"/>
    </xf>
    <xf numFmtId="169" fontId="2" fillId="0" borderId="7" xfId="2" applyNumberFormat="1" applyFont="1" applyBorder="1" applyAlignment="1">
      <alignment vertical="center" wrapText="1"/>
    </xf>
    <xf numFmtId="0" fontId="12" fillId="16" borderId="10" xfId="2" applyNumberFormat="1" applyFont="1" applyFill="1" applyBorder="1" applyAlignment="1">
      <alignment vertical="center"/>
    </xf>
    <xf numFmtId="9" fontId="0" fillId="0" borderId="0" xfId="4" applyFont="1"/>
    <xf numFmtId="0" fontId="0" fillId="6" borderId="0" xfId="0" applyFill="1" applyBorder="1"/>
    <xf numFmtId="170" fontId="4" fillId="6" borderId="0" xfId="4" applyNumberFormat="1" applyFont="1" applyFill="1" applyBorder="1" applyAlignment="1">
      <alignment horizontal="center" vertical="center"/>
    </xf>
    <xf numFmtId="9" fontId="4" fillId="6" borderId="0" xfId="4" applyFont="1" applyFill="1" applyBorder="1"/>
    <xf numFmtId="0" fontId="12" fillId="0" borderId="0" xfId="2" applyNumberFormat="1" applyFont="1"/>
    <xf numFmtId="0" fontId="14" fillId="0" borderId="19" xfId="2" applyNumberFormat="1" applyFont="1" applyFill="1" applyBorder="1" applyAlignment="1">
      <alignment vertical="center" wrapText="1"/>
    </xf>
    <xf numFmtId="0" fontId="5" fillId="3" borderId="21" xfId="2" applyNumberFormat="1" applyFont="1" applyFill="1" applyBorder="1" applyAlignment="1">
      <alignment horizontal="center"/>
    </xf>
    <xf numFmtId="0" fontId="14" fillId="0" borderId="21" xfId="2" applyNumberFormat="1" applyFont="1" applyBorder="1" applyAlignment="1">
      <alignment horizontal="left" vertical="center" wrapText="1"/>
    </xf>
    <xf numFmtId="0" fontId="14" fillId="0" borderId="22" xfId="2" applyNumberFormat="1" applyFont="1" applyBorder="1" applyAlignment="1">
      <alignment horizontal="left" vertical="center" wrapText="1"/>
    </xf>
    <xf numFmtId="0" fontId="13" fillId="5" borderId="1" xfId="2" applyNumberFormat="1" applyFont="1" applyFill="1" applyBorder="1" applyAlignment="1">
      <alignment vertical="center" wrapText="1"/>
    </xf>
    <xf numFmtId="0" fontId="14" fillId="0" borderId="1" xfId="2" applyNumberFormat="1" applyFont="1" applyBorder="1" applyAlignment="1">
      <alignment horizontal="left" vertical="center" wrapText="1"/>
    </xf>
    <xf numFmtId="0" fontId="14" fillId="9" borderId="1" xfId="2" applyNumberFormat="1" applyFont="1" applyFill="1" applyBorder="1" applyAlignment="1">
      <alignment vertical="center" wrapText="1"/>
    </xf>
    <xf numFmtId="0" fontId="13" fillId="8" borderId="1" xfId="2" applyNumberFormat="1" applyFont="1" applyFill="1" applyBorder="1" applyAlignment="1">
      <alignment vertical="center" wrapText="1"/>
    </xf>
    <xf numFmtId="0" fontId="13" fillId="5" borderId="4" xfId="2" applyNumberFormat="1" applyFont="1" applyFill="1" applyBorder="1" applyAlignment="1">
      <alignment vertical="center" wrapText="1"/>
    </xf>
    <xf numFmtId="0" fontId="13" fillId="0" borderId="21" xfId="2" applyNumberFormat="1" applyFont="1" applyBorder="1" applyAlignment="1">
      <alignment vertical="center" wrapText="1"/>
    </xf>
    <xf numFmtId="0" fontId="13" fillId="5" borderId="2" xfId="2" applyNumberFormat="1" applyFont="1" applyFill="1" applyBorder="1" applyAlignment="1">
      <alignment vertical="center" wrapText="1"/>
    </xf>
    <xf numFmtId="0" fontId="14" fillId="0" borderId="1" xfId="2" applyNumberFormat="1" applyFont="1" applyBorder="1" applyAlignment="1">
      <alignment vertical="center" wrapText="1"/>
    </xf>
    <xf numFmtId="0" fontId="12" fillId="14" borderId="1" xfId="2" applyNumberFormat="1" applyFont="1" applyFill="1" applyBorder="1"/>
    <xf numFmtId="169" fontId="14" fillId="0" borderId="1" xfId="2" applyNumberFormat="1" applyFont="1" applyBorder="1" applyAlignment="1">
      <alignment horizontal="center" vertical="center" wrapText="1"/>
    </xf>
    <xf numFmtId="169" fontId="13" fillId="0" borderId="11" xfId="2" applyNumberFormat="1" applyFont="1" applyBorder="1" applyAlignment="1">
      <alignment horizontal="center" vertical="center" wrapText="1"/>
    </xf>
    <xf numFmtId="0" fontId="12" fillId="0" borderId="10" xfId="0" applyFont="1" applyBorder="1" applyAlignment="1" applyProtection="1">
      <alignment horizontal="left" vertical="top" wrapText="1"/>
      <protection locked="0"/>
    </xf>
    <xf numFmtId="169" fontId="13" fillId="5" borderId="2" xfId="2" applyNumberFormat="1" applyFont="1" applyFill="1" applyBorder="1" applyAlignment="1">
      <alignment vertical="center" wrapText="1"/>
    </xf>
    <xf numFmtId="169" fontId="14" fillId="5" borderId="0" xfId="2" applyNumberFormat="1" applyFont="1" applyFill="1" applyBorder="1" applyAlignment="1">
      <alignment vertical="center" wrapText="1"/>
    </xf>
    <xf numFmtId="169" fontId="14" fillId="5" borderId="4" xfId="2" applyNumberFormat="1" applyFont="1" applyFill="1" applyBorder="1" applyAlignment="1">
      <alignment vertical="center" wrapText="1"/>
    </xf>
    <xf numFmtId="169" fontId="13" fillId="5" borderId="0" xfId="2" applyNumberFormat="1" applyFont="1" applyFill="1" applyBorder="1" applyAlignment="1">
      <alignment vertical="center" wrapText="1"/>
    </xf>
    <xf numFmtId="169" fontId="13" fillId="5" borderId="6" xfId="2" applyNumberFormat="1" applyFont="1" applyFill="1" applyBorder="1" applyAlignment="1">
      <alignment vertical="center" wrapText="1"/>
    </xf>
    <xf numFmtId="169" fontId="14" fillId="5" borderId="10" xfId="2" applyNumberFormat="1" applyFont="1" applyFill="1" applyBorder="1" applyAlignment="1">
      <alignment vertical="center" wrapText="1"/>
    </xf>
    <xf numFmtId="169" fontId="13" fillId="0" borderId="25" xfId="2" applyNumberFormat="1" applyFont="1" applyBorder="1" applyAlignment="1">
      <alignment vertical="center"/>
    </xf>
    <xf numFmtId="169" fontId="14" fillId="0" borderId="10" xfId="2" applyNumberFormat="1" applyFont="1" applyBorder="1" applyAlignment="1">
      <alignment vertical="center"/>
    </xf>
    <xf numFmtId="168" fontId="7" fillId="3" borderId="1" xfId="1" applyFont="1" applyFill="1" applyBorder="1" applyAlignment="1">
      <alignment horizontal="right" vertical="center" wrapText="1"/>
    </xf>
    <xf numFmtId="170" fontId="8" fillId="3" borderId="1" xfId="1" applyNumberFormat="1" applyFont="1" applyFill="1" applyBorder="1" applyAlignment="1">
      <alignment horizontal="left" vertical="center" wrapText="1"/>
    </xf>
    <xf numFmtId="168" fontId="7" fillId="3" borderId="9" xfId="1" applyFont="1" applyFill="1" applyBorder="1" applyAlignment="1">
      <alignment horizontal="right" vertical="center" wrapText="1"/>
    </xf>
    <xf numFmtId="170" fontId="8" fillId="3" borderId="31" xfId="1" applyNumberFormat="1" applyFont="1" applyFill="1" applyBorder="1" applyAlignment="1">
      <alignment horizontal="left" vertical="center" wrapText="1"/>
    </xf>
    <xf numFmtId="170" fontId="8" fillId="3" borderId="33" xfId="1" applyNumberFormat="1" applyFont="1" applyFill="1" applyBorder="1" applyAlignment="1">
      <alignment horizontal="left" vertical="center" wrapText="1"/>
    </xf>
    <xf numFmtId="169" fontId="5" fillId="0" borderId="0" xfId="2" applyNumberFormat="1" applyFont="1" applyAlignment="1">
      <alignment horizontal="center" vertical="center" wrapText="1"/>
    </xf>
    <xf numFmtId="169" fontId="14" fillId="16" borderId="24" xfId="2" applyNumberFormat="1" applyFont="1" applyFill="1" applyBorder="1" applyAlignment="1">
      <alignment vertical="center" wrapText="1"/>
    </xf>
    <xf numFmtId="169" fontId="14" fillId="5" borderId="24" xfId="2" applyNumberFormat="1" applyFont="1" applyFill="1" applyBorder="1" applyAlignment="1">
      <alignment vertical="center" wrapText="1"/>
    </xf>
    <xf numFmtId="169" fontId="14" fillId="12" borderId="24" xfId="2" applyNumberFormat="1" applyFont="1" applyFill="1" applyBorder="1" applyAlignment="1">
      <alignment vertical="center" wrapText="1"/>
    </xf>
    <xf numFmtId="169" fontId="5" fillId="0" borderId="10" xfId="2" applyNumberFormat="1" applyFont="1" applyFill="1" applyBorder="1" applyAlignment="1">
      <alignment horizontal="center" vertical="center" wrapText="1"/>
    </xf>
    <xf numFmtId="169" fontId="5" fillId="6" borderId="10" xfId="2" applyNumberFormat="1" applyFont="1" applyFill="1" applyBorder="1" applyAlignment="1">
      <alignment horizontal="center" vertical="center" wrapText="1"/>
    </xf>
    <xf numFmtId="169" fontId="5" fillId="0" borderId="10" xfId="2" applyNumberFormat="1" applyFont="1" applyBorder="1" applyAlignment="1">
      <alignment horizontal="center" vertical="center" wrapText="1"/>
    </xf>
    <xf numFmtId="0" fontId="0" fillId="0" borderId="0" xfId="0" applyAlignment="1">
      <alignment wrapText="1"/>
    </xf>
    <xf numFmtId="169" fontId="4" fillId="0" borderId="0" xfId="2" applyNumberFormat="1" applyFont="1" applyAlignment="1">
      <alignment horizontal="center" wrapText="1"/>
    </xf>
    <xf numFmtId="0" fontId="0" fillId="0" borderId="0" xfId="0" applyAlignment="1">
      <alignment horizontal="center" wrapText="1"/>
    </xf>
    <xf numFmtId="9" fontId="4" fillId="20" borderId="10" xfId="4" applyFont="1" applyFill="1" applyBorder="1" applyAlignment="1">
      <alignment horizontal="center" vertical="center"/>
    </xf>
    <xf numFmtId="2" fontId="0" fillId="0" borderId="0" xfId="0" applyNumberFormat="1"/>
    <xf numFmtId="169" fontId="13" fillId="3" borderId="9" xfId="2" applyNumberFormat="1" applyFont="1" applyFill="1" applyBorder="1" applyAlignment="1">
      <alignment horizontal="right" vertical="center" wrapText="1"/>
    </xf>
    <xf numFmtId="169" fontId="5" fillId="7" borderId="25" xfId="2" applyNumberFormat="1" applyFont="1" applyFill="1" applyBorder="1" applyAlignment="1">
      <alignment horizontal="center" vertical="center"/>
    </xf>
    <xf numFmtId="169" fontId="5" fillId="7" borderId="5" xfId="2" applyNumberFormat="1" applyFont="1" applyFill="1" applyBorder="1" applyAlignment="1">
      <alignment horizontal="right" vertical="center"/>
    </xf>
    <xf numFmtId="9" fontId="5" fillId="7" borderId="5" xfId="4" applyFont="1" applyFill="1" applyBorder="1" applyAlignment="1">
      <alignment horizontal="center" vertical="center"/>
    </xf>
    <xf numFmtId="169" fontId="13" fillId="5" borderId="9" xfId="2" applyNumberFormat="1" applyFont="1" applyFill="1" applyBorder="1" applyAlignment="1">
      <alignment horizontal="center" vertical="center" wrapText="1"/>
    </xf>
    <xf numFmtId="169" fontId="5" fillId="7" borderId="5" xfId="2" applyNumberFormat="1" applyFont="1" applyFill="1" applyBorder="1" applyAlignment="1">
      <alignment horizontal="center" vertical="center"/>
    </xf>
    <xf numFmtId="169" fontId="5" fillId="18" borderId="5" xfId="2" applyNumberFormat="1" applyFont="1" applyFill="1" applyBorder="1" applyAlignment="1">
      <alignment horizontal="center" vertical="center" wrapText="1"/>
    </xf>
    <xf numFmtId="169" fontId="12" fillId="0" borderId="17" xfId="2" applyNumberFormat="1" applyFont="1" applyFill="1" applyBorder="1" applyAlignment="1">
      <alignment horizontal="center" vertical="center"/>
    </xf>
    <xf numFmtId="169" fontId="10" fillId="4" borderId="32" xfId="2" applyNumberFormat="1" applyFont="1" applyFill="1" applyBorder="1" applyAlignment="1">
      <alignment horizontal="center" vertical="center" wrapText="1"/>
    </xf>
    <xf numFmtId="168" fontId="7" fillId="5" borderId="25" xfId="1" applyFont="1" applyFill="1" applyBorder="1" applyAlignment="1">
      <alignment horizontal="center" wrapText="1"/>
    </xf>
    <xf numFmtId="0" fontId="11" fillId="3" borderId="10" xfId="0" applyFont="1" applyFill="1" applyBorder="1" applyAlignment="1">
      <alignment horizontal="center" vertical="center" wrapText="1"/>
    </xf>
    <xf numFmtId="168" fontId="10" fillId="3" borderId="10" xfId="1" applyFont="1" applyFill="1" applyBorder="1" applyAlignment="1">
      <alignment horizontal="right" vertical="center" wrapText="1"/>
    </xf>
    <xf numFmtId="169" fontId="13" fillId="3" borderId="10" xfId="2" applyNumberFormat="1" applyFont="1" applyFill="1" applyBorder="1" applyAlignment="1">
      <alignment vertical="center" wrapText="1"/>
    </xf>
    <xf numFmtId="0" fontId="11" fillId="3" borderId="13" xfId="0" applyFont="1" applyFill="1" applyBorder="1" applyAlignment="1">
      <alignment horizontal="center" vertical="center" wrapText="1"/>
    </xf>
    <xf numFmtId="168" fontId="7" fillId="0" borderId="10" xfId="1" applyFont="1" applyFill="1" applyBorder="1" applyAlignment="1">
      <alignment horizontal="center" wrapText="1"/>
    </xf>
    <xf numFmtId="168" fontId="7" fillId="5" borderId="0" xfId="1" applyFont="1" applyFill="1" applyBorder="1" applyAlignment="1">
      <alignment horizontal="center" wrapText="1"/>
    </xf>
    <xf numFmtId="169" fontId="10" fillId="3" borderId="10" xfId="2" applyNumberFormat="1" applyFont="1" applyFill="1" applyBorder="1" applyAlignment="1">
      <alignment horizontal="right" vertical="center" wrapText="1"/>
    </xf>
    <xf numFmtId="9" fontId="4" fillId="0" borderId="10" xfId="4" applyFont="1" applyBorder="1" applyAlignment="1">
      <alignment horizontal="center" vertical="center"/>
    </xf>
    <xf numFmtId="166" fontId="0" fillId="0" borderId="10" xfId="0" applyNumberFormat="1" applyBorder="1" applyAlignment="1">
      <alignment horizontal="center"/>
    </xf>
    <xf numFmtId="169" fontId="13" fillId="20" borderId="10" xfId="2" applyNumberFormat="1" applyFont="1" applyFill="1" applyBorder="1" applyAlignment="1">
      <alignment vertical="center" wrapText="1"/>
    </xf>
    <xf numFmtId="169" fontId="5" fillId="0" borderId="10" xfId="2" applyNumberFormat="1" applyFont="1" applyBorder="1"/>
    <xf numFmtId="169" fontId="5" fillId="7" borderId="10" xfId="2" applyNumberFormat="1" applyFont="1" applyFill="1" applyBorder="1" applyAlignment="1">
      <alignment horizontal="center" vertical="center"/>
    </xf>
    <xf numFmtId="170" fontId="6" fillId="3" borderId="1" xfId="1" applyNumberFormat="1" applyFont="1" applyFill="1" applyBorder="1" applyAlignment="1">
      <alignment horizontal="left" vertical="center" wrapText="1"/>
    </xf>
    <xf numFmtId="168" fontId="19" fillId="3" borderId="1" xfId="1" applyFont="1" applyFill="1" applyBorder="1" applyAlignment="1">
      <alignment horizontal="right" vertical="center" wrapText="1"/>
    </xf>
    <xf numFmtId="168" fontId="19" fillId="3" borderId="9" xfId="1" applyFont="1" applyFill="1" applyBorder="1" applyAlignment="1">
      <alignment horizontal="right" vertical="center" wrapText="1"/>
    </xf>
    <xf numFmtId="170" fontId="6" fillId="3" borderId="31" xfId="1" applyNumberFormat="1" applyFont="1" applyFill="1" applyBorder="1" applyAlignment="1">
      <alignment horizontal="left" vertical="center" wrapText="1"/>
    </xf>
    <xf numFmtId="170" fontId="6" fillId="3" borderId="33" xfId="1" applyNumberFormat="1" applyFont="1" applyFill="1" applyBorder="1" applyAlignment="1">
      <alignment horizontal="left" vertical="center" wrapText="1"/>
    </xf>
    <xf numFmtId="9" fontId="12" fillId="0" borderId="10" xfId="4" applyFont="1" applyFill="1" applyBorder="1" applyAlignment="1" applyProtection="1">
      <alignment horizontal="center" vertical="center" wrapText="1"/>
      <protection locked="0"/>
    </xf>
    <xf numFmtId="9" fontId="12" fillId="0" borderId="12" xfId="4" applyFont="1" applyFill="1" applyBorder="1" applyAlignment="1" applyProtection="1">
      <alignment horizontal="center" vertical="center" wrapText="1"/>
      <protection locked="0"/>
    </xf>
    <xf numFmtId="9" fontId="12" fillId="0" borderId="10" xfId="4" applyFont="1" applyBorder="1" applyAlignment="1" applyProtection="1">
      <alignment horizontal="center" vertical="center" wrapText="1"/>
      <protection locked="0"/>
    </xf>
    <xf numFmtId="168" fontId="7" fillId="5" borderId="2" xfId="1" applyFont="1" applyFill="1" applyBorder="1" applyAlignment="1">
      <alignment horizontal="center" wrapText="1"/>
    </xf>
    <xf numFmtId="169" fontId="2" fillId="5" borderId="2" xfId="2" applyNumberFormat="1" applyFont="1" applyFill="1" applyBorder="1" applyAlignment="1">
      <alignment vertical="center" wrapText="1"/>
    </xf>
    <xf numFmtId="168" fontId="7" fillId="5" borderId="5" xfId="1" applyFont="1" applyFill="1" applyBorder="1" applyAlignment="1">
      <alignment horizontal="center" wrapText="1"/>
    </xf>
    <xf numFmtId="168" fontId="7" fillId="5" borderId="6" xfId="1" applyFont="1" applyFill="1" applyBorder="1" applyAlignment="1">
      <alignment horizontal="center" wrapText="1"/>
    </xf>
    <xf numFmtId="168" fontId="7" fillId="5" borderId="0" xfId="1" applyFont="1" applyFill="1" applyBorder="1" applyAlignment="1">
      <alignment horizontal="center" wrapText="1"/>
    </xf>
    <xf numFmtId="169" fontId="12" fillId="12" borderId="12" xfId="2" applyNumberFormat="1" applyFont="1" applyFill="1" applyBorder="1" applyAlignment="1">
      <alignment horizontal="right" vertical="center"/>
    </xf>
    <xf numFmtId="169" fontId="3" fillId="11" borderId="2" xfId="2" applyNumberFormat="1" applyFont="1" applyFill="1" applyBorder="1" applyAlignment="1">
      <alignment horizontal="right" vertical="center" wrapText="1"/>
    </xf>
    <xf numFmtId="169" fontId="13" fillId="6" borderId="10" xfId="2" applyNumberFormat="1" applyFont="1" applyFill="1" applyBorder="1" applyAlignment="1">
      <alignment horizontal="right" vertical="center" wrapText="1"/>
    </xf>
    <xf numFmtId="169" fontId="12" fillId="5" borderId="10" xfId="2" applyNumberFormat="1" applyFont="1" applyFill="1" applyBorder="1" applyAlignment="1">
      <alignment vertical="center"/>
    </xf>
    <xf numFmtId="169" fontId="12" fillId="5" borderId="12" xfId="2" applyNumberFormat="1" applyFont="1" applyFill="1" applyBorder="1" applyAlignment="1">
      <alignment vertical="center"/>
    </xf>
    <xf numFmtId="169" fontId="15" fillId="5" borderId="10" xfId="2" applyNumberFormat="1" applyFont="1" applyFill="1" applyBorder="1" applyAlignment="1">
      <alignment vertical="center"/>
    </xf>
    <xf numFmtId="169" fontId="14" fillId="5" borderId="4" xfId="2" applyNumberFormat="1" applyFont="1" applyFill="1" applyBorder="1" applyAlignment="1">
      <alignment vertical="center" wrapText="1"/>
    </xf>
    <xf numFmtId="169" fontId="13" fillId="5" borderId="1" xfId="2" applyNumberFormat="1" applyFont="1" applyFill="1" applyBorder="1" applyAlignment="1">
      <alignment vertical="center" wrapText="1"/>
    </xf>
    <xf numFmtId="169" fontId="13" fillId="9" borderId="1" xfId="2" applyNumberFormat="1" applyFont="1" applyFill="1" applyBorder="1" applyAlignment="1">
      <alignment vertical="center" wrapText="1"/>
    </xf>
    <xf numFmtId="169" fontId="12" fillId="12" borderId="10" xfId="2" applyNumberFormat="1" applyFont="1" applyFill="1" applyBorder="1" applyAlignment="1">
      <alignment horizontal="right" vertical="center"/>
    </xf>
    <xf numFmtId="169" fontId="12" fillId="11" borderId="10" xfId="2" applyNumberFormat="1" applyFont="1" applyFill="1" applyBorder="1" applyAlignment="1">
      <alignment horizontal="right" vertical="center"/>
    </xf>
    <xf numFmtId="169" fontId="12" fillId="12" borderId="13" xfId="2" applyNumberFormat="1" applyFont="1" applyFill="1" applyBorder="1" applyAlignment="1">
      <alignment horizontal="right" vertical="center"/>
    </xf>
    <xf numFmtId="169" fontId="12" fillId="11" borderId="13" xfId="2" applyNumberFormat="1" applyFont="1" applyFill="1" applyBorder="1" applyAlignment="1">
      <alignment horizontal="right" vertical="center"/>
    </xf>
    <xf numFmtId="168" fontId="9" fillId="6" borderId="10" xfId="1" applyFont="1" applyFill="1" applyBorder="1" applyAlignment="1">
      <alignment horizontal="right" vertical="center" wrapText="1"/>
    </xf>
    <xf numFmtId="168" fontId="4" fillId="6" borderId="0" xfId="1" applyFont="1" applyFill="1" applyBorder="1" applyAlignment="1">
      <alignment horizontal="center" vertical="center"/>
    </xf>
    <xf numFmtId="10" fontId="22" fillId="0" borderId="0" xfId="0" applyNumberFormat="1" applyFont="1"/>
    <xf numFmtId="168" fontId="12" fillId="0" borderId="0" xfId="1" applyFont="1"/>
    <xf numFmtId="169" fontId="15" fillId="0" borderId="1" xfId="2" applyNumberFormat="1" applyFont="1" applyFill="1" applyBorder="1" applyAlignment="1">
      <alignment horizontal="center" vertical="center"/>
    </xf>
    <xf numFmtId="0" fontId="0" fillId="20" borderId="10" xfId="0" applyNumberFormat="1" applyFill="1" applyBorder="1" applyAlignment="1">
      <alignment horizontal="center"/>
    </xf>
    <xf numFmtId="167" fontId="12" fillId="0" borderId="0" xfId="2" applyNumberFormat="1" applyFont="1"/>
    <xf numFmtId="165" fontId="0" fillId="6" borderId="0" xfId="0" applyNumberFormat="1" applyFill="1" applyBorder="1"/>
    <xf numFmtId="165" fontId="0" fillId="0" borderId="0" xfId="0" applyNumberFormat="1"/>
    <xf numFmtId="0" fontId="0" fillId="17" borderId="5" xfId="0" applyFill="1" applyBorder="1" applyAlignment="1">
      <alignment horizontal="center"/>
    </xf>
    <xf numFmtId="0" fontId="0" fillId="17" borderId="16" xfId="0" applyFill="1" applyBorder="1" applyAlignment="1">
      <alignment horizontal="center"/>
    </xf>
    <xf numFmtId="0" fontId="0" fillId="17" borderId="17" xfId="0" applyFill="1" applyBorder="1" applyAlignment="1">
      <alignment horizontal="center"/>
    </xf>
    <xf numFmtId="0" fontId="11" fillId="3" borderId="13"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6" fillId="19" borderId="38" xfId="0" applyFont="1" applyFill="1" applyBorder="1" applyAlignment="1">
      <alignment horizontal="center" vertical="center" wrapText="1"/>
    </xf>
    <xf numFmtId="0" fontId="6" fillId="19" borderId="39"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19" borderId="41"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43" xfId="0" applyFont="1" applyFill="1" applyBorder="1" applyAlignment="1">
      <alignment horizontal="center" vertical="center" wrapText="1"/>
    </xf>
    <xf numFmtId="0" fontId="6" fillId="19" borderId="44" xfId="0" applyFont="1" applyFill="1" applyBorder="1" applyAlignment="1">
      <alignment horizontal="center" vertical="center" wrapText="1"/>
    </xf>
    <xf numFmtId="169" fontId="12" fillId="0" borderId="5" xfId="2" applyNumberFormat="1" applyFont="1" applyFill="1" applyBorder="1" applyAlignment="1">
      <alignment horizontal="center" vertical="center"/>
    </xf>
    <xf numFmtId="169" fontId="12" fillId="0" borderId="9" xfId="2" applyNumberFormat="1" applyFont="1" applyFill="1" applyBorder="1" applyAlignment="1">
      <alignment horizontal="center" vertical="center"/>
    </xf>
    <xf numFmtId="169" fontId="5" fillId="7" borderId="5" xfId="2" applyNumberFormat="1" applyFont="1" applyFill="1" applyBorder="1" applyAlignment="1">
      <alignment horizontal="center" vertical="center"/>
    </xf>
    <xf numFmtId="169" fontId="5" fillId="7" borderId="9" xfId="2" applyNumberFormat="1" applyFont="1" applyFill="1" applyBorder="1" applyAlignment="1">
      <alignment horizontal="center" vertical="center"/>
    </xf>
    <xf numFmtId="169" fontId="13" fillId="8" borderId="5" xfId="2" applyNumberFormat="1" applyFont="1" applyFill="1" applyBorder="1" applyAlignment="1">
      <alignment horizontal="left" vertical="center" wrapText="1"/>
    </xf>
    <xf numFmtId="169" fontId="13" fillId="8" borderId="9" xfId="2" applyNumberFormat="1" applyFont="1" applyFill="1" applyBorder="1" applyAlignment="1">
      <alignment horizontal="left" vertical="center" wrapText="1"/>
    </xf>
    <xf numFmtId="169" fontId="14" fillId="0" borderId="5" xfId="2" applyNumberFormat="1" applyFont="1" applyBorder="1" applyAlignment="1">
      <alignment horizontal="left" vertical="center" wrapText="1"/>
    </xf>
    <xf numFmtId="169" fontId="14" fillId="0" borderId="9" xfId="2" applyNumberFormat="1" applyFont="1" applyBorder="1" applyAlignment="1">
      <alignment horizontal="left" vertical="center" wrapText="1"/>
    </xf>
    <xf numFmtId="169" fontId="13" fillId="14" borderId="5" xfId="2" applyNumberFormat="1" applyFont="1" applyFill="1" applyBorder="1" applyAlignment="1">
      <alignment horizontal="left" vertical="center" wrapText="1"/>
    </xf>
    <xf numFmtId="169" fontId="13" fillId="14" borderId="9" xfId="2" applyNumberFormat="1" applyFont="1" applyFill="1" applyBorder="1" applyAlignment="1">
      <alignment horizontal="left" vertical="center" wrapText="1"/>
    </xf>
    <xf numFmtId="169" fontId="5" fillId="0" borderId="5" xfId="2" applyNumberFormat="1" applyFont="1" applyBorder="1" applyAlignment="1">
      <alignment horizontal="center"/>
    </xf>
    <xf numFmtId="169" fontId="5" fillId="0" borderId="25" xfId="2" applyNumberFormat="1" applyFont="1" applyBorder="1" applyAlignment="1">
      <alignment horizontal="center"/>
    </xf>
    <xf numFmtId="169" fontId="5" fillId="0" borderId="9" xfId="2" applyNumberFormat="1" applyFont="1" applyBorder="1" applyAlignment="1">
      <alignment horizontal="center"/>
    </xf>
    <xf numFmtId="169" fontId="5" fillId="18" borderId="5" xfId="2" applyNumberFormat="1" applyFont="1" applyFill="1" applyBorder="1" applyAlignment="1">
      <alignment horizontal="center" vertical="center" wrapText="1"/>
    </xf>
    <xf numFmtId="169" fontId="5" fillId="18" borderId="9" xfId="2" applyNumberFormat="1" applyFont="1" applyFill="1" applyBorder="1" applyAlignment="1">
      <alignment horizontal="center" vertical="center" wrapText="1"/>
    </xf>
    <xf numFmtId="169" fontId="12" fillId="0" borderId="15" xfId="2" applyNumberFormat="1" applyFont="1" applyFill="1" applyBorder="1" applyAlignment="1">
      <alignment horizontal="center" vertical="center"/>
    </xf>
    <xf numFmtId="169" fontId="12" fillId="0" borderId="17" xfId="2" applyNumberFormat="1" applyFont="1" applyFill="1" applyBorder="1" applyAlignment="1">
      <alignment horizontal="center" vertical="center"/>
    </xf>
    <xf numFmtId="169" fontId="14" fillId="5" borderId="5" xfId="2" applyNumberFormat="1" applyFont="1" applyFill="1" applyBorder="1" applyAlignment="1">
      <alignment horizontal="left" vertical="center" wrapText="1"/>
    </xf>
    <xf numFmtId="169" fontId="14" fillId="5" borderId="3" xfId="2" applyNumberFormat="1" applyFont="1" applyFill="1" applyBorder="1" applyAlignment="1">
      <alignment horizontal="left" vertical="center" wrapText="1"/>
    </xf>
    <xf numFmtId="169" fontId="13" fillId="5" borderId="5" xfId="2" applyNumberFormat="1" applyFont="1" applyFill="1" applyBorder="1" applyAlignment="1">
      <alignment horizontal="center" vertical="center" wrapText="1"/>
    </xf>
    <xf numFmtId="169" fontId="13" fillId="5" borderId="17" xfId="2" applyNumberFormat="1" applyFont="1" applyFill="1" applyBorder="1" applyAlignment="1">
      <alignment horizontal="center" vertical="center" wrapText="1"/>
    </xf>
    <xf numFmtId="169" fontId="1" fillId="0" borderId="15" xfId="2" applyNumberFormat="1" applyFont="1" applyBorder="1" applyAlignment="1">
      <alignment horizontal="left" vertical="center" wrapText="1"/>
    </xf>
    <xf numFmtId="169" fontId="14" fillId="0" borderId="8" xfId="2" applyNumberFormat="1" applyFont="1" applyBorder="1" applyAlignment="1">
      <alignment horizontal="left" vertical="center" wrapText="1"/>
    </xf>
    <xf numFmtId="169" fontId="12" fillId="10" borderId="17" xfId="2" applyNumberFormat="1" applyFont="1" applyFill="1" applyBorder="1" applyAlignment="1">
      <alignment horizontal="center" vertical="center"/>
    </xf>
    <xf numFmtId="169" fontId="12" fillId="10" borderId="30" xfId="2" applyNumberFormat="1" applyFont="1" applyFill="1" applyBorder="1" applyAlignment="1">
      <alignment horizontal="center" vertical="center"/>
    </xf>
    <xf numFmtId="169" fontId="13" fillId="5" borderId="6" xfId="2" applyNumberFormat="1" applyFont="1" applyFill="1" applyBorder="1" applyAlignment="1">
      <alignment horizontal="center" vertical="center" wrapText="1"/>
    </xf>
    <xf numFmtId="169" fontId="14" fillId="5" borderId="3" xfId="2" applyNumberFormat="1" applyFont="1" applyFill="1" applyBorder="1" applyAlignment="1">
      <alignment horizontal="center" vertical="center" wrapText="1"/>
    </xf>
    <xf numFmtId="169" fontId="12" fillId="10" borderId="4" xfId="2" applyNumberFormat="1" applyFont="1" applyFill="1" applyBorder="1" applyAlignment="1">
      <alignment horizontal="center" vertical="center"/>
    </xf>
    <xf numFmtId="169" fontId="12" fillId="10" borderId="7" xfId="2" applyNumberFormat="1" applyFont="1" applyFill="1" applyBorder="1" applyAlignment="1">
      <alignment horizontal="center" vertical="center"/>
    </xf>
    <xf numFmtId="169" fontId="12" fillId="10" borderId="2" xfId="2" applyNumberFormat="1" applyFont="1" applyFill="1" applyBorder="1" applyAlignment="1">
      <alignment horizontal="center" vertical="center"/>
    </xf>
    <xf numFmtId="169" fontId="13" fillId="9" borderId="5" xfId="2" applyNumberFormat="1" applyFont="1" applyFill="1" applyBorder="1" applyAlignment="1">
      <alignment horizontal="center" vertical="center" wrapText="1"/>
    </xf>
    <xf numFmtId="169" fontId="13" fillId="9" borderId="9" xfId="2" applyNumberFormat="1" applyFont="1" applyFill="1" applyBorder="1" applyAlignment="1">
      <alignment horizontal="center" vertical="center" wrapText="1"/>
    </xf>
    <xf numFmtId="169" fontId="13" fillId="8" borderId="5" xfId="2" applyNumberFormat="1" applyFont="1" applyFill="1" applyBorder="1" applyAlignment="1">
      <alignment horizontal="center" vertical="center" wrapText="1"/>
    </xf>
    <xf numFmtId="169" fontId="13" fillId="8" borderId="9" xfId="2" applyNumberFormat="1" applyFont="1" applyFill="1" applyBorder="1" applyAlignment="1">
      <alignment horizontal="center" vertical="center" wrapText="1"/>
    </xf>
    <xf numFmtId="169" fontId="14" fillId="5" borderId="9" xfId="2" applyNumberFormat="1" applyFont="1" applyFill="1" applyBorder="1" applyAlignment="1">
      <alignment horizontal="left" vertical="center" wrapText="1"/>
    </xf>
    <xf numFmtId="169" fontId="14" fillId="5" borderId="17" xfId="2" applyNumberFormat="1" applyFont="1" applyFill="1" applyBorder="1" applyAlignment="1">
      <alignment horizontal="left" vertical="center" wrapText="1"/>
    </xf>
    <xf numFmtId="169" fontId="14" fillId="0" borderId="15" xfId="2" applyNumberFormat="1" applyFont="1" applyBorder="1" applyAlignment="1">
      <alignment horizontal="center" vertical="center" wrapText="1"/>
    </xf>
    <xf numFmtId="169" fontId="14" fillId="0" borderId="8" xfId="2" applyNumberFormat="1" applyFont="1" applyBorder="1" applyAlignment="1">
      <alignment horizontal="center" vertical="center" wrapText="1"/>
    </xf>
    <xf numFmtId="169" fontId="1" fillId="0" borderId="4" xfId="2" applyNumberFormat="1" applyFont="1" applyBorder="1" applyAlignment="1">
      <alignment horizontal="left" vertical="center" wrapText="1"/>
    </xf>
    <xf numFmtId="169" fontId="13" fillId="0" borderId="7" xfId="2" applyNumberFormat="1" applyFont="1" applyBorder="1" applyAlignment="1">
      <alignment horizontal="left" vertical="center" wrapText="1"/>
    </xf>
    <xf numFmtId="0" fontId="16" fillId="0" borderId="0" xfId="0" applyFont="1" applyAlignment="1">
      <alignment horizontal="left"/>
    </xf>
    <xf numFmtId="169" fontId="13" fillId="15" borderId="29" xfId="2" applyNumberFormat="1" applyFont="1" applyFill="1" applyBorder="1" applyAlignment="1">
      <alignment horizontal="left" vertical="center" wrapText="1"/>
    </xf>
    <xf numFmtId="169" fontId="13" fillId="15" borderId="10" xfId="2" applyNumberFormat="1" applyFont="1" applyFill="1" applyBorder="1" applyAlignment="1">
      <alignment horizontal="left" vertical="center" wrapText="1"/>
    </xf>
    <xf numFmtId="169" fontId="13" fillId="15" borderId="21" xfId="2" applyNumberFormat="1" applyFont="1" applyFill="1" applyBorder="1" applyAlignment="1">
      <alignment horizontal="left" vertical="center" wrapText="1"/>
    </xf>
    <xf numFmtId="169" fontId="1" fillId="0" borderId="26" xfId="2" applyNumberFormat="1" applyFont="1" applyBorder="1" applyAlignment="1">
      <alignment horizontal="left" vertical="center" wrapText="1"/>
    </xf>
    <xf numFmtId="169" fontId="13" fillId="0" borderId="27" xfId="2" applyNumberFormat="1" applyFont="1" applyBorder="1" applyAlignment="1">
      <alignment horizontal="left" vertical="center" wrapText="1"/>
    </xf>
    <xf numFmtId="169" fontId="13" fillId="0" borderId="28" xfId="2" applyNumberFormat="1" applyFont="1" applyBorder="1" applyAlignment="1">
      <alignment horizontal="left" vertical="center" wrapText="1"/>
    </xf>
    <xf numFmtId="169" fontId="13" fillId="5" borderId="9" xfId="2" applyNumberFormat="1" applyFont="1" applyFill="1" applyBorder="1" applyAlignment="1">
      <alignment horizontal="center" vertical="center" wrapText="1"/>
    </xf>
  </cellXfs>
  <cellStyles count="17">
    <cellStyle name="Currency 2" xfId="6" xr:uid="{00000000-0005-0000-0000-000000000000}"/>
    <cellStyle name="Currency 2 2" xfId="10" xr:uid="{00000000-0005-0000-0000-000001000000}"/>
    <cellStyle name="Currency 2 3" xfId="13" xr:uid="{00000000-0005-0000-0000-000002000000}"/>
    <cellStyle name="Currency 2 4" xfId="15" xr:uid="{00000000-0005-0000-0000-000003000000}"/>
    <cellStyle name="Currency 3" xfId="8" xr:uid="{00000000-0005-0000-0000-000004000000}"/>
    <cellStyle name="Currency 4" xfId="12" xr:uid="{00000000-0005-0000-0000-000005000000}"/>
    <cellStyle name="Currency 5" xfId="14" xr:uid="{00000000-0005-0000-0000-000006000000}"/>
    <cellStyle name="Milliers" xfId="1" builtinId="3"/>
    <cellStyle name="Milliers [0]" xfId="2" builtinId="6"/>
    <cellStyle name="Monétaire" xfId="3" builtinId="4"/>
    <cellStyle name="Normal" xfId="0" builtinId="0"/>
    <cellStyle name="Normal 2" xfId="5" xr:uid="{00000000-0005-0000-0000-00000B000000}"/>
    <cellStyle name="Normal 2 2" xfId="7" xr:uid="{00000000-0005-0000-0000-00000C000000}"/>
    <cellStyle name="Normal 2 2 2" xfId="11" xr:uid="{00000000-0005-0000-0000-00000D000000}"/>
    <cellStyle name="Normal 2 2 2 2" xfId="16" xr:uid="{00000000-0005-0000-0000-00000E000000}"/>
    <cellStyle name="Normal 2 2 3" xfId="9" xr:uid="{00000000-0005-0000-0000-00000F000000}"/>
    <cellStyle name="Pourcentage" xfId="4" builtinId="5"/>
  </cellStyles>
  <dxfs count="0"/>
  <tableStyles count="1" defaultTableStyle="TableStyleMedium2" defaultPivotStyle="PivotStyleLight16">
    <tableStyle name="Invisible" pivot="0" table="0" count="0" xr9:uid="{24CCF341-DD5A-4381-96F0-DE1E25578E1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P34"/>
  <sheetViews>
    <sheetView topLeftCell="A7" zoomScale="92" zoomScaleNormal="92" workbookViewId="0">
      <selection activeCell="B25" sqref="B25:B27"/>
    </sheetView>
  </sheetViews>
  <sheetFormatPr baseColWidth="10" defaultColWidth="9.1796875" defaultRowHeight="14.5" x14ac:dyDescent="0.35"/>
  <cols>
    <col min="1" max="1" width="33.81640625" customWidth="1"/>
    <col min="2" max="2" width="22.26953125" customWidth="1"/>
    <col min="3" max="3" width="17" customWidth="1"/>
    <col min="4" max="4" width="15" customWidth="1"/>
    <col min="5" max="5" width="17.453125" customWidth="1"/>
    <col min="6" max="6" width="12.54296875" customWidth="1"/>
    <col min="7" max="7" width="15.453125" customWidth="1"/>
    <col min="8" max="8" width="19" customWidth="1"/>
    <col min="9" max="9" width="18.7265625" customWidth="1"/>
    <col min="10" max="10" width="16.26953125" style="156" bestFit="1" customWidth="1"/>
    <col min="11" max="11" width="10.54296875" bestFit="1" customWidth="1"/>
    <col min="12" max="16" width="10.26953125" bestFit="1" customWidth="1"/>
  </cols>
  <sheetData>
    <row r="1" spans="1:16" ht="16.149999999999999" customHeight="1" thickBot="1" x14ac:dyDescent="0.4">
      <c r="A1" s="228" t="s">
        <v>21</v>
      </c>
      <c r="B1" s="230" t="s">
        <v>22</v>
      </c>
      <c r="C1" s="232" t="s">
        <v>95</v>
      </c>
      <c r="D1" s="233"/>
      <c r="E1" s="232" t="s">
        <v>96</v>
      </c>
      <c r="F1" s="233"/>
      <c r="G1" s="232" t="s">
        <v>97</v>
      </c>
      <c r="H1" s="234"/>
    </row>
    <row r="2" spans="1:16" ht="31.5" thickBot="1" x14ac:dyDescent="0.4">
      <c r="A2" s="229"/>
      <c r="B2" s="231"/>
      <c r="C2" s="15" t="s">
        <v>23</v>
      </c>
      <c r="D2" s="15" t="s">
        <v>24</v>
      </c>
      <c r="E2" s="15" t="s">
        <v>23</v>
      </c>
      <c r="F2" s="2" t="s">
        <v>24</v>
      </c>
      <c r="G2" s="2" t="s">
        <v>23</v>
      </c>
      <c r="H2" s="9" t="s">
        <v>24</v>
      </c>
    </row>
    <row r="3" spans="1:16" ht="16" thickBot="1" x14ac:dyDescent="0.4">
      <c r="A3" s="8" t="s">
        <v>25</v>
      </c>
      <c r="B3" s="6">
        <v>243373.29500000001</v>
      </c>
      <c r="C3" s="3">
        <v>106066.30650000001</v>
      </c>
      <c r="D3" s="17">
        <v>45456.988499999999</v>
      </c>
      <c r="E3" s="16">
        <v>21000</v>
      </c>
      <c r="F3" s="4">
        <v>9000</v>
      </c>
      <c r="G3" s="3">
        <v>43295</v>
      </c>
      <c r="H3" s="10">
        <v>18555</v>
      </c>
      <c r="I3" s="18"/>
    </row>
    <row r="4" spans="1:16" ht="16" thickBot="1" x14ac:dyDescent="0.4">
      <c r="A4" s="14" t="s">
        <v>26</v>
      </c>
      <c r="B4" s="6">
        <v>768008.48450000002</v>
      </c>
      <c r="C4" s="3">
        <v>339271.43914999999</v>
      </c>
      <c r="D4" s="17">
        <v>145402.04535</v>
      </c>
      <c r="E4" s="16">
        <v>51450</v>
      </c>
      <c r="F4" s="4">
        <v>22050</v>
      </c>
      <c r="G4" s="3">
        <v>146884.5</v>
      </c>
      <c r="H4" s="10">
        <v>62950.5</v>
      </c>
      <c r="I4" s="18"/>
    </row>
    <row r="5" spans="1:16" ht="26.5" thickBot="1" x14ac:dyDescent="0.4">
      <c r="A5" s="8" t="s">
        <v>27</v>
      </c>
      <c r="B5" s="6">
        <v>74953.128500000006</v>
      </c>
      <c r="C5" s="3">
        <v>48267.18995</v>
      </c>
      <c r="D5" s="17">
        <v>20685.938550000003</v>
      </c>
      <c r="E5" s="16">
        <v>0</v>
      </c>
      <c r="F5" s="4">
        <v>0</v>
      </c>
      <c r="G5" s="3">
        <v>4200</v>
      </c>
      <c r="H5" s="10">
        <v>1800</v>
      </c>
      <c r="I5" s="18"/>
    </row>
    <row r="6" spans="1:16" ht="16" thickBot="1" x14ac:dyDescent="0.4">
      <c r="A6" s="11" t="s">
        <v>28</v>
      </c>
      <c r="B6" s="6">
        <v>264206.90279999998</v>
      </c>
      <c r="C6" s="3">
        <v>63814.031959999993</v>
      </c>
      <c r="D6" s="17">
        <v>27348.87084</v>
      </c>
      <c r="E6" s="16">
        <v>96600</v>
      </c>
      <c r="F6" s="4">
        <v>41400</v>
      </c>
      <c r="G6" s="3">
        <v>24530.799999999999</v>
      </c>
      <c r="H6" s="10">
        <v>10513.199999999999</v>
      </c>
      <c r="I6" s="18"/>
    </row>
    <row r="7" spans="1:16" ht="16" thickBot="1" x14ac:dyDescent="0.4">
      <c r="A7" s="11" t="s">
        <v>29</v>
      </c>
      <c r="B7" s="6">
        <v>280730.3922</v>
      </c>
      <c r="C7" s="3">
        <v>56252.274539999999</v>
      </c>
      <c r="D7" s="17">
        <v>24108.11766</v>
      </c>
      <c r="E7" s="16">
        <v>82950</v>
      </c>
      <c r="F7" s="4">
        <v>35550</v>
      </c>
      <c r="G7" s="3">
        <v>57309</v>
      </c>
      <c r="H7" s="10">
        <v>24561</v>
      </c>
      <c r="I7" s="19"/>
    </row>
    <row r="8" spans="1:16" ht="16" thickBot="1" x14ac:dyDescent="0.4">
      <c r="A8" s="11" t="s">
        <v>30</v>
      </c>
      <c r="B8" s="6">
        <v>186108.45139999999</v>
      </c>
      <c r="C8" s="3">
        <v>17906.315979999996</v>
      </c>
      <c r="D8" s="17">
        <v>7674.1354199999987</v>
      </c>
      <c r="E8" s="16">
        <v>42000</v>
      </c>
      <c r="F8" s="4">
        <v>18000</v>
      </c>
      <c r="G8" s="3">
        <v>70369.599999999991</v>
      </c>
      <c r="H8" s="10">
        <v>30158.399999999998</v>
      </c>
      <c r="I8" s="19"/>
    </row>
    <row r="9" spans="1:16" ht="26.5" thickBot="1" x14ac:dyDescent="0.4">
      <c r="A9" s="11" t="s">
        <v>31</v>
      </c>
      <c r="B9" s="6">
        <v>140946.3756</v>
      </c>
      <c r="C9" s="3">
        <v>35927.762920000001</v>
      </c>
      <c r="D9" s="17">
        <v>15397.612680000002</v>
      </c>
      <c r="E9" s="16">
        <v>7000</v>
      </c>
      <c r="F9" s="4">
        <v>3000</v>
      </c>
      <c r="G9" s="3">
        <v>55734.7</v>
      </c>
      <c r="H9" s="10">
        <v>23886.3</v>
      </c>
      <c r="I9" s="19"/>
    </row>
    <row r="10" spans="1:16" ht="27.65" customHeight="1" thickBot="1" x14ac:dyDescent="0.4">
      <c r="A10" s="13" t="s">
        <v>32</v>
      </c>
      <c r="B10" s="183">
        <f>SUM(B3:B9)</f>
        <v>1958327.03</v>
      </c>
      <c r="C10" s="184">
        <v>667505.32100000011</v>
      </c>
      <c r="D10" s="183">
        <v>286073.70900000003</v>
      </c>
      <c r="E10" s="185">
        <v>301000</v>
      </c>
      <c r="F10" s="186">
        <v>129000</v>
      </c>
      <c r="G10" s="184">
        <v>402323.6</v>
      </c>
      <c r="H10" s="187">
        <v>172424.4</v>
      </c>
      <c r="I10" s="19"/>
      <c r="K10" s="160"/>
      <c r="L10" s="160"/>
      <c r="M10" s="160"/>
      <c r="N10" s="160"/>
      <c r="O10" s="160"/>
      <c r="P10" s="160"/>
    </row>
    <row r="11" spans="1:16" ht="16" thickBot="1" x14ac:dyDescent="0.4">
      <c r="A11" s="12" t="s">
        <v>33</v>
      </c>
      <c r="B11" s="6">
        <f>B10*0.07</f>
        <v>137082.89210000003</v>
      </c>
      <c r="C11" s="6">
        <f t="shared" ref="C11:H11" si="0">C10*0.07</f>
        <v>46725.372470000009</v>
      </c>
      <c r="D11" s="6">
        <f t="shared" si="0"/>
        <v>20025.159630000006</v>
      </c>
      <c r="E11" s="6">
        <f t="shared" si="0"/>
        <v>21070.000000000004</v>
      </c>
      <c r="F11" s="6">
        <f t="shared" si="0"/>
        <v>9030</v>
      </c>
      <c r="G11" s="6">
        <f t="shared" si="0"/>
        <v>28162.652000000002</v>
      </c>
      <c r="H11" s="6">
        <f t="shared" si="0"/>
        <v>12069.708000000001</v>
      </c>
      <c r="I11" s="20"/>
      <c r="K11" s="160"/>
      <c r="L11" s="160"/>
      <c r="M11" s="160"/>
      <c r="N11" s="160"/>
      <c r="O11" s="160"/>
      <c r="P11" s="160"/>
    </row>
    <row r="12" spans="1:16" ht="16" thickBot="1" x14ac:dyDescent="0.4">
      <c r="A12" s="13" t="s">
        <v>34</v>
      </c>
      <c r="B12" s="22">
        <f>SUM(B10:B11)</f>
        <v>2095409.9221000001</v>
      </c>
      <c r="C12" s="144">
        <v>714230.69347000006</v>
      </c>
      <c r="D12" s="145">
        <v>306098.86863000004</v>
      </c>
      <c r="E12" s="146">
        <v>322070</v>
      </c>
      <c r="F12" s="147">
        <v>138030</v>
      </c>
      <c r="G12" s="144">
        <v>430486.25199999998</v>
      </c>
      <c r="H12" s="148">
        <v>184494.10799999998</v>
      </c>
      <c r="I12" s="20"/>
      <c r="K12" s="160"/>
      <c r="L12" s="160"/>
      <c r="M12" s="160"/>
      <c r="N12" s="160"/>
      <c r="O12" s="160"/>
      <c r="P12" s="160"/>
    </row>
    <row r="13" spans="1:16" ht="23.5" customHeight="1" x14ac:dyDescent="0.35">
      <c r="B13" s="1" t="s">
        <v>35</v>
      </c>
      <c r="C13" s="1" t="s">
        <v>36</v>
      </c>
      <c r="D13" s="1" t="s">
        <v>37</v>
      </c>
      <c r="E13" s="1" t="s">
        <v>36</v>
      </c>
      <c r="F13" s="1" t="s">
        <v>37</v>
      </c>
      <c r="G13" s="1" t="s">
        <v>36</v>
      </c>
      <c r="H13" s="1" t="s">
        <v>37</v>
      </c>
      <c r="K13" s="160"/>
      <c r="L13" s="160"/>
      <c r="M13" s="160"/>
      <c r="N13" s="160"/>
      <c r="O13" s="160"/>
      <c r="P13" s="160"/>
    </row>
    <row r="14" spans="1:16" s="21" customFormat="1" ht="15" thickBot="1" x14ac:dyDescent="0.4">
      <c r="A14"/>
      <c r="B14"/>
      <c r="C14"/>
      <c r="D14"/>
      <c r="E14"/>
      <c r="F14"/>
      <c r="G14"/>
      <c r="H14"/>
      <c r="I14"/>
      <c r="J14" s="157"/>
    </row>
    <row r="15" spans="1:16" s="1" customFormat="1" ht="15" thickBot="1" x14ac:dyDescent="0.4">
      <c r="A15" s="218"/>
      <c r="B15" s="219"/>
      <c r="C15" s="219"/>
      <c r="D15" s="219"/>
      <c r="E15" s="219"/>
      <c r="F15" s="219"/>
      <c r="G15" s="220"/>
      <c r="H15"/>
      <c r="I15"/>
      <c r="J15" s="158"/>
    </row>
    <row r="16" spans="1:16" ht="26" x14ac:dyDescent="0.35">
      <c r="A16" s="226" t="s">
        <v>21</v>
      </c>
      <c r="B16" s="224" t="s">
        <v>108</v>
      </c>
      <c r="C16" s="221" t="s">
        <v>107</v>
      </c>
      <c r="D16" s="222"/>
      <c r="E16" s="223"/>
      <c r="F16" s="171" t="s">
        <v>38</v>
      </c>
      <c r="G16" s="171" t="s">
        <v>39</v>
      </c>
      <c r="H16" s="224" t="s">
        <v>40</v>
      </c>
      <c r="I16" s="225" t="s">
        <v>41</v>
      </c>
    </row>
    <row r="17" spans="1:9" ht="15" thickBot="1" x14ac:dyDescent="0.4">
      <c r="A17" s="227"/>
      <c r="B17" s="224"/>
      <c r="C17" s="171" t="s">
        <v>92</v>
      </c>
      <c r="D17" s="171" t="s">
        <v>93</v>
      </c>
      <c r="E17" s="174" t="s">
        <v>94</v>
      </c>
      <c r="F17" s="171"/>
      <c r="G17" s="171"/>
      <c r="H17" s="224"/>
      <c r="I17" s="225"/>
    </row>
    <row r="18" spans="1:9" ht="15" thickBot="1" x14ac:dyDescent="0.4">
      <c r="A18" s="5" t="s">
        <v>25</v>
      </c>
      <c r="B18" s="175">
        <f>+C18+D18+E18</f>
        <v>241831.29</v>
      </c>
      <c r="C18" s="176">
        <v>151523.29</v>
      </c>
      <c r="D18" s="191">
        <v>30000</v>
      </c>
      <c r="E18" s="195">
        <v>60308</v>
      </c>
      <c r="F18" s="175">
        <v>0</v>
      </c>
      <c r="G18" s="175">
        <v>0</v>
      </c>
      <c r="H18" s="179">
        <f>+B18-C18-D18-E18</f>
        <v>0</v>
      </c>
      <c r="I18" s="178">
        <f t="shared" ref="I18:I25" si="1">(+C18+D18+E18)/B18</f>
        <v>1</v>
      </c>
    </row>
    <row r="19" spans="1:9" ht="15" thickBot="1" x14ac:dyDescent="0.4">
      <c r="A19" s="5" t="s">
        <v>26</v>
      </c>
      <c r="B19" s="175">
        <f t="shared" ref="B19:B24" si="2">+C19+D19+E19</f>
        <v>760763.15999999992</v>
      </c>
      <c r="C19" s="170">
        <v>479185.16</v>
      </c>
      <c r="D19" s="193">
        <v>73500</v>
      </c>
      <c r="E19" s="193">
        <v>208078</v>
      </c>
      <c r="F19" s="175">
        <v>0</v>
      </c>
      <c r="G19" s="175">
        <v>0</v>
      </c>
      <c r="H19" s="179">
        <f t="shared" ref="H19:H24" si="3">+B19-C19-D19-E19</f>
        <v>0</v>
      </c>
      <c r="I19" s="178">
        <f t="shared" si="1"/>
        <v>1</v>
      </c>
    </row>
    <row r="20" spans="1:9" ht="26.5" thickBot="1" x14ac:dyDescent="0.4">
      <c r="A20" s="5" t="s">
        <v>27</v>
      </c>
      <c r="B20" s="175">
        <f t="shared" si="2"/>
        <v>83911.1</v>
      </c>
      <c r="C20" s="170">
        <v>79296.100000000006</v>
      </c>
      <c r="D20" s="194">
        <v>0</v>
      </c>
      <c r="E20" s="194">
        <v>4615</v>
      </c>
      <c r="F20" s="175">
        <v>0</v>
      </c>
      <c r="G20" s="175">
        <v>0</v>
      </c>
      <c r="H20" s="179">
        <f t="shared" si="3"/>
        <v>0</v>
      </c>
      <c r="I20" s="178">
        <f t="shared" si="1"/>
        <v>1</v>
      </c>
    </row>
    <row r="21" spans="1:9" ht="15" thickBot="1" x14ac:dyDescent="0.4">
      <c r="A21" s="5" t="s">
        <v>28</v>
      </c>
      <c r="B21" s="175">
        <f t="shared" si="2"/>
        <v>357506.82</v>
      </c>
      <c r="C21" s="170">
        <v>95250.82</v>
      </c>
      <c r="D21" s="193">
        <v>138000</v>
      </c>
      <c r="E21" s="193">
        <v>124256</v>
      </c>
      <c r="F21" s="175">
        <v>0</v>
      </c>
      <c r="G21" s="175">
        <v>0</v>
      </c>
      <c r="H21" s="179">
        <f t="shared" si="3"/>
        <v>0</v>
      </c>
      <c r="I21" s="178">
        <f t="shared" si="1"/>
        <v>1</v>
      </c>
    </row>
    <row r="22" spans="1:9" ht="15" thickBot="1" x14ac:dyDescent="0.4">
      <c r="A22" s="5" t="s">
        <v>29</v>
      </c>
      <c r="B22" s="175">
        <f t="shared" si="2"/>
        <v>299034.08999999997</v>
      </c>
      <c r="C22" s="170">
        <v>91697.09</v>
      </c>
      <c r="D22" s="194">
        <v>118500</v>
      </c>
      <c r="E22" s="194">
        <v>88837</v>
      </c>
      <c r="F22" s="175">
        <v>0</v>
      </c>
      <c r="G22" s="175">
        <v>0</v>
      </c>
      <c r="H22" s="179">
        <f t="shared" si="3"/>
        <v>0</v>
      </c>
      <c r="I22" s="178">
        <f t="shared" si="1"/>
        <v>1</v>
      </c>
    </row>
    <row r="23" spans="1:9" ht="15" thickBot="1" x14ac:dyDescent="0.4">
      <c r="A23" s="5" t="s">
        <v>30</v>
      </c>
      <c r="B23" s="175">
        <f t="shared" si="2"/>
        <v>105921.52</v>
      </c>
      <c r="C23" s="170">
        <v>29417.52</v>
      </c>
      <c r="D23" s="193">
        <v>60000</v>
      </c>
      <c r="E23" s="193">
        <v>16504</v>
      </c>
      <c r="F23" s="175">
        <v>0</v>
      </c>
      <c r="G23" s="175">
        <v>0</v>
      </c>
      <c r="H23" s="179">
        <f t="shared" si="3"/>
        <v>0</v>
      </c>
      <c r="I23" s="178">
        <f t="shared" si="1"/>
        <v>1</v>
      </c>
    </row>
    <row r="24" spans="1:9" ht="26.5" thickBot="1" x14ac:dyDescent="0.4">
      <c r="A24" s="5" t="s">
        <v>31</v>
      </c>
      <c r="B24" s="175">
        <f t="shared" si="2"/>
        <v>64863.4</v>
      </c>
      <c r="C24" s="170">
        <v>31810.400000000001</v>
      </c>
      <c r="D24" s="194">
        <v>10000</v>
      </c>
      <c r="E24" s="193">
        <v>23053</v>
      </c>
      <c r="F24" s="175">
        <v>0</v>
      </c>
      <c r="G24" s="175">
        <v>0</v>
      </c>
      <c r="H24" s="179">
        <f t="shared" si="3"/>
        <v>0</v>
      </c>
      <c r="I24" s="178">
        <f t="shared" si="1"/>
        <v>1</v>
      </c>
    </row>
    <row r="25" spans="1:9" ht="15" thickBot="1" x14ac:dyDescent="0.4">
      <c r="A25" s="7" t="s">
        <v>32</v>
      </c>
      <c r="B25" s="172">
        <f>SUM(B18:B24)</f>
        <v>1913831.38</v>
      </c>
      <c r="C25" s="172">
        <f>SUM(C18:C24)</f>
        <v>958180.37999999989</v>
      </c>
      <c r="D25" s="172">
        <f>SUM(D18:D24)</f>
        <v>430000</v>
      </c>
      <c r="E25" s="172">
        <f>SUM(E18:E24)</f>
        <v>525651</v>
      </c>
      <c r="F25" s="172">
        <v>0</v>
      </c>
      <c r="G25" s="172">
        <v>0</v>
      </c>
      <c r="H25" s="214">
        <f>+B25-C25-D25-E25</f>
        <v>0</v>
      </c>
      <c r="I25" s="159">
        <f t="shared" si="1"/>
        <v>1</v>
      </c>
    </row>
    <row r="26" spans="1:9" ht="15" thickBot="1" x14ac:dyDescent="0.4">
      <c r="A26" s="5" t="s">
        <v>33</v>
      </c>
      <c r="B26" s="209">
        <f>+C26+D26+E26</f>
        <v>129044.65</v>
      </c>
      <c r="C26" s="209">
        <v>62149.08</v>
      </c>
      <c r="D26" s="209">
        <f>D25*7%</f>
        <v>30100.000000000004</v>
      </c>
      <c r="E26" s="209">
        <f>E25*7/100</f>
        <v>36795.57</v>
      </c>
      <c r="F26" s="209">
        <f t="shared" ref="F26:H26" si="4">F25*0.07</f>
        <v>0</v>
      </c>
      <c r="G26" s="209">
        <f t="shared" si="4"/>
        <v>0</v>
      </c>
      <c r="H26" s="209">
        <f t="shared" si="4"/>
        <v>0</v>
      </c>
      <c r="I26" s="178">
        <f>(+C26+D26+E26)/B26</f>
        <v>1</v>
      </c>
    </row>
    <row r="27" spans="1:9" ht="15.5" thickBot="1" x14ac:dyDescent="0.4">
      <c r="A27" s="169" t="s">
        <v>34</v>
      </c>
      <c r="B27" s="173">
        <f>SUM(B25:B26)</f>
        <v>2042876.0299999998</v>
      </c>
      <c r="C27" s="161">
        <f>SUM(C25:C26)</f>
        <v>1020329.4599999998</v>
      </c>
      <c r="D27" s="161">
        <f>SUM(D25:D26)</f>
        <v>460100</v>
      </c>
      <c r="E27" s="161">
        <f>SUM(E25:E26)</f>
        <v>562446.56999999995</v>
      </c>
      <c r="F27" s="177"/>
      <c r="G27" s="177"/>
      <c r="H27" s="180">
        <f>SUM(H25:H26)</f>
        <v>0</v>
      </c>
      <c r="I27" s="178">
        <f>(+C27+D27+E27)/B27</f>
        <v>1</v>
      </c>
    </row>
    <row r="28" spans="1:9" x14ac:dyDescent="0.35">
      <c r="C28" s="116"/>
      <c r="D28" s="117"/>
      <c r="E28" s="116"/>
      <c r="G28" s="115"/>
    </row>
    <row r="29" spans="1:9" x14ac:dyDescent="0.35">
      <c r="C29" s="116"/>
      <c r="D29" s="210"/>
      <c r="E29" s="116"/>
    </row>
    <row r="30" spans="1:9" x14ac:dyDescent="0.35">
      <c r="C30" s="116"/>
      <c r="D30" s="118"/>
      <c r="E30" s="216"/>
    </row>
    <row r="31" spans="1:9" x14ac:dyDescent="0.35">
      <c r="E31" s="216"/>
    </row>
    <row r="32" spans="1:9" x14ac:dyDescent="0.35">
      <c r="E32" s="217"/>
    </row>
    <row r="34" spans="5:5" x14ac:dyDescent="0.35">
      <c r="E34" s="217"/>
    </row>
  </sheetData>
  <mergeCells count="11">
    <mergeCell ref="A1:A2"/>
    <mergeCell ref="B1:B2"/>
    <mergeCell ref="C1:D1"/>
    <mergeCell ref="E1:F1"/>
    <mergeCell ref="G1:H1"/>
    <mergeCell ref="A15:G15"/>
    <mergeCell ref="C16:E16"/>
    <mergeCell ref="B16:B17"/>
    <mergeCell ref="I16:I17"/>
    <mergeCell ref="A16:A17"/>
    <mergeCell ref="H16:H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Q58"/>
  <sheetViews>
    <sheetView tabSelected="1" zoomScale="60" zoomScaleNormal="60" workbookViewId="0">
      <pane xSplit="2" ySplit="1" topLeftCell="H2" activePane="bottomRight" state="frozen"/>
      <selection pane="topRight" activeCell="C1" sqref="C1"/>
      <selection pane="bottomLeft" activeCell="A2" sqref="A2"/>
      <selection pane="bottomRight" activeCell="O39" sqref="O39"/>
    </sheetView>
  </sheetViews>
  <sheetFormatPr baseColWidth="10" defaultColWidth="9.1796875" defaultRowHeight="15.5" x14ac:dyDescent="0.35"/>
  <cols>
    <col min="1" max="1" width="33.453125" style="39" customWidth="1"/>
    <col min="2" max="2" width="55" style="39" customWidth="1"/>
    <col min="3" max="3" width="33" style="38" customWidth="1"/>
    <col min="4" max="4" width="27.453125" style="39" customWidth="1"/>
    <col min="5" max="5" width="22.1796875" style="39" customWidth="1"/>
    <col min="6" max="6" width="22.453125" style="39" customWidth="1"/>
    <col min="7" max="7" width="23" style="39" customWidth="1"/>
    <col min="8" max="8" width="21.7265625" style="100" customWidth="1"/>
    <col min="9" max="9" width="22.1796875" style="100" customWidth="1"/>
    <col min="10" max="10" width="21.1796875" style="32" customWidth="1"/>
    <col min="11" max="11" width="20.7265625" style="31" customWidth="1"/>
    <col min="12" max="12" width="31.7265625" style="39" customWidth="1"/>
    <col min="13" max="13" width="18.26953125" style="39" customWidth="1"/>
    <col min="14" max="14" width="20.54296875" style="40" customWidth="1"/>
    <col min="15" max="15" width="22.26953125" style="39" customWidth="1"/>
    <col min="16" max="16" width="12.1796875" style="119" customWidth="1"/>
    <col min="17" max="17" width="9.1796875" style="39"/>
    <col min="18" max="18" width="15.453125" style="39" bestFit="1" customWidth="1"/>
    <col min="19" max="19" width="13.54296875" style="39" bestFit="1" customWidth="1"/>
    <col min="20" max="16384" width="9.1796875" style="39"/>
  </cols>
  <sheetData>
    <row r="1" spans="1:17" ht="36.75" customHeight="1" x14ac:dyDescent="0.55000000000000004">
      <c r="A1" s="275" t="s">
        <v>104</v>
      </c>
      <c r="B1" s="275"/>
      <c r="C1" s="275"/>
      <c r="D1" s="275"/>
      <c r="E1" s="275"/>
      <c r="F1" s="275"/>
      <c r="G1" s="275"/>
      <c r="H1" s="275"/>
      <c r="I1" s="275"/>
      <c r="J1" s="275"/>
      <c r="K1" s="275"/>
      <c r="L1" s="275"/>
      <c r="M1" s="275"/>
      <c r="N1" s="275"/>
      <c r="O1" s="275"/>
      <c r="P1" s="275"/>
    </row>
    <row r="2" spans="1:17" ht="26.15" customHeight="1" thickBot="1" x14ac:dyDescent="0.4">
      <c r="A2" s="38" t="s">
        <v>0</v>
      </c>
      <c r="D2" s="155" t="s">
        <v>92</v>
      </c>
      <c r="E2" s="155" t="s">
        <v>93</v>
      </c>
      <c r="F2" s="155" t="s">
        <v>94</v>
      </c>
      <c r="G2" s="149"/>
      <c r="H2" s="153" t="s">
        <v>92</v>
      </c>
      <c r="I2" s="153" t="s">
        <v>93</v>
      </c>
      <c r="J2" s="154" t="s">
        <v>94</v>
      </c>
      <c r="K2" s="42"/>
      <c r="L2" s="41"/>
    </row>
    <row r="3" spans="1:17" ht="143.5" customHeight="1" x14ac:dyDescent="0.35">
      <c r="A3" s="43" t="s">
        <v>1</v>
      </c>
      <c r="B3" s="44" t="s">
        <v>98</v>
      </c>
      <c r="C3" s="134" t="s">
        <v>57</v>
      </c>
      <c r="D3" s="150" t="s">
        <v>99</v>
      </c>
      <c r="E3" s="151" t="s">
        <v>100</v>
      </c>
      <c r="F3" s="152" t="s">
        <v>101</v>
      </c>
      <c r="G3" s="44" t="s">
        <v>2</v>
      </c>
      <c r="H3" s="150" t="s">
        <v>102</v>
      </c>
      <c r="I3" s="151" t="s">
        <v>103</v>
      </c>
      <c r="J3" s="152" t="s">
        <v>72</v>
      </c>
      <c r="K3" s="23" t="s">
        <v>64</v>
      </c>
      <c r="L3" s="45" t="s">
        <v>3</v>
      </c>
      <c r="M3" s="45" t="s">
        <v>4</v>
      </c>
      <c r="N3" s="46" t="s">
        <v>5</v>
      </c>
      <c r="O3" s="47" t="s">
        <v>66</v>
      </c>
      <c r="P3" s="120"/>
    </row>
    <row r="4" spans="1:17" ht="19.5" customHeight="1" x14ac:dyDescent="0.35">
      <c r="A4" s="48" t="s">
        <v>42</v>
      </c>
      <c r="B4" s="49" t="s">
        <v>43</v>
      </c>
      <c r="C4" s="49" t="s">
        <v>44</v>
      </c>
      <c r="D4" s="50" t="s">
        <v>45</v>
      </c>
      <c r="E4" s="50"/>
      <c r="F4" s="50"/>
      <c r="G4" s="51" t="s">
        <v>58</v>
      </c>
      <c r="H4" s="51"/>
      <c r="I4" s="51"/>
      <c r="J4" s="24" t="s">
        <v>59</v>
      </c>
      <c r="K4" s="51"/>
      <c r="L4" s="51" t="s">
        <v>46</v>
      </c>
      <c r="M4" s="51" t="s">
        <v>60</v>
      </c>
      <c r="N4" s="51" t="s">
        <v>61</v>
      </c>
      <c r="O4" s="51"/>
      <c r="P4" s="121"/>
    </row>
    <row r="5" spans="1:17" ht="24.65" customHeight="1" thickBot="1" x14ac:dyDescent="0.4">
      <c r="A5" s="276" t="s">
        <v>67</v>
      </c>
      <c r="B5" s="277"/>
      <c r="C5" s="277"/>
      <c r="D5" s="277"/>
      <c r="E5" s="277"/>
      <c r="F5" s="277"/>
      <c r="G5" s="277"/>
      <c r="H5" s="277"/>
      <c r="I5" s="277"/>
      <c r="J5" s="277"/>
      <c r="K5" s="277"/>
      <c r="L5" s="277"/>
      <c r="M5" s="277"/>
      <c r="N5" s="277"/>
      <c r="O5" s="277"/>
      <c r="P5" s="278"/>
    </row>
    <row r="6" spans="1:17" ht="76.5" customHeight="1" x14ac:dyDescent="0.35">
      <c r="A6" s="279" t="s">
        <v>80</v>
      </c>
      <c r="B6" s="135" t="s">
        <v>68</v>
      </c>
      <c r="C6" s="52">
        <f>+D6+E6+F6</f>
        <v>52150</v>
      </c>
      <c r="D6" s="53">
        <v>29700</v>
      </c>
      <c r="E6" s="54">
        <v>5000</v>
      </c>
      <c r="F6" s="55">
        <v>17450</v>
      </c>
      <c r="G6" s="188">
        <v>0.5</v>
      </c>
      <c r="H6" s="53">
        <v>29895</v>
      </c>
      <c r="I6" s="199">
        <v>5000</v>
      </c>
      <c r="J6" s="205">
        <v>13270</v>
      </c>
      <c r="K6" s="56">
        <f>+H6+I6+J6</f>
        <v>48165</v>
      </c>
      <c r="L6" s="52"/>
      <c r="M6" s="52"/>
      <c r="N6" s="57">
        <f>(K6)/C6</f>
        <v>0.92358581016299135</v>
      </c>
      <c r="O6" s="52">
        <f>+(H6+I6+J6)*0.36</f>
        <v>17339.399999999998</v>
      </c>
      <c r="P6" s="122"/>
      <c r="Q6" s="262" t="s">
        <v>47</v>
      </c>
    </row>
    <row r="7" spans="1:17" ht="85" customHeight="1" x14ac:dyDescent="0.35">
      <c r="A7" s="280"/>
      <c r="B7" s="135" t="s">
        <v>69</v>
      </c>
      <c r="C7" s="52">
        <f>+D7+E7+F7</f>
        <v>68280</v>
      </c>
      <c r="D7" s="114">
        <v>0</v>
      </c>
      <c r="E7" s="54">
        <v>10000</v>
      </c>
      <c r="F7" s="55">
        <v>58280</v>
      </c>
      <c r="G7" s="188">
        <v>0.5</v>
      </c>
      <c r="H7" s="53"/>
      <c r="I7" s="199">
        <v>10000</v>
      </c>
      <c r="J7" s="205">
        <v>42650</v>
      </c>
      <c r="K7" s="56">
        <f>+H7+I7+J7</f>
        <v>52650</v>
      </c>
      <c r="L7" s="52"/>
      <c r="M7" s="52"/>
      <c r="N7" s="57">
        <f>(K7)/C7</f>
        <v>0.77108963093145866</v>
      </c>
      <c r="O7" s="52">
        <f>+(H7+I7+J7)*0.35</f>
        <v>18427.5</v>
      </c>
      <c r="P7" s="122"/>
      <c r="Q7" s="263"/>
    </row>
    <row r="8" spans="1:17" ht="99.75" customHeight="1" x14ac:dyDescent="0.35">
      <c r="A8" s="280"/>
      <c r="B8" s="135" t="s">
        <v>70</v>
      </c>
      <c r="C8" s="52">
        <f>+D8+E8+F8</f>
        <v>578867</v>
      </c>
      <c r="D8" s="53">
        <v>500703</v>
      </c>
      <c r="E8" s="54"/>
      <c r="F8" s="55">
        <v>78164</v>
      </c>
      <c r="G8" s="188">
        <v>0.2</v>
      </c>
      <c r="H8" s="53">
        <v>500000</v>
      </c>
      <c r="I8" s="199">
        <v>0</v>
      </c>
      <c r="J8" s="205">
        <v>64980</v>
      </c>
      <c r="K8" s="56">
        <f>+H8+I8+J8</f>
        <v>564980</v>
      </c>
      <c r="L8" s="52"/>
      <c r="M8" s="52"/>
      <c r="N8" s="57">
        <f>(K8)/C8</f>
        <v>0.97601003339281733</v>
      </c>
      <c r="O8" s="52">
        <f>+(H8+I8+J8)*0.35</f>
        <v>197743</v>
      </c>
      <c r="P8" s="122"/>
      <c r="Q8" s="263"/>
    </row>
    <row r="9" spans="1:17" ht="84.65" customHeight="1" thickBot="1" x14ac:dyDescent="0.4">
      <c r="A9" s="281"/>
      <c r="B9" s="135" t="s">
        <v>71</v>
      </c>
      <c r="C9" s="52">
        <f>+D9+E9+F9</f>
        <v>24920</v>
      </c>
      <c r="D9" s="58"/>
      <c r="E9" s="59"/>
      <c r="F9" s="60">
        <v>24920</v>
      </c>
      <c r="G9" s="189">
        <v>0.5</v>
      </c>
      <c r="H9" s="58"/>
      <c r="I9" s="200"/>
      <c r="J9" s="205">
        <v>21020</v>
      </c>
      <c r="K9" s="61">
        <f>+H9+I9+J9</f>
        <v>21020</v>
      </c>
      <c r="L9" s="62"/>
      <c r="M9" s="62"/>
      <c r="N9" s="63">
        <f>(K9)/C9</f>
        <v>0.8434991974317817</v>
      </c>
      <c r="O9" s="62">
        <f>+(H9+I9+J9)*0.45</f>
        <v>9459</v>
      </c>
      <c r="P9" s="123"/>
      <c r="Q9" s="264"/>
    </row>
    <row r="10" spans="1:17" ht="21.75" customHeight="1" thickBot="1" x14ac:dyDescent="0.4">
      <c r="A10" s="254" t="s">
        <v>48</v>
      </c>
      <c r="B10" s="282"/>
      <c r="C10" s="165">
        <f>+SUM(C6:C9)</f>
        <v>724217</v>
      </c>
      <c r="D10" s="64">
        <f>SUM(D6:D9)</f>
        <v>530403</v>
      </c>
      <c r="E10" s="64">
        <f>SUM(E6:E9)</f>
        <v>15000</v>
      </c>
      <c r="F10" s="64">
        <f>SUM(F6:F9)</f>
        <v>178814</v>
      </c>
      <c r="G10" s="65"/>
      <c r="H10" s="65">
        <f>SUM(H6:H9)</f>
        <v>529895</v>
      </c>
      <c r="I10" s="25">
        <f>SUM(I6:I9)</f>
        <v>15000</v>
      </c>
      <c r="J10" s="25">
        <f t="shared" ref="J10:K10" si="0">SUM(J6:J9)</f>
        <v>141920</v>
      </c>
      <c r="K10" s="25">
        <f t="shared" si="0"/>
        <v>686815</v>
      </c>
      <c r="L10" s="65">
        <f t="shared" ref="L10:M10" si="1">SUM(L6:L9)</f>
        <v>0</v>
      </c>
      <c r="M10" s="65">
        <f t="shared" si="1"/>
        <v>0</v>
      </c>
      <c r="N10" s="65">
        <f>(K10)/C10</f>
        <v>0.94835525816157307</v>
      </c>
      <c r="O10" s="65">
        <f>SUM(O6:O9)</f>
        <v>242968.9</v>
      </c>
      <c r="P10" s="124"/>
    </row>
    <row r="11" spans="1:17" ht="93.75" customHeight="1" thickBot="1" x14ac:dyDescent="0.4">
      <c r="A11" s="273" t="s">
        <v>79</v>
      </c>
      <c r="B11" s="135" t="s">
        <v>73</v>
      </c>
      <c r="C11" s="52">
        <f>+D11+E11+F11</f>
        <v>262708.83</v>
      </c>
      <c r="D11" s="53">
        <v>110933.83</v>
      </c>
      <c r="E11" s="54"/>
      <c r="F11" s="55">
        <v>151775</v>
      </c>
      <c r="G11" s="188">
        <v>0.7</v>
      </c>
      <c r="H11" s="53">
        <v>110184.46</v>
      </c>
      <c r="I11" s="201"/>
      <c r="J11" s="205">
        <v>123970</v>
      </c>
      <c r="K11" s="68">
        <f>+H11+I11+J11</f>
        <v>234154.46000000002</v>
      </c>
      <c r="L11" s="69"/>
      <c r="M11" s="70"/>
      <c r="N11" s="71">
        <f>(L11+K11)/C11</f>
        <v>0.89130791682944199</v>
      </c>
      <c r="O11" s="52">
        <f>+(H11+I11+J11)*0.4</f>
        <v>93661.784000000014</v>
      </c>
      <c r="P11" s="125"/>
      <c r="Q11" s="258" t="s">
        <v>49</v>
      </c>
    </row>
    <row r="12" spans="1:17" ht="88.5" customHeight="1" thickBot="1" x14ac:dyDescent="0.4">
      <c r="A12" s="274"/>
      <c r="B12" s="135" t="s">
        <v>74</v>
      </c>
      <c r="C12" s="52">
        <f>+D12+E12+F12</f>
        <v>117318.74</v>
      </c>
      <c r="D12" s="53">
        <v>40188.740000000005</v>
      </c>
      <c r="E12" s="54"/>
      <c r="F12" s="55">
        <v>77130</v>
      </c>
      <c r="G12" s="188">
        <v>0.5</v>
      </c>
      <c r="H12" s="53">
        <v>40188.74</v>
      </c>
      <c r="I12" s="201"/>
      <c r="J12" s="205">
        <v>71305</v>
      </c>
      <c r="K12" s="68">
        <f>+H12+I12+J12</f>
        <v>111493.73999999999</v>
      </c>
      <c r="L12" s="72"/>
      <c r="M12" s="73"/>
      <c r="N12" s="71">
        <f>(L12+K12)/C12</f>
        <v>0.95034893828556277</v>
      </c>
      <c r="O12" s="52">
        <f>+(H12+I12+J12)*0.45</f>
        <v>50172.182999999997</v>
      </c>
      <c r="P12" s="125"/>
      <c r="Q12" s="259"/>
    </row>
    <row r="13" spans="1:17" ht="71.5" customHeight="1" thickBot="1" x14ac:dyDescent="0.4">
      <c r="A13" s="274"/>
      <c r="B13" s="135" t="s">
        <v>75</v>
      </c>
      <c r="C13" s="52">
        <f>+D13+E13+F13</f>
        <v>47831</v>
      </c>
      <c r="D13" s="53">
        <v>30000</v>
      </c>
      <c r="E13" s="54"/>
      <c r="F13" s="55">
        <v>17831</v>
      </c>
      <c r="G13" s="188">
        <v>0.7</v>
      </c>
      <c r="H13" s="53">
        <v>30000</v>
      </c>
      <c r="I13" s="201"/>
      <c r="J13" s="205">
        <v>14830</v>
      </c>
      <c r="K13" s="68">
        <f>+H13+I13+J13</f>
        <v>44830</v>
      </c>
      <c r="L13" s="72"/>
      <c r="M13" s="73"/>
      <c r="N13" s="71">
        <f>(L13+K13)/C13</f>
        <v>0.93725826346929819</v>
      </c>
      <c r="O13" s="52">
        <f>+(H13+I13+J13)*0.36</f>
        <v>16138.8</v>
      </c>
      <c r="P13" s="125"/>
      <c r="Q13" s="259"/>
    </row>
    <row r="14" spans="1:17" ht="72" customHeight="1" thickBot="1" x14ac:dyDescent="0.4">
      <c r="A14" s="274"/>
      <c r="B14" s="135" t="s">
        <v>76</v>
      </c>
      <c r="C14" s="52">
        <f>+D14+E14+F14</f>
        <v>70010</v>
      </c>
      <c r="D14" s="53"/>
      <c r="E14" s="54">
        <v>50000</v>
      </c>
      <c r="F14" s="55">
        <v>20010</v>
      </c>
      <c r="G14" s="188">
        <v>0.5</v>
      </c>
      <c r="H14" s="53"/>
      <c r="I14" s="201">
        <v>50000</v>
      </c>
      <c r="J14" s="205">
        <v>15950</v>
      </c>
      <c r="K14" s="68">
        <f>+H14+I14+J14</f>
        <v>65950</v>
      </c>
      <c r="L14" s="72"/>
      <c r="M14" s="73"/>
      <c r="N14" s="71">
        <f>(L14+K14)/C14</f>
        <v>0.94200828453078134</v>
      </c>
      <c r="O14" s="52">
        <f>+(H14+I14+J14)*0.36</f>
        <v>23742</v>
      </c>
      <c r="P14" s="125"/>
      <c r="Q14" s="259"/>
    </row>
    <row r="15" spans="1:17" ht="67.400000000000006" customHeight="1" thickBot="1" x14ac:dyDescent="0.4">
      <c r="A15" s="274"/>
      <c r="B15" s="135" t="s">
        <v>77</v>
      </c>
      <c r="C15" s="52">
        <f>+D15+E15+F15</f>
        <v>150000</v>
      </c>
      <c r="D15" s="53">
        <v>150000</v>
      </c>
      <c r="E15" s="54"/>
      <c r="F15" s="55"/>
      <c r="G15" s="188">
        <v>0.5</v>
      </c>
      <c r="H15" s="53">
        <v>150000</v>
      </c>
      <c r="I15" s="201"/>
      <c r="J15" s="206">
        <v>0</v>
      </c>
      <c r="K15" s="213">
        <f>+H15+I15+J15</f>
        <v>150000</v>
      </c>
      <c r="L15" s="72"/>
      <c r="M15" s="73"/>
      <c r="N15" s="71">
        <f>(L15+K15)/C15</f>
        <v>1</v>
      </c>
      <c r="O15" s="52">
        <f>+(H15+I15+J15)*0.36</f>
        <v>54000</v>
      </c>
      <c r="P15" s="125"/>
      <c r="Q15" s="259"/>
    </row>
    <row r="16" spans="1:17" ht="28.5" customHeight="1" thickBot="1" x14ac:dyDescent="0.4">
      <c r="A16" s="254" t="s">
        <v>50</v>
      </c>
      <c r="B16" s="255"/>
      <c r="C16" s="65">
        <f>SUM(C11:C15)</f>
        <v>647868.57000000007</v>
      </c>
      <c r="D16" s="65">
        <f>SUM(D11:D15)</f>
        <v>331122.57</v>
      </c>
      <c r="E16" s="65">
        <f>SUM(E11:E15)</f>
        <v>50000</v>
      </c>
      <c r="F16" s="65">
        <f>SUM(F11:F15)</f>
        <v>266746</v>
      </c>
      <c r="G16" s="65"/>
      <c r="H16" s="65">
        <f>+SUM(H11:H15)</f>
        <v>330373.2</v>
      </c>
      <c r="I16" s="25">
        <f>+SUM(I11:I15)</f>
        <v>50000</v>
      </c>
      <c r="J16" s="25">
        <f t="shared" ref="J16:K16" si="2">+SUM(J11:J15)</f>
        <v>226055</v>
      </c>
      <c r="K16" s="25">
        <f t="shared" si="2"/>
        <v>606428.19999999995</v>
      </c>
      <c r="L16" s="65">
        <f>SUM(L11:L15)</f>
        <v>0</v>
      </c>
      <c r="M16" s="65">
        <f>SUM(M11:M15)</f>
        <v>0</v>
      </c>
      <c r="N16" s="75">
        <f>+L16+K16/C16</f>
        <v>0.93603583825651537</v>
      </c>
      <c r="O16" s="65">
        <f>SUM(O11:O15)</f>
        <v>237714.76699999999</v>
      </c>
      <c r="P16" s="125"/>
    </row>
    <row r="17" spans="1:17" ht="129.75" customHeight="1" thickBot="1" x14ac:dyDescent="0.4">
      <c r="A17" s="256" t="s">
        <v>78</v>
      </c>
      <c r="B17" s="135" t="s">
        <v>81</v>
      </c>
      <c r="C17" s="52">
        <f>+D17+E17+F17</f>
        <v>50000</v>
      </c>
      <c r="D17" s="53"/>
      <c r="E17" s="54">
        <v>50000</v>
      </c>
      <c r="F17" s="55"/>
      <c r="G17" s="190">
        <v>0.5</v>
      </c>
      <c r="H17" s="53"/>
      <c r="I17" s="199">
        <v>39500</v>
      </c>
      <c r="J17" s="207"/>
      <c r="K17" s="68">
        <f>+H17+I17+J17</f>
        <v>39500</v>
      </c>
      <c r="L17" s="69"/>
      <c r="M17" s="70"/>
      <c r="N17" s="71">
        <f>+L17+K17/C17</f>
        <v>0.79</v>
      </c>
      <c r="O17" s="70"/>
      <c r="P17" s="125"/>
      <c r="Q17" s="258" t="s">
        <v>51</v>
      </c>
    </row>
    <row r="18" spans="1:17" ht="106.5" customHeight="1" thickBot="1" x14ac:dyDescent="0.4">
      <c r="A18" s="257"/>
      <c r="B18" s="135" t="s">
        <v>82</v>
      </c>
      <c r="C18" s="52">
        <f t="shared" ref="C18:C24" si="3">+D18+E18+F18</f>
        <v>21768</v>
      </c>
      <c r="D18" s="53"/>
      <c r="E18" s="54"/>
      <c r="F18" s="55">
        <v>21768</v>
      </c>
      <c r="G18" s="190">
        <v>0.4</v>
      </c>
      <c r="H18" s="53"/>
      <c r="I18" s="199"/>
      <c r="J18" s="207">
        <v>16797</v>
      </c>
      <c r="K18" s="68">
        <f>+H18+I18+J18</f>
        <v>16797</v>
      </c>
      <c r="L18" s="69"/>
      <c r="M18" s="70"/>
      <c r="N18" s="71">
        <f>(L18+K18)/C18</f>
        <v>0.77163726571113567</v>
      </c>
      <c r="O18" s="52">
        <f>+(H18+I18+J18)*0.4</f>
        <v>6718.8</v>
      </c>
      <c r="P18" s="125"/>
      <c r="Q18" s="259"/>
    </row>
    <row r="19" spans="1:17" ht="105" customHeight="1" thickBot="1" x14ac:dyDescent="0.4">
      <c r="A19" s="257"/>
      <c r="B19" s="135" t="s">
        <v>83</v>
      </c>
      <c r="C19" s="52">
        <f t="shared" si="3"/>
        <v>120310</v>
      </c>
      <c r="D19" s="53"/>
      <c r="E19" s="54">
        <v>95000</v>
      </c>
      <c r="F19" s="55">
        <v>25310</v>
      </c>
      <c r="G19" s="190">
        <v>0.5</v>
      </c>
      <c r="H19" s="53"/>
      <c r="I19" s="199">
        <v>75400</v>
      </c>
      <c r="J19" s="207">
        <v>21330</v>
      </c>
      <c r="K19" s="68">
        <f>+H19+I19+J19</f>
        <v>96730</v>
      </c>
      <c r="L19" s="69"/>
      <c r="M19" s="70"/>
      <c r="N19" s="71">
        <f>(L19+K19)/C19</f>
        <v>0.80400631701437952</v>
      </c>
      <c r="O19" s="52">
        <f>+(H19+I19+J19)*0.36</f>
        <v>34822.799999999996</v>
      </c>
      <c r="P19" s="125"/>
      <c r="Q19" s="259"/>
    </row>
    <row r="20" spans="1:17" ht="65.5" customHeight="1" thickBot="1" x14ac:dyDescent="0.4">
      <c r="A20" s="257"/>
      <c r="B20" s="135" t="s">
        <v>84</v>
      </c>
      <c r="C20" s="52">
        <f t="shared" si="3"/>
        <v>50900</v>
      </c>
      <c r="D20" s="53"/>
      <c r="E20" s="54">
        <v>50000</v>
      </c>
      <c r="F20" s="55">
        <v>900</v>
      </c>
      <c r="G20" s="190">
        <v>0.5</v>
      </c>
      <c r="H20" s="53"/>
      <c r="I20" s="199">
        <v>51000</v>
      </c>
      <c r="J20" s="208">
        <v>610</v>
      </c>
      <c r="K20" s="68">
        <f>+H20+I20+J20</f>
        <v>51610</v>
      </c>
      <c r="L20" s="69"/>
      <c r="M20" s="70"/>
      <c r="N20" s="71">
        <f>+L20+K20/C20</f>
        <v>1.0139489194499018</v>
      </c>
      <c r="O20" s="52">
        <f>+(H20+I20+J20)*0.35</f>
        <v>18063.5</v>
      </c>
      <c r="P20" s="125"/>
      <c r="Q20" s="259"/>
    </row>
    <row r="21" spans="1:17" ht="45.75" customHeight="1" thickBot="1" x14ac:dyDescent="0.4">
      <c r="A21" s="260" t="s">
        <v>52</v>
      </c>
      <c r="B21" s="261"/>
      <c r="C21" s="65">
        <f>SUM(C17:C20)</f>
        <v>242978</v>
      </c>
      <c r="D21" s="64">
        <f>SUM(D17:D20)</f>
        <v>0</v>
      </c>
      <c r="E21" s="64">
        <f>SUM(E17:E20)</f>
        <v>195000</v>
      </c>
      <c r="F21" s="64">
        <f>SUM(F17:F20)</f>
        <v>47978</v>
      </c>
      <c r="G21" s="65"/>
      <c r="H21" s="65">
        <f>+SUM(H17:H20)</f>
        <v>0</v>
      </c>
      <c r="I21" s="25">
        <f>+SUM(I17:I20)</f>
        <v>165900</v>
      </c>
      <c r="J21" s="25">
        <f>+SUM(J17:J20)</f>
        <v>38737</v>
      </c>
      <c r="K21" s="203">
        <f t="shared" ref="K21" si="4">+SUM(K17:K20)</f>
        <v>204637</v>
      </c>
      <c r="L21" s="65">
        <f>SUM(L17:L20)</f>
        <v>0</v>
      </c>
      <c r="M21" s="65">
        <f>SUM(M17:M20)</f>
        <v>0</v>
      </c>
      <c r="N21" s="75">
        <f>+L21+K21/C21</f>
        <v>0.84220382092205881</v>
      </c>
      <c r="O21" s="65">
        <f>SUM(O17:O20)</f>
        <v>59605.1</v>
      </c>
      <c r="P21" s="125"/>
    </row>
    <row r="22" spans="1:17" ht="105.75" customHeight="1" thickBot="1" x14ac:dyDescent="0.4">
      <c r="A22" s="256" t="s">
        <v>85</v>
      </c>
      <c r="B22" s="135" t="s">
        <v>86</v>
      </c>
      <c r="C22" s="52">
        <f t="shared" si="3"/>
        <v>106953.45999999999</v>
      </c>
      <c r="D22" s="53">
        <v>12053.46</v>
      </c>
      <c r="E22" s="54">
        <v>70000</v>
      </c>
      <c r="F22" s="55">
        <v>24900</v>
      </c>
      <c r="G22" s="190">
        <v>0.5</v>
      </c>
      <c r="H22" s="53">
        <v>12053.46</v>
      </c>
      <c r="I22" s="199">
        <v>59500</v>
      </c>
      <c r="J22" s="207">
        <v>16900</v>
      </c>
      <c r="K22" s="68">
        <f>+H22+I22+J22</f>
        <v>88453.459999999992</v>
      </c>
      <c r="L22" s="69"/>
      <c r="M22" s="70"/>
      <c r="N22" s="71">
        <f>+L22+K22/C22</f>
        <v>0.82702756881357553</v>
      </c>
      <c r="O22" s="70"/>
      <c r="P22" s="125"/>
      <c r="Q22" s="262" t="s">
        <v>53</v>
      </c>
    </row>
    <row r="23" spans="1:17" ht="63" customHeight="1" thickBot="1" x14ac:dyDescent="0.4">
      <c r="A23" s="257"/>
      <c r="B23" s="135" t="s">
        <v>87</v>
      </c>
      <c r="C23" s="52">
        <f t="shared" si="3"/>
        <v>39310</v>
      </c>
      <c r="D23" s="53"/>
      <c r="E23" s="54">
        <v>20000</v>
      </c>
      <c r="F23" s="55">
        <v>19310</v>
      </c>
      <c r="G23" s="190">
        <v>0.7</v>
      </c>
      <c r="H23" s="53"/>
      <c r="I23" s="199">
        <v>20000</v>
      </c>
      <c r="J23" s="207">
        <v>17600</v>
      </c>
      <c r="K23" s="68">
        <f>+H23+I23+J23</f>
        <v>37600</v>
      </c>
      <c r="L23" s="69"/>
      <c r="M23" s="70"/>
      <c r="N23" s="71">
        <f>(L23+K23)/C23</f>
        <v>0.95649961841770537</v>
      </c>
      <c r="O23" s="52">
        <f>+(H23+I23+J23)*0.4</f>
        <v>15040</v>
      </c>
      <c r="P23" s="125"/>
      <c r="Q23" s="263"/>
    </row>
    <row r="24" spans="1:17" ht="104.25" customHeight="1" thickBot="1" x14ac:dyDescent="0.4">
      <c r="A24" s="257"/>
      <c r="B24" s="135" t="s">
        <v>88</v>
      </c>
      <c r="C24" s="52">
        <f t="shared" si="3"/>
        <v>60000</v>
      </c>
      <c r="D24" s="53"/>
      <c r="E24" s="54">
        <v>60000</v>
      </c>
      <c r="F24" s="55"/>
      <c r="G24" s="190">
        <v>0.9</v>
      </c>
      <c r="H24" s="53"/>
      <c r="I24" s="200">
        <v>59600</v>
      </c>
      <c r="J24" s="207"/>
      <c r="K24" s="68">
        <f>+H24+I24+J24</f>
        <v>59600</v>
      </c>
      <c r="L24" s="69"/>
      <c r="M24" s="70"/>
      <c r="N24" s="71">
        <f>(L24+K24)/C24</f>
        <v>0.99333333333333329</v>
      </c>
      <c r="O24" s="52">
        <f>+(H24+I24+J24)*0.36</f>
        <v>21456</v>
      </c>
      <c r="P24" s="125"/>
      <c r="Q24" s="263"/>
    </row>
    <row r="25" spans="1:17" ht="45.75" customHeight="1" thickBot="1" x14ac:dyDescent="0.4">
      <c r="A25" s="260" t="s">
        <v>89</v>
      </c>
      <c r="B25" s="261"/>
      <c r="C25" s="140">
        <f>SUM(C22:C24)</f>
        <v>206263.46</v>
      </c>
      <c r="D25" s="141">
        <f>SUM(D22:D24)</f>
        <v>12053.46</v>
      </c>
      <c r="E25" s="137">
        <f>SUM(E22:E24)</f>
        <v>150000</v>
      </c>
      <c r="F25" s="138">
        <f>SUM(F22:F24)</f>
        <v>44210</v>
      </c>
      <c r="G25" s="139"/>
      <c r="H25" s="138">
        <f>SUM(H22:H24)</f>
        <v>12053.46</v>
      </c>
      <c r="I25" s="202">
        <f>SUM(I22:I24)</f>
        <v>139100</v>
      </c>
      <c r="J25" s="202">
        <f>SUM(J22:J24)</f>
        <v>34500</v>
      </c>
      <c r="K25" s="138">
        <f>SUM(K22:K24)</f>
        <v>185653.46</v>
      </c>
      <c r="L25" s="136"/>
      <c r="M25" s="136"/>
      <c r="N25" s="75"/>
      <c r="O25" s="139"/>
      <c r="P25" s="125"/>
      <c r="Q25" s="264"/>
    </row>
    <row r="26" spans="1:17" s="79" customFormat="1" ht="30" customHeight="1" thickBot="1" x14ac:dyDescent="0.4">
      <c r="A26" s="265" t="s">
        <v>90</v>
      </c>
      <c r="B26" s="266"/>
      <c r="C26" s="76">
        <f>+C10+C16+C21+C25</f>
        <v>1821327.03</v>
      </c>
      <c r="D26" s="76">
        <f>+D10+D16+D21+D25</f>
        <v>873579.03</v>
      </c>
      <c r="E26" s="76">
        <f>+E10+E16+E21+E25</f>
        <v>410000</v>
      </c>
      <c r="F26" s="76">
        <f>+F10+F16+F21+F25</f>
        <v>537748</v>
      </c>
      <c r="G26" s="76">
        <f t="shared" ref="G26" si="5">+G10+G16+G21+G25</f>
        <v>0</v>
      </c>
      <c r="H26" s="76">
        <f>+H10+H16+H21+H25</f>
        <v>872321.65999999992</v>
      </c>
      <c r="I26" s="76">
        <f t="shared" ref="I26" si="6">+I10+I16+I21+I25</f>
        <v>370000</v>
      </c>
      <c r="J26" s="76">
        <f t="shared" ref="J26:K26" si="7">+J10+J16+J21+J25</f>
        <v>441212</v>
      </c>
      <c r="K26" s="204">
        <f t="shared" si="7"/>
        <v>1683533.66</v>
      </c>
      <c r="L26" s="76"/>
      <c r="M26" s="76"/>
      <c r="N26" s="77"/>
      <c r="O26" s="76"/>
      <c r="P26" s="126"/>
      <c r="Q26" s="39"/>
    </row>
    <row r="27" spans="1:17" ht="21.75" customHeight="1" thickBot="1" x14ac:dyDescent="0.4">
      <c r="A27" s="267" t="s">
        <v>91</v>
      </c>
      <c r="B27" s="268"/>
      <c r="C27" s="80">
        <v>1821327.03</v>
      </c>
      <c r="D27" s="81">
        <v>873579.03</v>
      </c>
      <c r="E27" s="81">
        <v>410000</v>
      </c>
      <c r="F27" s="81">
        <v>537748</v>
      </c>
      <c r="G27" s="80"/>
      <c r="H27" s="80">
        <f>H26</f>
        <v>872321.65999999992</v>
      </c>
      <c r="I27" s="80">
        <f t="shared" ref="I27" si="8">I26</f>
        <v>370000</v>
      </c>
      <c r="J27" s="80">
        <f t="shared" ref="J27:K27" si="9">J26</f>
        <v>441212</v>
      </c>
      <c r="K27" s="80">
        <f t="shared" si="9"/>
        <v>1683533.66</v>
      </c>
      <c r="L27" s="80"/>
      <c r="M27" s="80"/>
      <c r="N27" s="83"/>
      <c r="O27" s="80"/>
      <c r="P27" s="127"/>
      <c r="Q27" s="79"/>
    </row>
    <row r="28" spans="1:17" ht="21.65" customHeight="1" thickBot="1" x14ac:dyDescent="0.4">
      <c r="A28" s="133" t="s">
        <v>6</v>
      </c>
      <c r="B28" s="69"/>
      <c r="C28" s="74">
        <f>+D28+E28+F28</f>
        <v>243373.29500000001</v>
      </c>
      <c r="D28" s="84">
        <v>151523.29500000001</v>
      </c>
      <c r="E28" s="64">
        <v>30000</v>
      </c>
      <c r="F28" s="85">
        <v>61850</v>
      </c>
      <c r="G28" s="69"/>
      <c r="H28" s="88">
        <v>36253.379999999997</v>
      </c>
      <c r="I28" s="192">
        <v>30000</v>
      </c>
      <c r="J28" s="196">
        <v>60416</v>
      </c>
      <c r="K28" s="68">
        <f>+H28+I28+J28</f>
        <v>126669.38</v>
      </c>
      <c r="L28" s="113"/>
      <c r="M28" s="70"/>
      <c r="N28" s="86">
        <f t="shared" ref="N28:N37" si="10">+K28/C28</f>
        <v>0.52047362057533875</v>
      </c>
      <c r="O28" s="52">
        <f>+(H28+I28+J28)*0.36</f>
        <v>45600.976799999997</v>
      </c>
      <c r="P28" s="125"/>
    </row>
    <row r="29" spans="1:17" ht="21.65" customHeight="1" thickBot="1" x14ac:dyDescent="0.4">
      <c r="A29" s="252" t="s">
        <v>7</v>
      </c>
      <c r="B29" s="269"/>
      <c r="C29" s="65">
        <f>SUM(C28:C28)</f>
        <v>243373.29500000001</v>
      </c>
      <c r="D29" s="64">
        <f>SUM(D28:D28)</f>
        <v>151523.29500000001</v>
      </c>
      <c r="E29" s="64">
        <f>SUM(E28:E28)</f>
        <v>30000</v>
      </c>
      <c r="F29" s="64">
        <f>SUM(F28:F28)</f>
        <v>61850</v>
      </c>
      <c r="G29" s="65">
        <f>SUM(G28:G28)</f>
        <v>0</v>
      </c>
      <c r="H29" s="65">
        <f>+SUM(H28:H28)</f>
        <v>36253.379999999997</v>
      </c>
      <c r="I29" s="65">
        <f>+SUM(I28:I28)</f>
        <v>30000</v>
      </c>
      <c r="J29" s="25">
        <f>+SUM(J28:J28)</f>
        <v>60416</v>
      </c>
      <c r="K29" s="25">
        <f>+SUM(K28:K28)</f>
        <v>126669.38</v>
      </c>
      <c r="L29" s="65">
        <f>SUM(L28:L28)</f>
        <v>0</v>
      </c>
      <c r="M29" s="65">
        <f>SUM(M28:M28)</f>
        <v>0</v>
      </c>
      <c r="N29" s="75">
        <f t="shared" si="10"/>
        <v>0.52047362057533875</v>
      </c>
      <c r="O29" s="65">
        <f>SUM(O28:O28)</f>
        <v>45600.976799999997</v>
      </c>
      <c r="P29" s="124"/>
    </row>
    <row r="30" spans="1:17" ht="36" customHeight="1" thickBot="1" x14ac:dyDescent="0.4">
      <c r="A30" s="133" t="s">
        <v>54</v>
      </c>
      <c r="B30" s="69" t="s">
        <v>63</v>
      </c>
      <c r="C30" s="74">
        <f>+D30+E30+F30</f>
        <v>137000</v>
      </c>
      <c r="D30" s="84">
        <v>80000</v>
      </c>
      <c r="E30" s="64">
        <v>20000</v>
      </c>
      <c r="F30" s="85">
        <v>37000</v>
      </c>
      <c r="G30" s="69"/>
      <c r="H30" s="88">
        <v>49604.959999999999</v>
      </c>
      <c r="I30" s="192">
        <v>20000</v>
      </c>
      <c r="J30" s="197">
        <v>24023</v>
      </c>
      <c r="K30" s="68">
        <f>+H30+I30+J30</f>
        <v>93627.959999999992</v>
      </c>
      <c r="L30" s="69"/>
      <c r="M30" s="70"/>
      <c r="N30" s="86">
        <f t="shared" si="10"/>
        <v>0.68341576642335755</v>
      </c>
      <c r="O30" s="70"/>
      <c r="P30" s="125"/>
    </row>
    <row r="31" spans="1:17" ht="18.75" customHeight="1" thickBot="1" x14ac:dyDescent="0.4">
      <c r="A31" s="252" t="s">
        <v>55</v>
      </c>
      <c r="B31" s="270"/>
      <c r="C31" s="65">
        <f>SUM(C30:C30)</f>
        <v>137000</v>
      </c>
      <c r="D31" s="64">
        <f>SUM(D30:D30)</f>
        <v>80000</v>
      </c>
      <c r="E31" s="64">
        <f>SUM(E30:E30)</f>
        <v>20000</v>
      </c>
      <c r="F31" s="64">
        <f>SUM(F30:F30)</f>
        <v>37000</v>
      </c>
      <c r="G31" s="65">
        <f>SUM(G30:G30)</f>
        <v>0</v>
      </c>
      <c r="H31" s="65">
        <f>+SUM(H30:H30)</f>
        <v>49604.959999999999</v>
      </c>
      <c r="I31" s="65">
        <f>+SUM(I30:I30)</f>
        <v>20000</v>
      </c>
      <c r="J31" s="25">
        <f>+SUM(J30:J30)</f>
        <v>24023</v>
      </c>
      <c r="K31" s="66">
        <f>+SUM(K30:K30)</f>
        <v>93627.959999999992</v>
      </c>
      <c r="L31" s="65">
        <f>SUM(L30:L30)</f>
        <v>0</v>
      </c>
      <c r="M31" s="65">
        <f>SUM(M30:M30)</f>
        <v>0</v>
      </c>
      <c r="N31" s="75">
        <f t="shared" si="10"/>
        <v>0.68341576642335755</v>
      </c>
      <c r="O31" s="65">
        <f>SUM(O30:O30)</f>
        <v>0</v>
      </c>
      <c r="P31" s="128"/>
    </row>
    <row r="32" spans="1:17" ht="20.5" customHeight="1" thickBot="1" x14ac:dyDescent="0.4">
      <c r="A32" s="271" t="s">
        <v>8</v>
      </c>
      <c r="B32" s="143" t="s">
        <v>9</v>
      </c>
      <c r="C32" s="142"/>
      <c r="D32" s="84"/>
      <c r="E32" s="64"/>
      <c r="F32" s="85"/>
      <c r="G32" s="69"/>
      <c r="H32" s="88"/>
      <c r="I32" s="89">
        <v>0</v>
      </c>
      <c r="J32" s="27"/>
      <c r="K32" s="78"/>
      <c r="L32" s="69"/>
      <c r="M32" s="70"/>
      <c r="N32" s="71" t="e">
        <f t="shared" si="10"/>
        <v>#DIV/0!</v>
      </c>
      <c r="O32" s="70"/>
      <c r="P32" s="129"/>
    </row>
    <row r="33" spans="1:17" ht="34.4" customHeight="1" thickBot="1" x14ac:dyDescent="0.4">
      <c r="A33" s="272"/>
      <c r="B33" s="57" t="s">
        <v>62</v>
      </c>
      <c r="C33" s="142"/>
      <c r="D33" s="84"/>
      <c r="E33" s="64"/>
      <c r="F33" s="85"/>
      <c r="G33" s="69"/>
      <c r="H33" s="88"/>
      <c r="I33" s="89">
        <v>0</v>
      </c>
      <c r="J33" s="27"/>
      <c r="K33" s="78"/>
      <c r="L33" s="70"/>
      <c r="M33" s="70"/>
      <c r="N33" s="71" t="e">
        <f t="shared" si="10"/>
        <v>#DIV/0!</v>
      </c>
      <c r="O33" s="70"/>
      <c r="P33" s="129"/>
    </row>
    <row r="34" spans="1:17" ht="19.5" customHeight="1" thickBot="1" x14ac:dyDescent="0.4">
      <c r="A34" s="252" t="s">
        <v>10</v>
      </c>
      <c r="B34" s="253"/>
      <c r="C34" s="90">
        <f>SUM(C32:C33)</f>
        <v>0</v>
      </c>
      <c r="D34" s="91">
        <f>SUM(D32:D33)</f>
        <v>0</v>
      </c>
      <c r="E34" s="91">
        <f>SUM(E32:E33)</f>
        <v>0</v>
      </c>
      <c r="F34" s="91">
        <f>SUM(F32:F33)</f>
        <v>0</v>
      </c>
      <c r="G34" s="90">
        <f>SUM(G32:G33)</f>
        <v>0</v>
      </c>
      <c r="H34" s="90">
        <f>+SUM(H32:H33)</f>
        <v>0</v>
      </c>
      <c r="I34" s="90">
        <v>10000</v>
      </c>
      <c r="J34" s="28">
        <f>+SUM(J32:J33)</f>
        <v>0</v>
      </c>
      <c r="K34" s="90">
        <v>10000</v>
      </c>
      <c r="L34" s="90">
        <f>SUM(L32:L33)</f>
        <v>0</v>
      </c>
      <c r="M34" s="90">
        <f>SUM(M32:M33)</f>
        <v>0</v>
      </c>
      <c r="N34" s="75" t="e">
        <f t="shared" si="10"/>
        <v>#DIV/0!</v>
      </c>
      <c r="O34" s="90">
        <f>SUM(O32:O33)</f>
        <v>0</v>
      </c>
      <c r="P34" s="130"/>
    </row>
    <row r="35" spans="1:17" ht="21.75" customHeight="1" thickBot="1" x14ac:dyDescent="0.4">
      <c r="A35" s="239" t="s">
        <v>56</v>
      </c>
      <c r="B35" s="240"/>
      <c r="C35" s="80">
        <f>+D35+E35+F35</f>
        <v>1958327.03</v>
      </c>
      <c r="D35" s="80">
        <v>953579.03</v>
      </c>
      <c r="E35" s="80">
        <v>430000</v>
      </c>
      <c r="F35" s="80">
        <v>574748</v>
      </c>
      <c r="G35" s="80"/>
      <c r="H35" s="80">
        <f>H27+H29+H31+H34</f>
        <v>958179.99999999988</v>
      </c>
      <c r="I35" s="80">
        <f t="shared" ref="I35:M35" si="11">I27+I29+I31+I34</f>
        <v>430000</v>
      </c>
      <c r="J35" s="26">
        <f t="shared" si="11"/>
        <v>525651</v>
      </c>
      <c r="K35" s="82">
        <f>K27+K29+K31+K34</f>
        <v>1913831</v>
      </c>
      <c r="L35" s="80">
        <f t="shared" si="11"/>
        <v>0</v>
      </c>
      <c r="M35" s="80">
        <f t="shared" si="11"/>
        <v>0</v>
      </c>
      <c r="N35" s="83">
        <f t="shared" si="10"/>
        <v>0.97727854984466</v>
      </c>
      <c r="O35" s="80">
        <f>O27+O29+O31+O34</f>
        <v>45600.976799999997</v>
      </c>
      <c r="P35" s="127"/>
    </row>
    <row r="36" spans="1:17" ht="22.5" customHeight="1" thickBot="1" x14ac:dyDescent="0.4">
      <c r="A36" s="241" t="s">
        <v>11</v>
      </c>
      <c r="B36" s="242"/>
      <c r="C36" s="67">
        <f>+D36+E36+F36</f>
        <v>137082.8921</v>
      </c>
      <c r="D36" s="84">
        <v>66750.532100000011</v>
      </c>
      <c r="E36" s="64">
        <v>30100.000000000004</v>
      </c>
      <c r="F36" s="85">
        <v>40232.36</v>
      </c>
      <c r="G36" s="87"/>
      <c r="H36" s="88">
        <v>62149.56</v>
      </c>
      <c r="I36" s="198">
        <f>I35*7%</f>
        <v>30100.000000000004</v>
      </c>
      <c r="J36" s="198">
        <f>J35*7%</f>
        <v>36795.570000000007</v>
      </c>
      <c r="K36" s="68">
        <f>+H36+I36+J36</f>
        <v>129045.13</v>
      </c>
      <c r="L36" s="87"/>
      <c r="M36" s="92"/>
      <c r="N36" s="133">
        <f t="shared" si="10"/>
        <v>0.94136568045167479</v>
      </c>
      <c r="O36" s="92"/>
      <c r="P36" s="131"/>
    </row>
    <row r="37" spans="1:17" ht="30" customHeight="1" thickBot="1" x14ac:dyDescent="0.4">
      <c r="A37" s="243" t="s">
        <v>12</v>
      </c>
      <c r="B37" s="244"/>
      <c r="C37" s="93">
        <f>+C36+C35</f>
        <v>2095409.9221000001</v>
      </c>
      <c r="D37" s="94">
        <f>+D36+D35</f>
        <v>1020329.5621</v>
      </c>
      <c r="E37" s="94">
        <f>+E36+E35</f>
        <v>460100</v>
      </c>
      <c r="F37" s="94">
        <f>+F36+F35</f>
        <v>614980.36</v>
      </c>
      <c r="G37" s="93"/>
      <c r="H37" s="93">
        <f>+H36+H35</f>
        <v>1020329.5599999998</v>
      </c>
      <c r="I37" s="93">
        <f>+I36+I35</f>
        <v>460100</v>
      </c>
      <c r="J37" s="29">
        <f>+J36+J35</f>
        <v>562446.57000000007</v>
      </c>
      <c r="K37" s="95">
        <f>+K36+K35</f>
        <v>2042876.13</v>
      </c>
      <c r="L37" s="93">
        <f t="shared" ref="L37:O37" si="12">+L36+L35</f>
        <v>0</v>
      </c>
      <c r="M37" s="93">
        <f t="shared" si="12"/>
        <v>0</v>
      </c>
      <c r="N37" s="96">
        <f t="shared" si="10"/>
        <v>0.97492910979091318</v>
      </c>
      <c r="O37" s="93">
        <f t="shared" si="12"/>
        <v>45600.976799999997</v>
      </c>
      <c r="P37" s="132"/>
    </row>
    <row r="38" spans="1:17" ht="30" customHeight="1" thickBot="1" x14ac:dyDescent="0.4">
      <c r="C38" s="97" t="s">
        <v>65</v>
      </c>
      <c r="D38" s="30" t="s">
        <v>92</v>
      </c>
      <c r="E38" s="30" t="s">
        <v>93</v>
      </c>
      <c r="F38" s="30" t="s">
        <v>94</v>
      </c>
      <c r="G38" s="30"/>
      <c r="H38" s="30"/>
      <c r="I38" s="30"/>
      <c r="J38" s="30"/>
      <c r="K38" s="30"/>
      <c r="L38" s="30" t="s">
        <v>3</v>
      </c>
      <c r="M38" s="30" t="s">
        <v>4</v>
      </c>
      <c r="N38" s="30"/>
      <c r="O38" s="98"/>
      <c r="Q38" s="38"/>
    </row>
    <row r="39" spans="1:17" ht="12.75" customHeight="1" x14ac:dyDescent="0.35">
      <c r="H39" s="99"/>
      <c r="I39" s="99"/>
      <c r="J39" s="31"/>
      <c r="O39" s="39">
        <f>+SUM(O6:O19)</f>
        <v>1002908.9340000001</v>
      </c>
    </row>
    <row r="40" spans="1:17" ht="16" thickBot="1" x14ac:dyDescent="0.4"/>
    <row r="41" spans="1:17" ht="15" customHeight="1" thickBot="1" x14ac:dyDescent="0.4">
      <c r="B41" s="245" t="s">
        <v>13</v>
      </c>
      <c r="C41" s="246"/>
      <c r="D41" s="246"/>
      <c r="E41" s="246"/>
      <c r="F41" s="246"/>
      <c r="G41" s="246"/>
      <c r="H41" s="246"/>
      <c r="I41" s="246"/>
      <c r="J41" s="246"/>
      <c r="K41" s="246"/>
      <c r="L41" s="246"/>
      <c r="M41" s="246"/>
      <c r="N41" s="246"/>
      <c r="O41" s="247"/>
    </row>
    <row r="42" spans="1:17" ht="41.5" customHeight="1" thickBot="1" x14ac:dyDescent="0.4">
      <c r="B42" s="167" t="s">
        <v>14</v>
      </c>
      <c r="C42" s="101" t="s">
        <v>105</v>
      </c>
      <c r="D42" s="102" t="s">
        <v>15</v>
      </c>
      <c r="E42" s="102"/>
      <c r="F42" s="102"/>
      <c r="G42" s="103" t="s">
        <v>106</v>
      </c>
      <c r="H42" s="104"/>
      <c r="I42" s="105"/>
      <c r="J42" s="33" t="s">
        <v>16</v>
      </c>
      <c r="K42" s="33"/>
      <c r="L42" s="106" t="s">
        <v>17</v>
      </c>
      <c r="M42" s="107" t="s">
        <v>18</v>
      </c>
      <c r="N42" s="248" t="s">
        <v>19</v>
      </c>
      <c r="O42" s="249"/>
    </row>
    <row r="43" spans="1:17" ht="18.649999999999999" customHeight="1" thickBot="1" x14ac:dyDescent="0.4">
      <c r="B43" s="108" t="s">
        <v>92</v>
      </c>
      <c r="C43" s="181">
        <v>1020329.5621</v>
      </c>
      <c r="D43" s="168">
        <f>H37</f>
        <v>1020329.5599999998</v>
      </c>
      <c r="E43" s="109"/>
      <c r="F43" s="109"/>
      <c r="G43" s="110">
        <f>D43</f>
        <v>1020329.5599999998</v>
      </c>
      <c r="H43" s="36"/>
      <c r="I43" s="110"/>
      <c r="J43" s="34">
        <f>G43-C43</f>
        <v>-2.1000001579523087E-3</v>
      </c>
      <c r="K43" s="35"/>
      <c r="L43" s="36">
        <f>+C43-G43</f>
        <v>2.1000001579523087E-3</v>
      </c>
      <c r="M43" s="37">
        <f>G43/C43</f>
        <v>0.99999999794184136</v>
      </c>
      <c r="N43" s="250"/>
      <c r="O43" s="251"/>
    </row>
    <row r="44" spans="1:17" ht="18.649999999999999" customHeight="1" thickBot="1" x14ac:dyDescent="0.4">
      <c r="B44" s="108" t="s">
        <v>93</v>
      </c>
      <c r="C44" s="181">
        <v>460100</v>
      </c>
      <c r="D44" s="168">
        <f>I37</f>
        <v>460100</v>
      </c>
      <c r="E44" s="109"/>
      <c r="F44" s="109"/>
      <c r="G44" s="110">
        <f>+I37</f>
        <v>460100</v>
      </c>
      <c r="H44" s="36"/>
      <c r="I44" s="110"/>
      <c r="J44" s="34">
        <f t="shared" ref="J44:J45" si="13">G44-C44</f>
        <v>0</v>
      </c>
      <c r="K44" s="35"/>
      <c r="L44" s="36">
        <f t="shared" ref="L44:L45" si="14">+C44-G44</f>
        <v>0</v>
      </c>
      <c r="M44" s="37">
        <f>G44/C44</f>
        <v>1</v>
      </c>
      <c r="N44" s="235"/>
      <c r="O44" s="236"/>
    </row>
    <row r="45" spans="1:17" ht="18.649999999999999" customHeight="1" thickBot="1" x14ac:dyDescent="0.4">
      <c r="B45" s="108" t="s">
        <v>94</v>
      </c>
      <c r="C45" s="181">
        <v>614980.36</v>
      </c>
      <c r="D45" s="168">
        <f>J37</f>
        <v>562446.57000000007</v>
      </c>
      <c r="E45" s="109"/>
      <c r="F45" s="109"/>
      <c r="G45" s="110">
        <f>D45</f>
        <v>562446.57000000007</v>
      </c>
      <c r="H45" s="36"/>
      <c r="I45" s="110"/>
      <c r="J45" s="34">
        <f t="shared" si="13"/>
        <v>-52533.789999999921</v>
      </c>
      <c r="K45" s="35"/>
      <c r="L45" s="36">
        <f t="shared" si="14"/>
        <v>52533.789999999921</v>
      </c>
      <c r="M45" s="37">
        <f>G45/C45</f>
        <v>0.91457647525524244</v>
      </c>
      <c r="N45" s="235"/>
      <c r="O45" s="236"/>
    </row>
    <row r="46" spans="1:17" ht="21" customHeight="1" thickBot="1" x14ac:dyDescent="0.4">
      <c r="B46" s="166" t="s">
        <v>20</v>
      </c>
      <c r="C46" s="182">
        <f>SUM(C43:C45)</f>
        <v>2095409.9221000001</v>
      </c>
      <c r="D46" s="182">
        <f>SUM(D43:D45)</f>
        <v>2042876.13</v>
      </c>
      <c r="E46" s="166">
        <f>+E45+E44+E43</f>
        <v>0</v>
      </c>
      <c r="F46" s="166">
        <f>+F45+F44+F43</f>
        <v>0</v>
      </c>
      <c r="G46" s="166">
        <f>+G45+G44+G43</f>
        <v>2042876.13</v>
      </c>
      <c r="H46" s="111"/>
      <c r="I46" s="162"/>
      <c r="J46" s="163"/>
      <c r="K46" s="166"/>
      <c r="L46" s="166">
        <f>SUM(L43:L45)</f>
        <v>52533.792100000079</v>
      </c>
      <c r="M46" s="164">
        <f>G46/C46</f>
        <v>0.97492910979091318</v>
      </c>
      <c r="N46" s="237"/>
      <c r="O46" s="238"/>
    </row>
    <row r="48" spans="1:17" s="32" customFormat="1" x14ac:dyDescent="0.35">
      <c r="A48" s="39"/>
      <c r="B48" s="39"/>
      <c r="F48" s="39"/>
      <c r="G48" s="39"/>
      <c r="H48" s="39"/>
      <c r="I48" s="39"/>
      <c r="K48" s="31"/>
      <c r="L48" s="39"/>
      <c r="M48" s="39"/>
      <c r="N48" s="40"/>
      <c r="O48" s="39"/>
      <c r="P48" s="119"/>
      <c r="Q48" s="39"/>
    </row>
    <row r="49" spans="1:17" s="32" customFormat="1" x14ac:dyDescent="0.35">
      <c r="A49" s="39"/>
      <c r="B49" s="112"/>
      <c r="C49" s="38"/>
      <c r="D49" s="39"/>
      <c r="E49" s="39"/>
      <c r="F49" s="39"/>
      <c r="G49" s="39"/>
      <c r="H49" s="39"/>
      <c r="I49" s="39"/>
      <c r="K49" s="31"/>
      <c r="L49" s="39"/>
      <c r="M49" s="39"/>
      <c r="N49" s="40"/>
      <c r="O49" s="39"/>
      <c r="P49" s="119"/>
      <c r="Q49" s="39"/>
    </row>
    <row r="50" spans="1:17" s="32" customFormat="1" x14ac:dyDescent="0.35">
      <c r="A50" s="39"/>
      <c r="B50" s="39"/>
      <c r="C50" s="38"/>
      <c r="D50" s="211"/>
      <c r="E50" s="212"/>
      <c r="F50" s="39"/>
      <c r="G50" s="39"/>
      <c r="H50" s="39"/>
      <c r="I50" s="39"/>
      <c r="K50" s="31"/>
      <c r="L50" s="39"/>
      <c r="M50" s="39"/>
      <c r="N50" s="40"/>
      <c r="O50" s="39"/>
      <c r="P50" s="119"/>
      <c r="Q50" s="39"/>
    </row>
    <row r="51" spans="1:17" s="32" customFormat="1" x14ac:dyDescent="0.35">
      <c r="A51" s="39"/>
      <c r="B51" s="39"/>
      <c r="C51" s="38"/>
      <c r="D51" s="39"/>
      <c r="E51" s="39"/>
      <c r="F51" s="39"/>
      <c r="G51" s="39"/>
      <c r="H51" s="39"/>
      <c r="I51" s="39"/>
      <c r="K51" s="31"/>
      <c r="L51" s="39"/>
      <c r="M51" s="39"/>
      <c r="N51" s="40"/>
      <c r="O51" s="39"/>
      <c r="P51" s="119"/>
      <c r="Q51" s="39"/>
    </row>
    <row r="52" spans="1:17" x14ac:dyDescent="0.35">
      <c r="E52"/>
    </row>
    <row r="57" spans="1:17" x14ac:dyDescent="0.35">
      <c r="G57" s="215"/>
    </row>
    <row r="58" spans="1:17" x14ac:dyDescent="0.35">
      <c r="G58" s="215"/>
    </row>
  </sheetData>
  <mergeCells count="29">
    <mergeCell ref="A11:A15"/>
    <mergeCell ref="Q11:Q15"/>
    <mergeCell ref="A1:P1"/>
    <mergeCell ref="A5:P5"/>
    <mergeCell ref="A6:A9"/>
    <mergeCell ref="Q6:Q9"/>
    <mergeCell ref="A10:B10"/>
    <mergeCell ref="A34:B34"/>
    <mergeCell ref="A16:B16"/>
    <mergeCell ref="A17:A20"/>
    <mergeCell ref="Q17:Q20"/>
    <mergeCell ref="A21:B21"/>
    <mergeCell ref="A22:A24"/>
    <mergeCell ref="Q22:Q25"/>
    <mergeCell ref="A25:B25"/>
    <mergeCell ref="A26:B26"/>
    <mergeCell ref="A27:B27"/>
    <mergeCell ref="A29:B29"/>
    <mergeCell ref="A31:B31"/>
    <mergeCell ref="A32:A33"/>
    <mergeCell ref="N44:O44"/>
    <mergeCell ref="N45:O45"/>
    <mergeCell ref="N46:O46"/>
    <mergeCell ref="A35:B35"/>
    <mergeCell ref="A36:B36"/>
    <mergeCell ref="A37:B37"/>
    <mergeCell ref="B41:O41"/>
    <mergeCell ref="N42:O42"/>
    <mergeCell ref="N43:O43"/>
  </mergeCells>
  <dataValidations disablePrompts="1" count="1">
    <dataValidation allowBlank="1" showInputMessage="1" showErrorMessage="1" prompt="Insert *text* description of Activity here" sqref="B6 B11 B17 B22" xr:uid="{00000000-0002-0000-01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0" ma:contentTypeDescription="Create a new document." ma:contentTypeScope="" ma:versionID="d5b9578ac925f2cea4794d5a6d3896c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950c2b6b3b79907b18d266b21f64524c"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joachim.ouedraogo@undp.org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MPTF_00006_00759</ProjectId>
    <FundCode xmlns="f9695bc1-6109-4dcd-a27a-f8a0370b00e2">MPTF_00006</FundCode>
    <Comments xmlns="f9695bc1-6109-4dcd-a27a-f8a0370b00e2">Rapport financier final du projet</Comments>
    <Active xmlns="f9695bc1-6109-4dcd-a27a-f8a0370b00e2">Yes</Active>
    <DocumentDate xmlns="b1528a4b-5ccb-40f7-a09e-43427183cd95">2023-05-24T07:00:00+00:00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FFA43EA-0885-45A5-A956-0AD4D90A23C8}"/>
</file>

<file path=customXml/itemProps2.xml><?xml version="1.0" encoding="utf-8"?>
<ds:datastoreItem xmlns:ds="http://schemas.openxmlformats.org/officeDocument/2006/customXml" ds:itemID="{19639BB0-A9ED-4533-B1D9-1FE5288E8853}">
  <ds:schemaRefs>
    <ds:schemaRef ds:uri="http://schemas.microsoft.com/sharepoint/v3/contenttype/forms"/>
  </ds:schemaRefs>
</ds:datastoreItem>
</file>

<file path=customXml/itemProps3.xml><?xml version="1.0" encoding="utf-8"?>
<ds:datastoreItem xmlns:ds="http://schemas.openxmlformats.org/officeDocument/2006/customXml" ds:itemID="{95C77418-B028-4A86-AFFB-29F9E3C07571}">
  <ds:schemaRefs>
    <ds:schemaRef ds:uri="http://schemas.microsoft.com/office/2006/documentManagement/types"/>
    <ds:schemaRef ds:uri="http://schemas.microsoft.com/office/2006/metadata/properties"/>
    <ds:schemaRef ds:uri="22f3db0c-e5c2-43e3-89a6-3ad6b70f6e32"/>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038f5147-b9b5-4212-b077-c39983e0218b"/>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Final_Categorie Budetaire</vt:lpstr>
      <vt:lpstr>Final_Resultat &amp; Agences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final_PAM_HCDH_FAO.xlsx</dc:title>
  <dc:creator/>
  <cp:lastModifiedBy/>
  <dcterms:created xsi:type="dcterms:W3CDTF">2015-06-05T18:19:34Z</dcterms:created>
  <dcterms:modified xsi:type="dcterms:W3CDTF">2023-05-14T23:23:55Z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2020-11-06T11:24:43Z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ies>
</file>